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MyDocs\GENC\"/>
    </mc:Choice>
  </mc:AlternateContent>
  <bookViews>
    <workbookView xWindow="0" yWindow="0" windowWidth="21570" windowHeight="8715" tabRatio="865"/>
  </bookViews>
  <sheets>
    <sheet name="Cover" sheetId="6" r:id="rId1"/>
    <sheet name="GE - GENC to ISO 3166" sheetId="1" r:id="rId2"/>
    <sheet name="AS - GENC to ISO 3166" sheetId="12" r:id="rId3"/>
    <sheet name="GE - ISO 3166 to GENC" sheetId="3" r:id="rId4"/>
    <sheet name="AS - ISO 3166 to GENC" sheetId="13" r:id="rId5"/>
    <sheet name="GE - GENC to STANAG 1059" sheetId="10" r:id="rId6"/>
    <sheet name="GE - STANAG 1059 to GENC" sheetId="9" r:id="rId7"/>
  </sheets>
  <externalReferences>
    <externalReference r:id="rId8"/>
    <externalReference r:id="rId9"/>
    <externalReference r:id="rId10"/>
    <externalReference r:id="rId11"/>
  </externalReferences>
  <definedNames>
    <definedName name="_xlnm._FilterDatabase" localSheetId="2" hidden="1">'AS - GENC to ISO 3166'!$A$4:$L$4</definedName>
    <definedName name="_xlnm._FilterDatabase" localSheetId="4" hidden="1">'AS - ISO 3166 to GENC'!$A$4:$L$4</definedName>
    <definedName name="_xlnm._FilterDatabase" localSheetId="1" hidden="1">'GE - GENC to ISO 3166'!$A$4:$J$4</definedName>
    <definedName name="_xlnm._FilterDatabase" localSheetId="5" hidden="1">'GE - GENC to STANAG 1059'!$A$4:$H$4</definedName>
    <definedName name="_xlnm._FilterDatabase" localSheetId="3" hidden="1">'GE - ISO 3166 to GENC'!$A$4:$I$4</definedName>
    <definedName name="_xlnm._FilterDatabase" localSheetId="6" hidden="1">'GE - STANAG 1059 to GENC'!$A$4:$H$4</definedName>
    <definedName name="Feature_Def" localSheetId="2">[1]Entity_Types!#REF!</definedName>
    <definedName name="Feature_Def" localSheetId="4">[1]Entity_Types!#REF!</definedName>
    <definedName name="Feature_Def" localSheetId="0">'[2]Feature Types'!#REF!</definedName>
    <definedName name="Feature_Def" localSheetId="5">[1]Entity_Types!#REF!</definedName>
    <definedName name="Feature_Def" localSheetId="6">[1]Entity_Types!#REF!</definedName>
    <definedName name="Feature_Def">[1]Entity_Types!#REF!</definedName>
    <definedName name="ignore_me" localSheetId="2">[3]Info_Types!#REF!</definedName>
    <definedName name="ignore_me" localSheetId="4">[3]Info_Types!#REF!</definedName>
    <definedName name="ignore_me" localSheetId="5">[3]Info_Types!#REF!</definedName>
    <definedName name="ignore_me" localSheetId="6">[3]Info_Types!#REF!</definedName>
    <definedName name="ignore_me">[3]Info_Types!#REF!</definedName>
    <definedName name="ignore_me2" localSheetId="2">[3]Info_Types!#REF!</definedName>
    <definedName name="ignore_me2" localSheetId="4">[3]Info_Types!#REF!</definedName>
    <definedName name="ignore_me2" localSheetId="5">[3]Info_Types!#REF!</definedName>
    <definedName name="ignore_me2" localSheetId="6">[3]Info_Types!#REF!</definedName>
    <definedName name="ignore_me2">[3]Info_Types!#REF!</definedName>
    <definedName name="IHO_T_FeatureType" localSheetId="2">#REF!</definedName>
    <definedName name="IHO_T_FeatureType" localSheetId="4">#REF!</definedName>
    <definedName name="IHO_T_FeatureType" localSheetId="5">#REF!</definedName>
    <definedName name="IHO_T_FeatureType" localSheetId="6">#REF!</definedName>
    <definedName name="IHO_T_FeatureType">#REF!</definedName>
    <definedName name="tblClassISO" localSheetId="2">#REF!</definedName>
    <definedName name="tblClassISO" localSheetId="4">#REF!</definedName>
    <definedName name="tblClassISO" localSheetId="5">#REF!</definedName>
    <definedName name="tblClassISO" localSheetId="6">#REF!</definedName>
    <definedName name="tblClassISO">#REF!</definedName>
    <definedName name="TEMPER">[4]DVOF_Map!$A$1:$AB$187</definedName>
  </definedNames>
  <calcPr calcId="152511"/>
</workbook>
</file>

<file path=xl/calcChain.xml><?xml version="1.0" encoding="utf-8"?>
<calcChain xmlns="http://schemas.openxmlformats.org/spreadsheetml/2006/main">
  <c r="I280" i="9" l="1"/>
  <c r="I279" i="9"/>
  <c r="I278" i="9"/>
  <c r="I277" i="9"/>
  <c r="I276" i="9"/>
  <c r="I275" i="9"/>
  <c r="I274" i="9"/>
  <c r="I273" i="9"/>
  <c r="I272" i="9"/>
  <c r="I271" i="9"/>
  <c r="I270" i="9"/>
  <c r="I269" i="9"/>
  <c r="I268" i="9"/>
  <c r="I267" i="9"/>
  <c r="I266" i="9"/>
  <c r="I265" i="9"/>
  <c r="I264" i="9"/>
  <c r="I263" i="9"/>
  <c r="I262" i="9"/>
  <c r="I261" i="9"/>
  <c r="I260" i="9"/>
  <c r="I259" i="9"/>
  <c r="I258" i="9"/>
  <c r="I257" i="9"/>
  <c r="I256" i="9"/>
  <c r="I255" i="9"/>
  <c r="I254" i="9"/>
  <c r="I253" i="9"/>
  <c r="I252" i="9"/>
  <c r="I251" i="9"/>
  <c r="I250" i="9"/>
  <c r="I249" i="9"/>
  <c r="I248" i="9"/>
  <c r="I247" i="9"/>
  <c r="I246" i="9"/>
  <c r="I245" i="9"/>
  <c r="I244" i="9"/>
  <c r="I243" i="9"/>
  <c r="I242" i="9"/>
  <c r="I241" i="9"/>
  <c r="I240" i="9"/>
  <c r="I239" i="9"/>
  <c r="I238" i="9"/>
  <c r="I237" i="9"/>
  <c r="I236" i="9"/>
  <c r="I235" i="9"/>
  <c r="I234" i="9"/>
  <c r="I233" i="9"/>
  <c r="I232" i="9"/>
  <c r="I231" i="9"/>
  <c r="I230" i="9"/>
  <c r="I229" i="9"/>
  <c r="I228" i="9"/>
  <c r="I227" i="9"/>
  <c r="I226" i="9"/>
  <c r="I225" i="9"/>
  <c r="I224" i="9"/>
  <c r="I223" i="9"/>
  <c r="I222" i="9"/>
  <c r="I221" i="9"/>
  <c r="I220" i="9"/>
  <c r="I219" i="9"/>
  <c r="I218" i="9"/>
  <c r="I217" i="9"/>
  <c r="I216" i="9"/>
  <c r="I215" i="9"/>
  <c r="I214" i="9"/>
  <c r="I213" i="9"/>
  <c r="I212" i="9"/>
  <c r="I211" i="9"/>
  <c r="I210" i="9"/>
  <c r="I209" i="9"/>
  <c r="I208" i="9"/>
  <c r="I207" i="9"/>
  <c r="I206" i="9"/>
  <c r="I205" i="9"/>
  <c r="I204" i="9"/>
  <c r="I203" i="9"/>
  <c r="I202" i="9"/>
  <c r="I201" i="9"/>
  <c r="I200" i="9"/>
  <c r="I199" i="9"/>
  <c r="I198" i="9"/>
  <c r="I197" i="9"/>
  <c r="I196" i="9"/>
  <c r="I195" i="9"/>
  <c r="I194" i="9"/>
  <c r="I193" i="9"/>
  <c r="I192" i="9"/>
  <c r="I191" i="9"/>
  <c r="I190" i="9"/>
  <c r="I189" i="9"/>
  <c r="I188" i="9"/>
  <c r="I187" i="9"/>
  <c r="I186" i="9"/>
  <c r="I185" i="9"/>
  <c r="I184" i="9"/>
  <c r="I183" i="9"/>
  <c r="I182" i="9"/>
  <c r="I181" i="9"/>
  <c r="I180" i="9"/>
  <c r="I179" i="9"/>
  <c r="I178" i="9"/>
  <c r="I177" i="9"/>
  <c r="I176" i="9"/>
  <c r="I175" i="9"/>
  <c r="I174" i="9"/>
  <c r="I173" i="9"/>
  <c r="I172" i="9"/>
  <c r="I171" i="9"/>
  <c r="I170" i="9"/>
  <c r="I169" i="9"/>
  <c r="I168" i="9"/>
  <c r="I167" i="9"/>
  <c r="I166" i="9"/>
  <c r="I165" i="9"/>
  <c r="I164" i="9"/>
  <c r="I163" i="9"/>
  <c r="I162" i="9"/>
  <c r="I161" i="9"/>
  <c r="I160" i="9"/>
  <c r="I159" i="9"/>
  <c r="I158" i="9"/>
  <c r="I157" i="9"/>
  <c r="I156" i="9"/>
  <c r="I155" i="9"/>
  <c r="I154" i="9"/>
  <c r="I153" i="9"/>
  <c r="I152" i="9"/>
  <c r="I151" i="9"/>
  <c r="I150" i="9"/>
  <c r="I149" i="9"/>
  <c r="I148" i="9"/>
  <c r="I147" i="9"/>
  <c r="I146" i="9"/>
  <c r="I145" i="9"/>
  <c r="I144" i="9"/>
  <c r="I143" i="9"/>
  <c r="I142" i="9"/>
  <c r="I141" i="9"/>
  <c r="I140" i="9"/>
  <c r="I139" i="9"/>
  <c r="I138" i="9"/>
  <c r="I137" i="9"/>
  <c r="I136" i="9"/>
  <c r="I135" i="9"/>
  <c r="I134" i="9"/>
  <c r="I133" i="9"/>
  <c r="I132" i="9"/>
  <c r="I131" i="9"/>
  <c r="I130" i="9"/>
  <c r="I129" i="9"/>
  <c r="I128" i="9"/>
  <c r="I127" i="9"/>
  <c r="I126" i="9"/>
  <c r="I125" i="9"/>
  <c r="I124" i="9"/>
  <c r="I123" i="9"/>
  <c r="I122" i="9"/>
  <c r="I121" i="9"/>
  <c r="I120" i="9"/>
  <c r="I119" i="9"/>
  <c r="I118" i="9"/>
  <c r="I117" i="9"/>
  <c r="I116" i="9"/>
  <c r="I115" i="9"/>
  <c r="I114" i="9"/>
  <c r="I113" i="9"/>
  <c r="I112" i="9"/>
  <c r="I111" i="9"/>
  <c r="I110" i="9"/>
  <c r="I109" i="9"/>
  <c r="I108" i="9"/>
  <c r="I107" i="9"/>
  <c r="I106" i="9"/>
  <c r="I105" i="9"/>
  <c r="I104" i="9"/>
  <c r="I103" i="9"/>
  <c r="I102" i="9"/>
  <c r="I101" i="9"/>
  <c r="I100" i="9"/>
  <c r="I99" i="9"/>
  <c r="I98" i="9"/>
  <c r="I97" i="9"/>
  <c r="I96" i="9"/>
  <c r="I95" i="9"/>
  <c r="I94" i="9"/>
  <c r="I93" i="9"/>
  <c r="I92" i="9"/>
  <c r="I91" i="9"/>
  <c r="I90" i="9"/>
  <c r="I89" i="9"/>
  <c r="I88" i="9"/>
  <c r="I87" i="9"/>
  <c r="I86" i="9"/>
  <c r="I85" i="9"/>
  <c r="I84" i="9"/>
  <c r="I83" i="9"/>
  <c r="I82" i="9"/>
  <c r="I81" i="9"/>
  <c r="I80" i="9"/>
  <c r="I79" i="9"/>
  <c r="I78" i="9"/>
  <c r="I77" i="9"/>
  <c r="I76" i="9"/>
  <c r="I75" i="9"/>
  <c r="I74" i="9"/>
  <c r="I73" i="9"/>
  <c r="I72" i="9"/>
  <c r="I71" i="9"/>
  <c r="I70" i="9"/>
  <c r="I69" i="9"/>
  <c r="I68" i="9"/>
  <c r="I67" i="9"/>
  <c r="I66" i="9"/>
  <c r="I65" i="9"/>
  <c r="I64" i="9"/>
  <c r="I63" i="9"/>
  <c r="I62" i="9"/>
  <c r="I61" i="9"/>
  <c r="I60" i="9"/>
  <c r="I59" i="9"/>
  <c r="I58" i="9"/>
  <c r="I57" i="9"/>
  <c r="I56" i="9"/>
  <c r="I55" i="9"/>
  <c r="I54" i="9"/>
  <c r="I53" i="9"/>
  <c r="I52" i="9"/>
  <c r="I51" i="9"/>
  <c r="I50" i="9"/>
  <c r="I49" i="9"/>
  <c r="I48" i="9"/>
  <c r="I47" i="9"/>
  <c r="I46" i="9"/>
  <c r="I45" i="9"/>
  <c r="I44" i="9"/>
  <c r="I43" i="9"/>
  <c r="I42" i="9"/>
  <c r="I41" i="9"/>
  <c r="I40" i="9"/>
  <c r="I39" i="9"/>
  <c r="I38" i="9"/>
  <c r="I37" i="9"/>
  <c r="I36" i="9"/>
  <c r="I35" i="9"/>
  <c r="I34" i="9"/>
  <c r="I33" i="9"/>
  <c r="I32" i="9"/>
  <c r="I31" i="9"/>
  <c r="I30" i="9"/>
  <c r="I29" i="9"/>
  <c r="I28" i="9"/>
  <c r="I27" i="9"/>
  <c r="I26" i="9"/>
  <c r="I25" i="9"/>
  <c r="I24" i="9"/>
  <c r="I23" i="9"/>
  <c r="I22" i="9"/>
  <c r="I21" i="9"/>
  <c r="I20" i="9"/>
  <c r="I19" i="9"/>
  <c r="I18" i="9"/>
  <c r="I17" i="9"/>
  <c r="I16" i="9"/>
  <c r="I15" i="9"/>
  <c r="I14" i="9"/>
  <c r="I13" i="9"/>
  <c r="I12" i="9"/>
  <c r="I11" i="9"/>
  <c r="I10" i="9"/>
  <c r="I9" i="9"/>
  <c r="I8" i="9"/>
  <c r="I7" i="9"/>
  <c r="I6" i="9"/>
  <c r="I5" i="9"/>
  <c r="I289" i="10"/>
  <c r="I288" i="10"/>
  <c r="I287" i="10"/>
  <c r="I286" i="10"/>
  <c r="I285" i="10"/>
  <c r="I284" i="10"/>
  <c r="I283" i="10"/>
  <c r="I282" i="10"/>
  <c r="I281" i="10"/>
  <c r="I280" i="10"/>
  <c r="I279" i="10"/>
  <c r="I278" i="10"/>
  <c r="I277" i="10"/>
  <c r="I276" i="10"/>
  <c r="I275" i="10"/>
  <c r="I274" i="10"/>
  <c r="I273" i="10"/>
  <c r="I272" i="10"/>
  <c r="I271" i="10"/>
  <c r="I270" i="10"/>
  <c r="I269" i="10"/>
  <c r="I268" i="10"/>
  <c r="I267" i="10"/>
  <c r="I266" i="10"/>
  <c r="I265" i="10"/>
  <c r="I264" i="10"/>
  <c r="I263" i="10"/>
  <c r="I262" i="10"/>
  <c r="I261" i="10"/>
  <c r="I260" i="10"/>
  <c r="I259" i="10"/>
  <c r="I258" i="10"/>
  <c r="I257" i="10"/>
  <c r="I256" i="10"/>
  <c r="I255" i="10"/>
  <c r="I254" i="10"/>
  <c r="I253" i="10"/>
  <c r="I252" i="10"/>
  <c r="I251" i="10"/>
  <c r="I250" i="10"/>
  <c r="I249" i="10"/>
  <c r="I248" i="10"/>
  <c r="I247" i="10"/>
  <c r="I246" i="10"/>
  <c r="I245" i="10"/>
  <c r="I244" i="10"/>
  <c r="I243" i="10"/>
  <c r="I242" i="10"/>
  <c r="I241" i="10"/>
  <c r="I240" i="10"/>
  <c r="I239" i="10"/>
  <c r="I238" i="10"/>
  <c r="I237" i="10"/>
  <c r="I236" i="10"/>
  <c r="I235" i="10"/>
  <c r="I234" i="10"/>
  <c r="I233" i="10"/>
  <c r="I232" i="10"/>
  <c r="I231" i="10"/>
  <c r="I230" i="10"/>
  <c r="I229" i="10"/>
  <c r="I228" i="10"/>
  <c r="I227" i="10"/>
  <c r="I226" i="10"/>
  <c r="I225" i="10"/>
  <c r="I224" i="10"/>
  <c r="I223" i="10"/>
  <c r="I222" i="10"/>
  <c r="I221" i="10"/>
  <c r="I220" i="10"/>
  <c r="I219" i="10"/>
  <c r="I218" i="10"/>
  <c r="I217" i="10"/>
  <c r="I216" i="10"/>
  <c r="I215" i="10"/>
  <c r="I214" i="10"/>
  <c r="I213" i="10"/>
  <c r="I212" i="10"/>
  <c r="I211" i="10"/>
  <c r="I210" i="10"/>
  <c r="I209" i="10"/>
  <c r="I208" i="10"/>
  <c r="I207" i="10"/>
  <c r="I206" i="10"/>
  <c r="I205" i="10"/>
  <c r="I204" i="10"/>
  <c r="I203" i="10"/>
  <c r="I202" i="10"/>
  <c r="I201" i="10"/>
  <c r="I200" i="10"/>
  <c r="I199" i="10"/>
  <c r="I198" i="10"/>
  <c r="I197" i="10"/>
  <c r="I196" i="10"/>
  <c r="I195" i="10"/>
  <c r="I194" i="10"/>
  <c r="I193" i="10"/>
  <c r="I192" i="10"/>
  <c r="I191" i="10"/>
  <c r="I190" i="10"/>
  <c r="I189" i="10"/>
  <c r="I188" i="10"/>
  <c r="I187" i="10"/>
  <c r="I186" i="10"/>
  <c r="I185" i="10"/>
  <c r="I184" i="10"/>
  <c r="I183" i="10"/>
  <c r="I182" i="10"/>
  <c r="I181" i="10"/>
  <c r="I180" i="10"/>
  <c r="I179" i="10"/>
  <c r="I178" i="10"/>
  <c r="I177" i="10"/>
  <c r="I176" i="10"/>
  <c r="I175" i="10"/>
  <c r="I174" i="10"/>
  <c r="I173" i="10"/>
  <c r="I172" i="10"/>
  <c r="I171" i="10"/>
  <c r="I170" i="10"/>
  <c r="I169" i="10"/>
  <c r="I168" i="10"/>
  <c r="I167" i="10"/>
  <c r="I166" i="10"/>
  <c r="I165" i="10"/>
  <c r="I164" i="10"/>
  <c r="I163" i="10"/>
  <c r="I162" i="10"/>
  <c r="I161" i="10"/>
  <c r="I160" i="10"/>
  <c r="I159" i="10"/>
  <c r="I158" i="10"/>
  <c r="I157" i="10"/>
  <c r="I156" i="10"/>
  <c r="I155" i="10"/>
  <c r="I154" i="10"/>
  <c r="I153" i="10"/>
  <c r="I152" i="10"/>
  <c r="I151" i="10"/>
  <c r="I150" i="10"/>
  <c r="I149" i="10"/>
  <c r="I148" i="10"/>
  <c r="I147" i="10"/>
  <c r="I146" i="10"/>
  <c r="I145" i="10"/>
  <c r="I144" i="10"/>
  <c r="I143" i="10"/>
  <c r="I142" i="10"/>
  <c r="I141" i="10"/>
  <c r="I140" i="10"/>
  <c r="I139" i="10"/>
  <c r="I138" i="10"/>
  <c r="I137" i="10"/>
  <c r="I136" i="10"/>
  <c r="I135" i="10"/>
  <c r="I134" i="10"/>
  <c r="I133" i="10"/>
  <c r="I132" i="10"/>
  <c r="I131" i="10"/>
  <c r="I130" i="10"/>
  <c r="I129" i="10"/>
  <c r="I128" i="10"/>
  <c r="I127" i="10"/>
  <c r="I126" i="10"/>
  <c r="I125" i="10"/>
  <c r="I124" i="10"/>
  <c r="I123" i="10"/>
  <c r="I122" i="10"/>
  <c r="I121" i="10"/>
  <c r="I120" i="10"/>
  <c r="I119" i="10"/>
  <c r="I118" i="10"/>
  <c r="I117" i="10"/>
  <c r="I116" i="10"/>
  <c r="I115" i="10"/>
  <c r="I114" i="10"/>
  <c r="I113" i="10"/>
  <c r="I112" i="10"/>
  <c r="I111" i="10"/>
  <c r="I110" i="10"/>
  <c r="I109" i="10"/>
  <c r="I108" i="10"/>
  <c r="I107" i="10"/>
  <c r="I106" i="10"/>
  <c r="I105" i="10"/>
  <c r="I104" i="10"/>
  <c r="I103" i="10"/>
  <c r="I102" i="10"/>
  <c r="I101" i="10"/>
  <c r="I100" i="10"/>
  <c r="I99" i="10"/>
  <c r="I98" i="10"/>
  <c r="I97" i="10"/>
  <c r="I96" i="10"/>
  <c r="I95" i="10"/>
  <c r="I94" i="10"/>
  <c r="I93" i="10"/>
  <c r="I92" i="10"/>
  <c r="I91" i="10"/>
  <c r="I90" i="10"/>
  <c r="I89" i="10"/>
  <c r="I88" i="10"/>
  <c r="I87" i="10"/>
  <c r="I86" i="10"/>
  <c r="I85" i="10"/>
  <c r="I84" i="10"/>
  <c r="I83" i="10"/>
  <c r="I82" i="10"/>
  <c r="I81" i="10"/>
  <c r="I80" i="10"/>
  <c r="I79" i="10"/>
  <c r="I78" i="10"/>
  <c r="I77" i="10"/>
  <c r="I76" i="10"/>
  <c r="I75" i="10"/>
  <c r="I74" i="10"/>
  <c r="I73" i="10"/>
  <c r="I72" i="10"/>
  <c r="I71" i="10"/>
  <c r="I70" i="10"/>
  <c r="I69" i="10"/>
  <c r="I68" i="10"/>
  <c r="I67" i="10"/>
  <c r="I66" i="10"/>
  <c r="I65" i="10"/>
  <c r="I64" i="10"/>
  <c r="I63" i="10"/>
  <c r="I62" i="10"/>
  <c r="I61" i="10"/>
  <c r="I60" i="10"/>
  <c r="I59" i="10"/>
  <c r="I58" i="10"/>
  <c r="I57" i="10"/>
  <c r="I56" i="10"/>
  <c r="I55" i="10"/>
  <c r="I54" i="10"/>
  <c r="I53" i="10"/>
  <c r="I52" i="10"/>
  <c r="I51" i="10"/>
  <c r="I50" i="10"/>
  <c r="I49" i="10"/>
  <c r="I48" i="10"/>
  <c r="I47" i="10"/>
  <c r="I46" i="10"/>
  <c r="I45" i="10"/>
  <c r="I44" i="10"/>
  <c r="I43" i="10"/>
  <c r="I42" i="10"/>
  <c r="I41" i="10"/>
  <c r="I40" i="10"/>
  <c r="I39" i="10"/>
  <c r="I38" i="10"/>
  <c r="I37" i="10"/>
  <c r="I36" i="10"/>
  <c r="I35" i="10"/>
  <c r="I34" i="10"/>
  <c r="I33" i="10"/>
  <c r="I32" i="10"/>
  <c r="I31" i="10"/>
  <c r="I30" i="10"/>
  <c r="I29" i="10"/>
  <c r="I28" i="10"/>
  <c r="I27" i="10"/>
  <c r="I26" i="10"/>
  <c r="I25" i="10"/>
  <c r="I24" i="10"/>
  <c r="I23" i="10"/>
  <c r="I22" i="10"/>
  <c r="I21" i="10"/>
  <c r="I20" i="10"/>
  <c r="I19" i="10"/>
  <c r="I18" i="10"/>
  <c r="I17" i="10"/>
  <c r="I16" i="10"/>
  <c r="I15" i="10"/>
  <c r="I14" i="10"/>
  <c r="I13" i="10"/>
  <c r="I12" i="10"/>
  <c r="I11" i="10"/>
  <c r="I10" i="10"/>
  <c r="I9" i="10"/>
  <c r="I8" i="10"/>
  <c r="I7" i="10"/>
  <c r="I6" i="10"/>
  <c r="I5" i="10"/>
  <c r="M4968" i="13"/>
  <c r="M4967" i="13"/>
  <c r="M4966" i="13"/>
  <c r="M4965" i="13"/>
  <c r="M4964" i="13"/>
  <c r="M4963" i="13"/>
  <c r="M4962" i="13"/>
  <c r="M4961" i="13"/>
  <c r="M4960" i="13"/>
  <c r="M4959" i="13"/>
  <c r="M4958" i="13"/>
  <c r="M4957" i="13"/>
  <c r="M4956" i="13"/>
  <c r="M4955" i="13"/>
  <c r="M4954" i="13"/>
  <c r="M4953" i="13"/>
  <c r="M4952" i="13"/>
  <c r="M4951" i="13"/>
  <c r="M4950" i="13"/>
  <c r="M4949" i="13"/>
  <c r="M4948" i="13"/>
  <c r="M4947" i="13"/>
  <c r="M4946" i="13"/>
  <c r="M4945" i="13"/>
  <c r="M4944" i="13"/>
  <c r="M4943" i="13"/>
  <c r="M4942" i="13"/>
  <c r="M4941" i="13"/>
  <c r="M4940" i="13"/>
  <c r="M4939" i="13"/>
  <c r="M4938" i="13"/>
  <c r="M4937" i="13"/>
  <c r="M4936" i="13"/>
  <c r="M4935" i="13"/>
  <c r="M4934" i="13"/>
  <c r="M4933" i="13"/>
  <c r="M4932" i="13"/>
  <c r="M4931" i="13"/>
  <c r="M4930" i="13"/>
  <c r="M4929" i="13"/>
  <c r="M4928" i="13"/>
  <c r="M4927" i="13"/>
  <c r="M4926" i="13"/>
  <c r="M4925" i="13"/>
  <c r="M4924" i="13"/>
  <c r="M4923" i="13"/>
  <c r="M4922" i="13"/>
  <c r="M4921" i="13"/>
  <c r="M4920" i="13"/>
  <c r="M4919" i="13"/>
  <c r="M4918" i="13"/>
  <c r="M4917" i="13"/>
  <c r="M4916" i="13"/>
  <c r="M4915" i="13"/>
  <c r="M4914" i="13"/>
  <c r="M4913" i="13"/>
  <c r="M4912" i="13"/>
  <c r="M4911" i="13"/>
  <c r="M4910" i="13"/>
  <c r="M4909" i="13"/>
  <c r="M4908" i="13"/>
  <c r="M4907" i="13"/>
  <c r="M4906" i="13"/>
  <c r="M4905" i="13"/>
  <c r="M4904" i="13"/>
  <c r="M4903" i="13"/>
  <c r="M4902" i="13"/>
  <c r="M4901" i="13"/>
  <c r="M4900" i="13"/>
  <c r="M4899" i="13"/>
  <c r="M4898" i="13"/>
  <c r="M4897" i="13"/>
  <c r="M4896" i="13"/>
  <c r="M4895" i="13"/>
  <c r="M4894" i="13"/>
  <c r="M4893" i="13"/>
  <c r="M4892" i="13"/>
  <c r="M4891" i="13"/>
  <c r="M4890" i="13"/>
  <c r="M4889" i="13"/>
  <c r="M4888" i="13"/>
  <c r="M4887" i="13"/>
  <c r="M4886" i="13"/>
  <c r="M4885" i="13"/>
  <c r="M4884" i="13"/>
  <c r="M4883" i="13"/>
  <c r="M4882" i="13"/>
  <c r="M4881" i="13"/>
  <c r="M4880" i="13"/>
  <c r="M4879" i="13"/>
  <c r="M4878" i="13"/>
  <c r="M4877" i="13"/>
  <c r="M4876" i="13"/>
  <c r="M4875" i="13"/>
  <c r="M4874" i="13"/>
  <c r="M4873" i="13"/>
  <c r="M4872" i="13"/>
  <c r="M4871" i="13"/>
  <c r="M4870" i="13"/>
  <c r="M4869" i="13"/>
  <c r="M4868" i="13"/>
  <c r="M4867" i="13"/>
  <c r="M4866" i="13"/>
  <c r="M4865" i="13"/>
  <c r="M4864" i="13"/>
  <c r="M4863" i="13"/>
  <c r="M4862" i="13"/>
  <c r="M4861" i="13"/>
  <c r="M4860" i="13"/>
  <c r="M4859" i="13"/>
  <c r="M4858" i="13"/>
  <c r="M4857" i="13"/>
  <c r="M4856" i="13"/>
  <c r="M4855" i="13"/>
  <c r="M4854" i="13"/>
  <c r="M4853" i="13"/>
  <c r="M4852" i="13"/>
  <c r="M4851" i="13"/>
  <c r="M4850" i="13"/>
  <c r="M4849" i="13"/>
  <c r="M4848" i="13"/>
  <c r="M4847" i="13"/>
  <c r="M4846" i="13"/>
  <c r="M4845" i="13"/>
  <c r="M4844" i="13"/>
  <c r="M4843" i="13"/>
  <c r="M4842" i="13"/>
  <c r="M4841" i="13"/>
  <c r="M4840" i="13"/>
  <c r="M4839" i="13"/>
  <c r="M4838" i="13"/>
  <c r="M4837" i="13"/>
  <c r="M4836" i="13"/>
  <c r="M4835" i="13"/>
  <c r="M4834" i="13"/>
  <c r="M4833" i="13"/>
  <c r="M4832" i="13"/>
  <c r="M4831" i="13"/>
  <c r="M4830" i="13"/>
  <c r="M4829" i="13"/>
  <c r="M4828" i="13"/>
  <c r="M4827" i="13"/>
  <c r="M4826" i="13"/>
  <c r="M4825" i="13"/>
  <c r="M4824" i="13"/>
  <c r="M4823" i="13"/>
  <c r="M4822" i="13"/>
  <c r="M4821" i="13"/>
  <c r="M4820" i="13"/>
  <c r="M4819" i="13"/>
  <c r="M4818" i="13"/>
  <c r="M4817" i="13"/>
  <c r="M4816" i="13"/>
  <c r="M4815" i="13"/>
  <c r="M4814" i="13"/>
  <c r="M4813" i="13"/>
  <c r="M4812" i="13"/>
  <c r="M4811" i="13"/>
  <c r="M4810" i="13"/>
  <c r="M4809" i="13"/>
  <c r="M4808" i="13"/>
  <c r="M4807" i="13"/>
  <c r="M4806" i="13"/>
  <c r="M4805" i="13"/>
  <c r="M4804" i="13"/>
  <c r="M4803" i="13"/>
  <c r="M4802" i="13"/>
  <c r="M4801" i="13"/>
  <c r="M4800" i="13"/>
  <c r="M4799" i="13"/>
  <c r="M4798" i="13"/>
  <c r="M4797" i="13"/>
  <c r="M4796" i="13"/>
  <c r="M4795" i="13"/>
  <c r="M4794" i="13"/>
  <c r="M4793" i="13"/>
  <c r="M4792" i="13"/>
  <c r="M4791" i="13"/>
  <c r="M4790" i="13"/>
  <c r="M4789" i="13"/>
  <c r="M4788" i="13"/>
  <c r="M4787" i="13"/>
  <c r="M4786" i="13"/>
  <c r="M4785" i="13"/>
  <c r="M4784" i="13"/>
  <c r="M4783" i="13"/>
  <c r="M4782" i="13"/>
  <c r="M4781" i="13"/>
  <c r="M4780" i="13"/>
  <c r="M4779" i="13"/>
  <c r="M4778" i="13"/>
  <c r="M4777" i="13"/>
  <c r="M4776" i="13"/>
  <c r="M4775" i="13"/>
  <c r="M4774" i="13"/>
  <c r="M4773" i="13"/>
  <c r="M4772" i="13"/>
  <c r="M4771" i="13"/>
  <c r="M4770" i="13"/>
  <c r="M4769" i="13"/>
  <c r="M4768" i="13"/>
  <c r="M4767" i="13"/>
  <c r="M4766" i="13"/>
  <c r="M4765" i="13"/>
  <c r="M4764" i="13"/>
  <c r="M4763" i="13"/>
  <c r="M4762" i="13"/>
  <c r="M4761" i="13"/>
  <c r="M4760" i="13"/>
  <c r="M4759" i="13"/>
  <c r="M4758" i="13"/>
  <c r="M4757" i="13"/>
  <c r="M4756" i="13"/>
  <c r="M4755" i="13"/>
  <c r="M4754" i="13"/>
  <c r="M4753" i="13"/>
  <c r="M4752" i="13"/>
  <c r="M4751" i="13"/>
  <c r="M4750" i="13"/>
  <c r="M4749" i="13"/>
  <c r="M4748" i="13"/>
  <c r="M4747" i="13"/>
  <c r="M4746" i="13"/>
  <c r="M4745" i="13"/>
  <c r="M4744" i="13"/>
  <c r="M4743" i="13"/>
  <c r="M4742" i="13"/>
  <c r="M4741" i="13"/>
  <c r="M4740" i="13"/>
  <c r="M4739" i="13"/>
  <c r="M4738" i="13"/>
  <c r="M4737" i="13"/>
  <c r="M4736" i="13"/>
  <c r="M4735" i="13"/>
  <c r="M4734" i="13"/>
  <c r="M4733" i="13"/>
  <c r="M4732" i="13"/>
  <c r="M4731" i="13"/>
  <c r="M4730" i="13"/>
  <c r="M4729" i="13"/>
  <c r="M4728" i="13"/>
  <c r="M4727" i="13"/>
  <c r="M4726" i="13"/>
  <c r="M4725" i="13"/>
  <c r="M4724" i="13"/>
  <c r="M4723" i="13"/>
  <c r="M4722" i="13"/>
  <c r="M4721" i="13"/>
  <c r="M4720" i="13"/>
  <c r="M4719" i="13"/>
  <c r="M4718" i="13"/>
  <c r="M4717" i="13"/>
  <c r="M4716" i="13"/>
  <c r="M4715" i="13"/>
  <c r="M4714" i="13"/>
  <c r="M4713" i="13"/>
  <c r="M4712" i="13"/>
  <c r="M4711" i="13"/>
  <c r="M4710" i="13"/>
  <c r="M4709" i="13"/>
  <c r="M4708" i="13"/>
  <c r="M4707" i="13"/>
  <c r="M4706" i="13"/>
  <c r="M4705" i="13"/>
  <c r="M4704" i="13"/>
  <c r="M4703" i="13"/>
  <c r="M4702" i="13"/>
  <c r="M4701" i="13"/>
  <c r="M4700" i="13"/>
  <c r="M4699" i="13"/>
  <c r="M4698" i="13"/>
  <c r="M4697" i="13"/>
  <c r="M4696" i="13"/>
  <c r="M4695" i="13"/>
  <c r="M4694" i="13"/>
  <c r="M4693" i="13"/>
  <c r="M4692" i="13"/>
  <c r="M4691" i="13"/>
  <c r="M4690" i="13"/>
  <c r="M4689" i="13"/>
  <c r="M4688" i="13"/>
  <c r="M4687" i="13"/>
  <c r="M4686" i="13"/>
  <c r="M4685" i="13"/>
  <c r="M4684" i="13"/>
  <c r="M4683" i="13"/>
  <c r="M4682" i="13"/>
  <c r="M4681" i="13"/>
  <c r="M4680" i="13"/>
  <c r="M4679" i="13"/>
  <c r="M4678" i="13"/>
  <c r="M4677" i="13"/>
  <c r="M4676" i="13"/>
  <c r="M4675" i="13"/>
  <c r="M4674" i="13"/>
  <c r="M4673" i="13"/>
  <c r="M4672" i="13"/>
  <c r="M4671" i="13"/>
  <c r="M4670" i="13"/>
  <c r="M4669" i="13"/>
  <c r="M4668" i="13"/>
  <c r="M4667" i="13"/>
  <c r="M4666" i="13"/>
  <c r="M4665" i="13"/>
  <c r="M4664" i="13"/>
  <c r="M4663" i="13"/>
  <c r="M4662" i="13"/>
  <c r="M4661" i="13"/>
  <c r="M4660" i="13"/>
  <c r="M4659" i="13"/>
  <c r="M4658" i="13"/>
  <c r="M4657" i="13"/>
  <c r="M4656" i="13"/>
  <c r="M4655" i="13"/>
  <c r="M4654" i="13"/>
  <c r="M4653" i="13"/>
  <c r="M4652" i="13"/>
  <c r="M4651" i="13"/>
  <c r="M4650" i="13"/>
  <c r="M4649" i="13"/>
  <c r="M4648" i="13"/>
  <c r="M4647" i="13"/>
  <c r="M4646" i="13"/>
  <c r="M4645" i="13"/>
  <c r="M4644" i="13"/>
  <c r="M4643" i="13"/>
  <c r="M4642" i="13"/>
  <c r="M4641" i="13"/>
  <c r="M4640" i="13"/>
  <c r="M4639" i="13"/>
  <c r="M4638" i="13"/>
  <c r="M4637" i="13"/>
  <c r="M4636" i="13"/>
  <c r="M4635" i="13"/>
  <c r="M4634" i="13"/>
  <c r="M4633" i="13"/>
  <c r="M4632" i="13"/>
  <c r="M4631" i="13"/>
  <c r="M4630" i="13"/>
  <c r="M4629" i="13"/>
  <c r="M4628" i="13"/>
  <c r="M4627" i="13"/>
  <c r="M4626" i="13"/>
  <c r="M4625" i="13"/>
  <c r="M4624" i="13"/>
  <c r="M4623" i="13"/>
  <c r="M4622" i="13"/>
  <c r="M4621" i="13"/>
  <c r="M4620" i="13"/>
  <c r="M4619" i="13"/>
  <c r="M4618" i="13"/>
  <c r="M4617" i="13"/>
  <c r="M4616" i="13"/>
  <c r="M4615" i="13"/>
  <c r="M4614" i="13"/>
  <c r="M4613" i="13"/>
  <c r="M4612" i="13"/>
  <c r="M4611" i="13"/>
  <c r="M4610" i="13"/>
  <c r="M4609" i="13"/>
  <c r="M4608" i="13"/>
  <c r="M4607" i="13"/>
  <c r="M4606" i="13"/>
  <c r="M4605" i="13"/>
  <c r="M4604" i="13"/>
  <c r="M4603" i="13"/>
  <c r="M4602" i="13"/>
  <c r="M4601" i="13"/>
  <c r="M4600" i="13"/>
  <c r="M4599" i="13"/>
  <c r="M4598" i="13"/>
  <c r="M4597" i="13"/>
  <c r="M4596" i="13"/>
  <c r="M4595" i="13"/>
  <c r="M4594" i="13"/>
  <c r="M4593" i="13"/>
  <c r="M4592" i="13"/>
  <c r="M4591" i="13"/>
  <c r="M4590" i="13"/>
  <c r="M4589" i="13"/>
  <c r="M4588" i="13"/>
  <c r="M4587" i="13"/>
  <c r="M4586" i="13"/>
  <c r="M4585" i="13"/>
  <c r="M4584" i="13"/>
  <c r="M4583" i="13"/>
  <c r="M4582" i="13"/>
  <c r="M4581" i="13"/>
  <c r="M4580" i="13"/>
  <c r="M4579" i="13"/>
  <c r="M4578" i="13"/>
  <c r="M4577" i="13"/>
  <c r="M4576" i="13"/>
  <c r="M4575" i="13"/>
  <c r="M4574" i="13"/>
  <c r="M4573" i="13"/>
  <c r="M4572" i="13"/>
  <c r="M4571" i="13"/>
  <c r="M4570" i="13"/>
  <c r="M4569" i="13"/>
  <c r="M4568" i="13"/>
  <c r="M4567" i="13"/>
  <c r="M4566" i="13"/>
  <c r="M4565" i="13"/>
  <c r="M4564" i="13"/>
  <c r="M4563" i="13"/>
  <c r="M4562" i="13"/>
  <c r="M4561" i="13"/>
  <c r="M4560" i="13"/>
  <c r="M4559" i="13"/>
  <c r="M4558" i="13"/>
  <c r="M4557" i="13"/>
  <c r="M4556" i="13"/>
  <c r="M4555" i="13"/>
  <c r="M4554" i="13"/>
  <c r="M4553" i="13"/>
  <c r="M4552" i="13"/>
  <c r="M4551" i="13"/>
  <c r="M4550" i="13"/>
  <c r="M4549" i="13"/>
  <c r="M4548" i="13"/>
  <c r="M4547" i="13"/>
  <c r="M4546" i="13"/>
  <c r="M4545" i="13"/>
  <c r="M4544" i="13"/>
  <c r="M4543" i="13"/>
  <c r="M4542" i="13"/>
  <c r="M4541" i="13"/>
  <c r="M4540" i="13"/>
  <c r="M4539" i="13"/>
  <c r="M4538" i="13"/>
  <c r="M4537" i="13"/>
  <c r="M4536" i="13"/>
  <c r="M4535" i="13"/>
  <c r="M4534" i="13"/>
  <c r="M4533" i="13"/>
  <c r="M4532" i="13"/>
  <c r="M4531" i="13"/>
  <c r="M4530" i="13"/>
  <c r="M4529" i="13"/>
  <c r="M4528" i="13"/>
  <c r="M4527" i="13"/>
  <c r="M4526" i="13"/>
  <c r="M4525" i="13"/>
  <c r="M4524" i="13"/>
  <c r="M4523" i="13"/>
  <c r="M4522" i="13"/>
  <c r="M4521" i="13"/>
  <c r="M4520" i="13"/>
  <c r="M4519" i="13"/>
  <c r="M4518" i="13"/>
  <c r="M4517" i="13"/>
  <c r="M4516" i="13"/>
  <c r="M4515" i="13"/>
  <c r="M4514" i="13"/>
  <c r="M4513" i="13"/>
  <c r="M4512" i="13"/>
  <c r="M4511" i="13"/>
  <c r="M4510" i="13"/>
  <c r="M4509" i="13"/>
  <c r="M4508" i="13"/>
  <c r="M4507" i="13"/>
  <c r="M4506" i="13"/>
  <c r="M4505" i="13"/>
  <c r="M4504" i="13"/>
  <c r="M4503" i="13"/>
  <c r="M4502" i="13"/>
  <c r="M4501" i="13"/>
  <c r="M4500" i="13"/>
  <c r="M4499" i="13"/>
  <c r="M4498" i="13"/>
  <c r="M4497" i="13"/>
  <c r="M4496" i="13"/>
  <c r="M4495" i="13"/>
  <c r="M4494" i="13"/>
  <c r="M4493" i="13"/>
  <c r="M4492" i="13"/>
  <c r="M4491" i="13"/>
  <c r="M4490" i="13"/>
  <c r="M4489" i="13"/>
  <c r="M4488" i="13"/>
  <c r="M4487" i="13"/>
  <c r="M4486" i="13"/>
  <c r="M4485" i="13"/>
  <c r="M4484" i="13"/>
  <c r="M4483" i="13"/>
  <c r="M4482" i="13"/>
  <c r="M4481" i="13"/>
  <c r="M4480" i="13"/>
  <c r="M4479" i="13"/>
  <c r="M4478" i="13"/>
  <c r="M4477" i="13"/>
  <c r="M4476" i="13"/>
  <c r="M4475" i="13"/>
  <c r="M4474" i="13"/>
  <c r="M4473" i="13"/>
  <c r="M4472" i="13"/>
  <c r="M4471" i="13"/>
  <c r="M4470" i="13"/>
  <c r="M4469" i="13"/>
  <c r="M4468" i="13"/>
  <c r="M4467" i="13"/>
  <c r="M4466" i="13"/>
  <c r="M4465" i="13"/>
  <c r="M4464" i="13"/>
  <c r="M4463" i="13"/>
  <c r="M4462" i="13"/>
  <c r="M4461" i="13"/>
  <c r="M4460" i="13"/>
  <c r="M4459" i="13"/>
  <c r="M4458" i="13"/>
  <c r="M4457" i="13"/>
  <c r="M4456" i="13"/>
  <c r="M4455" i="13"/>
  <c r="M4454" i="13"/>
  <c r="M4453" i="13"/>
  <c r="M4452" i="13"/>
  <c r="M4451" i="13"/>
  <c r="M4450" i="13"/>
  <c r="M4449" i="13"/>
  <c r="M4448" i="13"/>
  <c r="M4447" i="13"/>
  <c r="M4446" i="13"/>
  <c r="M4445" i="13"/>
  <c r="M4444" i="13"/>
  <c r="M4443" i="13"/>
  <c r="M4442" i="13"/>
  <c r="M4441" i="13"/>
  <c r="M4440" i="13"/>
  <c r="M4439" i="13"/>
  <c r="M4438" i="13"/>
  <c r="M4437" i="13"/>
  <c r="M4436" i="13"/>
  <c r="M4435" i="13"/>
  <c r="M4434" i="13"/>
  <c r="M4433" i="13"/>
  <c r="M4432" i="13"/>
  <c r="M4431" i="13"/>
  <c r="M4430" i="13"/>
  <c r="M4429" i="13"/>
  <c r="M4428" i="13"/>
  <c r="M4427" i="13"/>
  <c r="M4426" i="13"/>
  <c r="M4425" i="13"/>
  <c r="M4424" i="13"/>
  <c r="M4423" i="13"/>
  <c r="M4422" i="13"/>
  <c r="M4421" i="13"/>
  <c r="M4420" i="13"/>
  <c r="M4419" i="13"/>
  <c r="M4418" i="13"/>
  <c r="M4417" i="13"/>
  <c r="M4416" i="13"/>
  <c r="M4415" i="13"/>
  <c r="M4414" i="13"/>
  <c r="M4413" i="13"/>
  <c r="M4412" i="13"/>
  <c r="M4411" i="13"/>
  <c r="M4410" i="13"/>
  <c r="M4409" i="13"/>
  <c r="M4408" i="13"/>
  <c r="M4407" i="13"/>
  <c r="M4406" i="13"/>
  <c r="M4405" i="13"/>
  <c r="M4404" i="13"/>
  <c r="M4403" i="13"/>
  <c r="M4402" i="13"/>
  <c r="M4401" i="13"/>
  <c r="M4400" i="13"/>
  <c r="M4399" i="13"/>
  <c r="M4398" i="13"/>
  <c r="M4397" i="13"/>
  <c r="M4396" i="13"/>
  <c r="M4395" i="13"/>
  <c r="M4394" i="13"/>
  <c r="M4393" i="13"/>
  <c r="M4392" i="13"/>
  <c r="M4391" i="13"/>
  <c r="M4390" i="13"/>
  <c r="M4389" i="13"/>
  <c r="M4388" i="13"/>
  <c r="M4387" i="13"/>
  <c r="M4386" i="13"/>
  <c r="M4385" i="13"/>
  <c r="M4384" i="13"/>
  <c r="M4383" i="13"/>
  <c r="M4382" i="13"/>
  <c r="M4381" i="13"/>
  <c r="M4380" i="13"/>
  <c r="M4379" i="13"/>
  <c r="M4378" i="13"/>
  <c r="M4377" i="13"/>
  <c r="M4376" i="13"/>
  <c r="M4375" i="13"/>
  <c r="M4374" i="13"/>
  <c r="M4373" i="13"/>
  <c r="M4372" i="13"/>
  <c r="M4371" i="13"/>
  <c r="M4370" i="13"/>
  <c r="M4369" i="13"/>
  <c r="M4368" i="13"/>
  <c r="M4367" i="13"/>
  <c r="M4366" i="13"/>
  <c r="M4365" i="13"/>
  <c r="M4364" i="13"/>
  <c r="M4363" i="13"/>
  <c r="M4362" i="13"/>
  <c r="M4361" i="13"/>
  <c r="M4360" i="13"/>
  <c r="M4359" i="13"/>
  <c r="M4358" i="13"/>
  <c r="M4357" i="13"/>
  <c r="M4356" i="13"/>
  <c r="M4355" i="13"/>
  <c r="M4354" i="13"/>
  <c r="M4353" i="13"/>
  <c r="M4352" i="13"/>
  <c r="M4351" i="13"/>
  <c r="M4350" i="13"/>
  <c r="M4349" i="13"/>
  <c r="M4348" i="13"/>
  <c r="M4347" i="13"/>
  <c r="M4346" i="13"/>
  <c r="M4345" i="13"/>
  <c r="M4344" i="13"/>
  <c r="M4343" i="13"/>
  <c r="M4342" i="13"/>
  <c r="M4341" i="13"/>
  <c r="M4340" i="13"/>
  <c r="M4339" i="13"/>
  <c r="M4338" i="13"/>
  <c r="M4337" i="13"/>
  <c r="M4336" i="13"/>
  <c r="M4335" i="13"/>
  <c r="M4334" i="13"/>
  <c r="M4333" i="13"/>
  <c r="M4332" i="13"/>
  <c r="M4331" i="13"/>
  <c r="M4330" i="13"/>
  <c r="M4329" i="13"/>
  <c r="M4328" i="13"/>
  <c r="M4327" i="13"/>
  <c r="M4326" i="13"/>
  <c r="M4325" i="13"/>
  <c r="M4324" i="13"/>
  <c r="M4323" i="13"/>
  <c r="M4322" i="13"/>
  <c r="M4321" i="13"/>
  <c r="M4320" i="13"/>
  <c r="M4319" i="13"/>
  <c r="M4318" i="13"/>
  <c r="M4317" i="13"/>
  <c r="M4316" i="13"/>
  <c r="M4315" i="13"/>
  <c r="M4314" i="13"/>
  <c r="M4313" i="13"/>
  <c r="M4312" i="13"/>
  <c r="M4311" i="13"/>
  <c r="M4310" i="13"/>
  <c r="M4309" i="13"/>
  <c r="M4308" i="13"/>
  <c r="M4307" i="13"/>
  <c r="M4306" i="13"/>
  <c r="M4305" i="13"/>
  <c r="M4304" i="13"/>
  <c r="M4303" i="13"/>
  <c r="M4302" i="13"/>
  <c r="M4301" i="13"/>
  <c r="M4300" i="13"/>
  <c r="M4299" i="13"/>
  <c r="M4298" i="13"/>
  <c r="M4297" i="13"/>
  <c r="M4296" i="13"/>
  <c r="M4295" i="13"/>
  <c r="M4294" i="13"/>
  <c r="M4293" i="13"/>
  <c r="M4292" i="13"/>
  <c r="M4291" i="13"/>
  <c r="M4290" i="13"/>
  <c r="M4289" i="13"/>
  <c r="M4288" i="13"/>
  <c r="M4287" i="13"/>
  <c r="M4286" i="13"/>
  <c r="M4285" i="13"/>
  <c r="M4284" i="13"/>
  <c r="M4283" i="13"/>
  <c r="M4282" i="13"/>
  <c r="M4281" i="13"/>
  <c r="M4280" i="13"/>
  <c r="M4279" i="13"/>
  <c r="M4278" i="13"/>
  <c r="M4277" i="13"/>
  <c r="M4276" i="13"/>
  <c r="M4275" i="13"/>
  <c r="M4274" i="13"/>
  <c r="M4273" i="13"/>
  <c r="M4272" i="13"/>
  <c r="M4271" i="13"/>
  <c r="M4270" i="13"/>
  <c r="M4269" i="13"/>
  <c r="M4268" i="13"/>
  <c r="M4267" i="13"/>
  <c r="M4266" i="13"/>
  <c r="M4265" i="13"/>
  <c r="M4264" i="13"/>
  <c r="M4263" i="13"/>
  <c r="M4262" i="13"/>
  <c r="M4261" i="13"/>
  <c r="M4260" i="13"/>
  <c r="M4259" i="13"/>
  <c r="M4258" i="13"/>
  <c r="M4257" i="13"/>
  <c r="M4256" i="13"/>
  <c r="M4255" i="13"/>
  <c r="M4254" i="13"/>
  <c r="M4253" i="13"/>
  <c r="M4252" i="13"/>
  <c r="M4251" i="13"/>
  <c r="M4250" i="13"/>
  <c r="M4249" i="13"/>
  <c r="M4248" i="13"/>
  <c r="M4247" i="13"/>
  <c r="M4246" i="13"/>
  <c r="M4245" i="13"/>
  <c r="M4244" i="13"/>
  <c r="M4243" i="13"/>
  <c r="M4242" i="13"/>
  <c r="M4241" i="13"/>
  <c r="M4240" i="13"/>
  <c r="M4239" i="13"/>
  <c r="M4238" i="13"/>
  <c r="M4237" i="13"/>
  <c r="M4236" i="13"/>
  <c r="M4235" i="13"/>
  <c r="M4234" i="13"/>
  <c r="M4233" i="13"/>
  <c r="M4232" i="13"/>
  <c r="M4231" i="13"/>
  <c r="M4230" i="13"/>
  <c r="M4229" i="13"/>
  <c r="M4228" i="13"/>
  <c r="M4227" i="13"/>
  <c r="M4226" i="13"/>
  <c r="M4225" i="13"/>
  <c r="M4224" i="13"/>
  <c r="M4223" i="13"/>
  <c r="M4222" i="13"/>
  <c r="M4221" i="13"/>
  <c r="M4220" i="13"/>
  <c r="M4219" i="13"/>
  <c r="M4218" i="13"/>
  <c r="M4217" i="13"/>
  <c r="M4216" i="13"/>
  <c r="M4215" i="13"/>
  <c r="M4214" i="13"/>
  <c r="M4213" i="13"/>
  <c r="M4212" i="13"/>
  <c r="M4211" i="13"/>
  <c r="M4210" i="13"/>
  <c r="M4209" i="13"/>
  <c r="M4208" i="13"/>
  <c r="M4207" i="13"/>
  <c r="M4206" i="13"/>
  <c r="M4205" i="13"/>
  <c r="M4204" i="13"/>
  <c r="M4203" i="13"/>
  <c r="M4202" i="13"/>
  <c r="M4201" i="13"/>
  <c r="M4200" i="13"/>
  <c r="M4199" i="13"/>
  <c r="M4198" i="13"/>
  <c r="M4197" i="13"/>
  <c r="M4196" i="13"/>
  <c r="M4195" i="13"/>
  <c r="M4194" i="13"/>
  <c r="M4193" i="13"/>
  <c r="M4192" i="13"/>
  <c r="M4191" i="13"/>
  <c r="M4190" i="13"/>
  <c r="M4189" i="13"/>
  <c r="M4188" i="13"/>
  <c r="M4187" i="13"/>
  <c r="M4186" i="13"/>
  <c r="M4185" i="13"/>
  <c r="M4184" i="13"/>
  <c r="M4183" i="13"/>
  <c r="M4182" i="13"/>
  <c r="M4181" i="13"/>
  <c r="M4180" i="13"/>
  <c r="M4179" i="13"/>
  <c r="M4178" i="13"/>
  <c r="M4177" i="13"/>
  <c r="M4176" i="13"/>
  <c r="M4175" i="13"/>
  <c r="M4174" i="13"/>
  <c r="M4173" i="13"/>
  <c r="M4172" i="13"/>
  <c r="M4171" i="13"/>
  <c r="M4170" i="13"/>
  <c r="M4169" i="13"/>
  <c r="M4168" i="13"/>
  <c r="M4167" i="13"/>
  <c r="M4166" i="13"/>
  <c r="M4165" i="13"/>
  <c r="M4164" i="13"/>
  <c r="M4163" i="13"/>
  <c r="M4162" i="13"/>
  <c r="M4161" i="13"/>
  <c r="M4160" i="13"/>
  <c r="M4159" i="13"/>
  <c r="M4158" i="13"/>
  <c r="M4157" i="13"/>
  <c r="M4156" i="13"/>
  <c r="M4155" i="13"/>
  <c r="M4154" i="13"/>
  <c r="M4153" i="13"/>
  <c r="M4152" i="13"/>
  <c r="M4151" i="13"/>
  <c r="M4150" i="13"/>
  <c r="M4149" i="13"/>
  <c r="M4148" i="13"/>
  <c r="M4147" i="13"/>
  <c r="M4146" i="13"/>
  <c r="M4145" i="13"/>
  <c r="M4144" i="13"/>
  <c r="M4143" i="13"/>
  <c r="M4142" i="13"/>
  <c r="M4141" i="13"/>
  <c r="M4140" i="13"/>
  <c r="M4139" i="13"/>
  <c r="M4138" i="13"/>
  <c r="M4137" i="13"/>
  <c r="M4136" i="13"/>
  <c r="M4135" i="13"/>
  <c r="M4134" i="13"/>
  <c r="M4133" i="13"/>
  <c r="M4132" i="13"/>
  <c r="M4131" i="13"/>
  <c r="M4130" i="13"/>
  <c r="M4129" i="13"/>
  <c r="M4128" i="13"/>
  <c r="M4127" i="13"/>
  <c r="M4126" i="13"/>
  <c r="M4125" i="13"/>
  <c r="M4124" i="13"/>
  <c r="M4123" i="13"/>
  <c r="M4122" i="13"/>
  <c r="M4121" i="13"/>
  <c r="M4120" i="13"/>
  <c r="M4119" i="13"/>
  <c r="M4118" i="13"/>
  <c r="M4117" i="13"/>
  <c r="M4116" i="13"/>
  <c r="M4115" i="13"/>
  <c r="M4114" i="13"/>
  <c r="M4113" i="13"/>
  <c r="M4112" i="13"/>
  <c r="M4111" i="13"/>
  <c r="M4110" i="13"/>
  <c r="M4109" i="13"/>
  <c r="M4108" i="13"/>
  <c r="M4107" i="13"/>
  <c r="M4106" i="13"/>
  <c r="M4105" i="13"/>
  <c r="M4104" i="13"/>
  <c r="M4103" i="13"/>
  <c r="M4102" i="13"/>
  <c r="M4101" i="13"/>
  <c r="M4100" i="13"/>
  <c r="M4099" i="13"/>
  <c r="M4098" i="13"/>
  <c r="M4097" i="13"/>
  <c r="M4096" i="13"/>
  <c r="M4095" i="13"/>
  <c r="M4094" i="13"/>
  <c r="M4093" i="13"/>
  <c r="M4092" i="13"/>
  <c r="M4091" i="13"/>
  <c r="M4090" i="13"/>
  <c r="M4089" i="13"/>
  <c r="M4088" i="13"/>
  <c r="M4087" i="13"/>
  <c r="M4086" i="13"/>
  <c r="M4085" i="13"/>
  <c r="M4084" i="13"/>
  <c r="M4083" i="13"/>
  <c r="M4082" i="13"/>
  <c r="M4081" i="13"/>
  <c r="M4080" i="13"/>
  <c r="M4079" i="13"/>
  <c r="M4078" i="13"/>
  <c r="M4077" i="13"/>
  <c r="M4076" i="13"/>
  <c r="M4075" i="13"/>
  <c r="M4074" i="13"/>
  <c r="M4073" i="13"/>
  <c r="M4072" i="13"/>
  <c r="M4071" i="13"/>
  <c r="M4070" i="13"/>
  <c r="M4069" i="13"/>
  <c r="M4068" i="13"/>
  <c r="M4067" i="13"/>
  <c r="M4066" i="13"/>
  <c r="M4065" i="13"/>
  <c r="M4064" i="13"/>
  <c r="M4063" i="13"/>
  <c r="M4062" i="13"/>
  <c r="M4061" i="13"/>
  <c r="M4060" i="13"/>
  <c r="M4059" i="13"/>
  <c r="M4058" i="13"/>
  <c r="M4057" i="13"/>
  <c r="M4056" i="13"/>
  <c r="M4055" i="13"/>
  <c r="M4054" i="13"/>
  <c r="M4053" i="13"/>
  <c r="M4052" i="13"/>
  <c r="M4051" i="13"/>
  <c r="M4050" i="13"/>
  <c r="M4049" i="13"/>
  <c r="M4048" i="13"/>
  <c r="M4047" i="13"/>
  <c r="M4046" i="13"/>
  <c r="M4045" i="13"/>
  <c r="M4044" i="13"/>
  <c r="M4043" i="13"/>
  <c r="M4042" i="13"/>
  <c r="M4041" i="13"/>
  <c r="M4040" i="13"/>
  <c r="M4039" i="13"/>
  <c r="M4038" i="13"/>
  <c r="M4037" i="13"/>
  <c r="M4036" i="13"/>
  <c r="M4035" i="13"/>
  <c r="M4034" i="13"/>
  <c r="M4033" i="13"/>
  <c r="M4032" i="13"/>
  <c r="M4031" i="13"/>
  <c r="M4030" i="13"/>
  <c r="M4029" i="13"/>
  <c r="M4028" i="13"/>
  <c r="M4027" i="13"/>
  <c r="M4026" i="13"/>
  <c r="M4025" i="13"/>
  <c r="M4024" i="13"/>
  <c r="M4023" i="13"/>
  <c r="M4022" i="13"/>
  <c r="M4021" i="13"/>
  <c r="M4020" i="13"/>
  <c r="M4019" i="13"/>
  <c r="M4018" i="13"/>
  <c r="M4017" i="13"/>
  <c r="M4016" i="13"/>
  <c r="M4015" i="13"/>
  <c r="M4014" i="13"/>
  <c r="M4013" i="13"/>
  <c r="M4012" i="13"/>
  <c r="M4011" i="13"/>
  <c r="M4010" i="13"/>
  <c r="M4009" i="13"/>
  <c r="M4008" i="13"/>
  <c r="M4007" i="13"/>
  <c r="M4006" i="13"/>
  <c r="M4005" i="13"/>
  <c r="M4004" i="13"/>
  <c r="M4003" i="13"/>
  <c r="M4002" i="13"/>
  <c r="M4001" i="13"/>
  <c r="M4000" i="13"/>
  <c r="M3999" i="13"/>
  <c r="M3998" i="13"/>
  <c r="M3997" i="13"/>
  <c r="M3996" i="13"/>
  <c r="M3995" i="13"/>
  <c r="M3994" i="13"/>
  <c r="M3993" i="13"/>
  <c r="M3992" i="13"/>
  <c r="M3991" i="13"/>
  <c r="M3990" i="13"/>
  <c r="M3989" i="13"/>
  <c r="M3988" i="13"/>
  <c r="M3987" i="13"/>
  <c r="M3986" i="13"/>
  <c r="M3985" i="13"/>
  <c r="M3984" i="13"/>
  <c r="M3983" i="13"/>
  <c r="M3982" i="13"/>
  <c r="M3981" i="13"/>
  <c r="M3980" i="13"/>
  <c r="M3979" i="13"/>
  <c r="M3978" i="13"/>
  <c r="M3977" i="13"/>
  <c r="M3976" i="13"/>
  <c r="M3975" i="13"/>
  <c r="M3974" i="13"/>
  <c r="M3973" i="13"/>
  <c r="M3972" i="13"/>
  <c r="M3971" i="13"/>
  <c r="M3970" i="13"/>
  <c r="M3969" i="13"/>
  <c r="M3968" i="13"/>
  <c r="M3967" i="13"/>
  <c r="M3966" i="13"/>
  <c r="M3965" i="13"/>
  <c r="M3964" i="13"/>
  <c r="M3963" i="13"/>
  <c r="M3962" i="13"/>
  <c r="M3961" i="13"/>
  <c r="M3960" i="13"/>
  <c r="M3959" i="13"/>
  <c r="M3958" i="13"/>
  <c r="M3957" i="13"/>
  <c r="M3956" i="13"/>
  <c r="M3955" i="13"/>
  <c r="M3954" i="13"/>
  <c r="M3953" i="13"/>
  <c r="M3952" i="13"/>
  <c r="M3951" i="13"/>
  <c r="M3950" i="13"/>
  <c r="M3949" i="13"/>
  <c r="M3948" i="13"/>
  <c r="M3947" i="13"/>
  <c r="M3946" i="13"/>
  <c r="M3945" i="13"/>
  <c r="M3944" i="13"/>
  <c r="M3943" i="13"/>
  <c r="M3942" i="13"/>
  <c r="M3941" i="13"/>
  <c r="M3940" i="13"/>
  <c r="M3939" i="13"/>
  <c r="M3938" i="13"/>
  <c r="M3937" i="13"/>
  <c r="M3936" i="13"/>
  <c r="M3935" i="13"/>
  <c r="M3934" i="13"/>
  <c r="M3933" i="13"/>
  <c r="M3932" i="13"/>
  <c r="M3931" i="13"/>
  <c r="M3930" i="13"/>
  <c r="M3929" i="13"/>
  <c r="M3928" i="13"/>
  <c r="M3927" i="13"/>
  <c r="M3926" i="13"/>
  <c r="M3925" i="13"/>
  <c r="M3924" i="13"/>
  <c r="M3923" i="13"/>
  <c r="M3922" i="13"/>
  <c r="M3921" i="13"/>
  <c r="M3920" i="13"/>
  <c r="M3919" i="13"/>
  <c r="M3918" i="13"/>
  <c r="M3917" i="13"/>
  <c r="M3916" i="13"/>
  <c r="M3915" i="13"/>
  <c r="M3914" i="13"/>
  <c r="M3913" i="13"/>
  <c r="M3912" i="13"/>
  <c r="M3911" i="13"/>
  <c r="M3910" i="13"/>
  <c r="M3909" i="13"/>
  <c r="M3908" i="13"/>
  <c r="M3907" i="13"/>
  <c r="M3906" i="13"/>
  <c r="M3905" i="13"/>
  <c r="M3904" i="13"/>
  <c r="M3903" i="13"/>
  <c r="M3902" i="13"/>
  <c r="M3901" i="13"/>
  <c r="M3900" i="13"/>
  <c r="M3899" i="13"/>
  <c r="M3898" i="13"/>
  <c r="M3897" i="13"/>
  <c r="M3896" i="13"/>
  <c r="M3895" i="13"/>
  <c r="M3894" i="13"/>
  <c r="M3893" i="13"/>
  <c r="M3892" i="13"/>
  <c r="M3891" i="13"/>
  <c r="M3890" i="13"/>
  <c r="M3889" i="13"/>
  <c r="M3888" i="13"/>
  <c r="M3887" i="13"/>
  <c r="M3886" i="13"/>
  <c r="M3885" i="13"/>
  <c r="M3884" i="13"/>
  <c r="M3883" i="13"/>
  <c r="M3882" i="13"/>
  <c r="M3881" i="13"/>
  <c r="M3880" i="13"/>
  <c r="M3879" i="13"/>
  <c r="M3878" i="13"/>
  <c r="M3877" i="13"/>
  <c r="M3876" i="13"/>
  <c r="M3875" i="13"/>
  <c r="M3874" i="13"/>
  <c r="M3873" i="13"/>
  <c r="M3872" i="13"/>
  <c r="M3871" i="13"/>
  <c r="M3870" i="13"/>
  <c r="M3869" i="13"/>
  <c r="M3868" i="13"/>
  <c r="M3867" i="13"/>
  <c r="M3866" i="13"/>
  <c r="M3865" i="13"/>
  <c r="M3864" i="13"/>
  <c r="M3863" i="13"/>
  <c r="M3862" i="13"/>
  <c r="M3861" i="13"/>
  <c r="M3860" i="13"/>
  <c r="M3859" i="13"/>
  <c r="M3858" i="13"/>
  <c r="M3857" i="13"/>
  <c r="M3856" i="13"/>
  <c r="M3855" i="13"/>
  <c r="M3854" i="13"/>
  <c r="M3853" i="13"/>
  <c r="M3852" i="13"/>
  <c r="M3851" i="13"/>
  <c r="M3850" i="13"/>
  <c r="M3849" i="13"/>
  <c r="M3848" i="13"/>
  <c r="M3847" i="13"/>
  <c r="M3846" i="13"/>
  <c r="M3845" i="13"/>
  <c r="M3844" i="13"/>
  <c r="M3843" i="13"/>
  <c r="M3842" i="13"/>
  <c r="M3841" i="13"/>
  <c r="M3840" i="13"/>
  <c r="M3839" i="13"/>
  <c r="M3838" i="13"/>
  <c r="M3837" i="13"/>
  <c r="M3836" i="13"/>
  <c r="M3835" i="13"/>
  <c r="M3834" i="13"/>
  <c r="M3833" i="13"/>
  <c r="M3832" i="13"/>
  <c r="M3831" i="13"/>
  <c r="M3830" i="13"/>
  <c r="M3829" i="13"/>
  <c r="M3828" i="13"/>
  <c r="M3827" i="13"/>
  <c r="M3826" i="13"/>
  <c r="M3825" i="13"/>
  <c r="M3824" i="13"/>
  <c r="M3823" i="13"/>
  <c r="M3822" i="13"/>
  <c r="M3821" i="13"/>
  <c r="M3820" i="13"/>
  <c r="M3819" i="13"/>
  <c r="M3818" i="13"/>
  <c r="M3817" i="13"/>
  <c r="M3816" i="13"/>
  <c r="M3815" i="13"/>
  <c r="M3814" i="13"/>
  <c r="M3813" i="13"/>
  <c r="M3812" i="13"/>
  <c r="M3811" i="13"/>
  <c r="M3810" i="13"/>
  <c r="M3809" i="13"/>
  <c r="M3808" i="13"/>
  <c r="M3807" i="13"/>
  <c r="M3806" i="13"/>
  <c r="M3805" i="13"/>
  <c r="M3804" i="13"/>
  <c r="M3803" i="13"/>
  <c r="M3802" i="13"/>
  <c r="M3801" i="13"/>
  <c r="M3800" i="13"/>
  <c r="M3799" i="13"/>
  <c r="M3798" i="13"/>
  <c r="M3797" i="13"/>
  <c r="M3796" i="13"/>
  <c r="M3795" i="13"/>
  <c r="M3794" i="13"/>
  <c r="M3793" i="13"/>
  <c r="M3792" i="13"/>
  <c r="M3791" i="13"/>
  <c r="M3790" i="13"/>
  <c r="M3789" i="13"/>
  <c r="M3788" i="13"/>
  <c r="M3787" i="13"/>
  <c r="M3786" i="13"/>
  <c r="M3785" i="13"/>
  <c r="M3784" i="13"/>
  <c r="M3783" i="13"/>
  <c r="M3782" i="13"/>
  <c r="M3781" i="13"/>
  <c r="M3780" i="13"/>
  <c r="M3779" i="13"/>
  <c r="M3778" i="13"/>
  <c r="M3777" i="13"/>
  <c r="M3776" i="13"/>
  <c r="M3775" i="13"/>
  <c r="M3774" i="13"/>
  <c r="M3773" i="13"/>
  <c r="M3772" i="13"/>
  <c r="M3771" i="13"/>
  <c r="M3770" i="13"/>
  <c r="M3769" i="13"/>
  <c r="M3768" i="13"/>
  <c r="M3767" i="13"/>
  <c r="M3766" i="13"/>
  <c r="M3765" i="13"/>
  <c r="M3764" i="13"/>
  <c r="M3763" i="13"/>
  <c r="M3762" i="13"/>
  <c r="M3761" i="13"/>
  <c r="M3760" i="13"/>
  <c r="M3759" i="13"/>
  <c r="M3758" i="13"/>
  <c r="M3757" i="13"/>
  <c r="M3756" i="13"/>
  <c r="M3755" i="13"/>
  <c r="M3754" i="13"/>
  <c r="M3753" i="13"/>
  <c r="M3752" i="13"/>
  <c r="M3751" i="13"/>
  <c r="M3750" i="13"/>
  <c r="M3749" i="13"/>
  <c r="M3748" i="13"/>
  <c r="M3747" i="13"/>
  <c r="M3746" i="13"/>
  <c r="M3745" i="13"/>
  <c r="M3744" i="13"/>
  <c r="M3743" i="13"/>
  <c r="M3742" i="13"/>
  <c r="M3741" i="13"/>
  <c r="M3740" i="13"/>
  <c r="M3739" i="13"/>
  <c r="M3738" i="13"/>
  <c r="M3737" i="13"/>
  <c r="M3736" i="13"/>
  <c r="M3735" i="13"/>
  <c r="M3734" i="13"/>
  <c r="M3733" i="13"/>
  <c r="M3732" i="13"/>
  <c r="M3731" i="13"/>
  <c r="M3730" i="13"/>
  <c r="M3729" i="13"/>
  <c r="M3728" i="13"/>
  <c r="M3727" i="13"/>
  <c r="M3726" i="13"/>
  <c r="M3725" i="13"/>
  <c r="M3724" i="13"/>
  <c r="M3723" i="13"/>
  <c r="M3722" i="13"/>
  <c r="M3721" i="13"/>
  <c r="M3720" i="13"/>
  <c r="M3719" i="13"/>
  <c r="M3718" i="13"/>
  <c r="M3717" i="13"/>
  <c r="M3716" i="13"/>
  <c r="M3715" i="13"/>
  <c r="M3714" i="13"/>
  <c r="M3713" i="13"/>
  <c r="M3712" i="13"/>
  <c r="M3711" i="13"/>
  <c r="M3710" i="13"/>
  <c r="M3709" i="13"/>
  <c r="M3708" i="13"/>
  <c r="M3707" i="13"/>
  <c r="M3706" i="13"/>
  <c r="M3705" i="13"/>
  <c r="M3704" i="13"/>
  <c r="M3703" i="13"/>
  <c r="M3702" i="13"/>
  <c r="M3701" i="13"/>
  <c r="M3700" i="13"/>
  <c r="M3699" i="13"/>
  <c r="M3698" i="13"/>
  <c r="M3697" i="13"/>
  <c r="M3696" i="13"/>
  <c r="M3695" i="13"/>
  <c r="M3694" i="13"/>
  <c r="M3693" i="13"/>
  <c r="M3692" i="13"/>
  <c r="M3691" i="13"/>
  <c r="M3690" i="13"/>
  <c r="M3689" i="13"/>
  <c r="M3688" i="13"/>
  <c r="M3687" i="13"/>
  <c r="M3686" i="13"/>
  <c r="M3685" i="13"/>
  <c r="M3684" i="13"/>
  <c r="M3683" i="13"/>
  <c r="M3682" i="13"/>
  <c r="M3681" i="13"/>
  <c r="M3680" i="13"/>
  <c r="M3679" i="13"/>
  <c r="M3678" i="13"/>
  <c r="M3677" i="13"/>
  <c r="M3676" i="13"/>
  <c r="M3675" i="13"/>
  <c r="M3674" i="13"/>
  <c r="M3673" i="13"/>
  <c r="M3672" i="13"/>
  <c r="M3671" i="13"/>
  <c r="M3670" i="13"/>
  <c r="M3669" i="13"/>
  <c r="M3668" i="13"/>
  <c r="M3667" i="13"/>
  <c r="M3666" i="13"/>
  <c r="M3665" i="13"/>
  <c r="M3664" i="13"/>
  <c r="M3663" i="13"/>
  <c r="M3662" i="13"/>
  <c r="M3661" i="13"/>
  <c r="M3660" i="13"/>
  <c r="M3659" i="13"/>
  <c r="M3658" i="13"/>
  <c r="M3657" i="13"/>
  <c r="M3656" i="13"/>
  <c r="M3655" i="13"/>
  <c r="M3654" i="13"/>
  <c r="M3653" i="13"/>
  <c r="M3652" i="13"/>
  <c r="M3651" i="13"/>
  <c r="M3650" i="13"/>
  <c r="M3649" i="13"/>
  <c r="M3648" i="13"/>
  <c r="M3647" i="13"/>
  <c r="M3646" i="13"/>
  <c r="M3645" i="13"/>
  <c r="M3644" i="13"/>
  <c r="M3643" i="13"/>
  <c r="M3642" i="13"/>
  <c r="M3641" i="13"/>
  <c r="M3640" i="13"/>
  <c r="M3639" i="13"/>
  <c r="M3638" i="13"/>
  <c r="M3637" i="13"/>
  <c r="M3636" i="13"/>
  <c r="M3635" i="13"/>
  <c r="M3634" i="13"/>
  <c r="M3633" i="13"/>
  <c r="M3632" i="13"/>
  <c r="M3631" i="13"/>
  <c r="M3630" i="13"/>
  <c r="M3629" i="13"/>
  <c r="M3628" i="13"/>
  <c r="M3627" i="13"/>
  <c r="M3626" i="13"/>
  <c r="M3625" i="13"/>
  <c r="M3624" i="13"/>
  <c r="M3623" i="13"/>
  <c r="M3622" i="13"/>
  <c r="M3621" i="13"/>
  <c r="M3620" i="13"/>
  <c r="M3619" i="13"/>
  <c r="M3618" i="13"/>
  <c r="M3617" i="13"/>
  <c r="M3616" i="13"/>
  <c r="M3615" i="13"/>
  <c r="M3614" i="13"/>
  <c r="M3613" i="13"/>
  <c r="M3612" i="13"/>
  <c r="M3611" i="13"/>
  <c r="M3610" i="13"/>
  <c r="M3609" i="13"/>
  <c r="M3608" i="13"/>
  <c r="M3607" i="13"/>
  <c r="M3606" i="13"/>
  <c r="M3605" i="13"/>
  <c r="M3604" i="13"/>
  <c r="M3603" i="13"/>
  <c r="M3602" i="13"/>
  <c r="M3601" i="13"/>
  <c r="M3600" i="13"/>
  <c r="M3599" i="13"/>
  <c r="M3598" i="13"/>
  <c r="M3597" i="13"/>
  <c r="M3596" i="13"/>
  <c r="M3595" i="13"/>
  <c r="M3594" i="13"/>
  <c r="M3593" i="13"/>
  <c r="M3592" i="13"/>
  <c r="M3591" i="13"/>
  <c r="M3590" i="13"/>
  <c r="M3589" i="13"/>
  <c r="M3588" i="13"/>
  <c r="M3587" i="13"/>
  <c r="M3586" i="13"/>
  <c r="M3585" i="13"/>
  <c r="M3584" i="13"/>
  <c r="M3583" i="13"/>
  <c r="M3582" i="13"/>
  <c r="M3581" i="13"/>
  <c r="M3580" i="13"/>
  <c r="M3579" i="13"/>
  <c r="M3578" i="13"/>
  <c r="M3577" i="13"/>
  <c r="M3576" i="13"/>
  <c r="M3575" i="13"/>
  <c r="M3574" i="13"/>
  <c r="M3573" i="13"/>
  <c r="M3572" i="13"/>
  <c r="M3571" i="13"/>
  <c r="M3570" i="13"/>
  <c r="M3569" i="13"/>
  <c r="M3568" i="13"/>
  <c r="M3567" i="13"/>
  <c r="M3566" i="13"/>
  <c r="M3565" i="13"/>
  <c r="M3564" i="13"/>
  <c r="M3563" i="13"/>
  <c r="M3562" i="13"/>
  <c r="M3561" i="13"/>
  <c r="M3560" i="13"/>
  <c r="M3559" i="13"/>
  <c r="M3558" i="13"/>
  <c r="M3557" i="13"/>
  <c r="M3556" i="13"/>
  <c r="M3555" i="13"/>
  <c r="M3554" i="13"/>
  <c r="M3553" i="13"/>
  <c r="M3552" i="13"/>
  <c r="M3551" i="13"/>
  <c r="M3550" i="13"/>
  <c r="M3549" i="13"/>
  <c r="M3548" i="13"/>
  <c r="M3547" i="13"/>
  <c r="M3546" i="13"/>
  <c r="M3545" i="13"/>
  <c r="M3544" i="13"/>
  <c r="M3543" i="13"/>
  <c r="M3542" i="13"/>
  <c r="M3541" i="13"/>
  <c r="M3540" i="13"/>
  <c r="M3539" i="13"/>
  <c r="M3538" i="13"/>
  <c r="M3537" i="13"/>
  <c r="M3536" i="13"/>
  <c r="M3535" i="13"/>
  <c r="M3534" i="13"/>
  <c r="M3533" i="13"/>
  <c r="M3532" i="13"/>
  <c r="M3531" i="13"/>
  <c r="M3530" i="13"/>
  <c r="M3529" i="13"/>
  <c r="M3528" i="13"/>
  <c r="M3527" i="13"/>
  <c r="M3526" i="13"/>
  <c r="M3525" i="13"/>
  <c r="M3524" i="13"/>
  <c r="M3523" i="13"/>
  <c r="M3522" i="13"/>
  <c r="M3521" i="13"/>
  <c r="M3520" i="13"/>
  <c r="M3519" i="13"/>
  <c r="M3518" i="13"/>
  <c r="M3517" i="13"/>
  <c r="M3516" i="13"/>
  <c r="M3515" i="13"/>
  <c r="M3514" i="13"/>
  <c r="M3513" i="13"/>
  <c r="M3512" i="13"/>
  <c r="M3511" i="13"/>
  <c r="M3510" i="13"/>
  <c r="M3509" i="13"/>
  <c r="M3508" i="13"/>
  <c r="M3507" i="13"/>
  <c r="M3506" i="13"/>
  <c r="M3505" i="13"/>
  <c r="M3504" i="13"/>
  <c r="M3503" i="13"/>
  <c r="M3502" i="13"/>
  <c r="M3501" i="13"/>
  <c r="M3500" i="13"/>
  <c r="M3499" i="13"/>
  <c r="M3498" i="13"/>
  <c r="M3497" i="13"/>
  <c r="M3496" i="13"/>
  <c r="M3495" i="13"/>
  <c r="M3494" i="13"/>
  <c r="M3493" i="13"/>
  <c r="M3492" i="13"/>
  <c r="M3491" i="13"/>
  <c r="M3490" i="13"/>
  <c r="M3489" i="13"/>
  <c r="M3488" i="13"/>
  <c r="M3487" i="13"/>
  <c r="M3486" i="13"/>
  <c r="M3485" i="13"/>
  <c r="M3484" i="13"/>
  <c r="M3483" i="13"/>
  <c r="M3482" i="13"/>
  <c r="M3481" i="13"/>
  <c r="M3480" i="13"/>
  <c r="M3479" i="13"/>
  <c r="M3478" i="13"/>
  <c r="M3477" i="13"/>
  <c r="M3476" i="13"/>
  <c r="M3475" i="13"/>
  <c r="M3474" i="13"/>
  <c r="M3473" i="13"/>
  <c r="M3472" i="13"/>
  <c r="M3471" i="13"/>
  <c r="M3470" i="13"/>
  <c r="M3469" i="13"/>
  <c r="M3468" i="13"/>
  <c r="M3467" i="13"/>
  <c r="M3466" i="13"/>
  <c r="M3465" i="13"/>
  <c r="M3464" i="13"/>
  <c r="M3463" i="13"/>
  <c r="M3462" i="13"/>
  <c r="M3461" i="13"/>
  <c r="M3460" i="13"/>
  <c r="M3459" i="13"/>
  <c r="M3458" i="13"/>
  <c r="M3457" i="13"/>
  <c r="M3456" i="13"/>
  <c r="M3455" i="13"/>
  <c r="M3454" i="13"/>
  <c r="M3453" i="13"/>
  <c r="M3452" i="13"/>
  <c r="M3451" i="13"/>
  <c r="M3450" i="13"/>
  <c r="M3449" i="13"/>
  <c r="M3448" i="13"/>
  <c r="M3447" i="13"/>
  <c r="M3446" i="13"/>
  <c r="M3445" i="13"/>
  <c r="M3444" i="13"/>
  <c r="M3443" i="13"/>
  <c r="M3442" i="13"/>
  <c r="M3441" i="13"/>
  <c r="M3440" i="13"/>
  <c r="M3439" i="13"/>
  <c r="M3438" i="13"/>
  <c r="M3437" i="13"/>
  <c r="M3436" i="13"/>
  <c r="M3435" i="13"/>
  <c r="M3434" i="13"/>
  <c r="M3433" i="13"/>
  <c r="M3432" i="13"/>
  <c r="M3431" i="13"/>
  <c r="M3430" i="13"/>
  <c r="M3429" i="13"/>
  <c r="M3428" i="13"/>
  <c r="M3427" i="13"/>
  <c r="M3426" i="13"/>
  <c r="M3425" i="13"/>
  <c r="M3424" i="13"/>
  <c r="M3423" i="13"/>
  <c r="M3422" i="13"/>
  <c r="M3421" i="13"/>
  <c r="M3420" i="13"/>
  <c r="M3419" i="13"/>
  <c r="M3418" i="13"/>
  <c r="M3417" i="13"/>
  <c r="M3416" i="13"/>
  <c r="M3415" i="13"/>
  <c r="M3414" i="13"/>
  <c r="M3413" i="13"/>
  <c r="M3412" i="13"/>
  <c r="M3411" i="13"/>
  <c r="M3410" i="13"/>
  <c r="M3409" i="13"/>
  <c r="M3408" i="13"/>
  <c r="M3407" i="13"/>
  <c r="M3406" i="13"/>
  <c r="M3405" i="13"/>
  <c r="M3404" i="13"/>
  <c r="M3403" i="13"/>
  <c r="M3402" i="13"/>
  <c r="M3401" i="13"/>
  <c r="M3400" i="13"/>
  <c r="M3399" i="13"/>
  <c r="M3398" i="13"/>
  <c r="M3397" i="13"/>
  <c r="M3396" i="13"/>
  <c r="M3395" i="13"/>
  <c r="M3394" i="13"/>
  <c r="M3393" i="13"/>
  <c r="M3392" i="13"/>
  <c r="M3391" i="13"/>
  <c r="M3390" i="13"/>
  <c r="M3389" i="13"/>
  <c r="M3388" i="13"/>
  <c r="M3387" i="13"/>
  <c r="M3386" i="13"/>
  <c r="M3385" i="13"/>
  <c r="M3384" i="13"/>
  <c r="M3383" i="13"/>
  <c r="M3382" i="13"/>
  <c r="M3381" i="13"/>
  <c r="M3380" i="13"/>
  <c r="M3379" i="13"/>
  <c r="M3378" i="13"/>
  <c r="M3377" i="13"/>
  <c r="M3376" i="13"/>
  <c r="M3375" i="13"/>
  <c r="M3374" i="13"/>
  <c r="M3373" i="13"/>
  <c r="M3372" i="13"/>
  <c r="M3371" i="13"/>
  <c r="M3370" i="13"/>
  <c r="M3369" i="13"/>
  <c r="M3368" i="13"/>
  <c r="M3367" i="13"/>
  <c r="M3366" i="13"/>
  <c r="M3365" i="13"/>
  <c r="M3364" i="13"/>
  <c r="M3363" i="13"/>
  <c r="M3362" i="13"/>
  <c r="M3361" i="13"/>
  <c r="M3360" i="13"/>
  <c r="M3359" i="13"/>
  <c r="M3358" i="13"/>
  <c r="M3357" i="13"/>
  <c r="M3356" i="13"/>
  <c r="M3355" i="13"/>
  <c r="M3354" i="13"/>
  <c r="M3353" i="13"/>
  <c r="M3352" i="13"/>
  <c r="M3351" i="13"/>
  <c r="M3350" i="13"/>
  <c r="M3349" i="13"/>
  <c r="M3348" i="13"/>
  <c r="M3347" i="13"/>
  <c r="M3346" i="13"/>
  <c r="M3345" i="13"/>
  <c r="M3344" i="13"/>
  <c r="M3343" i="13"/>
  <c r="M3342" i="13"/>
  <c r="M3341" i="13"/>
  <c r="M3340" i="13"/>
  <c r="M3339" i="13"/>
  <c r="M3338" i="13"/>
  <c r="M3337" i="13"/>
  <c r="M3336" i="13"/>
  <c r="M3335" i="13"/>
  <c r="M3334" i="13"/>
  <c r="M3333" i="13"/>
  <c r="M3332" i="13"/>
  <c r="M3331" i="13"/>
  <c r="M3330" i="13"/>
  <c r="M3329" i="13"/>
  <c r="M3328" i="13"/>
  <c r="M3327" i="13"/>
  <c r="M3326" i="13"/>
  <c r="M3325" i="13"/>
  <c r="M3324" i="13"/>
  <c r="M3323" i="13"/>
  <c r="M3322" i="13"/>
  <c r="M3321" i="13"/>
  <c r="M3320" i="13"/>
  <c r="M3319" i="13"/>
  <c r="M3318" i="13"/>
  <c r="M3317" i="13"/>
  <c r="M3316" i="13"/>
  <c r="M3315" i="13"/>
  <c r="M3314" i="13"/>
  <c r="M3313" i="13"/>
  <c r="M3312" i="13"/>
  <c r="M3311" i="13"/>
  <c r="M3310" i="13"/>
  <c r="M3309" i="13"/>
  <c r="M3308" i="13"/>
  <c r="M3307" i="13"/>
  <c r="M3306" i="13"/>
  <c r="M3305" i="13"/>
  <c r="M3304" i="13"/>
  <c r="M3303" i="13"/>
  <c r="M3302" i="13"/>
  <c r="M3301" i="13"/>
  <c r="M3300" i="13"/>
  <c r="M3299" i="13"/>
  <c r="M3298" i="13"/>
  <c r="M3297" i="13"/>
  <c r="M3296" i="13"/>
  <c r="M3295" i="13"/>
  <c r="M3294" i="13"/>
  <c r="M3293" i="13"/>
  <c r="M3292" i="13"/>
  <c r="M3291" i="13"/>
  <c r="M3290" i="13"/>
  <c r="M3289" i="13"/>
  <c r="M3288" i="13"/>
  <c r="M3287" i="13"/>
  <c r="M3286" i="13"/>
  <c r="M3285" i="13"/>
  <c r="M3284" i="13"/>
  <c r="M3283" i="13"/>
  <c r="M3282" i="13"/>
  <c r="M3281" i="13"/>
  <c r="M3280" i="13"/>
  <c r="M3279" i="13"/>
  <c r="M3278" i="13"/>
  <c r="M3277" i="13"/>
  <c r="M3276" i="13"/>
  <c r="M3275" i="13"/>
  <c r="M3274" i="13"/>
  <c r="M3273" i="13"/>
  <c r="M3272" i="13"/>
  <c r="M3271" i="13"/>
  <c r="M3270" i="13"/>
  <c r="M3269" i="13"/>
  <c r="M3268" i="13"/>
  <c r="M3267" i="13"/>
  <c r="M3266" i="13"/>
  <c r="M3265" i="13"/>
  <c r="M3264" i="13"/>
  <c r="M3263" i="13"/>
  <c r="M3262" i="13"/>
  <c r="M3261" i="13"/>
  <c r="M3260" i="13"/>
  <c r="M3259" i="13"/>
  <c r="M3258" i="13"/>
  <c r="M3257" i="13"/>
  <c r="M3256" i="13"/>
  <c r="M3255" i="13"/>
  <c r="M3254" i="13"/>
  <c r="M3253" i="13"/>
  <c r="M3252" i="13"/>
  <c r="M3251" i="13"/>
  <c r="M3250" i="13"/>
  <c r="M3249" i="13"/>
  <c r="M3248" i="13"/>
  <c r="M3247" i="13"/>
  <c r="M3246" i="13"/>
  <c r="M3245" i="13"/>
  <c r="M3244" i="13"/>
  <c r="M3243" i="13"/>
  <c r="M3242" i="13"/>
  <c r="M3241" i="13"/>
  <c r="M3240" i="13"/>
  <c r="M3239" i="13"/>
  <c r="M3238" i="13"/>
  <c r="M3237" i="13"/>
  <c r="M3236" i="13"/>
  <c r="M3235" i="13"/>
  <c r="M3234" i="13"/>
  <c r="M3233" i="13"/>
  <c r="M3232" i="13"/>
  <c r="M3231" i="13"/>
  <c r="M3230" i="13"/>
  <c r="M3229" i="13"/>
  <c r="M3228" i="13"/>
  <c r="M3227" i="13"/>
  <c r="M3226" i="13"/>
  <c r="M3225" i="13"/>
  <c r="M3224" i="13"/>
  <c r="M3223" i="13"/>
  <c r="M3222" i="13"/>
  <c r="M3221" i="13"/>
  <c r="M3220" i="13"/>
  <c r="M3219" i="13"/>
  <c r="M3218" i="13"/>
  <c r="M3217" i="13"/>
  <c r="M3216" i="13"/>
  <c r="M3215" i="13"/>
  <c r="M3214" i="13"/>
  <c r="M3213" i="13"/>
  <c r="M3212" i="13"/>
  <c r="M3211" i="13"/>
  <c r="M3210" i="13"/>
  <c r="M3209" i="13"/>
  <c r="M3208" i="13"/>
  <c r="M3207" i="13"/>
  <c r="M3206" i="13"/>
  <c r="M3205" i="13"/>
  <c r="M3204" i="13"/>
  <c r="M3203" i="13"/>
  <c r="M3202" i="13"/>
  <c r="M3201" i="13"/>
  <c r="M3200" i="13"/>
  <c r="M3199" i="13"/>
  <c r="M3198" i="13"/>
  <c r="M3197" i="13"/>
  <c r="M3196" i="13"/>
  <c r="M3195" i="13"/>
  <c r="M3194" i="13"/>
  <c r="M3193" i="13"/>
  <c r="M3192" i="13"/>
  <c r="M3191" i="13"/>
  <c r="M3190" i="13"/>
  <c r="M3189" i="13"/>
  <c r="M3188" i="13"/>
  <c r="M3187" i="13"/>
  <c r="M3186" i="13"/>
  <c r="M3185" i="13"/>
  <c r="M3184" i="13"/>
  <c r="M3183" i="13"/>
  <c r="M3182" i="13"/>
  <c r="M3181" i="13"/>
  <c r="M3180" i="13"/>
  <c r="M3179" i="13"/>
  <c r="M3178" i="13"/>
  <c r="M3177" i="13"/>
  <c r="M3176" i="13"/>
  <c r="M3175" i="13"/>
  <c r="M3174" i="13"/>
  <c r="M3173" i="13"/>
  <c r="M3172" i="13"/>
  <c r="M3171" i="13"/>
  <c r="M3170" i="13"/>
  <c r="M3169" i="13"/>
  <c r="M3168" i="13"/>
  <c r="M3167" i="13"/>
  <c r="M3166" i="13"/>
  <c r="M3165" i="13"/>
  <c r="M3164" i="13"/>
  <c r="M3163" i="13"/>
  <c r="M3162" i="13"/>
  <c r="M3161" i="13"/>
  <c r="M3160" i="13"/>
  <c r="M3159" i="13"/>
  <c r="M3158" i="13"/>
  <c r="M3157" i="13"/>
  <c r="M3156" i="13"/>
  <c r="M3155" i="13"/>
  <c r="M3154" i="13"/>
  <c r="M3153" i="13"/>
  <c r="M3152" i="13"/>
  <c r="M3151" i="13"/>
  <c r="M3150" i="13"/>
  <c r="M3149" i="13"/>
  <c r="M3148" i="13"/>
  <c r="M3147" i="13"/>
  <c r="M3146" i="13"/>
  <c r="M3145" i="13"/>
  <c r="M3144" i="13"/>
  <c r="M3143" i="13"/>
  <c r="M3142" i="13"/>
  <c r="M3141" i="13"/>
  <c r="M3140" i="13"/>
  <c r="M3139" i="13"/>
  <c r="M3138" i="13"/>
  <c r="M3137" i="13"/>
  <c r="M3136" i="13"/>
  <c r="M3135" i="13"/>
  <c r="M3134" i="13"/>
  <c r="M3133" i="13"/>
  <c r="M3132" i="13"/>
  <c r="M3131" i="13"/>
  <c r="M3130" i="13"/>
  <c r="M3129" i="13"/>
  <c r="M3128" i="13"/>
  <c r="M3127" i="13"/>
  <c r="M3126" i="13"/>
  <c r="M3125" i="13"/>
  <c r="M3124" i="13"/>
  <c r="M3123" i="13"/>
  <c r="M3122" i="13"/>
  <c r="M3121" i="13"/>
  <c r="M3120" i="13"/>
  <c r="M3119" i="13"/>
  <c r="M3118" i="13"/>
  <c r="M3117" i="13"/>
  <c r="M3116" i="13"/>
  <c r="M3115" i="13"/>
  <c r="M3114" i="13"/>
  <c r="M3113" i="13"/>
  <c r="M3112" i="13"/>
  <c r="M3111" i="13"/>
  <c r="M3110" i="13"/>
  <c r="M3109" i="13"/>
  <c r="M3108" i="13"/>
  <c r="M3107" i="13"/>
  <c r="M3106" i="13"/>
  <c r="M3105" i="13"/>
  <c r="M3104" i="13"/>
  <c r="M3103" i="13"/>
  <c r="M3102" i="13"/>
  <c r="M3101" i="13"/>
  <c r="M3100" i="13"/>
  <c r="M3099" i="13"/>
  <c r="M3098" i="13"/>
  <c r="M3097" i="13"/>
  <c r="M3096" i="13"/>
  <c r="M3095" i="13"/>
  <c r="M3094" i="13"/>
  <c r="M3093" i="13"/>
  <c r="M3092" i="13"/>
  <c r="M3091" i="13"/>
  <c r="M3090" i="13"/>
  <c r="M3089" i="13"/>
  <c r="M3088" i="13"/>
  <c r="M3087" i="13"/>
  <c r="M3086" i="13"/>
  <c r="M3085" i="13"/>
  <c r="M3084" i="13"/>
  <c r="M3083" i="13"/>
  <c r="M3082" i="13"/>
  <c r="M3081" i="13"/>
  <c r="M3080" i="13"/>
  <c r="M3079" i="13"/>
  <c r="M3078" i="13"/>
  <c r="M3077" i="13"/>
  <c r="M3076" i="13"/>
  <c r="M3075" i="13"/>
  <c r="M3074" i="13"/>
  <c r="M3073" i="13"/>
  <c r="M3072" i="13"/>
  <c r="M3071" i="13"/>
  <c r="M3070" i="13"/>
  <c r="M3069" i="13"/>
  <c r="M3068" i="13"/>
  <c r="M3067" i="13"/>
  <c r="M3066" i="13"/>
  <c r="M3065" i="13"/>
  <c r="M3064" i="13"/>
  <c r="M3063" i="13"/>
  <c r="M3062" i="13"/>
  <c r="M3061" i="13"/>
  <c r="M3060" i="13"/>
  <c r="M3059" i="13"/>
  <c r="M3058" i="13"/>
  <c r="M3057" i="13"/>
  <c r="M3056" i="13"/>
  <c r="M3055" i="13"/>
  <c r="M3054" i="13"/>
  <c r="M3053" i="13"/>
  <c r="M3052" i="13"/>
  <c r="M3051" i="13"/>
  <c r="M3050" i="13"/>
  <c r="M3049" i="13"/>
  <c r="M3048" i="13"/>
  <c r="M3047" i="13"/>
  <c r="M3046" i="13"/>
  <c r="M3045" i="13"/>
  <c r="M3044" i="13"/>
  <c r="M3043" i="13"/>
  <c r="M3042" i="13"/>
  <c r="M3041" i="13"/>
  <c r="M3040" i="13"/>
  <c r="M3039" i="13"/>
  <c r="M3038" i="13"/>
  <c r="M3037" i="13"/>
  <c r="M3036" i="13"/>
  <c r="M3035" i="13"/>
  <c r="M3034" i="13"/>
  <c r="M3033" i="13"/>
  <c r="M3032" i="13"/>
  <c r="M3031" i="13"/>
  <c r="M3030" i="13"/>
  <c r="M3029" i="13"/>
  <c r="M3028" i="13"/>
  <c r="M3027" i="13"/>
  <c r="M3026" i="13"/>
  <c r="M3025" i="13"/>
  <c r="M3024" i="13"/>
  <c r="M3023" i="13"/>
  <c r="M3022" i="13"/>
  <c r="M3021" i="13"/>
  <c r="M3020" i="13"/>
  <c r="M3019" i="13"/>
  <c r="M3018" i="13"/>
  <c r="M3017" i="13"/>
  <c r="M3016" i="13"/>
  <c r="M3015" i="13"/>
  <c r="M3014" i="13"/>
  <c r="M3013" i="13"/>
  <c r="M3012" i="13"/>
  <c r="M3011" i="13"/>
  <c r="M3010" i="13"/>
  <c r="M3009" i="13"/>
  <c r="M3008" i="13"/>
  <c r="M3007" i="13"/>
  <c r="M3006" i="13"/>
  <c r="M3005" i="13"/>
  <c r="M3004" i="13"/>
  <c r="M3003" i="13"/>
  <c r="M3002" i="13"/>
  <c r="M3001" i="13"/>
  <c r="M3000" i="13"/>
  <c r="M2999" i="13"/>
  <c r="M2998" i="13"/>
  <c r="M2997" i="13"/>
  <c r="M2996" i="13"/>
  <c r="M2995" i="13"/>
  <c r="M2994" i="13"/>
  <c r="M2993" i="13"/>
  <c r="M2992" i="13"/>
  <c r="M2991" i="13"/>
  <c r="M2990" i="13"/>
  <c r="M2989" i="13"/>
  <c r="M2988" i="13"/>
  <c r="M2987" i="13"/>
  <c r="M2986" i="13"/>
  <c r="M2985" i="13"/>
  <c r="M2984" i="13"/>
  <c r="M2983" i="13"/>
  <c r="M2982" i="13"/>
  <c r="M2981" i="13"/>
  <c r="M2980" i="13"/>
  <c r="M2979" i="13"/>
  <c r="M2978" i="13"/>
  <c r="M2977" i="13"/>
  <c r="M2976" i="13"/>
  <c r="M2975" i="13"/>
  <c r="M2974" i="13"/>
  <c r="M2973" i="13"/>
  <c r="M2972" i="13"/>
  <c r="M2971" i="13"/>
  <c r="M2970" i="13"/>
  <c r="M2969" i="13"/>
  <c r="M2968" i="13"/>
  <c r="M2967" i="13"/>
  <c r="M2966" i="13"/>
  <c r="M2965" i="13"/>
  <c r="M2964" i="13"/>
  <c r="M2963" i="13"/>
  <c r="M2962" i="13"/>
  <c r="M2961" i="13"/>
  <c r="M2960" i="13"/>
  <c r="M2959" i="13"/>
  <c r="M2958" i="13"/>
  <c r="M2957" i="13"/>
  <c r="M2956" i="13"/>
  <c r="M2955" i="13"/>
  <c r="M2954" i="13"/>
  <c r="M2953" i="13"/>
  <c r="M2952" i="13"/>
  <c r="M2951" i="13"/>
  <c r="M2950" i="13"/>
  <c r="M2949" i="13"/>
  <c r="M2948" i="13"/>
  <c r="M2947" i="13"/>
  <c r="M2946" i="13"/>
  <c r="M2945" i="13"/>
  <c r="M2944" i="13"/>
  <c r="M2943" i="13"/>
  <c r="M2942" i="13"/>
  <c r="M2941" i="13"/>
  <c r="M2940" i="13"/>
  <c r="M2939" i="13"/>
  <c r="M2938" i="13"/>
  <c r="M2937" i="13"/>
  <c r="M2936" i="13"/>
  <c r="M2935" i="13"/>
  <c r="M2934" i="13"/>
  <c r="M2933" i="13"/>
  <c r="M2932" i="13"/>
  <c r="M2931" i="13"/>
  <c r="M2930" i="13"/>
  <c r="M2929" i="13"/>
  <c r="M2928" i="13"/>
  <c r="M2927" i="13"/>
  <c r="M2926" i="13"/>
  <c r="M2925" i="13"/>
  <c r="M2924" i="13"/>
  <c r="M2923" i="13"/>
  <c r="M2922" i="13"/>
  <c r="M2921" i="13"/>
  <c r="M2920" i="13"/>
  <c r="M2919" i="13"/>
  <c r="M2918" i="13"/>
  <c r="M2917" i="13"/>
  <c r="M2916" i="13"/>
  <c r="M2915" i="13"/>
  <c r="M2914" i="13"/>
  <c r="M2913" i="13"/>
  <c r="M2912" i="13"/>
  <c r="M2911" i="13"/>
  <c r="M2910" i="13"/>
  <c r="M2909" i="13"/>
  <c r="M2908" i="13"/>
  <c r="M2907" i="13"/>
  <c r="M2906" i="13"/>
  <c r="M2905" i="13"/>
  <c r="M2904" i="13"/>
  <c r="M2903" i="13"/>
  <c r="M2902" i="13"/>
  <c r="M2901" i="13"/>
  <c r="M2900" i="13"/>
  <c r="M2899" i="13"/>
  <c r="M2898" i="13"/>
  <c r="M2897" i="13"/>
  <c r="M2896" i="13"/>
  <c r="M2895" i="13"/>
  <c r="M2894" i="13"/>
  <c r="M2893" i="13"/>
  <c r="M2892" i="13"/>
  <c r="M2891" i="13"/>
  <c r="M2890" i="13"/>
  <c r="M2889" i="13"/>
  <c r="M2888" i="13"/>
  <c r="M2887" i="13"/>
  <c r="M2886" i="13"/>
  <c r="M2885" i="13"/>
  <c r="M2884" i="13"/>
  <c r="M2883" i="13"/>
  <c r="M2882" i="13"/>
  <c r="M2881" i="13"/>
  <c r="M2880" i="13"/>
  <c r="M2879" i="13"/>
  <c r="M2878" i="13"/>
  <c r="M2877" i="13"/>
  <c r="M2876" i="13"/>
  <c r="M2875" i="13"/>
  <c r="M2874" i="13"/>
  <c r="M2873" i="13"/>
  <c r="M2872" i="13"/>
  <c r="M2871" i="13"/>
  <c r="M2870" i="13"/>
  <c r="M2869" i="13"/>
  <c r="M2868" i="13"/>
  <c r="M2867" i="13"/>
  <c r="M2866" i="13"/>
  <c r="M2865" i="13"/>
  <c r="M2864" i="13"/>
  <c r="M2863" i="13"/>
  <c r="M2862" i="13"/>
  <c r="M2861" i="13"/>
  <c r="M2860" i="13"/>
  <c r="M2859" i="13"/>
  <c r="M2858" i="13"/>
  <c r="M2857" i="13"/>
  <c r="M2856" i="13"/>
  <c r="M2855" i="13"/>
  <c r="M2854" i="13"/>
  <c r="M2853" i="13"/>
  <c r="M2852" i="13"/>
  <c r="M2851" i="13"/>
  <c r="M2850" i="13"/>
  <c r="M2849" i="13"/>
  <c r="M2848" i="13"/>
  <c r="M2847" i="13"/>
  <c r="M2846" i="13"/>
  <c r="M2845" i="13"/>
  <c r="M2844" i="13"/>
  <c r="M2843" i="13"/>
  <c r="M2842" i="13"/>
  <c r="M2841" i="13"/>
  <c r="M2840" i="13"/>
  <c r="M2839" i="13"/>
  <c r="M2838" i="13"/>
  <c r="M2837" i="13"/>
  <c r="M2836" i="13"/>
  <c r="M2835" i="13"/>
  <c r="M2834" i="13"/>
  <c r="M2833" i="13"/>
  <c r="M2832" i="13"/>
  <c r="M2831" i="13"/>
  <c r="M2830" i="13"/>
  <c r="M2829" i="13"/>
  <c r="M2828" i="13"/>
  <c r="M2827" i="13"/>
  <c r="M2826" i="13"/>
  <c r="M2825" i="13"/>
  <c r="M2824" i="13"/>
  <c r="M2823" i="13"/>
  <c r="M2822" i="13"/>
  <c r="M2821" i="13"/>
  <c r="M2820" i="13"/>
  <c r="M2819" i="13"/>
  <c r="M2818" i="13"/>
  <c r="M2817" i="13"/>
  <c r="M2816" i="13"/>
  <c r="M2815" i="13"/>
  <c r="M2814" i="13"/>
  <c r="M2813" i="13"/>
  <c r="M2812" i="13"/>
  <c r="M2811" i="13"/>
  <c r="M2810" i="13"/>
  <c r="M2809" i="13"/>
  <c r="M2808" i="13"/>
  <c r="M2807" i="13"/>
  <c r="M2806" i="13"/>
  <c r="M2805" i="13"/>
  <c r="M2804" i="13"/>
  <c r="M2803" i="13"/>
  <c r="M2802" i="13"/>
  <c r="M2801" i="13"/>
  <c r="M2800" i="13"/>
  <c r="M2799" i="13"/>
  <c r="M2798" i="13"/>
  <c r="M2797" i="13"/>
  <c r="M2796" i="13"/>
  <c r="M2795" i="13"/>
  <c r="M2794" i="13"/>
  <c r="M2793" i="13"/>
  <c r="M2792" i="13"/>
  <c r="M2791" i="13"/>
  <c r="M2790" i="13"/>
  <c r="M2789" i="13"/>
  <c r="M2788" i="13"/>
  <c r="M2787" i="13"/>
  <c r="M2786" i="13"/>
  <c r="M2785" i="13"/>
  <c r="M2784" i="13"/>
  <c r="M2783" i="13"/>
  <c r="M2782" i="13"/>
  <c r="M2781" i="13"/>
  <c r="M2780" i="13"/>
  <c r="M2779" i="13"/>
  <c r="M2778" i="13"/>
  <c r="M2777" i="13"/>
  <c r="M2776" i="13"/>
  <c r="M2775" i="13"/>
  <c r="M2774" i="13"/>
  <c r="M2773" i="13"/>
  <c r="M2772" i="13"/>
  <c r="M2771" i="13"/>
  <c r="M2770" i="13"/>
  <c r="M2769" i="13"/>
  <c r="M2768" i="13"/>
  <c r="M2767" i="13"/>
  <c r="M2766" i="13"/>
  <c r="M2765" i="13"/>
  <c r="M2764" i="13"/>
  <c r="M2763" i="13"/>
  <c r="M2762" i="13"/>
  <c r="M2761" i="13"/>
  <c r="M2760" i="13"/>
  <c r="M2759" i="13"/>
  <c r="M2758" i="13"/>
  <c r="M2757" i="13"/>
  <c r="M2756" i="13"/>
  <c r="M2755" i="13"/>
  <c r="M2754" i="13"/>
  <c r="M2753" i="13"/>
  <c r="M2752" i="13"/>
  <c r="M2751" i="13"/>
  <c r="M2750" i="13"/>
  <c r="M2749" i="13"/>
  <c r="M2748" i="13"/>
  <c r="M2747" i="13"/>
  <c r="M2746" i="13"/>
  <c r="M2745" i="13"/>
  <c r="M2744" i="13"/>
  <c r="M2743" i="13"/>
  <c r="M2742" i="13"/>
  <c r="M2741" i="13"/>
  <c r="M2740" i="13"/>
  <c r="M2739" i="13"/>
  <c r="M2738" i="13"/>
  <c r="M2737" i="13"/>
  <c r="M2736" i="13"/>
  <c r="M2735" i="13"/>
  <c r="M2734" i="13"/>
  <c r="M2733" i="13"/>
  <c r="M2732" i="13"/>
  <c r="M2731" i="13"/>
  <c r="M2730" i="13"/>
  <c r="M2729" i="13"/>
  <c r="M2728" i="13"/>
  <c r="M2727" i="13"/>
  <c r="M2726" i="13"/>
  <c r="M2725" i="13"/>
  <c r="M2724" i="13"/>
  <c r="M2723" i="13"/>
  <c r="M2722" i="13"/>
  <c r="M2721" i="13"/>
  <c r="M2720" i="13"/>
  <c r="M2719" i="13"/>
  <c r="M2718" i="13"/>
  <c r="M2717" i="13"/>
  <c r="M2716" i="13"/>
  <c r="M2715" i="13"/>
  <c r="M2714" i="13"/>
  <c r="M2713" i="13"/>
  <c r="M2712" i="13"/>
  <c r="M2711" i="13"/>
  <c r="M2710" i="13"/>
  <c r="M2709" i="13"/>
  <c r="M2708" i="13"/>
  <c r="M2707" i="13"/>
  <c r="M2706" i="13"/>
  <c r="M2705" i="13"/>
  <c r="M2704" i="13"/>
  <c r="M2703" i="13"/>
  <c r="M2702" i="13"/>
  <c r="M2701" i="13"/>
  <c r="M2700" i="13"/>
  <c r="M2699" i="13"/>
  <c r="M2698" i="13"/>
  <c r="M2697" i="13"/>
  <c r="M2696" i="13"/>
  <c r="M2695" i="13"/>
  <c r="M2694" i="13"/>
  <c r="M2693" i="13"/>
  <c r="M2692" i="13"/>
  <c r="M2691" i="13"/>
  <c r="M2690" i="13"/>
  <c r="M2689" i="13"/>
  <c r="M2688" i="13"/>
  <c r="M2687" i="13"/>
  <c r="M2686" i="13"/>
  <c r="M2685" i="13"/>
  <c r="M2684" i="13"/>
  <c r="M2683" i="13"/>
  <c r="M2682" i="13"/>
  <c r="M2681" i="13"/>
  <c r="M2680" i="13"/>
  <c r="M2679" i="13"/>
  <c r="M2678" i="13"/>
  <c r="M2677" i="13"/>
  <c r="M2676" i="13"/>
  <c r="M2675" i="13"/>
  <c r="M2674" i="13"/>
  <c r="M2673" i="13"/>
  <c r="M2672" i="13"/>
  <c r="M2671" i="13"/>
  <c r="M2670" i="13"/>
  <c r="M2669" i="13"/>
  <c r="M2668" i="13"/>
  <c r="M2667" i="13"/>
  <c r="M2666" i="13"/>
  <c r="M2665" i="13"/>
  <c r="M2664" i="13"/>
  <c r="M2663" i="13"/>
  <c r="M2662" i="13"/>
  <c r="M2661" i="13"/>
  <c r="M2660" i="13"/>
  <c r="M2659" i="13"/>
  <c r="M2658" i="13"/>
  <c r="M2657" i="13"/>
  <c r="M2656" i="13"/>
  <c r="M2655" i="13"/>
  <c r="M2654" i="13"/>
  <c r="M2653" i="13"/>
  <c r="M2652" i="13"/>
  <c r="M2651" i="13"/>
  <c r="M2650" i="13"/>
  <c r="M2649" i="13"/>
  <c r="M2648" i="13"/>
  <c r="M2647" i="13"/>
  <c r="M2646" i="13"/>
  <c r="M2645" i="13"/>
  <c r="M2644" i="13"/>
  <c r="M2643" i="13"/>
  <c r="M2642" i="13"/>
  <c r="M2641" i="13"/>
  <c r="M2640" i="13"/>
  <c r="M2639" i="13"/>
  <c r="M2638" i="13"/>
  <c r="M2637" i="13"/>
  <c r="M2636" i="13"/>
  <c r="M2635" i="13"/>
  <c r="M2634" i="13"/>
  <c r="M2633" i="13"/>
  <c r="M2632" i="13"/>
  <c r="M2631" i="13"/>
  <c r="M2630" i="13"/>
  <c r="M2629" i="13"/>
  <c r="M2628" i="13"/>
  <c r="M2627" i="13"/>
  <c r="M2626" i="13"/>
  <c r="M2625" i="13"/>
  <c r="M2624" i="13"/>
  <c r="M2623" i="13"/>
  <c r="M2622" i="13"/>
  <c r="M2621" i="13"/>
  <c r="M2620" i="13"/>
  <c r="M2619" i="13"/>
  <c r="M2618" i="13"/>
  <c r="M2617" i="13"/>
  <c r="M2616" i="13"/>
  <c r="M2615" i="13"/>
  <c r="M2614" i="13"/>
  <c r="M2613" i="13"/>
  <c r="M2612" i="13"/>
  <c r="M2611" i="13"/>
  <c r="M2610" i="13"/>
  <c r="M2609" i="13"/>
  <c r="M2608" i="13"/>
  <c r="M2607" i="13"/>
  <c r="M2606" i="13"/>
  <c r="M2605" i="13"/>
  <c r="M2604" i="13"/>
  <c r="M2603" i="13"/>
  <c r="M2602" i="13"/>
  <c r="M2601" i="13"/>
  <c r="M2600" i="13"/>
  <c r="M2599" i="13"/>
  <c r="M2598" i="13"/>
  <c r="M2597" i="13"/>
  <c r="M2596" i="13"/>
  <c r="M2595" i="13"/>
  <c r="M2594" i="13"/>
  <c r="M2593" i="13"/>
  <c r="M2592" i="13"/>
  <c r="M2591" i="13"/>
  <c r="M2590" i="13"/>
  <c r="M2589" i="13"/>
  <c r="M2588" i="13"/>
  <c r="M2587" i="13"/>
  <c r="M2586" i="13"/>
  <c r="M2585" i="13"/>
  <c r="M2584" i="13"/>
  <c r="M2583" i="13"/>
  <c r="M2582" i="13"/>
  <c r="M2581" i="13"/>
  <c r="M2580" i="13"/>
  <c r="M2579" i="13"/>
  <c r="M2578" i="13"/>
  <c r="M2577" i="13"/>
  <c r="M2576" i="13"/>
  <c r="M2575" i="13"/>
  <c r="M2574" i="13"/>
  <c r="M2573" i="13"/>
  <c r="M2572" i="13"/>
  <c r="M2571" i="13"/>
  <c r="M2570" i="13"/>
  <c r="M2569" i="13"/>
  <c r="M2568" i="13"/>
  <c r="M2567" i="13"/>
  <c r="M2566" i="13"/>
  <c r="M2565" i="13"/>
  <c r="M2564" i="13"/>
  <c r="M2563" i="13"/>
  <c r="M2562" i="13"/>
  <c r="M2561" i="13"/>
  <c r="M2560" i="13"/>
  <c r="M2559" i="13"/>
  <c r="M2558" i="13"/>
  <c r="M2557" i="13"/>
  <c r="M2556" i="13"/>
  <c r="M2555" i="13"/>
  <c r="M2554" i="13"/>
  <c r="M2553" i="13"/>
  <c r="M2552" i="13"/>
  <c r="M2551" i="13"/>
  <c r="M2550" i="13"/>
  <c r="M2549" i="13"/>
  <c r="M2548" i="13"/>
  <c r="M2547" i="13"/>
  <c r="M2546" i="13"/>
  <c r="M2545" i="13"/>
  <c r="M2544" i="13"/>
  <c r="M2543" i="13"/>
  <c r="M2542" i="13"/>
  <c r="M2541" i="13"/>
  <c r="M2540" i="13"/>
  <c r="M2539" i="13"/>
  <c r="M2538" i="13"/>
  <c r="M2537" i="13"/>
  <c r="M2536" i="13"/>
  <c r="M2535" i="13"/>
  <c r="M2534" i="13"/>
  <c r="M2533" i="13"/>
  <c r="M2532" i="13"/>
  <c r="M2531" i="13"/>
  <c r="M2530" i="13"/>
  <c r="M2529" i="13"/>
  <c r="M2528" i="13"/>
  <c r="M2527" i="13"/>
  <c r="M2526" i="13"/>
  <c r="M2525" i="13"/>
  <c r="M2524" i="13"/>
  <c r="M2523" i="13"/>
  <c r="M2522" i="13"/>
  <c r="M2521" i="13"/>
  <c r="M2520" i="13"/>
  <c r="M2519" i="13"/>
  <c r="M2518" i="13"/>
  <c r="M2517" i="13"/>
  <c r="M2516" i="13"/>
  <c r="M2515" i="13"/>
  <c r="M2514" i="13"/>
  <c r="M2513" i="13"/>
  <c r="M2512" i="13"/>
  <c r="M2511" i="13"/>
  <c r="M2510" i="13"/>
  <c r="M2509" i="13"/>
  <c r="M2508" i="13"/>
  <c r="M2507" i="13"/>
  <c r="M2506" i="13"/>
  <c r="M2505" i="13"/>
  <c r="M2504" i="13"/>
  <c r="M2503" i="13"/>
  <c r="M2502" i="13"/>
  <c r="M2501" i="13"/>
  <c r="M2500" i="13"/>
  <c r="M2499" i="13"/>
  <c r="M2498" i="13"/>
  <c r="M2497" i="13"/>
  <c r="M2496" i="13"/>
  <c r="M2495" i="13"/>
  <c r="M2494" i="13"/>
  <c r="M2493" i="13"/>
  <c r="M2492" i="13"/>
  <c r="M2491" i="13"/>
  <c r="M2490" i="13"/>
  <c r="M2489" i="13"/>
  <c r="M2488" i="13"/>
  <c r="M2487" i="13"/>
  <c r="M2486" i="13"/>
  <c r="M2485" i="13"/>
  <c r="M2484" i="13"/>
  <c r="M2483" i="13"/>
  <c r="M2482" i="13"/>
  <c r="M2481" i="13"/>
  <c r="M2480" i="13"/>
  <c r="M2479" i="13"/>
  <c r="M2478" i="13"/>
  <c r="M2477" i="13"/>
  <c r="M2476" i="13"/>
  <c r="M2475" i="13"/>
  <c r="M2474" i="13"/>
  <c r="M2473" i="13"/>
  <c r="M2472" i="13"/>
  <c r="M2471" i="13"/>
  <c r="M2470" i="13"/>
  <c r="M2469" i="13"/>
  <c r="M2468" i="13"/>
  <c r="M2467" i="13"/>
  <c r="M2466" i="13"/>
  <c r="M2465" i="13"/>
  <c r="M2464" i="13"/>
  <c r="M2463" i="13"/>
  <c r="M2462" i="13"/>
  <c r="M2461" i="13"/>
  <c r="M2460" i="13"/>
  <c r="M2459" i="13"/>
  <c r="M2458" i="13"/>
  <c r="M2457" i="13"/>
  <c r="M2456" i="13"/>
  <c r="M2455" i="13"/>
  <c r="M2454" i="13"/>
  <c r="M2453" i="13"/>
  <c r="M2452" i="13"/>
  <c r="M2451" i="13"/>
  <c r="M2450" i="13"/>
  <c r="M2449" i="13"/>
  <c r="M2448" i="13"/>
  <c r="M2447" i="13"/>
  <c r="M2446" i="13"/>
  <c r="M2445" i="13"/>
  <c r="M2444" i="13"/>
  <c r="M2443" i="13"/>
  <c r="M2442" i="13"/>
  <c r="M2441" i="13"/>
  <c r="M2440" i="13"/>
  <c r="M2439" i="13"/>
  <c r="M2438" i="13"/>
  <c r="M2437" i="13"/>
  <c r="M2436" i="13"/>
  <c r="M2435" i="13"/>
  <c r="M2434" i="13"/>
  <c r="M2433" i="13"/>
  <c r="M2432" i="13"/>
  <c r="M2431" i="13"/>
  <c r="M2430" i="13"/>
  <c r="M2429" i="13"/>
  <c r="M2428" i="13"/>
  <c r="M2427" i="13"/>
  <c r="M2426" i="13"/>
  <c r="M2425" i="13"/>
  <c r="M2424" i="13"/>
  <c r="M2423" i="13"/>
  <c r="M2422" i="13"/>
  <c r="M2421" i="13"/>
  <c r="M2420" i="13"/>
  <c r="M2419" i="13"/>
  <c r="M2418" i="13"/>
  <c r="M2417" i="13"/>
  <c r="M2416" i="13"/>
  <c r="M2415" i="13"/>
  <c r="M2414" i="13"/>
  <c r="M2413" i="13"/>
  <c r="M2412" i="13"/>
  <c r="M2411" i="13"/>
  <c r="M2410" i="13"/>
  <c r="M2409" i="13"/>
  <c r="M2408" i="13"/>
  <c r="M2407" i="13"/>
  <c r="M2406" i="13"/>
  <c r="M2405" i="13"/>
  <c r="M2404" i="13"/>
  <c r="M2403" i="13"/>
  <c r="M2402" i="13"/>
  <c r="M2401" i="13"/>
  <c r="M2400" i="13"/>
  <c r="M2399" i="13"/>
  <c r="M2398" i="13"/>
  <c r="M2397" i="13"/>
  <c r="M2396" i="13"/>
  <c r="M2395" i="13"/>
  <c r="M2394" i="13"/>
  <c r="M2393" i="13"/>
  <c r="M2392" i="13"/>
  <c r="M2391" i="13"/>
  <c r="M2390" i="13"/>
  <c r="M2389" i="13"/>
  <c r="M2388" i="13"/>
  <c r="M2387" i="13"/>
  <c r="M2386" i="13"/>
  <c r="M2385" i="13"/>
  <c r="M2384" i="13"/>
  <c r="M2383" i="13"/>
  <c r="M2382" i="13"/>
  <c r="M2381" i="13"/>
  <c r="M2380" i="13"/>
  <c r="M2379" i="13"/>
  <c r="M2378" i="13"/>
  <c r="M2377" i="13"/>
  <c r="M2376" i="13"/>
  <c r="M2375" i="13"/>
  <c r="M2374" i="13"/>
  <c r="M2373" i="13"/>
  <c r="M2372" i="13"/>
  <c r="M2371" i="13"/>
  <c r="M2370" i="13"/>
  <c r="M2369" i="13"/>
  <c r="M2368" i="13"/>
  <c r="M2367" i="13"/>
  <c r="M2366" i="13"/>
  <c r="M2365" i="13"/>
  <c r="M2364" i="13"/>
  <c r="M2363" i="13"/>
  <c r="M2362" i="13"/>
  <c r="M2361" i="13"/>
  <c r="M2360" i="13"/>
  <c r="M2359" i="13"/>
  <c r="M2358" i="13"/>
  <c r="M2357" i="13"/>
  <c r="M2356" i="13"/>
  <c r="M2355" i="13"/>
  <c r="M2354" i="13"/>
  <c r="M2353" i="13"/>
  <c r="M2352" i="13"/>
  <c r="M2351" i="13"/>
  <c r="M2350" i="13"/>
  <c r="M2349" i="13"/>
  <c r="M2348" i="13"/>
  <c r="M2347" i="13"/>
  <c r="M2346" i="13"/>
  <c r="M2345" i="13"/>
  <c r="M2344" i="13"/>
  <c r="M2343" i="13"/>
  <c r="M2342" i="13"/>
  <c r="M2341" i="13"/>
  <c r="M2340" i="13"/>
  <c r="M2339" i="13"/>
  <c r="M2338" i="13"/>
  <c r="M2337" i="13"/>
  <c r="M2336" i="13"/>
  <c r="M2335" i="13"/>
  <c r="M2334" i="13"/>
  <c r="M2333" i="13"/>
  <c r="M2332" i="13"/>
  <c r="M2331" i="13"/>
  <c r="M2330" i="13"/>
  <c r="M2329" i="13"/>
  <c r="M2328" i="13"/>
  <c r="M2327" i="13"/>
  <c r="M2326" i="13"/>
  <c r="M2325" i="13"/>
  <c r="M2324" i="13"/>
  <c r="M2323" i="13"/>
  <c r="M2322" i="13"/>
  <c r="M2321" i="13"/>
  <c r="M2320" i="13"/>
  <c r="M2319" i="13"/>
  <c r="M2318" i="13"/>
  <c r="M2317" i="13"/>
  <c r="M2316" i="13"/>
  <c r="M2315" i="13"/>
  <c r="M2314" i="13"/>
  <c r="M2313" i="13"/>
  <c r="M2312" i="13"/>
  <c r="M2311" i="13"/>
  <c r="M2310" i="13"/>
  <c r="M2309" i="13"/>
  <c r="M2308" i="13"/>
  <c r="M2307" i="13"/>
  <c r="M2306" i="13"/>
  <c r="M2305" i="13"/>
  <c r="M2304" i="13"/>
  <c r="M2303" i="13"/>
  <c r="M2302" i="13"/>
  <c r="M2301" i="13"/>
  <c r="M2300" i="13"/>
  <c r="M2299" i="13"/>
  <c r="M2298" i="13"/>
  <c r="M2297" i="13"/>
  <c r="M2296" i="13"/>
  <c r="M2295" i="13"/>
  <c r="M2294" i="13"/>
  <c r="M2293" i="13"/>
  <c r="M2292" i="13"/>
  <c r="M2291" i="13"/>
  <c r="M2290" i="13"/>
  <c r="M2289" i="13"/>
  <c r="M2288" i="13"/>
  <c r="M2287" i="13"/>
  <c r="M2286" i="13"/>
  <c r="M2285" i="13"/>
  <c r="M2284" i="13"/>
  <c r="M2283" i="13"/>
  <c r="M2282" i="13"/>
  <c r="M2281" i="13"/>
  <c r="M2280" i="13"/>
  <c r="M2279" i="13"/>
  <c r="M2278" i="13"/>
  <c r="M2277" i="13"/>
  <c r="M2276" i="13"/>
  <c r="M2275" i="13"/>
  <c r="M2274" i="13"/>
  <c r="M2273" i="13"/>
  <c r="M2272" i="13"/>
  <c r="M2271" i="13"/>
  <c r="M2270" i="13"/>
  <c r="M2269" i="13"/>
  <c r="M2268" i="13"/>
  <c r="M2267" i="13"/>
  <c r="M2266" i="13"/>
  <c r="M2265" i="13"/>
  <c r="M2264" i="13"/>
  <c r="M2263" i="13"/>
  <c r="M2262" i="13"/>
  <c r="M2261" i="13"/>
  <c r="M2260" i="13"/>
  <c r="M2259" i="13"/>
  <c r="M2258" i="13"/>
  <c r="M2257" i="13"/>
  <c r="M2256" i="13"/>
  <c r="M2255" i="13"/>
  <c r="M2254" i="13"/>
  <c r="M2253" i="13"/>
  <c r="M2252" i="13"/>
  <c r="M2251" i="13"/>
  <c r="M2250" i="13"/>
  <c r="M2249" i="13"/>
  <c r="M2248" i="13"/>
  <c r="M2247" i="13"/>
  <c r="M2246" i="13"/>
  <c r="M2245" i="13"/>
  <c r="M2244" i="13"/>
  <c r="M2243" i="13"/>
  <c r="M2242" i="13"/>
  <c r="M2241" i="13"/>
  <c r="M2240" i="13"/>
  <c r="M2239" i="13"/>
  <c r="M2238" i="13"/>
  <c r="M2237" i="13"/>
  <c r="M2236" i="13"/>
  <c r="M2235" i="13"/>
  <c r="M2234" i="13"/>
  <c r="M2233" i="13"/>
  <c r="M2232" i="13"/>
  <c r="M2231" i="13"/>
  <c r="M2230" i="13"/>
  <c r="M2229" i="13"/>
  <c r="M2228" i="13"/>
  <c r="M2227" i="13"/>
  <c r="M2226" i="13"/>
  <c r="M2225" i="13"/>
  <c r="M2224" i="13"/>
  <c r="M2223" i="13"/>
  <c r="M2222" i="13"/>
  <c r="M2221" i="13"/>
  <c r="M2220" i="13"/>
  <c r="M2219" i="13"/>
  <c r="M2218" i="13"/>
  <c r="M2217" i="13"/>
  <c r="M2216" i="13"/>
  <c r="M2215" i="13"/>
  <c r="M2214" i="13"/>
  <c r="M2213" i="13"/>
  <c r="M2212" i="13"/>
  <c r="M2211" i="13"/>
  <c r="M2210" i="13"/>
  <c r="M2209" i="13"/>
  <c r="M2208" i="13"/>
  <c r="M2207" i="13"/>
  <c r="M2206" i="13"/>
  <c r="M2205" i="13"/>
  <c r="M2204" i="13"/>
  <c r="M2203" i="13"/>
  <c r="M2202" i="13"/>
  <c r="M2201" i="13"/>
  <c r="M2200" i="13"/>
  <c r="M2199" i="13"/>
  <c r="M2198" i="13"/>
  <c r="M2197" i="13"/>
  <c r="M2196" i="13"/>
  <c r="M2195" i="13"/>
  <c r="M2194" i="13"/>
  <c r="M2193" i="13"/>
  <c r="M2192" i="13"/>
  <c r="M2191" i="13"/>
  <c r="M2190" i="13"/>
  <c r="M2189" i="13"/>
  <c r="M2188" i="13"/>
  <c r="M2187" i="13"/>
  <c r="M2186" i="13"/>
  <c r="M2185" i="13"/>
  <c r="M2184" i="13"/>
  <c r="M2183" i="13"/>
  <c r="M2182" i="13"/>
  <c r="M2181" i="13"/>
  <c r="M2180" i="13"/>
  <c r="M2179" i="13"/>
  <c r="M2178" i="13"/>
  <c r="M2177" i="13"/>
  <c r="M2176" i="13"/>
  <c r="M2175" i="13"/>
  <c r="M2174" i="13"/>
  <c r="M2173" i="13"/>
  <c r="M2172" i="13"/>
  <c r="M2171" i="13"/>
  <c r="M2170" i="13"/>
  <c r="M2169" i="13"/>
  <c r="M2168" i="13"/>
  <c r="M2167" i="13"/>
  <c r="M2166" i="13"/>
  <c r="M2165" i="13"/>
  <c r="M2164" i="13"/>
  <c r="M2163" i="13"/>
  <c r="M2162" i="13"/>
  <c r="M2161" i="13"/>
  <c r="M2160" i="13"/>
  <c r="M2159" i="13"/>
  <c r="M2158" i="13"/>
  <c r="M2157" i="13"/>
  <c r="M2156" i="13"/>
  <c r="M2155" i="13"/>
  <c r="M2154" i="13"/>
  <c r="M2153" i="13"/>
  <c r="M2152" i="13"/>
  <c r="M2151" i="13"/>
  <c r="M2150" i="13"/>
  <c r="M2149" i="13"/>
  <c r="M2148" i="13"/>
  <c r="M2147" i="13"/>
  <c r="M2146" i="13"/>
  <c r="M2145" i="13"/>
  <c r="M2144" i="13"/>
  <c r="M2143" i="13"/>
  <c r="M2142" i="13"/>
  <c r="M2141" i="13"/>
  <c r="M2140" i="13"/>
  <c r="M2139" i="13"/>
  <c r="M2138" i="13"/>
  <c r="M2137" i="13"/>
  <c r="M2136" i="13"/>
  <c r="M2135" i="13"/>
  <c r="M2134" i="13"/>
  <c r="M2133" i="13"/>
  <c r="M2132" i="13"/>
  <c r="M2131" i="13"/>
  <c r="M2130" i="13"/>
  <c r="M2129" i="13"/>
  <c r="M2128" i="13"/>
  <c r="M2127" i="13"/>
  <c r="M2126" i="13"/>
  <c r="M2125" i="13"/>
  <c r="M2124" i="13"/>
  <c r="M2123" i="13"/>
  <c r="M2122" i="13"/>
  <c r="M2121" i="13"/>
  <c r="M2120" i="13"/>
  <c r="M2119" i="13"/>
  <c r="M2118" i="13"/>
  <c r="M2117" i="13"/>
  <c r="M2116" i="13"/>
  <c r="M2115" i="13"/>
  <c r="M2114" i="13"/>
  <c r="M2113" i="13"/>
  <c r="M2112" i="13"/>
  <c r="M2111" i="13"/>
  <c r="M2110" i="13"/>
  <c r="M2109" i="13"/>
  <c r="M2108" i="13"/>
  <c r="M2107" i="13"/>
  <c r="M2106" i="13"/>
  <c r="M2105" i="13"/>
  <c r="M2104" i="13"/>
  <c r="M2103" i="13"/>
  <c r="M2102" i="13"/>
  <c r="M2101" i="13"/>
  <c r="M2100" i="13"/>
  <c r="M2099" i="13"/>
  <c r="M2098" i="13"/>
  <c r="M2097" i="13"/>
  <c r="M2096" i="13"/>
  <c r="M2095" i="13"/>
  <c r="M2094" i="13"/>
  <c r="M2093" i="13"/>
  <c r="M2092" i="13"/>
  <c r="M2091" i="13"/>
  <c r="M2090" i="13"/>
  <c r="M2089" i="13"/>
  <c r="M2088" i="13"/>
  <c r="M2087" i="13"/>
  <c r="M2086" i="13"/>
  <c r="M2085" i="13"/>
  <c r="M2084" i="13"/>
  <c r="M2083" i="13"/>
  <c r="M2082" i="13"/>
  <c r="M2081" i="13"/>
  <c r="M2080" i="13"/>
  <c r="M2079" i="13"/>
  <c r="M2078" i="13"/>
  <c r="M2077" i="13"/>
  <c r="M2076" i="13"/>
  <c r="M2075" i="13"/>
  <c r="M2074" i="13"/>
  <c r="M2073" i="13"/>
  <c r="M2072" i="13"/>
  <c r="M2071" i="13"/>
  <c r="M2070" i="13"/>
  <c r="M2069" i="13"/>
  <c r="M2068" i="13"/>
  <c r="M2067" i="13"/>
  <c r="M2066" i="13"/>
  <c r="M2065" i="13"/>
  <c r="M2064" i="13"/>
  <c r="M2063" i="13"/>
  <c r="M2062" i="13"/>
  <c r="M2061" i="13"/>
  <c r="M2060" i="13"/>
  <c r="M2059" i="13"/>
  <c r="M2058" i="13"/>
  <c r="M2057" i="13"/>
  <c r="M2056" i="13"/>
  <c r="M2055" i="13"/>
  <c r="M2054" i="13"/>
  <c r="M2053" i="13"/>
  <c r="M2052" i="13"/>
  <c r="M2051" i="13"/>
  <c r="M2050" i="13"/>
  <c r="M2049" i="13"/>
  <c r="M2048" i="13"/>
  <c r="M2047" i="13"/>
  <c r="M2046" i="13"/>
  <c r="M2045" i="13"/>
  <c r="M2044" i="13"/>
  <c r="M2043" i="13"/>
  <c r="M2042" i="13"/>
  <c r="M2041" i="13"/>
  <c r="M2040" i="13"/>
  <c r="M2039" i="13"/>
  <c r="M2038" i="13"/>
  <c r="M2037" i="13"/>
  <c r="M2036" i="13"/>
  <c r="M2035" i="13"/>
  <c r="M2034" i="13"/>
  <c r="M2033" i="13"/>
  <c r="M2032" i="13"/>
  <c r="M2031" i="13"/>
  <c r="M2030" i="13"/>
  <c r="M2029" i="13"/>
  <c r="M2028" i="13"/>
  <c r="M2027" i="13"/>
  <c r="M2026" i="13"/>
  <c r="M2025" i="13"/>
  <c r="M2024" i="13"/>
  <c r="M2023" i="13"/>
  <c r="M2022" i="13"/>
  <c r="M2021" i="13"/>
  <c r="M2020" i="13"/>
  <c r="M2019" i="13"/>
  <c r="M2018" i="13"/>
  <c r="M2017" i="13"/>
  <c r="M2016" i="13"/>
  <c r="M2015" i="13"/>
  <c r="M2014" i="13"/>
  <c r="M2013" i="13"/>
  <c r="M2012" i="13"/>
  <c r="M2011" i="13"/>
  <c r="M2010" i="13"/>
  <c r="M2009" i="13"/>
  <c r="M2008" i="13"/>
  <c r="M2007" i="13"/>
  <c r="M2006" i="13"/>
  <c r="M2005" i="13"/>
  <c r="M2004" i="13"/>
  <c r="M2003" i="13"/>
  <c r="M2002" i="13"/>
  <c r="M2001" i="13"/>
  <c r="M2000" i="13"/>
  <c r="M1999" i="13"/>
  <c r="M1998" i="13"/>
  <c r="M1997" i="13"/>
  <c r="M1996" i="13"/>
  <c r="M1995" i="13"/>
  <c r="M1994" i="13"/>
  <c r="M1993" i="13"/>
  <c r="M1992" i="13"/>
  <c r="M1991" i="13"/>
  <c r="M1990" i="13"/>
  <c r="M1989" i="13"/>
  <c r="M1988" i="13"/>
  <c r="M1987" i="13"/>
  <c r="M1986" i="13"/>
  <c r="M1985" i="13"/>
  <c r="M1984" i="13"/>
  <c r="M1983" i="13"/>
  <c r="M1982" i="13"/>
  <c r="M1981" i="13"/>
  <c r="M1980" i="13"/>
  <c r="M1979" i="13"/>
  <c r="M1978" i="13"/>
  <c r="M1977" i="13"/>
  <c r="M1976" i="13"/>
  <c r="M1975" i="13"/>
  <c r="M1974" i="13"/>
  <c r="M1973" i="13"/>
  <c r="M1972" i="13"/>
  <c r="M1971" i="13"/>
  <c r="M1970" i="13"/>
  <c r="M1969" i="13"/>
  <c r="M1968" i="13"/>
  <c r="M1967" i="13"/>
  <c r="M1966" i="13"/>
  <c r="M1965" i="13"/>
  <c r="M1964" i="13"/>
  <c r="M1963" i="13"/>
  <c r="M1962" i="13"/>
  <c r="M1961" i="13"/>
  <c r="M1960" i="13"/>
  <c r="M1959" i="13"/>
  <c r="M1958" i="13"/>
  <c r="M1957" i="13"/>
  <c r="M1956" i="13"/>
  <c r="M1955" i="13"/>
  <c r="M1954" i="13"/>
  <c r="M1953" i="13"/>
  <c r="M1952" i="13"/>
  <c r="M1951" i="13"/>
  <c r="M1950" i="13"/>
  <c r="M1949" i="13"/>
  <c r="M1948" i="13"/>
  <c r="M1947" i="13"/>
  <c r="M1946" i="13"/>
  <c r="M1945" i="13"/>
  <c r="M1944" i="13"/>
  <c r="M1943" i="13"/>
  <c r="M1942" i="13"/>
  <c r="M1941" i="13"/>
  <c r="M1940" i="13"/>
  <c r="M1939" i="13"/>
  <c r="M1938" i="13"/>
  <c r="M1937" i="13"/>
  <c r="M1936" i="13"/>
  <c r="M1935" i="13"/>
  <c r="M1934" i="13"/>
  <c r="M1933" i="13"/>
  <c r="M1932" i="13"/>
  <c r="M1931" i="13"/>
  <c r="M1930" i="13"/>
  <c r="M1929" i="13"/>
  <c r="M1928" i="13"/>
  <c r="M1927" i="13"/>
  <c r="M1926" i="13"/>
  <c r="M1925" i="13"/>
  <c r="M1924" i="13"/>
  <c r="M1923" i="13"/>
  <c r="M1922" i="13"/>
  <c r="M1921" i="13"/>
  <c r="M1920" i="13"/>
  <c r="M1919" i="13"/>
  <c r="M1918" i="13"/>
  <c r="M1917" i="13"/>
  <c r="M1916" i="13"/>
  <c r="M1915" i="13"/>
  <c r="M1914" i="13"/>
  <c r="M1913" i="13"/>
  <c r="M1912" i="13"/>
  <c r="M1911" i="13"/>
  <c r="M1910" i="13"/>
  <c r="M1909" i="13"/>
  <c r="M1908" i="13"/>
  <c r="M1907" i="13"/>
  <c r="M1906" i="13"/>
  <c r="M1905" i="13"/>
  <c r="M1904" i="13"/>
  <c r="M1903" i="13"/>
  <c r="M1902" i="13"/>
  <c r="M1901" i="13"/>
  <c r="M1900" i="13"/>
  <c r="M1899" i="13"/>
  <c r="M1898" i="13"/>
  <c r="M1897" i="13"/>
  <c r="M1896" i="13"/>
  <c r="M1895" i="13"/>
  <c r="M1894" i="13"/>
  <c r="M1893" i="13"/>
  <c r="M1892" i="13"/>
  <c r="M1891" i="13"/>
  <c r="M1890" i="13"/>
  <c r="M1889" i="13"/>
  <c r="M1888" i="13"/>
  <c r="M1887" i="13"/>
  <c r="M1886" i="13"/>
  <c r="M1885" i="13"/>
  <c r="M1884" i="13"/>
  <c r="M1883" i="13"/>
  <c r="M1882" i="13"/>
  <c r="M1881" i="13"/>
  <c r="M1880" i="13"/>
  <c r="M1879" i="13"/>
  <c r="M1878" i="13"/>
  <c r="M1877" i="13"/>
  <c r="M1876" i="13"/>
  <c r="M1875" i="13"/>
  <c r="M1874" i="13"/>
  <c r="M1873" i="13"/>
  <c r="M1872" i="13"/>
  <c r="M1871" i="13"/>
  <c r="M1870" i="13"/>
  <c r="M1869" i="13"/>
  <c r="M1868" i="13"/>
  <c r="M1867" i="13"/>
  <c r="M1866" i="13"/>
  <c r="M1865" i="13"/>
  <c r="M1864" i="13"/>
  <c r="M1863" i="13"/>
  <c r="M1862" i="13"/>
  <c r="M1861" i="13"/>
  <c r="M1860" i="13"/>
  <c r="M1859" i="13"/>
  <c r="M1858" i="13"/>
  <c r="M1857" i="13"/>
  <c r="M1856" i="13"/>
  <c r="M1855" i="13"/>
  <c r="M1854" i="13"/>
  <c r="M1853" i="13"/>
  <c r="M1852" i="13"/>
  <c r="M1851" i="13"/>
  <c r="M1850" i="13"/>
  <c r="M1849" i="13"/>
  <c r="M1848" i="13"/>
  <c r="M1847" i="13"/>
  <c r="M1846" i="13"/>
  <c r="M1845" i="13"/>
  <c r="M1844" i="13"/>
  <c r="M1843" i="13"/>
  <c r="M1842" i="13"/>
  <c r="M1841" i="13"/>
  <c r="M1840" i="13"/>
  <c r="M1839" i="13"/>
  <c r="M1838" i="13"/>
  <c r="M1837" i="13"/>
  <c r="M1836" i="13"/>
  <c r="M1835" i="13"/>
  <c r="M1834" i="13"/>
  <c r="M1833" i="13"/>
  <c r="M1832" i="13"/>
  <c r="M1831" i="13"/>
  <c r="M1830" i="13"/>
  <c r="M1829" i="13"/>
  <c r="M1828" i="13"/>
  <c r="M1827" i="13"/>
  <c r="M1826" i="13"/>
  <c r="M1825" i="13"/>
  <c r="M1824" i="13"/>
  <c r="M1823" i="13"/>
  <c r="M1822" i="13"/>
  <c r="M1821" i="13"/>
  <c r="M1820" i="13"/>
  <c r="M1819" i="13"/>
  <c r="M1818" i="13"/>
  <c r="M1817" i="13"/>
  <c r="M1816" i="13"/>
  <c r="M1815" i="13"/>
  <c r="M1814" i="13"/>
  <c r="M1813" i="13"/>
  <c r="M1812" i="13"/>
  <c r="M1811" i="13"/>
  <c r="M1810" i="13"/>
  <c r="M1809" i="13"/>
  <c r="M1808" i="13"/>
  <c r="M1807" i="13"/>
  <c r="M1806" i="13"/>
  <c r="M1805" i="13"/>
  <c r="M1804" i="13"/>
  <c r="M1803" i="13"/>
  <c r="M1802" i="13"/>
  <c r="M1801" i="13"/>
  <c r="M1800" i="13"/>
  <c r="M1799" i="13"/>
  <c r="M1798" i="13"/>
  <c r="M1797" i="13"/>
  <c r="M1796" i="13"/>
  <c r="M1795" i="13"/>
  <c r="M1794" i="13"/>
  <c r="M1793" i="13"/>
  <c r="M1792" i="13"/>
  <c r="M1791" i="13"/>
  <c r="M1790" i="13"/>
  <c r="M1789" i="13"/>
  <c r="M1788" i="13"/>
  <c r="M1787" i="13"/>
  <c r="M1786" i="13"/>
  <c r="M1785" i="13"/>
  <c r="M1784" i="13"/>
  <c r="M1783" i="13"/>
  <c r="M1782" i="13"/>
  <c r="M1781" i="13"/>
  <c r="M1780" i="13"/>
  <c r="M1779" i="13"/>
  <c r="M1778" i="13"/>
  <c r="M1777" i="13"/>
  <c r="M1776" i="13"/>
  <c r="M1775" i="13"/>
  <c r="M1774" i="13"/>
  <c r="M1773" i="13"/>
  <c r="M1772" i="13"/>
  <c r="M1771" i="13"/>
  <c r="M1770" i="13"/>
  <c r="M1769" i="13"/>
  <c r="M1768" i="13"/>
  <c r="M1767" i="13"/>
  <c r="M1766" i="13"/>
  <c r="M1765" i="13"/>
  <c r="M1764" i="13"/>
  <c r="M1763" i="13"/>
  <c r="M1762" i="13"/>
  <c r="M1761" i="13"/>
  <c r="M1760" i="13"/>
  <c r="M1759" i="13"/>
  <c r="M1758" i="13"/>
  <c r="M1757" i="13"/>
  <c r="M1756" i="13"/>
  <c r="M1755" i="13"/>
  <c r="M1754" i="13"/>
  <c r="M1753" i="13"/>
  <c r="M1752" i="13"/>
  <c r="M1751" i="13"/>
  <c r="M1750" i="13"/>
  <c r="M1749" i="13"/>
  <c r="M1748" i="13"/>
  <c r="M1747" i="13"/>
  <c r="M1746" i="13"/>
  <c r="M1745" i="13"/>
  <c r="M1744" i="13"/>
  <c r="M1743" i="13"/>
  <c r="M1742" i="13"/>
  <c r="M1741" i="13"/>
  <c r="M1740" i="13"/>
  <c r="M1739" i="13"/>
  <c r="M1738" i="13"/>
  <c r="M1737" i="13"/>
  <c r="M1736" i="13"/>
  <c r="M1735" i="13"/>
  <c r="M1734" i="13"/>
  <c r="M1733" i="13"/>
  <c r="M1732" i="13"/>
  <c r="M1731" i="13"/>
  <c r="M1730" i="13"/>
  <c r="M1729" i="13"/>
  <c r="M1728" i="13"/>
  <c r="M1727" i="13"/>
  <c r="M1726" i="13"/>
  <c r="M1725" i="13"/>
  <c r="M1724" i="13"/>
  <c r="M1723" i="13"/>
  <c r="M1722" i="13"/>
  <c r="M1721" i="13"/>
  <c r="M1720" i="13"/>
  <c r="M1719" i="13"/>
  <c r="M1718" i="13"/>
  <c r="M1717" i="13"/>
  <c r="M1716" i="13"/>
  <c r="M1715" i="13"/>
  <c r="M1714" i="13"/>
  <c r="M1713" i="13"/>
  <c r="M1712" i="13"/>
  <c r="M1711" i="13"/>
  <c r="M1710" i="13"/>
  <c r="M1709" i="13"/>
  <c r="M1708" i="13"/>
  <c r="M1707" i="13"/>
  <c r="M1706" i="13"/>
  <c r="M1705" i="13"/>
  <c r="M1704" i="13"/>
  <c r="M1703" i="13"/>
  <c r="M1702" i="13"/>
  <c r="M1701" i="13"/>
  <c r="M1700" i="13"/>
  <c r="M1699" i="13"/>
  <c r="M1698" i="13"/>
  <c r="M1697" i="13"/>
  <c r="M1696" i="13"/>
  <c r="M1695" i="13"/>
  <c r="M1694" i="13"/>
  <c r="M1693" i="13"/>
  <c r="M1692" i="13"/>
  <c r="M1691" i="13"/>
  <c r="M1690" i="13"/>
  <c r="M1689" i="13"/>
  <c r="M1688" i="13"/>
  <c r="M1687" i="13"/>
  <c r="M1686" i="13"/>
  <c r="M1685" i="13"/>
  <c r="M1684" i="13"/>
  <c r="M1683" i="13"/>
  <c r="M1682" i="13"/>
  <c r="M1681" i="13"/>
  <c r="M1680" i="13"/>
  <c r="M1679" i="13"/>
  <c r="M1678" i="13"/>
  <c r="M1677" i="13"/>
  <c r="M1676" i="13"/>
  <c r="M1675" i="13"/>
  <c r="M1674" i="13"/>
  <c r="M1673" i="13"/>
  <c r="M1672" i="13"/>
  <c r="M1671" i="13"/>
  <c r="M1670" i="13"/>
  <c r="M1669" i="13"/>
  <c r="M1668" i="13"/>
  <c r="M1667" i="13"/>
  <c r="M1666" i="13"/>
  <c r="M1665" i="13"/>
  <c r="M1664" i="13"/>
  <c r="M1663" i="13"/>
  <c r="M1662" i="13"/>
  <c r="M1661" i="13"/>
  <c r="M1660" i="13"/>
  <c r="M1659" i="13"/>
  <c r="M1658" i="13"/>
  <c r="M1657" i="13"/>
  <c r="M1656" i="13"/>
  <c r="M1655" i="13"/>
  <c r="M1654" i="13"/>
  <c r="M1653" i="13"/>
  <c r="M1652" i="13"/>
  <c r="M1651" i="13"/>
  <c r="M1650" i="13"/>
  <c r="M1649" i="13"/>
  <c r="M1648" i="13"/>
  <c r="M1647" i="13"/>
  <c r="M1646" i="13"/>
  <c r="M1645" i="13"/>
  <c r="M1644" i="13"/>
  <c r="M1643" i="13"/>
  <c r="M1642" i="13"/>
  <c r="M1641" i="13"/>
  <c r="M1640" i="13"/>
  <c r="M1639" i="13"/>
  <c r="M1638" i="13"/>
  <c r="M1637" i="13"/>
  <c r="M1636" i="13"/>
  <c r="M1635" i="13"/>
  <c r="M1634" i="13"/>
  <c r="M1633" i="13"/>
  <c r="M1632" i="13"/>
  <c r="M1631" i="13"/>
  <c r="M1630" i="13"/>
  <c r="M1629" i="13"/>
  <c r="M1628" i="13"/>
  <c r="M1627" i="13"/>
  <c r="M1626" i="13"/>
  <c r="M1625" i="13"/>
  <c r="M1624" i="13"/>
  <c r="M1623" i="13"/>
  <c r="M1622" i="13"/>
  <c r="M1621" i="13"/>
  <c r="M1620" i="13"/>
  <c r="M1619" i="13"/>
  <c r="M1618" i="13"/>
  <c r="M1617" i="13"/>
  <c r="M1616" i="13"/>
  <c r="M1615" i="13"/>
  <c r="M1614" i="13"/>
  <c r="M1613" i="13"/>
  <c r="M1612" i="13"/>
  <c r="M1611" i="13"/>
  <c r="M1610" i="13"/>
  <c r="M1609" i="13"/>
  <c r="M1608" i="13"/>
  <c r="M1607" i="13"/>
  <c r="M1606" i="13"/>
  <c r="M1605" i="13"/>
  <c r="M1604" i="13"/>
  <c r="M1603" i="13"/>
  <c r="M1602" i="13"/>
  <c r="M1601" i="13"/>
  <c r="M1600" i="13"/>
  <c r="M1599" i="13"/>
  <c r="M1598" i="13"/>
  <c r="M1597" i="13"/>
  <c r="M1596" i="13"/>
  <c r="M1595" i="13"/>
  <c r="M1594" i="13"/>
  <c r="M1593" i="13"/>
  <c r="M1592" i="13"/>
  <c r="M1591" i="13"/>
  <c r="M1590" i="13"/>
  <c r="M1589" i="13"/>
  <c r="M1588" i="13"/>
  <c r="M1587" i="13"/>
  <c r="M1586" i="13"/>
  <c r="M1585" i="13"/>
  <c r="M1584" i="13"/>
  <c r="M1583" i="13"/>
  <c r="M1582" i="13"/>
  <c r="M1581" i="13"/>
  <c r="M1580" i="13"/>
  <c r="M1579" i="13"/>
  <c r="M1578" i="13"/>
  <c r="M1577" i="13"/>
  <c r="M1576" i="13"/>
  <c r="M1575" i="13"/>
  <c r="M1574" i="13"/>
  <c r="M1573" i="13"/>
  <c r="M1572" i="13"/>
  <c r="M1571" i="13"/>
  <c r="M1570" i="13"/>
  <c r="M1569" i="13"/>
  <c r="M1568" i="13"/>
  <c r="M1567" i="13"/>
  <c r="M1566" i="13"/>
  <c r="M1565" i="13"/>
  <c r="M1564" i="13"/>
  <c r="M1563" i="13"/>
  <c r="M1562" i="13"/>
  <c r="M1561" i="13"/>
  <c r="M1560" i="13"/>
  <c r="M1559" i="13"/>
  <c r="M1558" i="13"/>
  <c r="M1557" i="13"/>
  <c r="M1556" i="13"/>
  <c r="M1555" i="13"/>
  <c r="M1554" i="13"/>
  <c r="M1553" i="13"/>
  <c r="M1552" i="13"/>
  <c r="M1551" i="13"/>
  <c r="M1550" i="13"/>
  <c r="M1549" i="13"/>
  <c r="M1548" i="13"/>
  <c r="M1547" i="13"/>
  <c r="M1546" i="13"/>
  <c r="M1545" i="13"/>
  <c r="M1544" i="13"/>
  <c r="M1543" i="13"/>
  <c r="M1542" i="13"/>
  <c r="M1541" i="13"/>
  <c r="M1540" i="13"/>
  <c r="M1539" i="13"/>
  <c r="M1538" i="13"/>
  <c r="M1537" i="13"/>
  <c r="M1536" i="13"/>
  <c r="M1535" i="13"/>
  <c r="M1534" i="13"/>
  <c r="M1533" i="13"/>
  <c r="M1532" i="13"/>
  <c r="M1531" i="13"/>
  <c r="M1530" i="13"/>
  <c r="M1529" i="13"/>
  <c r="M1528" i="13"/>
  <c r="M1527" i="13"/>
  <c r="M1526" i="13"/>
  <c r="M1525" i="13"/>
  <c r="M1524" i="13"/>
  <c r="M1523" i="13"/>
  <c r="M1522" i="13"/>
  <c r="M1521" i="13"/>
  <c r="M1520" i="13"/>
  <c r="M1519" i="13"/>
  <c r="M1518" i="13"/>
  <c r="M1517" i="13"/>
  <c r="M1516" i="13"/>
  <c r="M1515" i="13"/>
  <c r="M1514" i="13"/>
  <c r="M1513" i="13"/>
  <c r="M1512" i="13"/>
  <c r="M1511" i="13"/>
  <c r="M1510" i="13"/>
  <c r="M1509" i="13"/>
  <c r="M1508" i="13"/>
  <c r="M1507" i="13"/>
  <c r="M1506" i="13"/>
  <c r="M1505" i="13"/>
  <c r="M1504" i="13"/>
  <c r="M1503" i="13"/>
  <c r="M1502" i="13"/>
  <c r="M1501" i="13"/>
  <c r="M1500" i="13"/>
  <c r="M1499" i="13"/>
  <c r="M1498" i="13"/>
  <c r="M1497" i="13"/>
  <c r="M1496" i="13"/>
  <c r="M1495" i="13"/>
  <c r="M1494" i="13"/>
  <c r="M1493" i="13"/>
  <c r="M1492" i="13"/>
  <c r="M1491" i="13"/>
  <c r="M1490" i="13"/>
  <c r="M1489" i="13"/>
  <c r="M1488" i="13"/>
  <c r="M1487" i="13"/>
  <c r="M1486" i="13"/>
  <c r="M1485" i="13"/>
  <c r="M1484" i="13"/>
  <c r="M1483" i="13"/>
  <c r="M1482" i="13"/>
  <c r="M1481" i="13"/>
  <c r="M1480" i="13"/>
  <c r="M1479" i="13"/>
  <c r="M1478" i="13"/>
  <c r="M1477" i="13"/>
  <c r="M1476" i="13"/>
  <c r="M1475" i="13"/>
  <c r="M1474" i="13"/>
  <c r="M1473" i="13"/>
  <c r="M1472" i="13"/>
  <c r="M1471" i="13"/>
  <c r="M1470" i="13"/>
  <c r="M1469" i="13"/>
  <c r="M1468" i="13"/>
  <c r="M1467" i="13"/>
  <c r="M1466" i="13"/>
  <c r="M1465" i="13"/>
  <c r="M1464" i="13"/>
  <c r="M1463" i="13"/>
  <c r="M1462" i="13"/>
  <c r="M1461" i="13"/>
  <c r="M1460" i="13"/>
  <c r="M1459" i="13"/>
  <c r="M1458" i="13"/>
  <c r="M1457" i="13"/>
  <c r="M1456" i="13"/>
  <c r="M1455" i="13"/>
  <c r="M1454" i="13"/>
  <c r="M1453" i="13"/>
  <c r="M1452" i="13"/>
  <c r="M1451" i="13"/>
  <c r="M1450" i="13"/>
  <c r="M1449" i="13"/>
  <c r="M1448" i="13"/>
  <c r="M1447" i="13"/>
  <c r="M1446" i="13"/>
  <c r="M1445" i="13"/>
  <c r="M1444" i="13"/>
  <c r="M1443" i="13"/>
  <c r="M1442" i="13"/>
  <c r="M1441" i="13"/>
  <c r="M1440" i="13"/>
  <c r="M1439" i="13"/>
  <c r="M1438" i="13"/>
  <c r="M1437" i="13"/>
  <c r="M1436" i="13"/>
  <c r="M1435" i="13"/>
  <c r="M1434" i="13"/>
  <c r="M1433" i="13"/>
  <c r="M1432" i="13"/>
  <c r="M1431" i="13"/>
  <c r="M1430" i="13"/>
  <c r="M1429" i="13"/>
  <c r="M1428" i="13"/>
  <c r="M1427" i="13"/>
  <c r="M1426" i="13"/>
  <c r="M1425" i="13"/>
  <c r="M1424" i="13"/>
  <c r="M1423" i="13"/>
  <c r="M1422" i="13"/>
  <c r="M1421" i="13"/>
  <c r="M1420" i="13"/>
  <c r="M1419" i="13"/>
  <c r="M1418" i="13"/>
  <c r="M1417" i="13"/>
  <c r="M1416" i="13"/>
  <c r="M1415" i="13"/>
  <c r="M1414" i="13"/>
  <c r="M1413" i="13"/>
  <c r="M1412" i="13"/>
  <c r="M1411" i="13"/>
  <c r="M1410" i="13"/>
  <c r="M1409" i="13"/>
  <c r="M1408" i="13"/>
  <c r="M1407" i="13"/>
  <c r="M1406" i="13"/>
  <c r="M1405" i="13"/>
  <c r="M1404" i="13"/>
  <c r="M1403" i="13"/>
  <c r="M1402" i="13"/>
  <c r="M1401" i="13"/>
  <c r="M1400" i="13"/>
  <c r="M1399" i="13"/>
  <c r="M1398" i="13"/>
  <c r="M1397" i="13"/>
  <c r="M1396" i="13"/>
  <c r="M1395" i="13"/>
  <c r="M1394" i="13"/>
  <c r="M1393" i="13"/>
  <c r="M1392" i="13"/>
  <c r="M1391" i="13"/>
  <c r="M1390" i="13"/>
  <c r="M1389" i="13"/>
  <c r="M1388" i="13"/>
  <c r="M1387" i="13"/>
  <c r="M1386" i="13"/>
  <c r="M1385" i="13"/>
  <c r="M1384" i="13"/>
  <c r="M1383" i="13"/>
  <c r="M1382" i="13"/>
  <c r="M1381" i="13"/>
  <c r="M1380" i="13"/>
  <c r="M1379" i="13"/>
  <c r="M1378" i="13"/>
  <c r="M1377" i="13"/>
  <c r="M1376" i="13"/>
  <c r="M1375" i="13"/>
  <c r="M1374" i="13"/>
  <c r="M1373" i="13"/>
  <c r="M1372" i="13"/>
  <c r="M1371" i="13"/>
  <c r="M1370" i="13"/>
  <c r="M1369" i="13"/>
  <c r="M1368" i="13"/>
  <c r="M1367" i="13"/>
  <c r="M1366" i="13"/>
  <c r="M1365" i="13"/>
  <c r="M1364" i="13"/>
  <c r="M1363" i="13"/>
  <c r="M1362" i="13"/>
  <c r="M1361" i="13"/>
  <c r="M1360" i="13"/>
  <c r="M1359" i="13"/>
  <c r="M1358" i="13"/>
  <c r="M1357" i="13"/>
  <c r="M1356" i="13"/>
  <c r="M1355" i="13"/>
  <c r="M1354" i="13"/>
  <c r="M1353" i="13"/>
  <c r="M1352" i="13"/>
  <c r="M1351" i="13"/>
  <c r="M1350" i="13"/>
  <c r="M1349" i="13"/>
  <c r="M1348" i="13"/>
  <c r="M1347" i="13"/>
  <c r="M1346" i="13"/>
  <c r="M1345" i="13"/>
  <c r="M1344" i="13"/>
  <c r="M1343" i="13"/>
  <c r="M1342" i="13"/>
  <c r="M1341" i="13"/>
  <c r="M1340" i="13"/>
  <c r="M1339" i="13"/>
  <c r="M1338" i="13"/>
  <c r="M1337" i="13"/>
  <c r="M1336" i="13"/>
  <c r="M1335" i="13"/>
  <c r="M1334" i="13"/>
  <c r="M1333" i="13"/>
  <c r="M1332" i="13"/>
  <c r="M1331" i="13"/>
  <c r="M1330" i="13"/>
  <c r="M1329" i="13"/>
  <c r="M1328" i="13"/>
  <c r="M1327" i="13"/>
  <c r="M1326" i="13"/>
  <c r="M1325" i="13"/>
  <c r="M1324" i="13"/>
  <c r="M1323" i="13"/>
  <c r="M1322" i="13"/>
  <c r="M1321" i="13"/>
  <c r="M1320" i="13"/>
  <c r="M1319" i="13"/>
  <c r="M1318" i="13"/>
  <c r="M1317" i="13"/>
  <c r="M1316" i="13"/>
  <c r="M1315" i="13"/>
  <c r="M1314" i="13"/>
  <c r="M1313" i="13"/>
  <c r="M1312" i="13"/>
  <c r="M1311" i="13"/>
  <c r="M1310" i="13"/>
  <c r="M1309" i="13"/>
  <c r="M1308" i="13"/>
  <c r="M1307" i="13"/>
  <c r="M1306" i="13"/>
  <c r="M1305" i="13"/>
  <c r="M1304" i="13"/>
  <c r="M1303" i="13"/>
  <c r="M1302" i="13"/>
  <c r="M1301" i="13"/>
  <c r="M1300" i="13"/>
  <c r="M1299" i="13"/>
  <c r="M1298" i="13"/>
  <c r="M1297" i="13"/>
  <c r="M1296" i="13"/>
  <c r="M1295" i="13"/>
  <c r="M1294" i="13"/>
  <c r="M1293" i="13"/>
  <c r="M1292" i="13"/>
  <c r="M1291" i="13"/>
  <c r="M1290" i="13"/>
  <c r="M1289" i="13"/>
  <c r="M1288" i="13"/>
  <c r="M1287" i="13"/>
  <c r="M1286" i="13"/>
  <c r="M1285" i="13"/>
  <c r="M1284" i="13"/>
  <c r="M1283" i="13"/>
  <c r="M1282" i="13"/>
  <c r="M1281" i="13"/>
  <c r="M1280" i="13"/>
  <c r="M1279" i="13"/>
  <c r="M1278" i="13"/>
  <c r="M1277" i="13"/>
  <c r="M1276" i="13"/>
  <c r="M1275" i="13"/>
  <c r="M1274" i="13"/>
  <c r="M1273" i="13"/>
  <c r="M1272" i="13"/>
  <c r="M1271" i="13"/>
  <c r="M1270" i="13"/>
  <c r="M1269" i="13"/>
  <c r="M1268" i="13"/>
  <c r="M1267" i="13"/>
  <c r="M1266" i="13"/>
  <c r="M1265" i="13"/>
  <c r="M1264" i="13"/>
  <c r="M1263" i="13"/>
  <c r="M1262" i="13"/>
  <c r="M1261" i="13"/>
  <c r="M1260" i="13"/>
  <c r="M1259" i="13"/>
  <c r="M1258" i="13"/>
  <c r="M1257" i="13"/>
  <c r="M1256" i="13"/>
  <c r="M1255" i="13"/>
  <c r="M1254" i="13"/>
  <c r="M1253" i="13"/>
  <c r="M1252" i="13"/>
  <c r="M1251" i="13"/>
  <c r="M1250" i="13"/>
  <c r="M1249" i="13"/>
  <c r="M1248" i="13"/>
  <c r="M1247" i="13"/>
  <c r="M1246" i="13"/>
  <c r="M1245" i="13"/>
  <c r="M1244" i="13"/>
  <c r="M1243" i="13"/>
  <c r="M1242" i="13"/>
  <c r="M1241" i="13"/>
  <c r="M1240" i="13"/>
  <c r="M1239" i="13"/>
  <c r="M1238" i="13"/>
  <c r="M1237" i="13"/>
  <c r="M1236" i="13"/>
  <c r="M1235" i="13"/>
  <c r="M1234" i="13"/>
  <c r="M1233" i="13"/>
  <c r="M1232" i="13"/>
  <c r="M1231" i="13"/>
  <c r="M1230" i="13"/>
  <c r="M1229" i="13"/>
  <c r="M1228" i="13"/>
  <c r="M1227" i="13"/>
  <c r="M1226" i="13"/>
  <c r="M1225" i="13"/>
  <c r="M1224" i="13"/>
  <c r="M1223" i="13"/>
  <c r="M1222" i="13"/>
  <c r="M1221" i="13"/>
  <c r="M1220" i="13"/>
  <c r="M1219" i="13"/>
  <c r="M1218" i="13"/>
  <c r="M1217" i="13"/>
  <c r="M1216" i="13"/>
  <c r="M1215" i="13"/>
  <c r="M1214" i="13"/>
  <c r="M1213" i="13"/>
  <c r="M1212" i="13"/>
  <c r="M1211" i="13"/>
  <c r="M1210" i="13"/>
  <c r="M1209" i="13"/>
  <c r="M1208" i="13"/>
  <c r="M1207" i="13"/>
  <c r="M1206" i="13"/>
  <c r="M1205" i="13"/>
  <c r="M1204" i="13"/>
  <c r="M1203" i="13"/>
  <c r="M1202" i="13"/>
  <c r="M1201" i="13"/>
  <c r="M1200" i="13"/>
  <c r="M1199" i="13"/>
  <c r="M1198" i="13"/>
  <c r="M1197" i="13"/>
  <c r="M1196" i="13"/>
  <c r="M1195" i="13"/>
  <c r="M1194" i="13"/>
  <c r="M1193" i="13"/>
  <c r="M1192" i="13"/>
  <c r="M1191" i="13"/>
  <c r="M1190" i="13"/>
  <c r="M1189" i="13"/>
  <c r="M1188" i="13"/>
  <c r="M1187" i="13"/>
  <c r="M1186" i="13"/>
  <c r="M1185" i="13"/>
  <c r="M1184" i="13"/>
  <c r="M1183" i="13"/>
  <c r="M1182" i="13"/>
  <c r="M1181" i="13"/>
  <c r="M1180" i="13"/>
  <c r="M1179" i="13"/>
  <c r="M1178" i="13"/>
  <c r="M1177" i="13"/>
  <c r="M1176" i="13"/>
  <c r="M1175" i="13"/>
  <c r="M1174" i="13"/>
  <c r="M1173" i="13"/>
  <c r="M1172" i="13"/>
  <c r="M1171" i="13"/>
  <c r="M1170" i="13"/>
  <c r="M1169" i="13"/>
  <c r="M1168" i="13"/>
  <c r="M1167" i="13"/>
  <c r="M1166" i="13"/>
  <c r="M1165" i="13"/>
  <c r="M1164" i="13"/>
  <c r="M1163" i="13"/>
  <c r="M1162" i="13"/>
  <c r="M1161" i="13"/>
  <c r="M1160" i="13"/>
  <c r="M1159" i="13"/>
  <c r="M1158" i="13"/>
  <c r="M1157" i="13"/>
  <c r="M1156" i="13"/>
  <c r="M1155" i="13"/>
  <c r="M1154" i="13"/>
  <c r="M1153" i="13"/>
  <c r="M1152" i="13"/>
  <c r="M1151" i="13"/>
  <c r="M1150" i="13"/>
  <c r="M1149" i="13"/>
  <c r="M1148" i="13"/>
  <c r="M1147" i="13"/>
  <c r="M1146" i="13"/>
  <c r="M1145" i="13"/>
  <c r="M1144" i="13"/>
  <c r="M1143" i="13"/>
  <c r="M1142" i="13"/>
  <c r="M1141" i="13"/>
  <c r="M1140" i="13"/>
  <c r="M1139" i="13"/>
  <c r="M1138" i="13"/>
  <c r="M1137" i="13"/>
  <c r="M1136" i="13"/>
  <c r="M1135" i="13"/>
  <c r="M1134" i="13"/>
  <c r="M1133" i="13"/>
  <c r="M1132" i="13"/>
  <c r="M1131" i="13"/>
  <c r="M1130" i="13"/>
  <c r="M1129" i="13"/>
  <c r="M1128" i="13"/>
  <c r="M1127" i="13"/>
  <c r="M1126" i="13"/>
  <c r="M1125" i="13"/>
  <c r="M1124" i="13"/>
  <c r="M1123" i="13"/>
  <c r="M1122" i="13"/>
  <c r="M1121" i="13"/>
  <c r="M1120" i="13"/>
  <c r="M1119" i="13"/>
  <c r="M1118" i="13"/>
  <c r="M1117" i="13"/>
  <c r="M1116" i="13"/>
  <c r="M1115" i="13"/>
  <c r="M1114" i="13"/>
  <c r="M1113" i="13"/>
  <c r="M1112" i="13"/>
  <c r="M1111" i="13"/>
  <c r="M1110" i="13"/>
  <c r="M1109" i="13"/>
  <c r="M1108" i="13"/>
  <c r="M1107" i="13"/>
  <c r="M1106" i="13"/>
  <c r="M1105" i="13"/>
  <c r="M1104" i="13"/>
  <c r="M1103" i="13"/>
  <c r="M1102" i="13"/>
  <c r="M1101" i="13"/>
  <c r="M1100" i="13"/>
  <c r="M1099" i="13"/>
  <c r="M1098" i="13"/>
  <c r="M1097" i="13"/>
  <c r="M1096" i="13"/>
  <c r="M1095" i="13"/>
  <c r="M1094" i="13"/>
  <c r="M1093" i="13"/>
  <c r="M1092" i="13"/>
  <c r="M1091" i="13"/>
  <c r="M1090" i="13"/>
  <c r="M1089" i="13"/>
  <c r="M1088" i="13"/>
  <c r="M1087" i="13"/>
  <c r="M1086" i="13"/>
  <c r="M1085" i="13"/>
  <c r="M1084" i="13"/>
  <c r="M1083" i="13"/>
  <c r="M1082" i="13"/>
  <c r="M1081" i="13"/>
  <c r="M1080" i="13"/>
  <c r="M1079" i="13"/>
  <c r="M1078" i="13"/>
  <c r="M1077" i="13"/>
  <c r="M1076" i="13"/>
  <c r="M1075" i="13"/>
  <c r="M1074" i="13"/>
  <c r="M1073" i="13"/>
  <c r="M1072" i="13"/>
  <c r="M1071" i="13"/>
  <c r="M1070" i="13"/>
  <c r="M1069" i="13"/>
  <c r="M1068" i="13"/>
  <c r="M1067" i="13"/>
  <c r="M1066" i="13"/>
  <c r="M1065" i="13"/>
  <c r="M1064" i="13"/>
  <c r="M1063" i="13"/>
  <c r="M1062" i="13"/>
  <c r="M1061" i="13"/>
  <c r="M1060" i="13"/>
  <c r="M1059" i="13"/>
  <c r="M1058" i="13"/>
  <c r="M1057" i="13"/>
  <c r="M1056" i="13"/>
  <c r="M1055" i="13"/>
  <c r="M1054" i="13"/>
  <c r="M1053" i="13"/>
  <c r="M1052" i="13"/>
  <c r="M1051" i="13"/>
  <c r="M1050" i="13"/>
  <c r="M1049" i="13"/>
  <c r="M1048" i="13"/>
  <c r="M1047" i="13"/>
  <c r="M1046" i="13"/>
  <c r="M1045" i="13"/>
  <c r="M1044" i="13"/>
  <c r="M1043" i="13"/>
  <c r="M1042" i="13"/>
  <c r="M1041" i="13"/>
  <c r="M1040" i="13"/>
  <c r="M1039" i="13"/>
  <c r="M1038" i="13"/>
  <c r="M1037" i="13"/>
  <c r="M1036" i="13"/>
  <c r="M1035" i="13"/>
  <c r="M1034" i="13"/>
  <c r="M1033" i="13"/>
  <c r="M1032" i="13"/>
  <c r="M1031" i="13"/>
  <c r="M1030" i="13"/>
  <c r="M1029" i="13"/>
  <c r="M1028" i="13"/>
  <c r="M1027" i="13"/>
  <c r="M1026" i="13"/>
  <c r="M1025" i="13"/>
  <c r="M1024" i="13"/>
  <c r="M1023" i="13"/>
  <c r="M1022" i="13"/>
  <c r="M1021" i="13"/>
  <c r="M1020" i="13"/>
  <c r="M1019" i="13"/>
  <c r="M1018" i="13"/>
  <c r="M1017" i="13"/>
  <c r="M1016" i="13"/>
  <c r="M1015" i="13"/>
  <c r="M1014" i="13"/>
  <c r="M1013" i="13"/>
  <c r="M1012" i="13"/>
  <c r="M1011" i="13"/>
  <c r="M1010" i="13"/>
  <c r="M1009" i="13"/>
  <c r="M1008" i="13"/>
  <c r="M1007" i="13"/>
  <c r="M1006" i="13"/>
  <c r="M1005" i="13"/>
  <c r="M1004" i="13"/>
  <c r="M1003" i="13"/>
  <c r="M1002" i="13"/>
  <c r="M1001" i="13"/>
  <c r="M1000" i="13"/>
  <c r="M999" i="13"/>
  <c r="M998" i="13"/>
  <c r="M997" i="13"/>
  <c r="M996" i="13"/>
  <c r="M995" i="13"/>
  <c r="M994" i="13"/>
  <c r="M993" i="13"/>
  <c r="M992" i="13"/>
  <c r="M991" i="13"/>
  <c r="M990" i="13"/>
  <c r="M989" i="13"/>
  <c r="M988" i="13"/>
  <c r="M987" i="13"/>
  <c r="M986" i="13"/>
  <c r="M985" i="13"/>
  <c r="M984" i="13"/>
  <c r="M983" i="13"/>
  <c r="M982" i="13"/>
  <c r="M981" i="13"/>
  <c r="M980" i="13"/>
  <c r="M979" i="13"/>
  <c r="M978" i="13"/>
  <c r="M977" i="13"/>
  <c r="M976" i="13"/>
  <c r="M975" i="13"/>
  <c r="M974" i="13"/>
  <c r="M973" i="13"/>
  <c r="M972" i="13"/>
  <c r="M971" i="13"/>
  <c r="M970" i="13"/>
  <c r="M969" i="13"/>
  <c r="M968" i="13"/>
  <c r="M967" i="13"/>
  <c r="M966" i="13"/>
  <c r="M965" i="13"/>
  <c r="M964" i="13"/>
  <c r="M963" i="13"/>
  <c r="M962" i="13"/>
  <c r="M961" i="13"/>
  <c r="M960" i="13"/>
  <c r="M959" i="13"/>
  <c r="M958" i="13"/>
  <c r="M957" i="13"/>
  <c r="M956" i="13"/>
  <c r="M955" i="13"/>
  <c r="M954" i="13"/>
  <c r="M953" i="13"/>
  <c r="M952" i="13"/>
  <c r="M951" i="13"/>
  <c r="M950" i="13"/>
  <c r="M949" i="13"/>
  <c r="M948" i="13"/>
  <c r="M947" i="13"/>
  <c r="M946" i="13"/>
  <c r="M945" i="13"/>
  <c r="M944" i="13"/>
  <c r="M943" i="13"/>
  <c r="M942" i="13"/>
  <c r="M941" i="13"/>
  <c r="M940" i="13"/>
  <c r="M939" i="13"/>
  <c r="M938" i="13"/>
  <c r="M937" i="13"/>
  <c r="M936" i="13"/>
  <c r="M935" i="13"/>
  <c r="M934" i="13"/>
  <c r="M933" i="13"/>
  <c r="M932" i="13"/>
  <c r="M931" i="13"/>
  <c r="M930" i="13"/>
  <c r="M929" i="13"/>
  <c r="M928" i="13"/>
  <c r="M927" i="13"/>
  <c r="M926" i="13"/>
  <c r="M925" i="13"/>
  <c r="M924" i="13"/>
  <c r="M923" i="13"/>
  <c r="M922" i="13"/>
  <c r="M921" i="13"/>
  <c r="M920" i="13"/>
  <c r="M919" i="13"/>
  <c r="M918" i="13"/>
  <c r="M917" i="13"/>
  <c r="M916" i="13"/>
  <c r="M915" i="13"/>
  <c r="M914" i="13"/>
  <c r="M913" i="13"/>
  <c r="M912" i="13"/>
  <c r="M911" i="13"/>
  <c r="M910" i="13"/>
  <c r="M909" i="13"/>
  <c r="M908" i="13"/>
  <c r="M907" i="13"/>
  <c r="M906" i="13"/>
  <c r="M905" i="13"/>
  <c r="M904" i="13"/>
  <c r="M903" i="13"/>
  <c r="M902" i="13"/>
  <c r="M901" i="13"/>
  <c r="M900" i="13"/>
  <c r="M899" i="13"/>
  <c r="M898" i="13"/>
  <c r="M897" i="13"/>
  <c r="M896" i="13"/>
  <c r="M895" i="13"/>
  <c r="M894" i="13"/>
  <c r="M893" i="13"/>
  <c r="M892" i="13"/>
  <c r="M891" i="13"/>
  <c r="M890" i="13"/>
  <c r="M889" i="13"/>
  <c r="M888" i="13"/>
  <c r="M887" i="13"/>
  <c r="M886" i="13"/>
  <c r="M885" i="13"/>
  <c r="M884" i="13"/>
  <c r="M883" i="13"/>
  <c r="M882" i="13"/>
  <c r="M881" i="13"/>
  <c r="M880" i="13"/>
  <c r="M879" i="13"/>
  <c r="M878" i="13"/>
  <c r="M877" i="13"/>
  <c r="M876" i="13"/>
  <c r="M875" i="13"/>
  <c r="M874" i="13"/>
  <c r="M873" i="13"/>
  <c r="M872" i="13"/>
  <c r="M871" i="13"/>
  <c r="M870" i="13"/>
  <c r="M869" i="13"/>
  <c r="M868" i="13"/>
  <c r="M867" i="13"/>
  <c r="M866" i="13"/>
  <c r="M865" i="13"/>
  <c r="M864" i="13"/>
  <c r="M863" i="13"/>
  <c r="M862" i="13"/>
  <c r="M861" i="13"/>
  <c r="M860" i="13"/>
  <c r="M859" i="13"/>
  <c r="M858" i="13"/>
  <c r="M857" i="13"/>
  <c r="M856" i="13"/>
  <c r="M855" i="13"/>
  <c r="M854" i="13"/>
  <c r="M853" i="13"/>
  <c r="M852" i="13"/>
  <c r="M851" i="13"/>
  <c r="M850" i="13"/>
  <c r="M849" i="13"/>
  <c r="M848" i="13"/>
  <c r="M847" i="13"/>
  <c r="M846" i="13"/>
  <c r="M845" i="13"/>
  <c r="M844" i="13"/>
  <c r="M843" i="13"/>
  <c r="M842" i="13"/>
  <c r="M841" i="13"/>
  <c r="M840" i="13"/>
  <c r="M839" i="13"/>
  <c r="M838" i="13"/>
  <c r="M837" i="13"/>
  <c r="M836" i="13"/>
  <c r="M835" i="13"/>
  <c r="M834" i="13"/>
  <c r="M833" i="13"/>
  <c r="M832" i="13"/>
  <c r="M831" i="13"/>
  <c r="M830" i="13"/>
  <c r="M829" i="13"/>
  <c r="M828" i="13"/>
  <c r="M827" i="13"/>
  <c r="M826" i="13"/>
  <c r="M825" i="13"/>
  <c r="M824" i="13"/>
  <c r="M823" i="13"/>
  <c r="M822" i="13"/>
  <c r="M821" i="13"/>
  <c r="M820" i="13"/>
  <c r="M819" i="13"/>
  <c r="M818" i="13"/>
  <c r="M817" i="13"/>
  <c r="M816" i="13"/>
  <c r="M815" i="13"/>
  <c r="M814" i="13"/>
  <c r="M813" i="13"/>
  <c r="M812" i="13"/>
  <c r="M811" i="13"/>
  <c r="M810" i="13"/>
  <c r="M809" i="13"/>
  <c r="M808" i="13"/>
  <c r="M807" i="13"/>
  <c r="M806" i="13"/>
  <c r="M805" i="13"/>
  <c r="M804" i="13"/>
  <c r="M803" i="13"/>
  <c r="M802" i="13"/>
  <c r="M801" i="13"/>
  <c r="M800" i="13"/>
  <c r="M799" i="13"/>
  <c r="M798" i="13"/>
  <c r="M797" i="13"/>
  <c r="M796" i="13"/>
  <c r="M795" i="13"/>
  <c r="M794" i="13"/>
  <c r="M793" i="13"/>
  <c r="M792" i="13"/>
  <c r="M791" i="13"/>
  <c r="M790" i="13"/>
  <c r="M789" i="13"/>
  <c r="M788" i="13"/>
  <c r="M787" i="13"/>
  <c r="M786" i="13"/>
  <c r="M785" i="13"/>
  <c r="M784" i="13"/>
  <c r="M783" i="13"/>
  <c r="M782" i="13"/>
  <c r="M781" i="13"/>
  <c r="M780" i="13"/>
  <c r="M779" i="13"/>
  <c r="M778" i="13"/>
  <c r="M777" i="13"/>
  <c r="M776" i="13"/>
  <c r="M775" i="13"/>
  <c r="M774" i="13"/>
  <c r="M773" i="13"/>
  <c r="M772" i="13"/>
  <c r="M771" i="13"/>
  <c r="M770" i="13"/>
  <c r="M769" i="13"/>
  <c r="M768" i="13"/>
  <c r="M767" i="13"/>
  <c r="M766" i="13"/>
  <c r="M765" i="13"/>
  <c r="M764" i="13"/>
  <c r="M763" i="13"/>
  <c r="M762" i="13"/>
  <c r="M761" i="13"/>
  <c r="M760" i="13"/>
  <c r="M759" i="13"/>
  <c r="M758" i="13"/>
  <c r="M757" i="13"/>
  <c r="M756" i="13"/>
  <c r="M755" i="13"/>
  <c r="M754" i="13"/>
  <c r="M753" i="13"/>
  <c r="M752" i="13"/>
  <c r="M751" i="13"/>
  <c r="M750" i="13"/>
  <c r="M749" i="13"/>
  <c r="M748" i="13"/>
  <c r="M747" i="13"/>
  <c r="M746" i="13"/>
  <c r="M745" i="13"/>
  <c r="M744" i="13"/>
  <c r="M743" i="13"/>
  <c r="M742" i="13"/>
  <c r="M741" i="13"/>
  <c r="M740" i="13"/>
  <c r="M739" i="13"/>
  <c r="M738" i="13"/>
  <c r="M737" i="13"/>
  <c r="M736" i="13"/>
  <c r="M735" i="13"/>
  <c r="M734" i="13"/>
  <c r="M733" i="13"/>
  <c r="M732" i="13"/>
  <c r="M731" i="13"/>
  <c r="M730" i="13"/>
  <c r="M729" i="13"/>
  <c r="M728" i="13"/>
  <c r="M727" i="13"/>
  <c r="M726" i="13"/>
  <c r="M725" i="13"/>
  <c r="M724" i="13"/>
  <c r="M723" i="13"/>
  <c r="M722" i="13"/>
  <c r="M721" i="13"/>
  <c r="M720" i="13"/>
  <c r="M719" i="13"/>
  <c r="M718" i="13"/>
  <c r="M717" i="13"/>
  <c r="M716" i="13"/>
  <c r="M715" i="13"/>
  <c r="M714" i="13"/>
  <c r="M713" i="13"/>
  <c r="M712" i="13"/>
  <c r="M711" i="13"/>
  <c r="M710" i="13"/>
  <c r="M709" i="13"/>
  <c r="M708" i="13"/>
  <c r="M707" i="13"/>
  <c r="M706" i="13"/>
  <c r="M705" i="13"/>
  <c r="M704" i="13"/>
  <c r="M703" i="13"/>
  <c r="M702" i="13"/>
  <c r="M701" i="13"/>
  <c r="M700" i="13"/>
  <c r="M699" i="13"/>
  <c r="M698" i="13"/>
  <c r="M697" i="13"/>
  <c r="M696" i="13"/>
  <c r="M695" i="13"/>
  <c r="M694" i="13"/>
  <c r="M693" i="13"/>
  <c r="M692" i="13"/>
  <c r="M691" i="13"/>
  <c r="M690" i="13"/>
  <c r="M689" i="13"/>
  <c r="M688" i="13"/>
  <c r="M687" i="13"/>
  <c r="M686" i="13"/>
  <c r="M685" i="13"/>
  <c r="M684" i="13"/>
  <c r="M683" i="13"/>
  <c r="M682" i="13"/>
  <c r="M681" i="13"/>
  <c r="M680" i="13"/>
  <c r="M679" i="13"/>
  <c r="M678" i="13"/>
  <c r="M677" i="13"/>
  <c r="M676" i="13"/>
  <c r="M675" i="13"/>
  <c r="M674" i="13"/>
  <c r="M673" i="13"/>
  <c r="M672" i="13"/>
  <c r="M671" i="13"/>
  <c r="M670" i="13"/>
  <c r="M669" i="13"/>
  <c r="M668" i="13"/>
  <c r="M667" i="13"/>
  <c r="M666" i="13"/>
  <c r="M665" i="13"/>
  <c r="M664" i="13"/>
  <c r="M663" i="13"/>
  <c r="M662" i="13"/>
  <c r="M661" i="13"/>
  <c r="M660" i="13"/>
  <c r="M659" i="13"/>
  <c r="M658" i="13"/>
  <c r="M657" i="13"/>
  <c r="M656" i="13"/>
  <c r="M655" i="13"/>
  <c r="M654" i="13"/>
  <c r="M653" i="13"/>
  <c r="M652" i="13"/>
  <c r="M651" i="13"/>
  <c r="M650" i="13"/>
  <c r="M649" i="13"/>
  <c r="M648" i="13"/>
  <c r="M647" i="13"/>
  <c r="M646" i="13"/>
  <c r="M645" i="13"/>
  <c r="M644" i="13"/>
  <c r="M643" i="13"/>
  <c r="M642" i="13"/>
  <c r="M641" i="13"/>
  <c r="M640" i="13"/>
  <c r="M639" i="13"/>
  <c r="M638" i="13"/>
  <c r="M637" i="13"/>
  <c r="M636" i="13"/>
  <c r="M635" i="13"/>
  <c r="M634" i="13"/>
  <c r="M633" i="13"/>
  <c r="M632" i="13"/>
  <c r="M631" i="13"/>
  <c r="M630" i="13"/>
  <c r="M629" i="13"/>
  <c r="M628" i="13"/>
  <c r="M627" i="13"/>
  <c r="M626" i="13"/>
  <c r="M625" i="13"/>
  <c r="M624" i="13"/>
  <c r="M623" i="13"/>
  <c r="M622" i="13"/>
  <c r="M621" i="13"/>
  <c r="M620" i="13"/>
  <c r="M619" i="13"/>
  <c r="M618" i="13"/>
  <c r="M617" i="13"/>
  <c r="M616" i="13"/>
  <c r="M615" i="13"/>
  <c r="M614" i="13"/>
  <c r="M613" i="13"/>
  <c r="M612" i="13"/>
  <c r="M611" i="13"/>
  <c r="M610" i="13"/>
  <c r="M609" i="13"/>
  <c r="M608" i="13"/>
  <c r="M607" i="13"/>
  <c r="M606" i="13"/>
  <c r="M605" i="13"/>
  <c r="M604" i="13"/>
  <c r="M603" i="13"/>
  <c r="M602" i="13"/>
  <c r="M601" i="13"/>
  <c r="M600" i="13"/>
  <c r="M599" i="13"/>
  <c r="M598" i="13"/>
  <c r="M597" i="13"/>
  <c r="M596" i="13"/>
  <c r="M595" i="13"/>
  <c r="M594" i="13"/>
  <c r="M593" i="13"/>
  <c r="M592" i="13"/>
  <c r="M591" i="13"/>
  <c r="M590" i="13"/>
  <c r="M589" i="13"/>
  <c r="M588" i="13"/>
  <c r="M587" i="13"/>
  <c r="M586" i="13"/>
  <c r="M585" i="13"/>
  <c r="M584" i="13"/>
  <c r="M583" i="13"/>
  <c r="M582" i="13"/>
  <c r="M581" i="13"/>
  <c r="M580" i="13"/>
  <c r="M579" i="13"/>
  <c r="M578" i="13"/>
  <c r="M577" i="13"/>
  <c r="M576" i="13"/>
  <c r="M575" i="13"/>
  <c r="M574" i="13"/>
  <c r="M573" i="13"/>
  <c r="M572" i="13"/>
  <c r="M571" i="13"/>
  <c r="M570" i="13"/>
  <c r="M569" i="13"/>
  <c r="M568" i="13"/>
  <c r="M567" i="13"/>
  <c r="M566" i="13"/>
  <c r="M565" i="13"/>
  <c r="M564" i="13"/>
  <c r="M563" i="13"/>
  <c r="M562" i="13"/>
  <c r="M561" i="13"/>
  <c r="M560" i="13"/>
  <c r="M559" i="13"/>
  <c r="M558" i="13"/>
  <c r="M557" i="13"/>
  <c r="M556" i="13"/>
  <c r="M555" i="13"/>
  <c r="M554" i="13"/>
  <c r="M553" i="13"/>
  <c r="M552" i="13"/>
  <c r="M551" i="13"/>
  <c r="M550" i="13"/>
  <c r="M549" i="13"/>
  <c r="M548" i="13"/>
  <c r="M547" i="13"/>
  <c r="M546" i="13"/>
  <c r="M545" i="13"/>
  <c r="M544" i="13"/>
  <c r="M543" i="13"/>
  <c r="M542" i="13"/>
  <c r="M541" i="13"/>
  <c r="M540" i="13"/>
  <c r="M539" i="13"/>
  <c r="M538" i="13"/>
  <c r="M537" i="13"/>
  <c r="M536" i="13"/>
  <c r="M535" i="13"/>
  <c r="M534" i="13"/>
  <c r="M533" i="13"/>
  <c r="M532" i="13"/>
  <c r="M531" i="13"/>
  <c r="M530" i="13"/>
  <c r="M529" i="13"/>
  <c r="M528" i="13"/>
  <c r="M527" i="13"/>
  <c r="M526" i="13"/>
  <c r="M525" i="13"/>
  <c r="M524" i="13"/>
  <c r="M523" i="13"/>
  <c r="M522" i="13"/>
  <c r="M521" i="13"/>
  <c r="M520" i="13"/>
  <c r="M519" i="13"/>
  <c r="M518" i="13"/>
  <c r="M517" i="13"/>
  <c r="M516" i="13"/>
  <c r="M515" i="13"/>
  <c r="M514" i="13"/>
  <c r="M513" i="13"/>
  <c r="M512" i="13"/>
  <c r="M511" i="13"/>
  <c r="M510" i="13"/>
  <c r="M509" i="13"/>
  <c r="M508" i="13"/>
  <c r="M507" i="13"/>
  <c r="M506" i="13"/>
  <c r="M505" i="13"/>
  <c r="M504" i="13"/>
  <c r="M503" i="13"/>
  <c r="M502" i="13"/>
  <c r="M501" i="13"/>
  <c r="M500" i="13"/>
  <c r="M499" i="13"/>
  <c r="M498" i="13"/>
  <c r="M497" i="13"/>
  <c r="M496" i="13"/>
  <c r="M495" i="13"/>
  <c r="M494" i="13"/>
  <c r="M493" i="13"/>
  <c r="M492" i="13"/>
  <c r="M491" i="13"/>
  <c r="M490" i="13"/>
  <c r="M489" i="13"/>
  <c r="M488" i="13"/>
  <c r="M487" i="13"/>
  <c r="M486" i="13"/>
  <c r="M485" i="13"/>
  <c r="M484" i="13"/>
  <c r="M483" i="13"/>
  <c r="M482" i="13"/>
  <c r="M481" i="13"/>
  <c r="M480" i="13"/>
  <c r="M479" i="13"/>
  <c r="M478" i="13"/>
  <c r="M477" i="13"/>
  <c r="M476" i="13"/>
  <c r="M475" i="13"/>
  <c r="M474" i="13"/>
  <c r="M473" i="13"/>
  <c r="M472" i="13"/>
  <c r="M471" i="13"/>
  <c r="M470" i="13"/>
  <c r="M469" i="13"/>
  <c r="M468" i="13"/>
  <c r="M467" i="13"/>
  <c r="M466" i="13"/>
  <c r="M465" i="13"/>
  <c r="M464" i="13"/>
  <c r="M463" i="13"/>
  <c r="M462" i="13"/>
  <c r="M461" i="13"/>
  <c r="M460" i="13"/>
  <c r="M459" i="13"/>
  <c r="M458" i="13"/>
  <c r="M457" i="13"/>
  <c r="M456" i="13"/>
  <c r="M455" i="13"/>
  <c r="M454" i="13"/>
  <c r="M453" i="13"/>
  <c r="M452" i="13"/>
  <c r="M451" i="13"/>
  <c r="M450" i="13"/>
  <c r="M449" i="13"/>
  <c r="M448" i="13"/>
  <c r="M447" i="13"/>
  <c r="M446" i="13"/>
  <c r="M445" i="13"/>
  <c r="M444" i="13"/>
  <c r="M443" i="13"/>
  <c r="M442" i="13"/>
  <c r="M441" i="13"/>
  <c r="M440" i="13"/>
  <c r="M439" i="13"/>
  <c r="M438" i="13"/>
  <c r="M437" i="13"/>
  <c r="M436" i="13"/>
  <c r="M435" i="13"/>
  <c r="M434" i="13"/>
  <c r="M433" i="13"/>
  <c r="M432" i="13"/>
  <c r="M431" i="13"/>
  <c r="M430" i="13"/>
  <c r="M429" i="13"/>
  <c r="M428" i="13"/>
  <c r="M427" i="13"/>
  <c r="M426" i="13"/>
  <c r="M425" i="13"/>
  <c r="M424" i="13"/>
  <c r="M423" i="13"/>
  <c r="M422" i="13"/>
  <c r="M421" i="13"/>
  <c r="M420" i="13"/>
  <c r="M419" i="13"/>
  <c r="M418" i="13"/>
  <c r="M417" i="13"/>
  <c r="M416" i="13"/>
  <c r="M415" i="13"/>
  <c r="M414" i="13"/>
  <c r="M413" i="13"/>
  <c r="M412" i="13"/>
  <c r="M411" i="13"/>
  <c r="M410" i="13"/>
  <c r="M409" i="13"/>
  <c r="M408" i="13"/>
  <c r="M407" i="13"/>
  <c r="M406" i="13"/>
  <c r="M405" i="13"/>
  <c r="M404" i="13"/>
  <c r="M403" i="13"/>
  <c r="M402" i="13"/>
  <c r="M401" i="13"/>
  <c r="M400" i="13"/>
  <c r="M399" i="13"/>
  <c r="M398" i="13"/>
  <c r="M397" i="13"/>
  <c r="M396" i="13"/>
  <c r="M395" i="13"/>
  <c r="M394" i="13"/>
  <c r="M393" i="13"/>
  <c r="M392" i="13"/>
  <c r="M391" i="13"/>
  <c r="M390" i="13"/>
  <c r="M389" i="13"/>
  <c r="M388" i="13"/>
  <c r="M387" i="13"/>
  <c r="M386" i="13"/>
  <c r="M385" i="13"/>
  <c r="M384" i="13"/>
  <c r="M383" i="13"/>
  <c r="M382" i="13"/>
  <c r="M381" i="13"/>
  <c r="M380" i="13"/>
  <c r="M379" i="13"/>
  <c r="M378" i="13"/>
  <c r="M377" i="13"/>
  <c r="M376" i="13"/>
  <c r="M375" i="13"/>
  <c r="M374" i="13"/>
  <c r="M373" i="13"/>
  <c r="M372" i="13"/>
  <c r="M371" i="13"/>
  <c r="M370" i="13"/>
  <c r="M369" i="13"/>
  <c r="M368" i="13"/>
  <c r="M367" i="13"/>
  <c r="M366" i="13"/>
  <c r="M365" i="13"/>
  <c r="M364" i="13"/>
  <c r="M363" i="13"/>
  <c r="M362" i="13"/>
  <c r="M361" i="13"/>
  <c r="M360" i="13"/>
  <c r="M359" i="13"/>
  <c r="M358" i="13"/>
  <c r="M357" i="13"/>
  <c r="M356" i="13"/>
  <c r="M355" i="13"/>
  <c r="M354" i="13"/>
  <c r="M353" i="13"/>
  <c r="M352" i="13"/>
  <c r="M351" i="13"/>
  <c r="M350" i="13"/>
  <c r="M349" i="13"/>
  <c r="M348" i="13"/>
  <c r="M347" i="13"/>
  <c r="M346" i="13"/>
  <c r="M345" i="13"/>
  <c r="M344" i="13"/>
  <c r="M343" i="13"/>
  <c r="M342" i="13"/>
  <c r="M341" i="13"/>
  <c r="M340" i="13"/>
  <c r="M339" i="13"/>
  <c r="M338" i="13"/>
  <c r="M337" i="13"/>
  <c r="M336" i="13"/>
  <c r="M335" i="13"/>
  <c r="M334" i="13"/>
  <c r="M333" i="13"/>
  <c r="M332" i="13"/>
  <c r="M331" i="13"/>
  <c r="M330" i="13"/>
  <c r="M329" i="13"/>
  <c r="M328" i="13"/>
  <c r="M327" i="13"/>
  <c r="M326" i="13"/>
  <c r="M325" i="13"/>
  <c r="M324" i="13"/>
  <c r="M323" i="13"/>
  <c r="M322" i="13"/>
  <c r="M321" i="13"/>
  <c r="M320" i="13"/>
  <c r="M319" i="13"/>
  <c r="M318" i="13"/>
  <c r="M317" i="13"/>
  <c r="M316" i="13"/>
  <c r="M315" i="13"/>
  <c r="M314" i="13"/>
  <c r="M313" i="13"/>
  <c r="M312" i="13"/>
  <c r="M311" i="13"/>
  <c r="M310" i="13"/>
  <c r="M309" i="13"/>
  <c r="M308" i="13"/>
  <c r="M307" i="13"/>
  <c r="M306" i="13"/>
  <c r="M305" i="13"/>
  <c r="M304" i="13"/>
  <c r="M303" i="13"/>
  <c r="M302" i="13"/>
  <c r="M301" i="13"/>
  <c r="M300" i="13"/>
  <c r="M299" i="13"/>
  <c r="M298" i="13"/>
  <c r="M297" i="13"/>
  <c r="M296" i="13"/>
  <c r="M295" i="13"/>
  <c r="M294" i="13"/>
  <c r="M293" i="13"/>
  <c r="M292" i="13"/>
  <c r="M291" i="13"/>
  <c r="M290" i="13"/>
  <c r="M289" i="13"/>
  <c r="M288" i="13"/>
  <c r="M287" i="13"/>
  <c r="M286" i="13"/>
  <c r="M285" i="13"/>
  <c r="M284" i="13"/>
  <c r="M283" i="13"/>
  <c r="M282" i="13"/>
  <c r="M281" i="13"/>
  <c r="M280" i="13"/>
  <c r="M279" i="13"/>
  <c r="M278" i="13"/>
  <c r="M277" i="13"/>
  <c r="M276" i="13"/>
  <c r="M275" i="13"/>
  <c r="M274" i="13"/>
  <c r="M273" i="13"/>
  <c r="M272" i="13"/>
  <c r="M271" i="13"/>
  <c r="M270" i="13"/>
  <c r="M269" i="13"/>
  <c r="M268" i="13"/>
  <c r="M267" i="13"/>
  <c r="M266" i="13"/>
  <c r="M265" i="13"/>
  <c r="M264" i="13"/>
  <c r="M263" i="13"/>
  <c r="M262" i="13"/>
  <c r="M261" i="13"/>
  <c r="M260" i="13"/>
  <c r="M259" i="13"/>
  <c r="M258" i="13"/>
  <c r="M257" i="13"/>
  <c r="M256" i="13"/>
  <c r="M255" i="13"/>
  <c r="M254" i="13"/>
  <c r="M253" i="13"/>
  <c r="M252" i="13"/>
  <c r="M251" i="13"/>
  <c r="M250" i="13"/>
  <c r="M249" i="13"/>
  <c r="M248" i="13"/>
  <c r="M247" i="13"/>
  <c r="M246" i="13"/>
  <c r="M245" i="13"/>
  <c r="M244" i="13"/>
  <c r="M243" i="13"/>
  <c r="M242" i="13"/>
  <c r="M241" i="13"/>
  <c r="M240" i="13"/>
  <c r="M239" i="13"/>
  <c r="M238" i="13"/>
  <c r="M237" i="13"/>
  <c r="M236" i="13"/>
  <c r="M235" i="13"/>
  <c r="M234" i="13"/>
  <c r="M233" i="13"/>
  <c r="M232" i="13"/>
  <c r="M231" i="13"/>
  <c r="M230" i="13"/>
  <c r="M229" i="13"/>
  <c r="M228" i="13"/>
  <c r="M227" i="13"/>
  <c r="M226" i="13"/>
  <c r="M225" i="13"/>
  <c r="M224" i="13"/>
  <c r="M223" i="13"/>
  <c r="M222" i="13"/>
  <c r="M221" i="13"/>
  <c r="M220" i="13"/>
  <c r="M219" i="13"/>
  <c r="M218" i="13"/>
  <c r="M217" i="13"/>
  <c r="M216" i="13"/>
  <c r="M215" i="13"/>
  <c r="M214" i="13"/>
  <c r="M213" i="13"/>
  <c r="M212" i="13"/>
  <c r="M211" i="13"/>
  <c r="M210" i="13"/>
  <c r="M209" i="13"/>
  <c r="M208" i="13"/>
  <c r="M207" i="13"/>
  <c r="M206" i="13"/>
  <c r="M205" i="13"/>
  <c r="M204" i="13"/>
  <c r="M203" i="13"/>
  <c r="M202" i="13"/>
  <c r="M201" i="13"/>
  <c r="M200" i="13"/>
  <c r="M199" i="13"/>
  <c r="M198" i="13"/>
  <c r="M197" i="13"/>
  <c r="M196" i="13"/>
  <c r="M195" i="13"/>
  <c r="M194" i="13"/>
  <c r="M193" i="13"/>
  <c r="M192" i="13"/>
  <c r="M191" i="13"/>
  <c r="M190" i="13"/>
  <c r="M189" i="13"/>
  <c r="M188" i="13"/>
  <c r="M187" i="13"/>
  <c r="M186" i="13"/>
  <c r="M185" i="13"/>
  <c r="M184" i="13"/>
  <c r="M183" i="13"/>
  <c r="M182" i="13"/>
  <c r="M181" i="13"/>
  <c r="M180" i="13"/>
  <c r="M179" i="13"/>
  <c r="M178" i="13"/>
  <c r="M177" i="13"/>
  <c r="M176" i="13"/>
  <c r="M175" i="13"/>
  <c r="M174" i="13"/>
  <c r="M173" i="13"/>
  <c r="M172" i="13"/>
  <c r="M171" i="13"/>
  <c r="M170" i="13"/>
  <c r="M169" i="13"/>
  <c r="M168" i="13"/>
  <c r="M167" i="13"/>
  <c r="M166" i="13"/>
  <c r="M165" i="13"/>
  <c r="M164" i="13"/>
  <c r="M163" i="13"/>
  <c r="M162" i="13"/>
  <c r="M161" i="13"/>
  <c r="M160" i="13"/>
  <c r="M159" i="13"/>
  <c r="M158" i="13"/>
  <c r="M157" i="13"/>
  <c r="M156" i="13"/>
  <c r="M155" i="13"/>
  <c r="M154" i="13"/>
  <c r="M153" i="13"/>
  <c r="M152" i="13"/>
  <c r="M151" i="13"/>
  <c r="M150" i="13"/>
  <c r="M149" i="13"/>
  <c r="M148" i="13"/>
  <c r="M147" i="13"/>
  <c r="M146" i="13"/>
  <c r="M145" i="13"/>
  <c r="M144" i="13"/>
  <c r="M143" i="13"/>
  <c r="M142" i="13"/>
  <c r="M141" i="13"/>
  <c r="M140" i="13"/>
  <c r="M139" i="13"/>
  <c r="M138" i="13"/>
  <c r="M137" i="13"/>
  <c r="M136" i="13"/>
  <c r="M135" i="13"/>
  <c r="M134" i="13"/>
  <c r="M133" i="13"/>
  <c r="M132" i="13"/>
  <c r="M131" i="13"/>
  <c r="M130" i="13"/>
  <c r="M129" i="13"/>
  <c r="M128" i="13"/>
  <c r="M127" i="13"/>
  <c r="M126" i="13"/>
  <c r="M125" i="13"/>
  <c r="M124" i="13"/>
  <c r="M123" i="13"/>
  <c r="M122" i="13"/>
  <c r="M121" i="13"/>
  <c r="M120" i="13"/>
  <c r="M119" i="13"/>
  <c r="M118" i="13"/>
  <c r="M117" i="13"/>
  <c r="M116" i="13"/>
  <c r="M115" i="13"/>
  <c r="M114" i="13"/>
  <c r="M113" i="13"/>
  <c r="M112" i="13"/>
  <c r="M111" i="13"/>
  <c r="M110" i="13"/>
  <c r="M109" i="13"/>
  <c r="M108" i="13"/>
  <c r="M107" i="13"/>
  <c r="M106" i="13"/>
  <c r="M105" i="13"/>
  <c r="M104" i="13"/>
  <c r="M103" i="13"/>
  <c r="M102" i="13"/>
  <c r="M101" i="13"/>
  <c r="M100" i="13"/>
  <c r="M99" i="13"/>
  <c r="M98" i="13"/>
  <c r="M97" i="13"/>
  <c r="M96" i="13"/>
  <c r="M95" i="13"/>
  <c r="M94" i="13"/>
  <c r="M93" i="13"/>
  <c r="M92" i="13"/>
  <c r="M91" i="13"/>
  <c r="M90" i="13"/>
  <c r="M89" i="13"/>
  <c r="M88" i="13"/>
  <c r="M87" i="13"/>
  <c r="M86" i="13"/>
  <c r="M85" i="13"/>
  <c r="M84" i="13"/>
  <c r="M83" i="13"/>
  <c r="M82" i="13"/>
  <c r="M81" i="13"/>
  <c r="M80" i="13"/>
  <c r="M79" i="13"/>
  <c r="M78" i="13"/>
  <c r="M77" i="13"/>
  <c r="M76" i="13"/>
  <c r="M75" i="13"/>
  <c r="M74" i="13"/>
  <c r="M73" i="13"/>
  <c r="M72" i="13"/>
  <c r="M71" i="13"/>
  <c r="M70" i="13"/>
  <c r="M69" i="13"/>
  <c r="M68" i="13"/>
  <c r="M67" i="13"/>
  <c r="M66" i="13"/>
  <c r="M65" i="13"/>
  <c r="M64" i="13"/>
  <c r="M63" i="13"/>
  <c r="M62" i="13"/>
  <c r="M61" i="13"/>
  <c r="M60" i="13"/>
  <c r="M59" i="13"/>
  <c r="M58" i="13"/>
  <c r="M57" i="13"/>
  <c r="M56" i="13"/>
  <c r="M55" i="13"/>
  <c r="M54" i="13"/>
  <c r="M53" i="13"/>
  <c r="M52" i="13"/>
  <c r="M51" i="13"/>
  <c r="M50" i="13"/>
  <c r="M49" i="13"/>
  <c r="M48" i="13"/>
  <c r="M47" i="13"/>
  <c r="M46" i="13"/>
  <c r="M45" i="13"/>
  <c r="M44" i="13"/>
  <c r="M43" i="13"/>
  <c r="M42" i="13"/>
  <c r="M41" i="13"/>
  <c r="M40" i="13"/>
  <c r="M39" i="13"/>
  <c r="M38" i="13"/>
  <c r="M37" i="13"/>
  <c r="M36" i="13"/>
  <c r="M35" i="13"/>
  <c r="M34" i="13"/>
  <c r="M33" i="13"/>
  <c r="M32" i="13"/>
  <c r="M31" i="13"/>
  <c r="M30" i="13"/>
  <c r="M29" i="13"/>
  <c r="M28" i="13"/>
  <c r="M27" i="13"/>
  <c r="M26" i="13"/>
  <c r="M25" i="13"/>
  <c r="M24" i="13"/>
  <c r="M23" i="13"/>
  <c r="M22" i="13"/>
  <c r="M21" i="13"/>
  <c r="M20" i="13"/>
  <c r="M19" i="13"/>
  <c r="M18" i="13"/>
  <c r="M17" i="13"/>
  <c r="M16" i="13"/>
  <c r="M15" i="13"/>
  <c r="M14" i="13"/>
  <c r="M13" i="13"/>
  <c r="M12" i="13"/>
  <c r="M11" i="13"/>
  <c r="M10" i="13"/>
  <c r="M9" i="13"/>
  <c r="M8" i="13"/>
  <c r="M7" i="13"/>
  <c r="M6" i="13"/>
  <c r="M5" i="13"/>
  <c r="K282" i="3"/>
  <c r="K281" i="3"/>
  <c r="K280" i="3"/>
  <c r="K279" i="3"/>
  <c r="K278" i="3"/>
  <c r="K277" i="3"/>
  <c r="K276" i="3"/>
  <c r="K275" i="3"/>
  <c r="K274" i="3"/>
  <c r="K273" i="3"/>
  <c r="K272" i="3"/>
  <c r="K271" i="3"/>
  <c r="K270" i="3"/>
  <c r="K269" i="3"/>
  <c r="K268" i="3"/>
  <c r="K267" i="3"/>
  <c r="K266" i="3"/>
  <c r="K265" i="3"/>
  <c r="K264" i="3"/>
  <c r="K263" i="3"/>
  <c r="K262" i="3"/>
  <c r="K261" i="3"/>
  <c r="K260" i="3"/>
  <c r="K259" i="3"/>
  <c r="K258" i="3"/>
  <c r="K257" i="3"/>
  <c r="K256" i="3"/>
  <c r="K255" i="3"/>
  <c r="K254" i="3"/>
  <c r="K253" i="3"/>
  <c r="K252" i="3"/>
  <c r="K251" i="3"/>
  <c r="K250" i="3"/>
  <c r="K249" i="3"/>
  <c r="K248" i="3"/>
  <c r="K247" i="3"/>
  <c r="K246" i="3"/>
  <c r="K245" i="3"/>
  <c r="K244" i="3"/>
  <c r="K243" i="3"/>
  <c r="K242" i="3"/>
  <c r="K241" i="3"/>
  <c r="K240" i="3"/>
  <c r="K239" i="3"/>
  <c r="K238" i="3"/>
  <c r="K237" i="3"/>
  <c r="K236" i="3"/>
  <c r="K235" i="3"/>
  <c r="K234" i="3"/>
  <c r="K233" i="3"/>
  <c r="K232" i="3"/>
  <c r="K231" i="3"/>
  <c r="K230" i="3"/>
  <c r="K229" i="3"/>
  <c r="K228" i="3"/>
  <c r="K227" i="3"/>
  <c r="K226" i="3"/>
  <c r="K225" i="3"/>
  <c r="K224" i="3"/>
  <c r="K223" i="3"/>
  <c r="K222" i="3"/>
  <c r="K221" i="3"/>
  <c r="K220" i="3"/>
  <c r="K219" i="3"/>
  <c r="K218" i="3"/>
  <c r="K217" i="3"/>
  <c r="K216" i="3"/>
  <c r="K215" i="3"/>
  <c r="K214" i="3"/>
  <c r="K213" i="3"/>
  <c r="K212" i="3"/>
  <c r="K211" i="3"/>
  <c r="K210" i="3"/>
  <c r="K209" i="3"/>
  <c r="K208" i="3"/>
  <c r="K207" i="3"/>
  <c r="K206" i="3"/>
  <c r="K205" i="3"/>
  <c r="K204" i="3"/>
  <c r="K203" i="3"/>
  <c r="K202" i="3"/>
  <c r="K201" i="3"/>
  <c r="K200" i="3"/>
  <c r="K199" i="3"/>
  <c r="K198" i="3"/>
  <c r="K197" i="3"/>
  <c r="K196" i="3"/>
  <c r="K195" i="3"/>
  <c r="K194" i="3"/>
  <c r="K193" i="3"/>
  <c r="K192" i="3"/>
  <c r="K191" i="3"/>
  <c r="K190" i="3"/>
  <c r="K189" i="3"/>
  <c r="K188" i="3"/>
  <c r="K187" i="3"/>
  <c r="K186" i="3"/>
  <c r="K185" i="3"/>
  <c r="K184" i="3"/>
  <c r="K183" i="3"/>
  <c r="K182" i="3"/>
  <c r="K181" i="3"/>
  <c r="K180" i="3"/>
  <c r="K179" i="3"/>
  <c r="K178" i="3"/>
  <c r="K177" i="3"/>
  <c r="K176" i="3"/>
  <c r="K175" i="3"/>
  <c r="K174" i="3"/>
  <c r="K173" i="3"/>
  <c r="K172" i="3"/>
  <c r="K171" i="3"/>
  <c r="K170" i="3"/>
  <c r="K169" i="3"/>
  <c r="K168" i="3"/>
  <c r="K167" i="3"/>
  <c r="K166" i="3"/>
  <c r="K165" i="3"/>
  <c r="K164" i="3"/>
  <c r="K163" i="3"/>
  <c r="K162" i="3"/>
  <c r="K161" i="3"/>
  <c r="K160" i="3"/>
  <c r="K159" i="3"/>
  <c r="K158" i="3"/>
  <c r="K157" i="3"/>
  <c r="K156" i="3"/>
  <c r="K155" i="3"/>
  <c r="K154" i="3"/>
  <c r="K153" i="3"/>
  <c r="K152" i="3"/>
  <c r="K151" i="3"/>
  <c r="K150" i="3"/>
  <c r="K149" i="3"/>
  <c r="K148" i="3"/>
  <c r="K147" i="3"/>
  <c r="K146" i="3"/>
  <c r="K145" i="3"/>
  <c r="K144" i="3"/>
  <c r="K143" i="3"/>
  <c r="K142" i="3"/>
  <c r="K141" i="3"/>
  <c r="K140" i="3"/>
  <c r="K139" i="3"/>
  <c r="K138" i="3"/>
  <c r="K137" i="3"/>
  <c r="K136" i="3"/>
  <c r="K135" i="3"/>
  <c r="K134" i="3"/>
  <c r="K133" i="3"/>
  <c r="K132" i="3"/>
  <c r="K131" i="3"/>
  <c r="K130" i="3"/>
  <c r="K129" i="3"/>
  <c r="K128" i="3"/>
  <c r="K127" i="3"/>
  <c r="K126" i="3"/>
  <c r="K125" i="3"/>
  <c r="K124" i="3"/>
  <c r="K123" i="3"/>
  <c r="K122" i="3"/>
  <c r="K121" i="3"/>
  <c r="K120" i="3"/>
  <c r="K119" i="3"/>
  <c r="K118" i="3"/>
  <c r="K117" i="3"/>
  <c r="K116" i="3"/>
  <c r="K115" i="3"/>
  <c r="K114" i="3"/>
  <c r="K113" i="3"/>
  <c r="K112" i="3"/>
  <c r="K111" i="3"/>
  <c r="K110" i="3"/>
  <c r="K109" i="3"/>
  <c r="K108" i="3"/>
  <c r="K107" i="3"/>
  <c r="K106" i="3"/>
  <c r="K105" i="3"/>
  <c r="K104" i="3"/>
  <c r="K103" i="3"/>
  <c r="K102" i="3"/>
  <c r="K101" i="3"/>
  <c r="K100" i="3"/>
  <c r="K99" i="3"/>
  <c r="K98" i="3"/>
  <c r="K97" i="3"/>
  <c r="K96" i="3"/>
  <c r="K95" i="3"/>
  <c r="K94" i="3"/>
  <c r="K93" i="3"/>
  <c r="K92" i="3"/>
  <c r="K91" i="3"/>
  <c r="K90" i="3"/>
  <c r="K89" i="3"/>
  <c r="K88" i="3"/>
  <c r="K87" i="3"/>
  <c r="K86" i="3"/>
  <c r="K85" i="3"/>
  <c r="K84" i="3"/>
  <c r="K83" i="3"/>
  <c r="K82" i="3"/>
  <c r="K81" i="3"/>
  <c r="K80" i="3"/>
  <c r="K79" i="3"/>
  <c r="K78" i="3"/>
  <c r="K77" i="3"/>
  <c r="K76" i="3"/>
  <c r="K75" i="3"/>
  <c r="K74" i="3"/>
  <c r="K73" i="3"/>
  <c r="K72" i="3"/>
  <c r="K71" i="3"/>
  <c r="K70" i="3"/>
  <c r="K69" i="3"/>
  <c r="K68" i="3"/>
  <c r="K67" i="3"/>
  <c r="K66" i="3"/>
  <c r="K65" i="3"/>
  <c r="K64" i="3"/>
  <c r="K63" i="3"/>
  <c r="K62" i="3"/>
  <c r="K61" i="3"/>
  <c r="K60" i="3"/>
  <c r="K59" i="3"/>
  <c r="K58" i="3"/>
  <c r="K57" i="3"/>
  <c r="K56" i="3"/>
  <c r="K55" i="3"/>
  <c r="K54" i="3"/>
  <c r="K53" i="3"/>
  <c r="K52" i="3"/>
  <c r="K51" i="3"/>
  <c r="K50" i="3"/>
  <c r="K49" i="3"/>
  <c r="K48" i="3"/>
  <c r="K47" i="3"/>
  <c r="K46" i="3"/>
  <c r="K45" i="3"/>
  <c r="K44" i="3"/>
  <c r="K43" i="3"/>
  <c r="K42" i="3"/>
  <c r="K41" i="3"/>
  <c r="K40" i="3"/>
  <c r="K39" i="3"/>
  <c r="K38" i="3"/>
  <c r="K37" i="3"/>
  <c r="K36" i="3"/>
  <c r="K35" i="3"/>
  <c r="K34" i="3"/>
  <c r="K33" i="3"/>
  <c r="K32" i="3"/>
  <c r="K31" i="3"/>
  <c r="K30" i="3"/>
  <c r="K29" i="3"/>
  <c r="K28" i="3"/>
  <c r="K27" i="3"/>
  <c r="K26" i="3"/>
  <c r="K25" i="3"/>
  <c r="K24" i="3"/>
  <c r="K23" i="3"/>
  <c r="K22" i="3"/>
  <c r="K21" i="3"/>
  <c r="K20" i="3"/>
  <c r="K19" i="3"/>
  <c r="K18" i="3"/>
  <c r="K17" i="3"/>
  <c r="K16" i="3"/>
  <c r="K15" i="3"/>
  <c r="K14" i="3"/>
  <c r="K13" i="3"/>
  <c r="K12" i="3"/>
  <c r="K11" i="3"/>
  <c r="K10" i="3"/>
  <c r="K9" i="3"/>
  <c r="K8" i="3"/>
  <c r="K7" i="3"/>
  <c r="K6" i="3"/>
  <c r="K5" i="3"/>
  <c r="M5067" i="12"/>
  <c r="M5066" i="12"/>
  <c r="M5065" i="12"/>
  <c r="M5064" i="12"/>
  <c r="M5063" i="12"/>
  <c r="M5062" i="12"/>
  <c r="M5061" i="12"/>
  <c r="M5060" i="12"/>
  <c r="M5059" i="12"/>
  <c r="M5058" i="12"/>
  <c r="M5057" i="12"/>
  <c r="M5056" i="12"/>
  <c r="M5055" i="12"/>
  <c r="M5054" i="12"/>
  <c r="M5053" i="12"/>
  <c r="M5052" i="12"/>
  <c r="M5051" i="12"/>
  <c r="M5050" i="12"/>
  <c r="M5049" i="12"/>
  <c r="M5048" i="12"/>
  <c r="M5047" i="12"/>
  <c r="M5046" i="12"/>
  <c r="M5045" i="12"/>
  <c r="M5044" i="12"/>
  <c r="M5043" i="12"/>
  <c r="M5042" i="12"/>
  <c r="M5041" i="12"/>
  <c r="M5040" i="12"/>
  <c r="M5039" i="12"/>
  <c r="M5038" i="12"/>
  <c r="M5037" i="12"/>
  <c r="M5036" i="12"/>
  <c r="M5035" i="12"/>
  <c r="M5034" i="12"/>
  <c r="M5033" i="12"/>
  <c r="M5032" i="12"/>
  <c r="M5031" i="12"/>
  <c r="M5030" i="12"/>
  <c r="M5029" i="12"/>
  <c r="M5028" i="12"/>
  <c r="M5027" i="12"/>
  <c r="M5026" i="12"/>
  <c r="M5025" i="12"/>
  <c r="M5024" i="12"/>
  <c r="M5023" i="12"/>
  <c r="M5022" i="12"/>
  <c r="M5021" i="12"/>
  <c r="M5020" i="12"/>
  <c r="M5019" i="12"/>
  <c r="M5018" i="12"/>
  <c r="M5017" i="12"/>
  <c r="M5016" i="12"/>
  <c r="M5015" i="12"/>
  <c r="M5014" i="12"/>
  <c r="M5013" i="12"/>
  <c r="M5012" i="12"/>
  <c r="M5011" i="12"/>
  <c r="M5010" i="12"/>
  <c r="M5009" i="12"/>
  <c r="M5008" i="12"/>
  <c r="M5007" i="12"/>
  <c r="M5006" i="12"/>
  <c r="M5005" i="12"/>
  <c r="M5004" i="12"/>
  <c r="M5003" i="12"/>
  <c r="M5002" i="12"/>
  <c r="M5001" i="12"/>
  <c r="M5000" i="12"/>
  <c r="M4999" i="12"/>
  <c r="M4998" i="12"/>
  <c r="M4997" i="12"/>
  <c r="M4996" i="12"/>
  <c r="M4995" i="12"/>
  <c r="M4994" i="12"/>
  <c r="M4993" i="12"/>
  <c r="M4992" i="12"/>
  <c r="M4991" i="12"/>
  <c r="M4990" i="12"/>
  <c r="M4989" i="12"/>
  <c r="M4988" i="12"/>
  <c r="M4987" i="12"/>
  <c r="M4986" i="12"/>
  <c r="M4985" i="12"/>
  <c r="M4984" i="12"/>
  <c r="M4983" i="12"/>
  <c r="M4982" i="12"/>
  <c r="M4981" i="12"/>
  <c r="M4980" i="12"/>
  <c r="M4979" i="12"/>
  <c r="M4978" i="12"/>
  <c r="M4977" i="12"/>
  <c r="M4976" i="12"/>
  <c r="M4975" i="12"/>
  <c r="M4974" i="12"/>
  <c r="M4973" i="12"/>
  <c r="M4972" i="12"/>
  <c r="M4971" i="12"/>
  <c r="M4970" i="12"/>
  <c r="M4969" i="12"/>
  <c r="M4968" i="12"/>
  <c r="M4967" i="12"/>
  <c r="M4966" i="12"/>
  <c r="M4965" i="12"/>
  <c r="M4964" i="12"/>
  <c r="M4963" i="12"/>
  <c r="M4962" i="12"/>
  <c r="M4961" i="12"/>
  <c r="M4960" i="12"/>
  <c r="M4959" i="12"/>
  <c r="M4958" i="12"/>
  <c r="M4957" i="12"/>
  <c r="M4956" i="12"/>
  <c r="M4955" i="12"/>
  <c r="M4954" i="12"/>
  <c r="M4953" i="12"/>
  <c r="M4952" i="12"/>
  <c r="M4951" i="12"/>
  <c r="M4950" i="12"/>
  <c r="M4949" i="12"/>
  <c r="M4948" i="12"/>
  <c r="M4947" i="12"/>
  <c r="M4946" i="12"/>
  <c r="M4945" i="12"/>
  <c r="M4944" i="12"/>
  <c r="M4943" i="12"/>
  <c r="M4942" i="12"/>
  <c r="M4941" i="12"/>
  <c r="M4940" i="12"/>
  <c r="M4939" i="12"/>
  <c r="M4938" i="12"/>
  <c r="M4937" i="12"/>
  <c r="M4936" i="12"/>
  <c r="M4935" i="12"/>
  <c r="M4934" i="12"/>
  <c r="M4933" i="12"/>
  <c r="M4932" i="12"/>
  <c r="M4931" i="12"/>
  <c r="M4930" i="12"/>
  <c r="M4929" i="12"/>
  <c r="M4928" i="12"/>
  <c r="M4927" i="12"/>
  <c r="M4926" i="12"/>
  <c r="M4925" i="12"/>
  <c r="M4924" i="12"/>
  <c r="M4923" i="12"/>
  <c r="M4922" i="12"/>
  <c r="M4921" i="12"/>
  <c r="M4920" i="12"/>
  <c r="M4919" i="12"/>
  <c r="M4918" i="12"/>
  <c r="M4917" i="12"/>
  <c r="M4916" i="12"/>
  <c r="M4915" i="12"/>
  <c r="M4914" i="12"/>
  <c r="M4913" i="12"/>
  <c r="M4912" i="12"/>
  <c r="M4911" i="12"/>
  <c r="M4910" i="12"/>
  <c r="M4909" i="12"/>
  <c r="M4908" i="12"/>
  <c r="M4907" i="12"/>
  <c r="M4906" i="12"/>
  <c r="M4905" i="12"/>
  <c r="M4904" i="12"/>
  <c r="M4903" i="12"/>
  <c r="M4902" i="12"/>
  <c r="M4901" i="12"/>
  <c r="M4900" i="12"/>
  <c r="M4899" i="12"/>
  <c r="M4898" i="12"/>
  <c r="M4897" i="12"/>
  <c r="M4896" i="12"/>
  <c r="M4895" i="12"/>
  <c r="M4894" i="12"/>
  <c r="M4893" i="12"/>
  <c r="M4892" i="12"/>
  <c r="M4891" i="12"/>
  <c r="M4890" i="12"/>
  <c r="M4889" i="12"/>
  <c r="M4888" i="12"/>
  <c r="M4887" i="12"/>
  <c r="M4886" i="12"/>
  <c r="M4885" i="12"/>
  <c r="M4884" i="12"/>
  <c r="M4883" i="12"/>
  <c r="M4882" i="12"/>
  <c r="M4881" i="12"/>
  <c r="M4880" i="12"/>
  <c r="M4879" i="12"/>
  <c r="M4878" i="12"/>
  <c r="M4877" i="12"/>
  <c r="M4876" i="12"/>
  <c r="M4875" i="12"/>
  <c r="M4874" i="12"/>
  <c r="M4873" i="12"/>
  <c r="M4872" i="12"/>
  <c r="M4871" i="12"/>
  <c r="M4870" i="12"/>
  <c r="M4869" i="12"/>
  <c r="M4868" i="12"/>
  <c r="M4867" i="12"/>
  <c r="M4866" i="12"/>
  <c r="M4865" i="12"/>
  <c r="M4864" i="12"/>
  <c r="M4863" i="12"/>
  <c r="M4862" i="12"/>
  <c r="M4861" i="12"/>
  <c r="M4860" i="12"/>
  <c r="M4859" i="12"/>
  <c r="M4858" i="12"/>
  <c r="M4857" i="12"/>
  <c r="M4856" i="12"/>
  <c r="M4855" i="12"/>
  <c r="M4854" i="12"/>
  <c r="M4853" i="12"/>
  <c r="M4852" i="12"/>
  <c r="M4851" i="12"/>
  <c r="M4850" i="12"/>
  <c r="M4849" i="12"/>
  <c r="M4848" i="12"/>
  <c r="M4847" i="12"/>
  <c r="M4846" i="12"/>
  <c r="M4845" i="12"/>
  <c r="M4844" i="12"/>
  <c r="M4843" i="12"/>
  <c r="M4842" i="12"/>
  <c r="M4841" i="12"/>
  <c r="M4840" i="12"/>
  <c r="M4839" i="12"/>
  <c r="M4838" i="12"/>
  <c r="M4837" i="12"/>
  <c r="M4836" i="12"/>
  <c r="M4835" i="12"/>
  <c r="M4834" i="12"/>
  <c r="M4833" i="12"/>
  <c r="M4832" i="12"/>
  <c r="M4831" i="12"/>
  <c r="M4830" i="12"/>
  <c r="M4829" i="12"/>
  <c r="M4828" i="12"/>
  <c r="M4827" i="12"/>
  <c r="M4826" i="12"/>
  <c r="M4825" i="12"/>
  <c r="M4824" i="12"/>
  <c r="M4823" i="12"/>
  <c r="M4822" i="12"/>
  <c r="M4821" i="12"/>
  <c r="M4820" i="12"/>
  <c r="M4819" i="12"/>
  <c r="M4818" i="12"/>
  <c r="M4817" i="12"/>
  <c r="M4816" i="12"/>
  <c r="M4815" i="12"/>
  <c r="M4814" i="12"/>
  <c r="M4813" i="12"/>
  <c r="M4812" i="12"/>
  <c r="M4811" i="12"/>
  <c r="M4810" i="12"/>
  <c r="M4809" i="12"/>
  <c r="M4808" i="12"/>
  <c r="M4807" i="12"/>
  <c r="M4806" i="12"/>
  <c r="M4805" i="12"/>
  <c r="M4804" i="12"/>
  <c r="M4803" i="12"/>
  <c r="M4802" i="12"/>
  <c r="M4801" i="12"/>
  <c r="M4800" i="12"/>
  <c r="M4799" i="12"/>
  <c r="M4798" i="12"/>
  <c r="M4797" i="12"/>
  <c r="M4796" i="12"/>
  <c r="M4795" i="12"/>
  <c r="M4794" i="12"/>
  <c r="M4793" i="12"/>
  <c r="M4792" i="12"/>
  <c r="M4791" i="12"/>
  <c r="M4790" i="12"/>
  <c r="M4789" i="12"/>
  <c r="M4788" i="12"/>
  <c r="M4787" i="12"/>
  <c r="M4786" i="12"/>
  <c r="M4785" i="12"/>
  <c r="M4784" i="12"/>
  <c r="M4783" i="12"/>
  <c r="M4782" i="12"/>
  <c r="M4781" i="12"/>
  <c r="M4780" i="12"/>
  <c r="M4779" i="12"/>
  <c r="M4778" i="12"/>
  <c r="M4777" i="12"/>
  <c r="M4776" i="12"/>
  <c r="M4775" i="12"/>
  <c r="M4774" i="12"/>
  <c r="M4773" i="12"/>
  <c r="M4772" i="12"/>
  <c r="M4771" i="12"/>
  <c r="M4770" i="12"/>
  <c r="M4769" i="12"/>
  <c r="M4768" i="12"/>
  <c r="M4767" i="12"/>
  <c r="M4766" i="12"/>
  <c r="M4765" i="12"/>
  <c r="M4764" i="12"/>
  <c r="M4763" i="12"/>
  <c r="M4762" i="12"/>
  <c r="M4761" i="12"/>
  <c r="M4760" i="12"/>
  <c r="M4759" i="12"/>
  <c r="M4758" i="12"/>
  <c r="M4757" i="12"/>
  <c r="M4756" i="12"/>
  <c r="M4755" i="12"/>
  <c r="M4754" i="12"/>
  <c r="M4753" i="12"/>
  <c r="M4752" i="12"/>
  <c r="M4751" i="12"/>
  <c r="M4750" i="12"/>
  <c r="M4749" i="12"/>
  <c r="M4748" i="12"/>
  <c r="M4747" i="12"/>
  <c r="M4746" i="12"/>
  <c r="M4745" i="12"/>
  <c r="M4744" i="12"/>
  <c r="M4743" i="12"/>
  <c r="M4742" i="12"/>
  <c r="M4741" i="12"/>
  <c r="M4740" i="12"/>
  <c r="M4739" i="12"/>
  <c r="M4738" i="12"/>
  <c r="M4737" i="12"/>
  <c r="M4736" i="12"/>
  <c r="M4735" i="12"/>
  <c r="M4734" i="12"/>
  <c r="M4733" i="12"/>
  <c r="M4732" i="12"/>
  <c r="M4731" i="12"/>
  <c r="M4730" i="12"/>
  <c r="M4729" i="12"/>
  <c r="M4728" i="12"/>
  <c r="M4727" i="12"/>
  <c r="M4726" i="12"/>
  <c r="M4725" i="12"/>
  <c r="M4724" i="12"/>
  <c r="M4723" i="12"/>
  <c r="M4722" i="12"/>
  <c r="M4721" i="12"/>
  <c r="M4720" i="12"/>
  <c r="M4719" i="12"/>
  <c r="M4718" i="12"/>
  <c r="M4717" i="12"/>
  <c r="M4716" i="12"/>
  <c r="M4715" i="12"/>
  <c r="M4714" i="12"/>
  <c r="M4713" i="12"/>
  <c r="M4712" i="12"/>
  <c r="M4711" i="12"/>
  <c r="M4710" i="12"/>
  <c r="M4709" i="12"/>
  <c r="M4708" i="12"/>
  <c r="M4707" i="12"/>
  <c r="M4706" i="12"/>
  <c r="M4705" i="12"/>
  <c r="M4704" i="12"/>
  <c r="M4703" i="12"/>
  <c r="M4702" i="12"/>
  <c r="M4701" i="12"/>
  <c r="M4700" i="12"/>
  <c r="M4699" i="12"/>
  <c r="M4698" i="12"/>
  <c r="M4697" i="12"/>
  <c r="M4696" i="12"/>
  <c r="M4695" i="12"/>
  <c r="M4694" i="12"/>
  <c r="M4693" i="12"/>
  <c r="M4692" i="12"/>
  <c r="M4691" i="12"/>
  <c r="M4690" i="12"/>
  <c r="M4689" i="12"/>
  <c r="M4688" i="12"/>
  <c r="M4687" i="12"/>
  <c r="M4686" i="12"/>
  <c r="M4685" i="12"/>
  <c r="M4684" i="12"/>
  <c r="M4683" i="12"/>
  <c r="M4682" i="12"/>
  <c r="M4681" i="12"/>
  <c r="M4680" i="12"/>
  <c r="M4679" i="12"/>
  <c r="M4678" i="12"/>
  <c r="M4677" i="12"/>
  <c r="M4676" i="12"/>
  <c r="M4675" i="12"/>
  <c r="M4674" i="12"/>
  <c r="M4673" i="12"/>
  <c r="M4672" i="12"/>
  <c r="M4671" i="12"/>
  <c r="M4670" i="12"/>
  <c r="M4669" i="12"/>
  <c r="M4668" i="12"/>
  <c r="M4667" i="12"/>
  <c r="M4666" i="12"/>
  <c r="M4665" i="12"/>
  <c r="M4664" i="12"/>
  <c r="M4663" i="12"/>
  <c r="M4662" i="12"/>
  <c r="M4661" i="12"/>
  <c r="M4660" i="12"/>
  <c r="M4659" i="12"/>
  <c r="M4658" i="12"/>
  <c r="M4657" i="12"/>
  <c r="M4656" i="12"/>
  <c r="M4655" i="12"/>
  <c r="M4654" i="12"/>
  <c r="M4653" i="12"/>
  <c r="M4652" i="12"/>
  <c r="M4651" i="12"/>
  <c r="M4650" i="12"/>
  <c r="M4649" i="12"/>
  <c r="M4648" i="12"/>
  <c r="M4647" i="12"/>
  <c r="M4646" i="12"/>
  <c r="M4645" i="12"/>
  <c r="M4644" i="12"/>
  <c r="M4643" i="12"/>
  <c r="M4642" i="12"/>
  <c r="M4641" i="12"/>
  <c r="M4640" i="12"/>
  <c r="M4639" i="12"/>
  <c r="M4638" i="12"/>
  <c r="M4637" i="12"/>
  <c r="M4636" i="12"/>
  <c r="M4635" i="12"/>
  <c r="M4634" i="12"/>
  <c r="M4633" i="12"/>
  <c r="M4632" i="12"/>
  <c r="M4631" i="12"/>
  <c r="M4630" i="12"/>
  <c r="M4629" i="12"/>
  <c r="M4628" i="12"/>
  <c r="M4627" i="12"/>
  <c r="M4626" i="12"/>
  <c r="M4625" i="12"/>
  <c r="M4624" i="12"/>
  <c r="M4623" i="12"/>
  <c r="M4622" i="12"/>
  <c r="M4621" i="12"/>
  <c r="M4620" i="12"/>
  <c r="M4619" i="12"/>
  <c r="M4618" i="12"/>
  <c r="M4617" i="12"/>
  <c r="M4616" i="12"/>
  <c r="M4615" i="12"/>
  <c r="M4614" i="12"/>
  <c r="M4613" i="12"/>
  <c r="M4612" i="12"/>
  <c r="M4611" i="12"/>
  <c r="M4610" i="12"/>
  <c r="M4609" i="12"/>
  <c r="M4608" i="12"/>
  <c r="M4607" i="12"/>
  <c r="M4606" i="12"/>
  <c r="M4605" i="12"/>
  <c r="M4604" i="12"/>
  <c r="M4603" i="12"/>
  <c r="M4602" i="12"/>
  <c r="M4601" i="12"/>
  <c r="M4600" i="12"/>
  <c r="M4599" i="12"/>
  <c r="M4598" i="12"/>
  <c r="M4597" i="12"/>
  <c r="M4596" i="12"/>
  <c r="M4595" i="12"/>
  <c r="M4594" i="12"/>
  <c r="M4593" i="12"/>
  <c r="M4592" i="12"/>
  <c r="M4591" i="12"/>
  <c r="M4590" i="12"/>
  <c r="M4589" i="12"/>
  <c r="M4588" i="12"/>
  <c r="M4587" i="12"/>
  <c r="M4586" i="12"/>
  <c r="M4585" i="12"/>
  <c r="M4584" i="12"/>
  <c r="M4583" i="12"/>
  <c r="M4582" i="12"/>
  <c r="M4581" i="12"/>
  <c r="M4580" i="12"/>
  <c r="M4579" i="12"/>
  <c r="M4578" i="12"/>
  <c r="M4577" i="12"/>
  <c r="M4576" i="12"/>
  <c r="M4575" i="12"/>
  <c r="M4574" i="12"/>
  <c r="M4573" i="12"/>
  <c r="M4572" i="12"/>
  <c r="M4571" i="12"/>
  <c r="M4570" i="12"/>
  <c r="M4569" i="12"/>
  <c r="M4568" i="12"/>
  <c r="M4567" i="12"/>
  <c r="M4566" i="12"/>
  <c r="M4565" i="12"/>
  <c r="M4564" i="12"/>
  <c r="M4563" i="12"/>
  <c r="M4562" i="12"/>
  <c r="M4561" i="12"/>
  <c r="M4560" i="12"/>
  <c r="M4559" i="12"/>
  <c r="M4558" i="12"/>
  <c r="M4557" i="12"/>
  <c r="M4556" i="12"/>
  <c r="M4555" i="12"/>
  <c r="M4554" i="12"/>
  <c r="M4553" i="12"/>
  <c r="M4552" i="12"/>
  <c r="M4551" i="12"/>
  <c r="M4550" i="12"/>
  <c r="M4549" i="12"/>
  <c r="M4548" i="12"/>
  <c r="M4547" i="12"/>
  <c r="M4546" i="12"/>
  <c r="M4545" i="12"/>
  <c r="M4544" i="12"/>
  <c r="M4543" i="12"/>
  <c r="M4542" i="12"/>
  <c r="M4541" i="12"/>
  <c r="M4540" i="12"/>
  <c r="M4539" i="12"/>
  <c r="M4538" i="12"/>
  <c r="M4537" i="12"/>
  <c r="M4536" i="12"/>
  <c r="M4535" i="12"/>
  <c r="M4534" i="12"/>
  <c r="M4533" i="12"/>
  <c r="M4532" i="12"/>
  <c r="M4531" i="12"/>
  <c r="M4530" i="12"/>
  <c r="M4529" i="12"/>
  <c r="M4528" i="12"/>
  <c r="M4527" i="12"/>
  <c r="M4526" i="12"/>
  <c r="M4525" i="12"/>
  <c r="M4524" i="12"/>
  <c r="M4523" i="12"/>
  <c r="M4522" i="12"/>
  <c r="M4521" i="12"/>
  <c r="M4520" i="12"/>
  <c r="M4519" i="12"/>
  <c r="M4518" i="12"/>
  <c r="M4517" i="12"/>
  <c r="M4516" i="12"/>
  <c r="M4515" i="12"/>
  <c r="M4514" i="12"/>
  <c r="M4513" i="12"/>
  <c r="M4512" i="12"/>
  <c r="M4511" i="12"/>
  <c r="M4510" i="12"/>
  <c r="M4509" i="12"/>
  <c r="M4508" i="12"/>
  <c r="M4507" i="12"/>
  <c r="M4506" i="12"/>
  <c r="M4505" i="12"/>
  <c r="M4504" i="12"/>
  <c r="M4503" i="12"/>
  <c r="M4502" i="12"/>
  <c r="M4501" i="12"/>
  <c r="M4500" i="12"/>
  <c r="M4499" i="12"/>
  <c r="M4498" i="12"/>
  <c r="M4497" i="12"/>
  <c r="M4496" i="12"/>
  <c r="M4495" i="12"/>
  <c r="M4494" i="12"/>
  <c r="M4493" i="12"/>
  <c r="M4492" i="12"/>
  <c r="M4491" i="12"/>
  <c r="M4490" i="12"/>
  <c r="M4489" i="12"/>
  <c r="M4488" i="12"/>
  <c r="M4487" i="12"/>
  <c r="M4486" i="12"/>
  <c r="M4485" i="12"/>
  <c r="M4484" i="12"/>
  <c r="M4483" i="12"/>
  <c r="M4482" i="12"/>
  <c r="M4481" i="12"/>
  <c r="M4480" i="12"/>
  <c r="M4479" i="12"/>
  <c r="M4478" i="12"/>
  <c r="M4477" i="12"/>
  <c r="M4476" i="12"/>
  <c r="M4475" i="12"/>
  <c r="M4474" i="12"/>
  <c r="M4473" i="12"/>
  <c r="M4472" i="12"/>
  <c r="M4471" i="12"/>
  <c r="M4470" i="12"/>
  <c r="M4469" i="12"/>
  <c r="M4468" i="12"/>
  <c r="M4467" i="12"/>
  <c r="M4466" i="12"/>
  <c r="M4465" i="12"/>
  <c r="M4464" i="12"/>
  <c r="M4463" i="12"/>
  <c r="M4462" i="12"/>
  <c r="M4461" i="12"/>
  <c r="M4460" i="12"/>
  <c r="M4459" i="12"/>
  <c r="M4458" i="12"/>
  <c r="M4457" i="12"/>
  <c r="M4456" i="12"/>
  <c r="M4455" i="12"/>
  <c r="M4454" i="12"/>
  <c r="M4453" i="12"/>
  <c r="M4452" i="12"/>
  <c r="M4451" i="12"/>
  <c r="M4450" i="12"/>
  <c r="M4449" i="12"/>
  <c r="M4448" i="12"/>
  <c r="M4447" i="12"/>
  <c r="M4446" i="12"/>
  <c r="M4445" i="12"/>
  <c r="M4444" i="12"/>
  <c r="M4443" i="12"/>
  <c r="M4442" i="12"/>
  <c r="M4441" i="12"/>
  <c r="M4440" i="12"/>
  <c r="M4439" i="12"/>
  <c r="M4438" i="12"/>
  <c r="M4437" i="12"/>
  <c r="M4436" i="12"/>
  <c r="M4435" i="12"/>
  <c r="M4434" i="12"/>
  <c r="M4433" i="12"/>
  <c r="M4432" i="12"/>
  <c r="M4431" i="12"/>
  <c r="M4430" i="12"/>
  <c r="M4429" i="12"/>
  <c r="M4428" i="12"/>
  <c r="M4427" i="12"/>
  <c r="M4426" i="12"/>
  <c r="M4425" i="12"/>
  <c r="M4424" i="12"/>
  <c r="M4423" i="12"/>
  <c r="M4422" i="12"/>
  <c r="M4421" i="12"/>
  <c r="M4420" i="12"/>
  <c r="M4419" i="12"/>
  <c r="M4418" i="12"/>
  <c r="M4417" i="12"/>
  <c r="M4416" i="12"/>
  <c r="M4415" i="12"/>
  <c r="M4414" i="12"/>
  <c r="M4413" i="12"/>
  <c r="M4412" i="12"/>
  <c r="M4411" i="12"/>
  <c r="M4410" i="12"/>
  <c r="M4409" i="12"/>
  <c r="M4408" i="12"/>
  <c r="M4407" i="12"/>
  <c r="M4406" i="12"/>
  <c r="M4405" i="12"/>
  <c r="M4404" i="12"/>
  <c r="M4403" i="12"/>
  <c r="M4402" i="12"/>
  <c r="M4401" i="12"/>
  <c r="M4400" i="12"/>
  <c r="M4399" i="12"/>
  <c r="M4398" i="12"/>
  <c r="M4397" i="12"/>
  <c r="M4396" i="12"/>
  <c r="M4395" i="12"/>
  <c r="M4394" i="12"/>
  <c r="M4393" i="12"/>
  <c r="M4392" i="12"/>
  <c r="M4391" i="12"/>
  <c r="M4390" i="12"/>
  <c r="M4389" i="12"/>
  <c r="M4388" i="12"/>
  <c r="M4387" i="12"/>
  <c r="M4386" i="12"/>
  <c r="M4385" i="12"/>
  <c r="M4384" i="12"/>
  <c r="M4383" i="12"/>
  <c r="M4382" i="12"/>
  <c r="M4381" i="12"/>
  <c r="M4380" i="12"/>
  <c r="M4379" i="12"/>
  <c r="M4378" i="12"/>
  <c r="M4377" i="12"/>
  <c r="M4376" i="12"/>
  <c r="M4375" i="12"/>
  <c r="M4374" i="12"/>
  <c r="M4373" i="12"/>
  <c r="M4372" i="12"/>
  <c r="M4371" i="12"/>
  <c r="M4370" i="12"/>
  <c r="M4369" i="12"/>
  <c r="M4368" i="12"/>
  <c r="M4367" i="12"/>
  <c r="M4366" i="12"/>
  <c r="M4365" i="12"/>
  <c r="M4364" i="12"/>
  <c r="M4363" i="12"/>
  <c r="M4362" i="12"/>
  <c r="M4361" i="12"/>
  <c r="M4360" i="12"/>
  <c r="M4359" i="12"/>
  <c r="M4358" i="12"/>
  <c r="M4357" i="12"/>
  <c r="M4356" i="12"/>
  <c r="M4355" i="12"/>
  <c r="M4354" i="12"/>
  <c r="M4353" i="12"/>
  <c r="M4352" i="12"/>
  <c r="M4351" i="12"/>
  <c r="M4350" i="12"/>
  <c r="M4349" i="12"/>
  <c r="M4348" i="12"/>
  <c r="M4347" i="12"/>
  <c r="M4346" i="12"/>
  <c r="M4345" i="12"/>
  <c r="M4344" i="12"/>
  <c r="M4343" i="12"/>
  <c r="M4342" i="12"/>
  <c r="M4341" i="12"/>
  <c r="M4340" i="12"/>
  <c r="M4339" i="12"/>
  <c r="M4338" i="12"/>
  <c r="M4337" i="12"/>
  <c r="M4336" i="12"/>
  <c r="M4335" i="12"/>
  <c r="M4334" i="12"/>
  <c r="M4333" i="12"/>
  <c r="M4332" i="12"/>
  <c r="M4331" i="12"/>
  <c r="M4330" i="12"/>
  <c r="M4329" i="12"/>
  <c r="M4328" i="12"/>
  <c r="M4327" i="12"/>
  <c r="M4326" i="12"/>
  <c r="M4325" i="12"/>
  <c r="M4324" i="12"/>
  <c r="M4323" i="12"/>
  <c r="M4322" i="12"/>
  <c r="M4321" i="12"/>
  <c r="M4320" i="12"/>
  <c r="M4319" i="12"/>
  <c r="M4318" i="12"/>
  <c r="M4317" i="12"/>
  <c r="M4316" i="12"/>
  <c r="M4315" i="12"/>
  <c r="M4314" i="12"/>
  <c r="M4313" i="12"/>
  <c r="M4312" i="12"/>
  <c r="M4311" i="12"/>
  <c r="M4310" i="12"/>
  <c r="M4309" i="12"/>
  <c r="M4308" i="12"/>
  <c r="M4307" i="12"/>
  <c r="M4306" i="12"/>
  <c r="M4305" i="12"/>
  <c r="M4304" i="12"/>
  <c r="M4303" i="12"/>
  <c r="M4302" i="12"/>
  <c r="M4301" i="12"/>
  <c r="M4300" i="12"/>
  <c r="M4299" i="12"/>
  <c r="M4298" i="12"/>
  <c r="M4297" i="12"/>
  <c r="M4296" i="12"/>
  <c r="M4295" i="12"/>
  <c r="M4294" i="12"/>
  <c r="M4293" i="12"/>
  <c r="M4292" i="12"/>
  <c r="M4291" i="12"/>
  <c r="M4290" i="12"/>
  <c r="M4289" i="12"/>
  <c r="M4288" i="12"/>
  <c r="M4287" i="12"/>
  <c r="M4286" i="12"/>
  <c r="M4285" i="12"/>
  <c r="M4284" i="12"/>
  <c r="M4283" i="12"/>
  <c r="M4282" i="12"/>
  <c r="M4281" i="12"/>
  <c r="M4280" i="12"/>
  <c r="M4279" i="12"/>
  <c r="M4278" i="12"/>
  <c r="M4277" i="12"/>
  <c r="M4276" i="12"/>
  <c r="M4275" i="12"/>
  <c r="M4274" i="12"/>
  <c r="M4273" i="12"/>
  <c r="M4272" i="12"/>
  <c r="M4271" i="12"/>
  <c r="M4270" i="12"/>
  <c r="M4269" i="12"/>
  <c r="M4268" i="12"/>
  <c r="M4267" i="12"/>
  <c r="M4266" i="12"/>
  <c r="M4265" i="12"/>
  <c r="M4264" i="12"/>
  <c r="M4263" i="12"/>
  <c r="M4262" i="12"/>
  <c r="M4261" i="12"/>
  <c r="M4260" i="12"/>
  <c r="M4259" i="12"/>
  <c r="M4258" i="12"/>
  <c r="M4257" i="12"/>
  <c r="M4256" i="12"/>
  <c r="M4255" i="12"/>
  <c r="M4254" i="12"/>
  <c r="M4253" i="12"/>
  <c r="M4252" i="12"/>
  <c r="M4251" i="12"/>
  <c r="M4250" i="12"/>
  <c r="M4249" i="12"/>
  <c r="M4248" i="12"/>
  <c r="M4247" i="12"/>
  <c r="M4246" i="12"/>
  <c r="M4245" i="12"/>
  <c r="M4244" i="12"/>
  <c r="M4243" i="12"/>
  <c r="M4242" i="12"/>
  <c r="M4241" i="12"/>
  <c r="M4240" i="12"/>
  <c r="M4239" i="12"/>
  <c r="M4238" i="12"/>
  <c r="M4237" i="12"/>
  <c r="M4236" i="12"/>
  <c r="M4235" i="12"/>
  <c r="M4234" i="12"/>
  <c r="M4233" i="12"/>
  <c r="M4232" i="12"/>
  <c r="M4231" i="12"/>
  <c r="M4230" i="12"/>
  <c r="M4229" i="12"/>
  <c r="M4228" i="12"/>
  <c r="M4227" i="12"/>
  <c r="M4226" i="12"/>
  <c r="M4225" i="12"/>
  <c r="M4224" i="12"/>
  <c r="M4223" i="12"/>
  <c r="M4222" i="12"/>
  <c r="M4221" i="12"/>
  <c r="M4220" i="12"/>
  <c r="M4219" i="12"/>
  <c r="M4218" i="12"/>
  <c r="M4217" i="12"/>
  <c r="M4216" i="12"/>
  <c r="M4215" i="12"/>
  <c r="M4214" i="12"/>
  <c r="M4213" i="12"/>
  <c r="M4212" i="12"/>
  <c r="M4211" i="12"/>
  <c r="M4210" i="12"/>
  <c r="M4209" i="12"/>
  <c r="M4208" i="12"/>
  <c r="M4207" i="12"/>
  <c r="M4206" i="12"/>
  <c r="M4205" i="12"/>
  <c r="M4204" i="12"/>
  <c r="M4203" i="12"/>
  <c r="M4202" i="12"/>
  <c r="M4201" i="12"/>
  <c r="M4200" i="12"/>
  <c r="M4199" i="12"/>
  <c r="M4198" i="12"/>
  <c r="M4197" i="12"/>
  <c r="M4196" i="12"/>
  <c r="M4195" i="12"/>
  <c r="M4194" i="12"/>
  <c r="M4193" i="12"/>
  <c r="M4192" i="12"/>
  <c r="M4191" i="12"/>
  <c r="M4190" i="12"/>
  <c r="M4189" i="12"/>
  <c r="M4188" i="12"/>
  <c r="M4187" i="12"/>
  <c r="M4186" i="12"/>
  <c r="M4185" i="12"/>
  <c r="M4184" i="12"/>
  <c r="M4183" i="12"/>
  <c r="M4182" i="12"/>
  <c r="M4181" i="12"/>
  <c r="M4180" i="12"/>
  <c r="M4179" i="12"/>
  <c r="M4178" i="12"/>
  <c r="M4177" i="12"/>
  <c r="M4176" i="12"/>
  <c r="M4175" i="12"/>
  <c r="M4174" i="12"/>
  <c r="M4173" i="12"/>
  <c r="M4172" i="12"/>
  <c r="M4171" i="12"/>
  <c r="M4170" i="12"/>
  <c r="M4169" i="12"/>
  <c r="M4168" i="12"/>
  <c r="M4167" i="12"/>
  <c r="M4166" i="12"/>
  <c r="M4165" i="12"/>
  <c r="M4164" i="12"/>
  <c r="M4163" i="12"/>
  <c r="M4162" i="12"/>
  <c r="M4161" i="12"/>
  <c r="M4160" i="12"/>
  <c r="M4159" i="12"/>
  <c r="M4158" i="12"/>
  <c r="M4157" i="12"/>
  <c r="M4156" i="12"/>
  <c r="M4155" i="12"/>
  <c r="M4154" i="12"/>
  <c r="M4153" i="12"/>
  <c r="M4152" i="12"/>
  <c r="M4151" i="12"/>
  <c r="M4150" i="12"/>
  <c r="M4149" i="12"/>
  <c r="M4148" i="12"/>
  <c r="M4147" i="12"/>
  <c r="M4146" i="12"/>
  <c r="M4145" i="12"/>
  <c r="M4144" i="12"/>
  <c r="M4143" i="12"/>
  <c r="M4142" i="12"/>
  <c r="M4141" i="12"/>
  <c r="M4140" i="12"/>
  <c r="M4139" i="12"/>
  <c r="M4138" i="12"/>
  <c r="M4137" i="12"/>
  <c r="M4136" i="12"/>
  <c r="M4135" i="12"/>
  <c r="M4134" i="12"/>
  <c r="M4133" i="12"/>
  <c r="M4132" i="12"/>
  <c r="M4131" i="12"/>
  <c r="M4130" i="12"/>
  <c r="M4129" i="12"/>
  <c r="M4128" i="12"/>
  <c r="M4127" i="12"/>
  <c r="M4126" i="12"/>
  <c r="M4125" i="12"/>
  <c r="M4124" i="12"/>
  <c r="M4123" i="12"/>
  <c r="M4122" i="12"/>
  <c r="M4121" i="12"/>
  <c r="M4120" i="12"/>
  <c r="M4119" i="12"/>
  <c r="M4118" i="12"/>
  <c r="M4117" i="12"/>
  <c r="M4116" i="12"/>
  <c r="M4115" i="12"/>
  <c r="M4114" i="12"/>
  <c r="M4113" i="12"/>
  <c r="M4112" i="12"/>
  <c r="M4111" i="12"/>
  <c r="M4110" i="12"/>
  <c r="M4109" i="12"/>
  <c r="M4108" i="12"/>
  <c r="M4107" i="12"/>
  <c r="M4106" i="12"/>
  <c r="M4105" i="12"/>
  <c r="M4104" i="12"/>
  <c r="M4103" i="12"/>
  <c r="M4102" i="12"/>
  <c r="M4101" i="12"/>
  <c r="M4100" i="12"/>
  <c r="M4099" i="12"/>
  <c r="M4098" i="12"/>
  <c r="M4097" i="12"/>
  <c r="M4096" i="12"/>
  <c r="M4095" i="12"/>
  <c r="M4094" i="12"/>
  <c r="M4093" i="12"/>
  <c r="M4092" i="12"/>
  <c r="M4091" i="12"/>
  <c r="M4090" i="12"/>
  <c r="M4089" i="12"/>
  <c r="M4088" i="12"/>
  <c r="M4087" i="12"/>
  <c r="M4086" i="12"/>
  <c r="M4085" i="12"/>
  <c r="M4084" i="12"/>
  <c r="M4083" i="12"/>
  <c r="M4082" i="12"/>
  <c r="M4081" i="12"/>
  <c r="M4080" i="12"/>
  <c r="M4079" i="12"/>
  <c r="M4078" i="12"/>
  <c r="M4077" i="12"/>
  <c r="M4076" i="12"/>
  <c r="M4075" i="12"/>
  <c r="M4074" i="12"/>
  <c r="M4073" i="12"/>
  <c r="M4072" i="12"/>
  <c r="M4071" i="12"/>
  <c r="M4070" i="12"/>
  <c r="M4069" i="12"/>
  <c r="M4068" i="12"/>
  <c r="M4067" i="12"/>
  <c r="M4066" i="12"/>
  <c r="M4065" i="12"/>
  <c r="M4064" i="12"/>
  <c r="M4063" i="12"/>
  <c r="M4062" i="12"/>
  <c r="M4061" i="12"/>
  <c r="M4060" i="12"/>
  <c r="M4059" i="12"/>
  <c r="M4058" i="12"/>
  <c r="M4057" i="12"/>
  <c r="M4056" i="12"/>
  <c r="M4055" i="12"/>
  <c r="M4054" i="12"/>
  <c r="M4053" i="12"/>
  <c r="M4052" i="12"/>
  <c r="M4051" i="12"/>
  <c r="M4050" i="12"/>
  <c r="M4049" i="12"/>
  <c r="M4048" i="12"/>
  <c r="M4047" i="12"/>
  <c r="M4046" i="12"/>
  <c r="M4045" i="12"/>
  <c r="M4044" i="12"/>
  <c r="M4043" i="12"/>
  <c r="M4042" i="12"/>
  <c r="M4041" i="12"/>
  <c r="M4040" i="12"/>
  <c r="M4039" i="12"/>
  <c r="M4038" i="12"/>
  <c r="M4037" i="12"/>
  <c r="M4036" i="12"/>
  <c r="M4035" i="12"/>
  <c r="M4034" i="12"/>
  <c r="M4033" i="12"/>
  <c r="M4032" i="12"/>
  <c r="M4031" i="12"/>
  <c r="M4030" i="12"/>
  <c r="M4029" i="12"/>
  <c r="M4028" i="12"/>
  <c r="M4027" i="12"/>
  <c r="M4026" i="12"/>
  <c r="M4025" i="12"/>
  <c r="M4024" i="12"/>
  <c r="M4023" i="12"/>
  <c r="M4022" i="12"/>
  <c r="M4021" i="12"/>
  <c r="M4020" i="12"/>
  <c r="M4019" i="12"/>
  <c r="M4018" i="12"/>
  <c r="M4017" i="12"/>
  <c r="M4016" i="12"/>
  <c r="M4015" i="12"/>
  <c r="M4014" i="12"/>
  <c r="M4013" i="12"/>
  <c r="M4012" i="12"/>
  <c r="M4011" i="12"/>
  <c r="M4010" i="12"/>
  <c r="M4009" i="12"/>
  <c r="M4008" i="12"/>
  <c r="M4007" i="12"/>
  <c r="M4006" i="12"/>
  <c r="M4005" i="12"/>
  <c r="M4004" i="12"/>
  <c r="M4003" i="12"/>
  <c r="M4002" i="12"/>
  <c r="M4001" i="12"/>
  <c r="M4000" i="12"/>
  <c r="M3999" i="12"/>
  <c r="M3998" i="12"/>
  <c r="M3997" i="12"/>
  <c r="M3996" i="12"/>
  <c r="M3995" i="12"/>
  <c r="M3994" i="12"/>
  <c r="M3993" i="12"/>
  <c r="M3992" i="12"/>
  <c r="M3991" i="12"/>
  <c r="M3990" i="12"/>
  <c r="M3989" i="12"/>
  <c r="M3988" i="12"/>
  <c r="M3987" i="12"/>
  <c r="M3986" i="12"/>
  <c r="M3985" i="12"/>
  <c r="M3984" i="12"/>
  <c r="M3983" i="12"/>
  <c r="M3982" i="12"/>
  <c r="M3981" i="12"/>
  <c r="M3980" i="12"/>
  <c r="M3979" i="12"/>
  <c r="M3978" i="12"/>
  <c r="M3977" i="12"/>
  <c r="M3976" i="12"/>
  <c r="M3975" i="12"/>
  <c r="M3974" i="12"/>
  <c r="M3973" i="12"/>
  <c r="M3972" i="12"/>
  <c r="M3971" i="12"/>
  <c r="M3970" i="12"/>
  <c r="M3969" i="12"/>
  <c r="M3968" i="12"/>
  <c r="M3967" i="12"/>
  <c r="M3966" i="12"/>
  <c r="M3965" i="12"/>
  <c r="M3964" i="12"/>
  <c r="M3963" i="12"/>
  <c r="M3962" i="12"/>
  <c r="M3961" i="12"/>
  <c r="M3960" i="12"/>
  <c r="M3959" i="12"/>
  <c r="M3958" i="12"/>
  <c r="M3957" i="12"/>
  <c r="M3956" i="12"/>
  <c r="M3955" i="12"/>
  <c r="M3954" i="12"/>
  <c r="M3953" i="12"/>
  <c r="M3952" i="12"/>
  <c r="M3951" i="12"/>
  <c r="M3950" i="12"/>
  <c r="M3949" i="12"/>
  <c r="M3948" i="12"/>
  <c r="M3947" i="12"/>
  <c r="M3946" i="12"/>
  <c r="M3945" i="12"/>
  <c r="M3944" i="12"/>
  <c r="M3943" i="12"/>
  <c r="M3942" i="12"/>
  <c r="M3941" i="12"/>
  <c r="M3940" i="12"/>
  <c r="M3939" i="12"/>
  <c r="M3938" i="12"/>
  <c r="M3937" i="12"/>
  <c r="M3936" i="12"/>
  <c r="M3935" i="12"/>
  <c r="M3934" i="12"/>
  <c r="M3933" i="12"/>
  <c r="M3932" i="12"/>
  <c r="M3931" i="12"/>
  <c r="M3930" i="12"/>
  <c r="M3929" i="12"/>
  <c r="M3928" i="12"/>
  <c r="M3927" i="12"/>
  <c r="M3926" i="12"/>
  <c r="M3925" i="12"/>
  <c r="M3924" i="12"/>
  <c r="M3923" i="12"/>
  <c r="M3922" i="12"/>
  <c r="M3921" i="12"/>
  <c r="M3920" i="12"/>
  <c r="M3919" i="12"/>
  <c r="M3918" i="12"/>
  <c r="M3917" i="12"/>
  <c r="M3916" i="12"/>
  <c r="M3915" i="12"/>
  <c r="M3914" i="12"/>
  <c r="M3913" i="12"/>
  <c r="M3912" i="12"/>
  <c r="M3911" i="12"/>
  <c r="M3910" i="12"/>
  <c r="M3909" i="12"/>
  <c r="M3908" i="12"/>
  <c r="M3907" i="12"/>
  <c r="M3906" i="12"/>
  <c r="M3905" i="12"/>
  <c r="M3904" i="12"/>
  <c r="M3903" i="12"/>
  <c r="M3902" i="12"/>
  <c r="M3901" i="12"/>
  <c r="M3900" i="12"/>
  <c r="M3899" i="12"/>
  <c r="M3898" i="12"/>
  <c r="M3897" i="12"/>
  <c r="M3896" i="12"/>
  <c r="M3895" i="12"/>
  <c r="M3894" i="12"/>
  <c r="M3893" i="12"/>
  <c r="M3892" i="12"/>
  <c r="M3891" i="12"/>
  <c r="M3890" i="12"/>
  <c r="M3889" i="12"/>
  <c r="M3888" i="12"/>
  <c r="M3887" i="12"/>
  <c r="M3886" i="12"/>
  <c r="M3885" i="12"/>
  <c r="M3884" i="12"/>
  <c r="M3883" i="12"/>
  <c r="M3882" i="12"/>
  <c r="M3881" i="12"/>
  <c r="M3880" i="12"/>
  <c r="M3879" i="12"/>
  <c r="M3878" i="12"/>
  <c r="M3877" i="12"/>
  <c r="M3876" i="12"/>
  <c r="M3875" i="12"/>
  <c r="M3874" i="12"/>
  <c r="M3873" i="12"/>
  <c r="M3872" i="12"/>
  <c r="M3871" i="12"/>
  <c r="M3870" i="12"/>
  <c r="M3869" i="12"/>
  <c r="M3868" i="12"/>
  <c r="M3867" i="12"/>
  <c r="M3866" i="12"/>
  <c r="M3865" i="12"/>
  <c r="M3864" i="12"/>
  <c r="M3863" i="12"/>
  <c r="M3862" i="12"/>
  <c r="M3861" i="12"/>
  <c r="M3860" i="12"/>
  <c r="M3859" i="12"/>
  <c r="M3858" i="12"/>
  <c r="M3857" i="12"/>
  <c r="M3856" i="12"/>
  <c r="M3855" i="12"/>
  <c r="M3854" i="12"/>
  <c r="M3853" i="12"/>
  <c r="M3852" i="12"/>
  <c r="M3851" i="12"/>
  <c r="M3850" i="12"/>
  <c r="M3849" i="12"/>
  <c r="M3848" i="12"/>
  <c r="M3847" i="12"/>
  <c r="M3846" i="12"/>
  <c r="M3845" i="12"/>
  <c r="M3844" i="12"/>
  <c r="M3843" i="12"/>
  <c r="M3842" i="12"/>
  <c r="M3841" i="12"/>
  <c r="M3840" i="12"/>
  <c r="M3839" i="12"/>
  <c r="M3838" i="12"/>
  <c r="M3837" i="12"/>
  <c r="M3836" i="12"/>
  <c r="M3835" i="12"/>
  <c r="M3834" i="12"/>
  <c r="M3833" i="12"/>
  <c r="M3832" i="12"/>
  <c r="M3831" i="12"/>
  <c r="M3830" i="12"/>
  <c r="M3829" i="12"/>
  <c r="M3828" i="12"/>
  <c r="M3827" i="12"/>
  <c r="M3826" i="12"/>
  <c r="M3825" i="12"/>
  <c r="M3824" i="12"/>
  <c r="M3823" i="12"/>
  <c r="M3822" i="12"/>
  <c r="M3821" i="12"/>
  <c r="M3820" i="12"/>
  <c r="M3819" i="12"/>
  <c r="M3818" i="12"/>
  <c r="M3817" i="12"/>
  <c r="M3816" i="12"/>
  <c r="M3815" i="12"/>
  <c r="M3814" i="12"/>
  <c r="M3813" i="12"/>
  <c r="M3812" i="12"/>
  <c r="M3811" i="12"/>
  <c r="M3810" i="12"/>
  <c r="M3809" i="12"/>
  <c r="M3808" i="12"/>
  <c r="M3807" i="12"/>
  <c r="M3806" i="12"/>
  <c r="M3805" i="12"/>
  <c r="M3804" i="12"/>
  <c r="M3803" i="12"/>
  <c r="M3802" i="12"/>
  <c r="M3801" i="12"/>
  <c r="M3800" i="12"/>
  <c r="M3799" i="12"/>
  <c r="M3798" i="12"/>
  <c r="M3797" i="12"/>
  <c r="M3796" i="12"/>
  <c r="M3795" i="12"/>
  <c r="M3794" i="12"/>
  <c r="M3793" i="12"/>
  <c r="M3792" i="12"/>
  <c r="M3791" i="12"/>
  <c r="M3790" i="12"/>
  <c r="M3789" i="12"/>
  <c r="M3788" i="12"/>
  <c r="M3787" i="12"/>
  <c r="M3786" i="12"/>
  <c r="M3785" i="12"/>
  <c r="M3784" i="12"/>
  <c r="M3783" i="12"/>
  <c r="M3782" i="12"/>
  <c r="M3781" i="12"/>
  <c r="M3780" i="12"/>
  <c r="M3779" i="12"/>
  <c r="M3778" i="12"/>
  <c r="M3777" i="12"/>
  <c r="M3776" i="12"/>
  <c r="M3775" i="12"/>
  <c r="M3774" i="12"/>
  <c r="M3773" i="12"/>
  <c r="M3772" i="12"/>
  <c r="M3771" i="12"/>
  <c r="M3770" i="12"/>
  <c r="M3769" i="12"/>
  <c r="M3768" i="12"/>
  <c r="M3767" i="12"/>
  <c r="M3766" i="12"/>
  <c r="M3765" i="12"/>
  <c r="M3764" i="12"/>
  <c r="M3763" i="12"/>
  <c r="M3762" i="12"/>
  <c r="M3761" i="12"/>
  <c r="M3760" i="12"/>
  <c r="M3759" i="12"/>
  <c r="M3758" i="12"/>
  <c r="M3757" i="12"/>
  <c r="M3756" i="12"/>
  <c r="M3755" i="12"/>
  <c r="M3754" i="12"/>
  <c r="M3753" i="12"/>
  <c r="M3752" i="12"/>
  <c r="M3751" i="12"/>
  <c r="M3750" i="12"/>
  <c r="M3749" i="12"/>
  <c r="M3748" i="12"/>
  <c r="M3747" i="12"/>
  <c r="M3746" i="12"/>
  <c r="M3745" i="12"/>
  <c r="M3744" i="12"/>
  <c r="M3743" i="12"/>
  <c r="M3742" i="12"/>
  <c r="M3741" i="12"/>
  <c r="M3740" i="12"/>
  <c r="M3739" i="12"/>
  <c r="M3738" i="12"/>
  <c r="M3737" i="12"/>
  <c r="M3736" i="12"/>
  <c r="M3735" i="12"/>
  <c r="M3734" i="12"/>
  <c r="M3733" i="12"/>
  <c r="M3732" i="12"/>
  <c r="M3731" i="12"/>
  <c r="M3730" i="12"/>
  <c r="M3729" i="12"/>
  <c r="M3728" i="12"/>
  <c r="M3727" i="12"/>
  <c r="M3726" i="12"/>
  <c r="M3725" i="12"/>
  <c r="M3724" i="12"/>
  <c r="M3723" i="12"/>
  <c r="M3722" i="12"/>
  <c r="M3721" i="12"/>
  <c r="M3720" i="12"/>
  <c r="M3719" i="12"/>
  <c r="M3718" i="12"/>
  <c r="M3717" i="12"/>
  <c r="M3716" i="12"/>
  <c r="M3715" i="12"/>
  <c r="M3714" i="12"/>
  <c r="M3713" i="12"/>
  <c r="M3712" i="12"/>
  <c r="M3711" i="12"/>
  <c r="M3710" i="12"/>
  <c r="M3709" i="12"/>
  <c r="M3708" i="12"/>
  <c r="M3707" i="12"/>
  <c r="M3706" i="12"/>
  <c r="M3705" i="12"/>
  <c r="M3704" i="12"/>
  <c r="M3703" i="12"/>
  <c r="M3702" i="12"/>
  <c r="M3701" i="12"/>
  <c r="M3700" i="12"/>
  <c r="M3699" i="12"/>
  <c r="M3698" i="12"/>
  <c r="M3697" i="12"/>
  <c r="M3696" i="12"/>
  <c r="M3695" i="12"/>
  <c r="M3694" i="12"/>
  <c r="M3693" i="12"/>
  <c r="M3692" i="12"/>
  <c r="M3691" i="12"/>
  <c r="M3690" i="12"/>
  <c r="M3689" i="12"/>
  <c r="M3688" i="12"/>
  <c r="M3687" i="12"/>
  <c r="M3686" i="12"/>
  <c r="M3685" i="12"/>
  <c r="M3684" i="12"/>
  <c r="M3683" i="12"/>
  <c r="M3682" i="12"/>
  <c r="M3681" i="12"/>
  <c r="M3680" i="12"/>
  <c r="M3679" i="12"/>
  <c r="M3678" i="12"/>
  <c r="M3677" i="12"/>
  <c r="M3676" i="12"/>
  <c r="M3675" i="12"/>
  <c r="M3674" i="12"/>
  <c r="M3673" i="12"/>
  <c r="M3672" i="12"/>
  <c r="M3671" i="12"/>
  <c r="M3670" i="12"/>
  <c r="M3669" i="12"/>
  <c r="M3668" i="12"/>
  <c r="M3667" i="12"/>
  <c r="M3666" i="12"/>
  <c r="M3665" i="12"/>
  <c r="M3664" i="12"/>
  <c r="M3663" i="12"/>
  <c r="M3662" i="12"/>
  <c r="M3661" i="12"/>
  <c r="M3660" i="12"/>
  <c r="M3659" i="12"/>
  <c r="M3658" i="12"/>
  <c r="M3657" i="12"/>
  <c r="M3656" i="12"/>
  <c r="M3655" i="12"/>
  <c r="M3654" i="12"/>
  <c r="M3653" i="12"/>
  <c r="M3652" i="12"/>
  <c r="M3651" i="12"/>
  <c r="M3650" i="12"/>
  <c r="M3649" i="12"/>
  <c r="M3648" i="12"/>
  <c r="M3647" i="12"/>
  <c r="M3646" i="12"/>
  <c r="M3645" i="12"/>
  <c r="M3644" i="12"/>
  <c r="M3643" i="12"/>
  <c r="M3642" i="12"/>
  <c r="M3641" i="12"/>
  <c r="M3640" i="12"/>
  <c r="M3639" i="12"/>
  <c r="M3638" i="12"/>
  <c r="M3637" i="12"/>
  <c r="M3636" i="12"/>
  <c r="M3635" i="12"/>
  <c r="M3634" i="12"/>
  <c r="M3633" i="12"/>
  <c r="M3632" i="12"/>
  <c r="M3631" i="12"/>
  <c r="M3630" i="12"/>
  <c r="M3629" i="12"/>
  <c r="M3628" i="12"/>
  <c r="M3627" i="12"/>
  <c r="M3626" i="12"/>
  <c r="M3625" i="12"/>
  <c r="M3624" i="12"/>
  <c r="M3623" i="12"/>
  <c r="M3622" i="12"/>
  <c r="M3621" i="12"/>
  <c r="M3620" i="12"/>
  <c r="M3619" i="12"/>
  <c r="M3618" i="12"/>
  <c r="M3617" i="12"/>
  <c r="M3616" i="12"/>
  <c r="M3615" i="12"/>
  <c r="M3614" i="12"/>
  <c r="M3613" i="12"/>
  <c r="M3612" i="12"/>
  <c r="M3611" i="12"/>
  <c r="M3610" i="12"/>
  <c r="M3609" i="12"/>
  <c r="M3608" i="12"/>
  <c r="M3607" i="12"/>
  <c r="M3606" i="12"/>
  <c r="M3605" i="12"/>
  <c r="M3604" i="12"/>
  <c r="M3603" i="12"/>
  <c r="M3602" i="12"/>
  <c r="M3601" i="12"/>
  <c r="M3600" i="12"/>
  <c r="M3599" i="12"/>
  <c r="M3598" i="12"/>
  <c r="M3597" i="12"/>
  <c r="M3596" i="12"/>
  <c r="M3595" i="12"/>
  <c r="M3594" i="12"/>
  <c r="M3593" i="12"/>
  <c r="M3592" i="12"/>
  <c r="M3591" i="12"/>
  <c r="M3590" i="12"/>
  <c r="M3589" i="12"/>
  <c r="M3588" i="12"/>
  <c r="M3587" i="12"/>
  <c r="M3586" i="12"/>
  <c r="M3585" i="12"/>
  <c r="M3584" i="12"/>
  <c r="M3583" i="12"/>
  <c r="M3582" i="12"/>
  <c r="M3581" i="12"/>
  <c r="M3580" i="12"/>
  <c r="M3579" i="12"/>
  <c r="M3578" i="12"/>
  <c r="M3577" i="12"/>
  <c r="M3576" i="12"/>
  <c r="M3575" i="12"/>
  <c r="M3574" i="12"/>
  <c r="M3573" i="12"/>
  <c r="M3572" i="12"/>
  <c r="M3571" i="12"/>
  <c r="M3570" i="12"/>
  <c r="M3569" i="12"/>
  <c r="M3568" i="12"/>
  <c r="M3567" i="12"/>
  <c r="M3566" i="12"/>
  <c r="M3565" i="12"/>
  <c r="M3564" i="12"/>
  <c r="M3563" i="12"/>
  <c r="M3562" i="12"/>
  <c r="M3561" i="12"/>
  <c r="M3560" i="12"/>
  <c r="M3559" i="12"/>
  <c r="M3558" i="12"/>
  <c r="M3557" i="12"/>
  <c r="M3556" i="12"/>
  <c r="M3555" i="12"/>
  <c r="M3554" i="12"/>
  <c r="M3553" i="12"/>
  <c r="M3552" i="12"/>
  <c r="M3551" i="12"/>
  <c r="M3550" i="12"/>
  <c r="M3549" i="12"/>
  <c r="M3548" i="12"/>
  <c r="M3547" i="12"/>
  <c r="M3546" i="12"/>
  <c r="M3545" i="12"/>
  <c r="M3544" i="12"/>
  <c r="M3543" i="12"/>
  <c r="M3542" i="12"/>
  <c r="M3541" i="12"/>
  <c r="M3540" i="12"/>
  <c r="M3539" i="12"/>
  <c r="M3538" i="12"/>
  <c r="M3537" i="12"/>
  <c r="M3536" i="12"/>
  <c r="M3535" i="12"/>
  <c r="M3534" i="12"/>
  <c r="M3533" i="12"/>
  <c r="M3532" i="12"/>
  <c r="M3531" i="12"/>
  <c r="M3530" i="12"/>
  <c r="M3529" i="12"/>
  <c r="M3528" i="12"/>
  <c r="M3527" i="12"/>
  <c r="M3526" i="12"/>
  <c r="M3525" i="12"/>
  <c r="M3524" i="12"/>
  <c r="M3523" i="12"/>
  <c r="M3522" i="12"/>
  <c r="M3521" i="12"/>
  <c r="M3520" i="12"/>
  <c r="M3519" i="12"/>
  <c r="M3518" i="12"/>
  <c r="M3517" i="12"/>
  <c r="M3516" i="12"/>
  <c r="M3515" i="12"/>
  <c r="M3514" i="12"/>
  <c r="M3513" i="12"/>
  <c r="M3512" i="12"/>
  <c r="M3511" i="12"/>
  <c r="M3510" i="12"/>
  <c r="M3509" i="12"/>
  <c r="M3508" i="12"/>
  <c r="M3507" i="12"/>
  <c r="M3506" i="12"/>
  <c r="M3505" i="12"/>
  <c r="M3504" i="12"/>
  <c r="M3503" i="12"/>
  <c r="M3502" i="12"/>
  <c r="M3501" i="12"/>
  <c r="M3500" i="12"/>
  <c r="M3499" i="12"/>
  <c r="M3498" i="12"/>
  <c r="M3497" i="12"/>
  <c r="M3496" i="12"/>
  <c r="M3495" i="12"/>
  <c r="M3494" i="12"/>
  <c r="M3493" i="12"/>
  <c r="M3492" i="12"/>
  <c r="M3491" i="12"/>
  <c r="M3490" i="12"/>
  <c r="M3489" i="12"/>
  <c r="M3488" i="12"/>
  <c r="M3487" i="12"/>
  <c r="M3486" i="12"/>
  <c r="M3485" i="12"/>
  <c r="M3484" i="12"/>
  <c r="M3483" i="12"/>
  <c r="M3482" i="12"/>
  <c r="M3481" i="12"/>
  <c r="M3480" i="12"/>
  <c r="M3479" i="12"/>
  <c r="M3478" i="12"/>
  <c r="M3477" i="12"/>
  <c r="M3476" i="12"/>
  <c r="M3475" i="12"/>
  <c r="M3474" i="12"/>
  <c r="M3473" i="12"/>
  <c r="M3472" i="12"/>
  <c r="M3471" i="12"/>
  <c r="M3470" i="12"/>
  <c r="M3469" i="12"/>
  <c r="M3468" i="12"/>
  <c r="M3467" i="12"/>
  <c r="M3466" i="12"/>
  <c r="M3465" i="12"/>
  <c r="M3464" i="12"/>
  <c r="M3463" i="12"/>
  <c r="M3462" i="12"/>
  <c r="M3461" i="12"/>
  <c r="M3460" i="12"/>
  <c r="M3459" i="12"/>
  <c r="M3458" i="12"/>
  <c r="M3457" i="12"/>
  <c r="M3456" i="12"/>
  <c r="M3455" i="12"/>
  <c r="M3454" i="12"/>
  <c r="M3453" i="12"/>
  <c r="M3452" i="12"/>
  <c r="M3451" i="12"/>
  <c r="M3450" i="12"/>
  <c r="M3449" i="12"/>
  <c r="M3448" i="12"/>
  <c r="M3447" i="12"/>
  <c r="M3446" i="12"/>
  <c r="M3445" i="12"/>
  <c r="M3444" i="12"/>
  <c r="M3443" i="12"/>
  <c r="M3442" i="12"/>
  <c r="M3441" i="12"/>
  <c r="M3440" i="12"/>
  <c r="M3439" i="12"/>
  <c r="M3438" i="12"/>
  <c r="M3437" i="12"/>
  <c r="M3436" i="12"/>
  <c r="M3435" i="12"/>
  <c r="M3434" i="12"/>
  <c r="M3433" i="12"/>
  <c r="M3432" i="12"/>
  <c r="M3431" i="12"/>
  <c r="M3430" i="12"/>
  <c r="M3429" i="12"/>
  <c r="M3428" i="12"/>
  <c r="M3427" i="12"/>
  <c r="M3426" i="12"/>
  <c r="M3425" i="12"/>
  <c r="M3424" i="12"/>
  <c r="M3423" i="12"/>
  <c r="M3422" i="12"/>
  <c r="M3421" i="12"/>
  <c r="M3420" i="12"/>
  <c r="M3419" i="12"/>
  <c r="M3418" i="12"/>
  <c r="M3417" i="12"/>
  <c r="M3416" i="12"/>
  <c r="M3415" i="12"/>
  <c r="M3414" i="12"/>
  <c r="M3413" i="12"/>
  <c r="M3412" i="12"/>
  <c r="M3411" i="12"/>
  <c r="M3410" i="12"/>
  <c r="M3409" i="12"/>
  <c r="M3408" i="12"/>
  <c r="M3407" i="12"/>
  <c r="M3406" i="12"/>
  <c r="M3405" i="12"/>
  <c r="M3404" i="12"/>
  <c r="M3403" i="12"/>
  <c r="M3402" i="12"/>
  <c r="M3401" i="12"/>
  <c r="M3400" i="12"/>
  <c r="M3399" i="12"/>
  <c r="M3398" i="12"/>
  <c r="M3397" i="12"/>
  <c r="M3396" i="12"/>
  <c r="M3395" i="12"/>
  <c r="M3394" i="12"/>
  <c r="M3393" i="12"/>
  <c r="M3392" i="12"/>
  <c r="M3391" i="12"/>
  <c r="M3390" i="12"/>
  <c r="M3389" i="12"/>
  <c r="M3388" i="12"/>
  <c r="M3387" i="12"/>
  <c r="M3386" i="12"/>
  <c r="M3385" i="12"/>
  <c r="M3384" i="12"/>
  <c r="M3383" i="12"/>
  <c r="M3382" i="12"/>
  <c r="M3381" i="12"/>
  <c r="M3380" i="12"/>
  <c r="M3379" i="12"/>
  <c r="M3378" i="12"/>
  <c r="M3377" i="12"/>
  <c r="M3376" i="12"/>
  <c r="M3375" i="12"/>
  <c r="M3374" i="12"/>
  <c r="M3373" i="12"/>
  <c r="M3372" i="12"/>
  <c r="M3371" i="12"/>
  <c r="M3370" i="12"/>
  <c r="M3369" i="12"/>
  <c r="M3368" i="12"/>
  <c r="M3367" i="12"/>
  <c r="M3366" i="12"/>
  <c r="M3365" i="12"/>
  <c r="M3364" i="12"/>
  <c r="M3363" i="12"/>
  <c r="M3362" i="12"/>
  <c r="M3361" i="12"/>
  <c r="M3360" i="12"/>
  <c r="M3359" i="12"/>
  <c r="M3358" i="12"/>
  <c r="M3357" i="12"/>
  <c r="M3356" i="12"/>
  <c r="M3355" i="12"/>
  <c r="M3354" i="12"/>
  <c r="M3353" i="12"/>
  <c r="M3352" i="12"/>
  <c r="M3351" i="12"/>
  <c r="M3350" i="12"/>
  <c r="M3349" i="12"/>
  <c r="M3348" i="12"/>
  <c r="M3347" i="12"/>
  <c r="M3346" i="12"/>
  <c r="M3345" i="12"/>
  <c r="M3344" i="12"/>
  <c r="M3343" i="12"/>
  <c r="M3342" i="12"/>
  <c r="M3341" i="12"/>
  <c r="M3340" i="12"/>
  <c r="M3339" i="12"/>
  <c r="M3338" i="12"/>
  <c r="M3337" i="12"/>
  <c r="M3336" i="12"/>
  <c r="M3335" i="12"/>
  <c r="M3334" i="12"/>
  <c r="M3333" i="12"/>
  <c r="M3332" i="12"/>
  <c r="M3331" i="12"/>
  <c r="M3330" i="12"/>
  <c r="M3329" i="12"/>
  <c r="M3328" i="12"/>
  <c r="M3327" i="12"/>
  <c r="M3326" i="12"/>
  <c r="M3325" i="12"/>
  <c r="M3324" i="12"/>
  <c r="M3323" i="12"/>
  <c r="M3322" i="12"/>
  <c r="M3321" i="12"/>
  <c r="M3320" i="12"/>
  <c r="M3319" i="12"/>
  <c r="M3318" i="12"/>
  <c r="M3317" i="12"/>
  <c r="M3316" i="12"/>
  <c r="M3315" i="12"/>
  <c r="M3314" i="12"/>
  <c r="M3313" i="12"/>
  <c r="M3312" i="12"/>
  <c r="M3311" i="12"/>
  <c r="M3310" i="12"/>
  <c r="M3309" i="12"/>
  <c r="M3308" i="12"/>
  <c r="M3307" i="12"/>
  <c r="M3306" i="12"/>
  <c r="M3305" i="12"/>
  <c r="M3304" i="12"/>
  <c r="M3303" i="12"/>
  <c r="M3302" i="12"/>
  <c r="M3301" i="12"/>
  <c r="M3300" i="12"/>
  <c r="M3299" i="12"/>
  <c r="M3298" i="12"/>
  <c r="M3297" i="12"/>
  <c r="M3296" i="12"/>
  <c r="M3295" i="12"/>
  <c r="M3294" i="12"/>
  <c r="M3293" i="12"/>
  <c r="M3292" i="12"/>
  <c r="M3291" i="12"/>
  <c r="M3290" i="12"/>
  <c r="M3289" i="12"/>
  <c r="M3288" i="12"/>
  <c r="M3287" i="12"/>
  <c r="M3286" i="12"/>
  <c r="M3285" i="12"/>
  <c r="M3284" i="12"/>
  <c r="M3283" i="12"/>
  <c r="M3282" i="12"/>
  <c r="M3281" i="12"/>
  <c r="M3280" i="12"/>
  <c r="M3279" i="12"/>
  <c r="M3278" i="12"/>
  <c r="M3277" i="12"/>
  <c r="M3276" i="12"/>
  <c r="M3275" i="12"/>
  <c r="M3274" i="12"/>
  <c r="M3273" i="12"/>
  <c r="M3272" i="12"/>
  <c r="M3271" i="12"/>
  <c r="M3270" i="12"/>
  <c r="M3269" i="12"/>
  <c r="M3268" i="12"/>
  <c r="M3267" i="12"/>
  <c r="M3266" i="12"/>
  <c r="M3265" i="12"/>
  <c r="M3264" i="12"/>
  <c r="M3263" i="12"/>
  <c r="M3262" i="12"/>
  <c r="M3261" i="12"/>
  <c r="M3260" i="12"/>
  <c r="M3259" i="12"/>
  <c r="M3258" i="12"/>
  <c r="M3257" i="12"/>
  <c r="M3256" i="12"/>
  <c r="M3255" i="12"/>
  <c r="M3254" i="12"/>
  <c r="M3253" i="12"/>
  <c r="M3252" i="12"/>
  <c r="M3251" i="12"/>
  <c r="M3250" i="12"/>
  <c r="M3249" i="12"/>
  <c r="M3248" i="12"/>
  <c r="M3247" i="12"/>
  <c r="M3246" i="12"/>
  <c r="M3245" i="12"/>
  <c r="M3244" i="12"/>
  <c r="M3243" i="12"/>
  <c r="M3242" i="12"/>
  <c r="M3241" i="12"/>
  <c r="M3240" i="12"/>
  <c r="M3239" i="12"/>
  <c r="M3238" i="12"/>
  <c r="M3237" i="12"/>
  <c r="M3236" i="12"/>
  <c r="M3235" i="12"/>
  <c r="M3234" i="12"/>
  <c r="M3233" i="12"/>
  <c r="M3232" i="12"/>
  <c r="M3231" i="12"/>
  <c r="M3230" i="12"/>
  <c r="M3229" i="12"/>
  <c r="M3228" i="12"/>
  <c r="M3227" i="12"/>
  <c r="M3226" i="12"/>
  <c r="M3225" i="12"/>
  <c r="M3224" i="12"/>
  <c r="M3223" i="12"/>
  <c r="M3222" i="12"/>
  <c r="M3221" i="12"/>
  <c r="M3220" i="12"/>
  <c r="M3219" i="12"/>
  <c r="M3218" i="12"/>
  <c r="M3217" i="12"/>
  <c r="M3216" i="12"/>
  <c r="M3215" i="12"/>
  <c r="M3214" i="12"/>
  <c r="M3213" i="12"/>
  <c r="M3212" i="12"/>
  <c r="M3211" i="12"/>
  <c r="M3210" i="12"/>
  <c r="M3209" i="12"/>
  <c r="M3208" i="12"/>
  <c r="M3207" i="12"/>
  <c r="M3206" i="12"/>
  <c r="M3205" i="12"/>
  <c r="M3204" i="12"/>
  <c r="M3203" i="12"/>
  <c r="M3202" i="12"/>
  <c r="M3201" i="12"/>
  <c r="M3200" i="12"/>
  <c r="M3199" i="12"/>
  <c r="M3198" i="12"/>
  <c r="M3197" i="12"/>
  <c r="M3196" i="12"/>
  <c r="M3195" i="12"/>
  <c r="M3194" i="12"/>
  <c r="M3193" i="12"/>
  <c r="M3192" i="12"/>
  <c r="M3191" i="12"/>
  <c r="M3190" i="12"/>
  <c r="M3189" i="12"/>
  <c r="M3188" i="12"/>
  <c r="M3187" i="12"/>
  <c r="M3186" i="12"/>
  <c r="M3185" i="12"/>
  <c r="M3184" i="12"/>
  <c r="M3183" i="12"/>
  <c r="M3182" i="12"/>
  <c r="M3181" i="12"/>
  <c r="M3180" i="12"/>
  <c r="M3179" i="12"/>
  <c r="M3178" i="12"/>
  <c r="M3177" i="12"/>
  <c r="M3176" i="12"/>
  <c r="M3175" i="12"/>
  <c r="M3174" i="12"/>
  <c r="M3173" i="12"/>
  <c r="M3172" i="12"/>
  <c r="M3171" i="12"/>
  <c r="M3170" i="12"/>
  <c r="M3169" i="12"/>
  <c r="M3168" i="12"/>
  <c r="M3167" i="12"/>
  <c r="M3166" i="12"/>
  <c r="M3165" i="12"/>
  <c r="M3164" i="12"/>
  <c r="M3163" i="12"/>
  <c r="M3162" i="12"/>
  <c r="M3161" i="12"/>
  <c r="M3160" i="12"/>
  <c r="M3159" i="12"/>
  <c r="M3158" i="12"/>
  <c r="M3157" i="12"/>
  <c r="M3156" i="12"/>
  <c r="M3155" i="12"/>
  <c r="M3154" i="12"/>
  <c r="M3153" i="12"/>
  <c r="M3152" i="12"/>
  <c r="M3151" i="12"/>
  <c r="M3150" i="12"/>
  <c r="M3149" i="12"/>
  <c r="M3148" i="12"/>
  <c r="M3147" i="12"/>
  <c r="M3146" i="12"/>
  <c r="M3145" i="12"/>
  <c r="M3144" i="12"/>
  <c r="M3143" i="12"/>
  <c r="M3142" i="12"/>
  <c r="M3141" i="12"/>
  <c r="M3140" i="12"/>
  <c r="M3139" i="12"/>
  <c r="M3138" i="12"/>
  <c r="M3137" i="12"/>
  <c r="M3136" i="12"/>
  <c r="M3135" i="12"/>
  <c r="M3134" i="12"/>
  <c r="M3133" i="12"/>
  <c r="M3132" i="12"/>
  <c r="M3131" i="12"/>
  <c r="M3130" i="12"/>
  <c r="M3129" i="12"/>
  <c r="M3128" i="12"/>
  <c r="M3127" i="12"/>
  <c r="M3126" i="12"/>
  <c r="M3125" i="12"/>
  <c r="M3124" i="12"/>
  <c r="M3123" i="12"/>
  <c r="M3122" i="12"/>
  <c r="M3121" i="12"/>
  <c r="M3120" i="12"/>
  <c r="M3119" i="12"/>
  <c r="M3118" i="12"/>
  <c r="M3117" i="12"/>
  <c r="M3116" i="12"/>
  <c r="M3115" i="12"/>
  <c r="M3114" i="12"/>
  <c r="M3113" i="12"/>
  <c r="M3112" i="12"/>
  <c r="M3111" i="12"/>
  <c r="M3110" i="12"/>
  <c r="M3109" i="12"/>
  <c r="M3108" i="12"/>
  <c r="M3107" i="12"/>
  <c r="M3106" i="12"/>
  <c r="M3105" i="12"/>
  <c r="M3104" i="12"/>
  <c r="M3103" i="12"/>
  <c r="M3102" i="12"/>
  <c r="M3101" i="12"/>
  <c r="M3100" i="12"/>
  <c r="M3099" i="12"/>
  <c r="M3098" i="12"/>
  <c r="M3097" i="12"/>
  <c r="M3096" i="12"/>
  <c r="M3095" i="12"/>
  <c r="M3094" i="12"/>
  <c r="M3093" i="12"/>
  <c r="M3092" i="12"/>
  <c r="M3091" i="12"/>
  <c r="M3090" i="12"/>
  <c r="M3089" i="12"/>
  <c r="M3088" i="12"/>
  <c r="M3087" i="12"/>
  <c r="M3086" i="12"/>
  <c r="M3085" i="12"/>
  <c r="M3084" i="12"/>
  <c r="M3083" i="12"/>
  <c r="M3082" i="12"/>
  <c r="M3081" i="12"/>
  <c r="M3080" i="12"/>
  <c r="M3079" i="12"/>
  <c r="M3078" i="12"/>
  <c r="M3077" i="12"/>
  <c r="M3076" i="12"/>
  <c r="M3075" i="12"/>
  <c r="M3074" i="12"/>
  <c r="M3073" i="12"/>
  <c r="M3072" i="12"/>
  <c r="M3071" i="12"/>
  <c r="M3070" i="12"/>
  <c r="M3069" i="12"/>
  <c r="M3068" i="12"/>
  <c r="M3067" i="12"/>
  <c r="M3066" i="12"/>
  <c r="M3065" i="12"/>
  <c r="M3064" i="12"/>
  <c r="M3063" i="12"/>
  <c r="M3062" i="12"/>
  <c r="M3061" i="12"/>
  <c r="M3060" i="12"/>
  <c r="M3059" i="12"/>
  <c r="M3058" i="12"/>
  <c r="M3057" i="12"/>
  <c r="M3056" i="12"/>
  <c r="M3055" i="12"/>
  <c r="M3054" i="12"/>
  <c r="M3053" i="12"/>
  <c r="M3052" i="12"/>
  <c r="M3051" i="12"/>
  <c r="M3050" i="12"/>
  <c r="M3049" i="12"/>
  <c r="M3048" i="12"/>
  <c r="M3047" i="12"/>
  <c r="M3046" i="12"/>
  <c r="M3045" i="12"/>
  <c r="M3044" i="12"/>
  <c r="M3043" i="12"/>
  <c r="M3042" i="12"/>
  <c r="M3041" i="12"/>
  <c r="M3040" i="12"/>
  <c r="M3039" i="12"/>
  <c r="M3038" i="12"/>
  <c r="M3037" i="12"/>
  <c r="M3036" i="12"/>
  <c r="M3035" i="12"/>
  <c r="M3034" i="12"/>
  <c r="M3033" i="12"/>
  <c r="M3032" i="12"/>
  <c r="M3031" i="12"/>
  <c r="M3030" i="12"/>
  <c r="M3029" i="12"/>
  <c r="M3028" i="12"/>
  <c r="M3027" i="12"/>
  <c r="M3026" i="12"/>
  <c r="M3025" i="12"/>
  <c r="M3024" i="12"/>
  <c r="M3023" i="12"/>
  <c r="M3022" i="12"/>
  <c r="M3021" i="12"/>
  <c r="M3020" i="12"/>
  <c r="M3019" i="12"/>
  <c r="M3018" i="12"/>
  <c r="M3017" i="12"/>
  <c r="M3016" i="12"/>
  <c r="M3015" i="12"/>
  <c r="M3014" i="12"/>
  <c r="M3013" i="12"/>
  <c r="M3012" i="12"/>
  <c r="M3011" i="12"/>
  <c r="M3010" i="12"/>
  <c r="M3009" i="12"/>
  <c r="M3008" i="12"/>
  <c r="M3007" i="12"/>
  <c r="M3006" i="12"/>
  <c r="M3005" i="12"/>
  <c r="M3004" i="12"/>
  <c r="M3003" i="12"/>
  <c r="M3002" i="12"/>
  <c r="M3001" i="12"/>
  <c r="M3000" i="12"/>
  <c r="M2999" i="12"/>
  <c r="M2998" i="12"/>
  <c r="M2997" i="12"/>
  <c r="M2996" i="12"/>
  <c r="M2995" i="12"/>
  <c r="M2994" i="12"/>
  <c r="M2993" i="12"/>
  <c r="M2992" i="12"/>
  <c r="M2991" i="12"/>
  <c r="M2990" i="12"/>
  <c r="M2989" i="12"/>
  <c r="M2988" i="12"/>
  <c r="M2987" i="12"/>
  <c r="M2986" i="12"/>
  <c r="M2985" i="12"/>
  <c r="M2984" i="12"/>
  <c r="M2983" i="12"/>
  <c r="M2982" i="12"/>
  <c r="M2981" i="12"/>
  <c r="M2980" i="12"/>
  <c r="M2979" i="12"/>
  <c r="M2978" i="12"/>
  <c r="M2977" i="12"/>
  <c r="M2976" i="12"/>
  <c r="M2975" i="12"/>
  <c r="M2974" i="12"/>
  <c r="M2973" i="12"/>
  <c r="M2972" i="12"/>
  <c r="M2971" i="12"/>
  <c r="M2970" i="12"/>
  <c r="M2969" i="12"/>
  <c r="M2968" i="12"/>
  <c r="M2967" i="12"/>
  <c r="M2966" i="12"/>
  <c r="M2965" i="12"/>
  <c r="M2964" i="12"/>
  <c r="M2963" i="12"/>
  <c r="M2962" i="12"/>
  <c r="M2961" i="12"/>
  <c r="M2960" i="12"/>
  <c r="M2959" i="12"/>
  <c r="M2958" i="12"/>
  <c r="M2957" i="12"/>
  <c r="M2956" i="12"/>
  <c r="M2955" i="12"/>
  <c r="M2954" i="12"/>
  <c r="M2953" i="12"/>
  <c r="M2952" i="12"/>
  <c r="M2951" i="12"/>
  <c r="M2950" i="12"/>
  <c r="M2949" i="12"/>
  <c r="M2948" i="12"/>
  <c r="M2947" i="12"/>
  <c r="M2946" i="12"/>
  <c r="M2945" i="12"/>
  <c r="M2944" i="12"/>
  <c r="M2943" i="12"/>
  <c r="M2942" i="12"/>
  <c r="M2941" i="12"/>
  <c r="M2940" i="12"/>
  <c r="M2939" i="12"/>
  <c r="M2938" i="12"/>
  <c r="M2937" i="12"/>
  <c r="M2936" i="12"/>
  <c r="M2935" i="12"/>
  <c r="M2934" i="12"/>
  <c r="M2933" i="12"/>
  <c r="M2932" i="12"/>
  <c r="M2931" i="12"/>
  <c r="M2930" i="12"/>
  <c r="M2929" i="12"/>
  <c r="M2928" i="12"/>
  <c r="M2927" i="12"/>
  <c r="M2926" i="12"/>
  <c r="M2925" i="12"/>
  <c r="M2924" i="12"/>
  <c r="M2923" i="12"/>
  <c r="M2922" i="12"/>
  <c r="M2921" i="12"/>
  <c r="M2920" i="12"/>
  <c r="M2919" i="12"/>
  <c r="M2918" i="12"/>
  <c r="M2917" i="12"/>
  <c r="M2916" i="12"/>
  <c r="M2915" i="12"/>
  <c r="M2914" i="12"/>
  <c r="M2913" i="12"/>
  <c r="M2912" i="12"/>
  <c r="M2911" i="12"/>
  <c r="M2910" i="12"/>
  <c r="M2909" i="12"/>
  <c r="M2908" i="12"/>
  <c r="M2907" i="12"/>
  <c r="M2906" i="12"/>
  <c r="M2905" i="12"/>
  <c r="M2904" i="12"/>
  <c r="M2903" i="12"/>
  <c r="M2902" i="12"/>
  <c r="M2901" i="12"/>
  <c r="M2900" i="12"/>
  <c r="M2899" i="12"/>
  <c r="M2898" i="12"/>
  <c r="M2897" i="12"/>
  <c r="M2896" i="12"/>
  <c r="M2895" i="12"/>
  <c r="M2894" i="12"/>
  <c r="M2893" i="12"/>
  <c r="M2892" i="12"/>
  <c r="M2891" i="12"/>
  <c r="M2890" i="12"/>
  <c r="M2889" i="12"/>
  <c r="M2888" i="12"/>
  <c r="M2887" i="12"/>
  <c r="M2886" i="12"/>
  <c r="M2885" i="12"/>
  <c r="M2884" i="12"/>
  <c r="M2883" i="12"/>
  <c r="M2882" i="12"/>
  <c r="M2881" i="12"/>
  <c r="M2880" i="12"/>
  <c r="M2879" i="12"/>
  <c r="M2878" i="12"/>
  <c r="M2877" i="12"/>
  <c r="M2876" i="12"/>
  <c r="M2875" i="12"/>
  <c r="M2874" i="12"/>
  <c r="M2873" i="12"/>
  <c r="M2872" i="12"/>
  <c r="M2871" i="12"/>
  <c r="M2870" i="12"/>
  <c r="M2869" i="12"/>
  <c r="M2868" i="12"/>
  <c r="M2867" i="12"/>
  <c r="M2866" i="12"/>
  <c r="M2865" i="12"/>
  <c r="M2864" i="12"/>
  <c r="M2863" i="12"/>
  <c r="M2862" i="12"/>
  <c r="M2861" i="12"/>
  <c r="M2860" i="12"/>
  <c r="M2859" i="12"/>
  <c r="M2858" i="12"/>
  <c r="M2857" i="12"/>
  <c r="M2856" i="12"/>
  <c r="M2855" i="12"/>
  <c r="M2854" i="12"/>
  <c r="M2853" i="12"/>
  <c r="M2852" i="12"/>
  <c r="M2851" i="12"/>
  <c r="M2850" i="12"/>
  <c r="M2849" i="12"/>
  <c r="M2848" i="12"/>
  <c r="M2847" i="12"/>
  <c r="M2846" i="12"/>
  <c r="M2845" i="12"/>
  <c r="M2844" i="12"/>
  <c r="M2843" i="12"/>
  <c r="M2842" i="12"/>
  <c r="M2841" i="12"/>
  <c r="M2840" i="12"/>
  <c r="M2839" i="12"/>
  <c r="M2838" i="12"/>
  <c r="M2837" i="12"/>
  <c r="M2836" i="12"/>
  <c r="M2835" i="12"/>
  <c r="M2834" i="12"/>
  <c r="M2833" i="12"/>
  <c r="M2832" i="12"/>
  <c r="M2831" i="12"/>
  <c r="M2830" i="12"/>
  <c r="M2829" i="12"/>
  <c r="M2828" i="12"/>
  <c r="M2827" i="12"/>
  <c r="M2826" i="12"/>
  <c r="M2825" i="12"/>
  <c r="M2824" i="12"/>
  <c r="M2823" i="12"/>
  <c r="M2822" i="12"/>
  <c r="M2821" i="12"/>
  <c r="M2820" i="12"/>
  <c r="M2819" i="12"/>
  <c r="M2818" i="12"/>
  <c r="M2817" i="12"/>
  <c r="M2816" i="12"/>
  <c r="M2815" i="12"/>
  <c r="M2814" i="12"/>
  <c r="M2813" i="12"/>
  <c r="M2812" i="12"/>
  <c r="M2811" i="12"/>
  <c r="M2810" i="12"/>
  <c r="M2809" i="12"/>
  <c r="M2808" i="12"/>
  <c r="M2807" i="12"/>
  <c r="M2806" i="12"/>
  <c r="M2805" i="12"/>
  <c r="M2804" i="12"/>
  <c r="M2803" i="12"/>
  <c r="M2802" i="12"/>
  <c r="M2801" i="12"/>
  <c r="M2800" i="12"/>
  <c r="M2799" i="12"/>
  <c r="M2798" i="12"/>
  <c r="M2797" i="12"/>
  <c r="M2796" i="12"/>
  <c r="M2795" i="12"/>
  <c r="M2794" i="12"/>
  <c r="M2793" i="12"/>
  <c r="M2792" i="12"/>
  <c r="M2791" i="12"/>
  <c r="M2790" i="12"/>
  <c r="M2789" i="12"/>
  <c r="M2788" i="12"/>
  <c r="M2787" i="12"/>
  <c r="M2786" i="12"/>
  <c r="M2785" i="12"/>
  <c r="M2784" i="12"/>
  <c r="M2783" i="12"/>
  <c r="M2782" i="12"/>
  <c r="M2781" i="12"/>
  <c r="M2780" i="12"/>
  <c r="M2779" i="12"/>
  <c r="M2778" i="12"/>
  <c r="M2777" i="12"/>
  <c r="M2776" i="12"/>
  <c r="M2775" i="12"/>
  <c r="M2774" i="12"/>
  <c r="M2773" i="12"/>
  <c r="M2772" i="12"/>
  <c r="M2771" i="12"/>
  <c r="M2770" i="12"/>
  <c r="M2769" i="12"/>
  <c r="M2768" i="12"/>
  <c r="M2767" i="12"/>
  <c r="M2766" i="12"/>
  <c r="M2765" i="12"/>
  <c r="M2764" i="12"/>
  <c r="M2763" i="12"/>
  <c r="M2762" i="12"/>
  <c r="M2761" i="12"/>
  <c r="M2760" i="12"/>
  <c r="M2759" i="12"/>
  <c r="M2758" i="12"/>
  <c r="M2757" i="12"/>
  <c r="M2756" i="12"/>
  <c r="M2755" i="12"/>
  <c r="M2754" i="12"/>
  <c r="M2753" i="12"/>
  <c r="M2752" i="12"/>
  <c r="M2751" i="12"/>
  <c r="M2750" i="12"/>
  <c r="M2749" i="12"/>
  <c r="M2748" i="12"/>
  <c r="M2747" i="12"/>
  <c r="M2746" i="12"/>
  <c r="M2745" i="12"/>
  <c r="M2744" i="12"/>
  <c r="M2743" i="12"/>
  <c r="M2742" i="12"/>
  <c r="M2741" i="12"/>
  <c r="M2740" i="12"/>
  <c r="M2739" i="12"/>
  <c r="M2738" i="12"/>
  <c r="M2737" i="12"/>
  <c r="M2736" i="12"/>
  <c r="M2735" i="12"/>
  <c r="M2734" i="12"/>
  <c r="M2733" i="12"/>
  <c r="M2732" i="12"/>
  <c r="M2731" i="12"/>
  <c r="M2730" i="12"/>
  <c r="M2729" i="12"/>
  <c r="M2728" i="12"/>
  <c r="M2727" i="12"/>
  <c r="M2726" i="12"/>
  <c r="M2725" i="12"/>
  <c r="M2724" i="12"/>
  <c r="M2723" i="12"/>
  <c r="M2722" i="12"/>
  <c r="M2721" i="12"/>
  <c r="M2720" i="12"/>
  <c r="M2719" i="12"/>
  <c r="M2718" i="12"/>
  <c r="M2717" i="12"/>
  <c r="M2716" i="12"/>
  <c r="M2715" i="12"/>
  <c r="M2714" i="12"/>
  <c r="M2713" i="12"/>
  <c r="M2712" i="12"/>
  <c r="M2711" i="12"/>
  <c r="M2710" i="12"/>
  <c r="M2709" i="12"/>
  <c r="M2708" i="12"/>
  <c r="M2707" i="12"/>
  <c r="M2706" i="12"/>
  <c r="M2705" i="12"/>
  <c r="M2704" i="12"/>
  <c r="M2703" i="12"/>
  <c r="M2702" i="12"/>
  <c r="M2701" i="12"/>
  <c r="M2700" i="12"/>
  <c r="M2699" i="12"/>
  <c r="M2698" i="12"/>
  <c r="M2697" i="12"/>
  <c r="M2696" i="12"/>
  <c r="M2695" i="12"/>
  <c r="M2694" i="12"/>
  <c r="M2693" i="12"/>
  <c r="M2692" i="12"/>
  <c r="M2691" i="12"/>
  <c r="M2690" i="12"/>
  <c r="M2689" i="12"/>
  <c r="M2688" i="12"/>
  <c r="M2687" i="12"/>
  <c r="M2686" i="12"/>
  <c r="M2685" i="12"/>
  <c r="M2684" i="12"/>
  <c r="M2683" i="12"/>
  <c r="M2682" i="12"/>
  <c r="M2681" i="12"/>
  <c r="M2680" i="12"/>
  <c r="M2679" i="12"/>
  <c r="M2678" i="12"/>
  <c r="M2677" i="12"/>
  <c r="M2676" i="12"/>
  <c r="M2675" i="12"/>
  <c r="M2674" i="12"/>
  <c r="M2673" i="12"/>
  <c r="M2672" i="12"/>
  <c r="M2671" i="12"/>
  <c r="M2670" i="12"/>
  <c r="M2669" i="12"/>
  <c r="M2668" i="12"/>
  <c r="M2667" i="12"/>
  <c r="M2666" i="12"/>
  <c r="M2665" i="12"/>
  <c r="M2664" i="12"/>
  <c r="M2663" i="12"/>
  <c r="M2662" i="12"/>
  <c r="M2661" i="12"/>
  <c r="M2660" i="12"/>
  <c r="M2659" i="12"/>
  <c r="M2658" i="12"/>
  <c r="M2657" i="12"/>
  <c r="M2656" i="12"/>
  <c r="M2655" i="12"/>
  <c r="M2654" i="12"/>
  <c r="M2653" i="12"/>
  <c r="M2652" i="12"/>
  <c r="M2651" i="12"/>
  <c r="M2650" i="12"/>
  <c r="M2649" i="12"/>
  <c r="M2648" i="12"/>
  <c r="M2647" i="12"/>
  <c r="M2646" i="12"/>
  <c r="M2645" i="12"/>
  <c r="M2644" i="12"/>
  <c r="M2643" i="12"/>
  <c r="M2642" i="12"/>
  <c r="M2641" i="12"/>
  <c r="M2640" i="12"/>
  <c r="M2639" i="12"/>
  <c r="M2638" i="12"/>
  <c r="M2637" i="12"/>
  <c r="M2636" i="12"/>
  <c r="M2635" i="12"/>
  <c r="M2634" i="12"/>
  <c r="M2633" i="12"/>
  <c r="M2632" i="12"/>
  <c r="M2631" i="12"/>
  <c r="M2630" i="12"/>
  <c r="M2629" i="12"/>
  <c r="M2628" i="12"/>
  <c r="M2627" i="12"/>
  <c r="M2626" i="12"/>
  <c r="M2625" i="12"/>
  <c r="M2624" i="12"/>
  <c r="M2623" i="12"/>
  <c r="M2622" i="12"/>
  <c r="M2621" i="12"/>
  <c r="M2620" i="12"/>
  <c r="M2619" i="12"/>
  <c r="M2618" i="12"/>
  <c r="M2617" i="12"/>
  <c r="M2616" i="12"/>
  <c r="M2615" i="12"/>
  <c r="M2614" i="12"/>
  <c r="M2613" i="12"/>
  <c r="M2612" i="12"/>
  <c r="M2611" i="12"/>
  <c r="M2610" i="12"/>
  <c r="M2609" i="12"/>
  <c r="M2608" i="12"/>
  <c r="M2607" i="12"/>
  <c r="M2606" i="12"/>
  <c r="M2605" i="12"/>
  <c r="M2604" i="12"/>
  <c r="M2603" i="12"/>
  <c r="M2602" i="12"/>
  <c r="M2601" i="12"/>
  <c r="M2600" i="12"/>
  <c r="M2599" i="12"/>
  <c r="M2598" i="12"/>
  <c r="M2597" i="12"/>
  <c r="M2596" i="12"/>
  <c r="M2595" i="12"/>
  <c r="M2594" i="12"/>
  <c r="M2593" i="12"/>
  <c r="M2592" i="12"/>
  <c r="M2591" i="12"/>
  <c r="M2590" i="12"/>
  <c r="M2589" i="12"/>
  <c r="M2588" i="12"/>
  <c r="M2587" i="12"/>
  <c r="M2586" i="12"/>
  <c r="M2585" i="12"/>
  <c r="M2584" i="12"/>
  <c r="M2583" i="12"/>
  <c r="M2582" i="12"/>
  <c r="M2581" i="12"/>
  <c r="M2580" i="12"/>
  <c r="M2579" i="12"/>
  <c r="M2578" i="12"/>
  <c r="M2577" i="12"/>
  <c r="M2576" i="12"/>
  <c r="M2575" i="12"/>
  <c r="M2574" i="12"/>
  <c r="M2573" i="12"/>
  <c r="M2572" i="12"/>
  <c r="M2571" i="12"/>
  <c r="M2570" i="12"/>
  <c r="M2569" i="12"/>
  <c r="M2568" i="12"/>
  <c r="M2567" i="12"/>
  <c r="M2566" i="12"/>
  <c r="M2565" i="12"/>
  <c r="M2564" i="12"/>
  <c r="M2563" i="12"/>
  <c r="M2562" i="12"/>
  <c r="M2561" i="12"/>
  <c r="M2560" i="12"/>
  <c r="M2559" i="12"/>
  <c r="M2558" i="12"/>
  <c r="M2557" i="12"/>
  <c r="M2556" i="12"/>
  <c r="M2555" i="12"/>
  <c r="M2554" i="12"/>
  <c r="M2553" i="12"/>
  <c r="M2552" i="12"/>
  <c r="M2551" i="12"/>
  <c r="M2550" i="12"/>
  <c r="M2549" i="12"/>
  <c r="M2548" i="12"/>
  <c r="M2547" i="12"/>
  <c r="M2546" i="12"/>
  <c r="M2545" i="12"/>
  <c r="M2544" i="12"/>
  <c r="M2543" i="12"/>
  <c r="M2542" i="12"/>
  <c r="M2541" i="12"/>
  <c r="M2540" i="12"/>
  <c r="M2539" i="12"/>
  <c r="M2538" i="12"/>
  <c r="M2537" i="12"/>
  <c r="M2536" i="12"/>
  <c r="M2535" i="12"/>
  <c r="M2534" i="12"/>
  <c r="M2533" i="12"/>
  <c r="M2532" i="12"/>
  <c r="M2531" i="12"/>
  <c r="M2530" i="12"/>
  <c r="M2529" i="12"/>
  <c r="M2528" i="12"/>
  <c r="M2527" i="12"/>
  <c r="M2526" i="12"/>
  <c r="M2525" i="12"/>
  <c r="M2524" i="12"/>
  <c r="M2523" i="12"/>
  <c r="M2522" i="12"/>
  <c r="M2521" i="12"/>
  <c r="M2520" i="12"/>
  <c r="M2519" i="12"/>
  <c r="M2518" i="12"/>
  <c r="M2517" i="12"/>
  <c r="M2516" i="12"/>
  <c r="M2515" i="12"/>
  <c r="M2514" i="12"/>
  <c r="M2513" i="12"/>
  <c r="M2512" i="12"/>
  <c r="M2511" i="12"/>
  <c r="M2510" i="12"/>
  <c r="M2509" i="12"/>
  <c r="M2508" i="12"/>
  <c r="M2507" i="12"/>
  <c r="M2506" i="12"/>
  <c r="M2505" i="12"/>
  <c r="M2504" i="12"/>
  <c r="M2503" i="12"/>
  <c r="M2502" i="12"/>
  <c r="M2501" i="12"/>
  <c r="M2500" i="12"/>
  <c r="M2499" i="12"/>
  <c r="M2498" i="12"/>
  <c r="M2497" i="12"/>
  <c r="M2496" i="12"/>
  <c r="M2495" i="12"/>
  <c r="M2494" i="12"/>
  <c r="M2493" i="12"/>
  <c r="M2492" i="12"/>
  <c r="M2491" i="12"/>
  <c r="M2490" i="12"/>
  <c r="M2489" i="12"/>
  <c r="M2488" i="12"/>
  <c r="M2487" i="12"/>
  <c r="M2486" i="12"/>
  <c r="M2485" i="12"/>
  <c r="M2484" i="12"/>
  <c r="M2483" i="12"/>
  <c r="M2482" i="12"/>
  <c r="M2481" i="12"/>
  <c r="M2480" i="12"/>
  <c r="M2479" i="12"/>
  <c r="M2478" i="12"/>
  <c r="M2477" i="12"/>
  <c r="M2476" i="12"/>
  <c r="M2475" i="12"/>
  <c r="M2474" i="12"/>
  <c r="M2473" i="12"/>
  <c r="M2472" i="12"/>
  <c r="M2471" i="12"/>
  <c r="M2470" i="12"/>
  <c r="M2469" i="12"/>
  <c r="M2468" i="12"/>
  <c r="M2467" i="12"/>
  <c r="M2466" i="12"/>
  <c r="M2465" i="12"/>
  <c r="M2464" i="12"/>
  <c r="M2463" i="12"/>
  <c r="M2462" i="12"/>
  <c r="M2461" i="12"/>
  <c r="M2460" i="12"/>
  <c r="M2459" i="12"/>
  <c r="M2458" i="12"/>
  <c r="M2457" i="12"/>
  <c r="M2456" i="12"/>
  <c r="M2455" i="12"/>
  <c r="M2454" i="12"/>
  <c r="M2453" i="12"/>
  <c r="M2452" i="12"/>
  <c r="M2451" i="12"/>
  <c r="M2450" i="12"/>
  <c r="M2449" i="12"/>
  <c r="M2448" i="12"/>
  <c r="M2447" i="12"/>
  <c r="M2446" i="12"/>
  <c r="M2445" i="12"/>
  <c r="M2444" i="12"/>
  <c r="M2443" i="12"/>
  <c r="M2442" i="12"/>
  <c r="M2441" i="12"/>
  <c r="M2440" i="12"/>
  <c r="M2439" i="12"/>
  <c r="M2438" i="12"/>
  <c r="M2437" i="12"/>
  <c r="M2436" i="12"/>
  <c r="M2435" i="12"/>
  <c r="M2434" i="12"/>
  <c r="M2433" i="12"/>
  <c r="M2432" i="12"/>
  <c r="M2431" i="12"/>
  <c r="M2430" i="12"/>
  <c r="M2429" i="12"/>
  <c r="M2428" i="12"/>
  <c r="M2427" i="12"/>
  <c r="M2426" i="12"/>
  <c r="M2425" i="12"/>
  <c r="M2424" i="12"/>
  <c r="M2423" i="12"/>
  <c r="M2422" i="12"/>
  <c r="M2421" i="12"/>
  <c r="M2420" i="12"/>
  <c r="M2419" i="12"/>
  <c r="M2418" i="12"/>
  <c r="M2417" i="12"/>
  <c r="M2416" i="12"/>
  <c r="M2415" i="12"/>
  <c r="M2414" i="12"/>
  <c r="M2413" i="12"/>
  <c r="M2412" i="12"/>
  <c r="M2411" i="12"/>
  <c r="M2410" i="12"/>
  <c r="M2409" i="12"/>
  <c r="M2408" i="12"/>
  <c r="M2407" i="12"/>
  <c r="M2406" i="12"/>
  <c r="M2405" i="12"/>
  <c r="M2404" i="12"/>
  <c r="M2403" i="12"/>
  <c r="M2402" i="12"/>
  <c r="M2401" i="12"/>
  <c r="M2400" i="12"/>
  <c r="M2399" i="12"/>
  <c r="M2398" i="12"/>
  <c r="M2397" i="12"/>
  <c r="M2396" i="12"/>
  <c r="M2395" i="12"/>
  <c r="M2394" i="12"/>
  <c r="M2393" i="12"/>
  <c r="M2392" i="12"/>
  <c r="M2391" i="12"/>
  <c r="M2390" i="12"/>
  <c r="M2389" i="12"/>
  <c r="M2388" i="12"/>
  <c r="M2387" i="12"/>
  <c r="M2386" i="12"/>
  <c r="M2385" i="12"/>
  <c r="M2384" i="12"/>
  <c r="M2383" i="12"/>
  <c r="M2382" i="12"/>
  <c r="M2381" i="12"/>
  <c r="M2380" i="12"/>
  <c r="M2379" i="12"/>
  <c r="M2378" i="12"/>
  <c r="M2377" i="12"/>
  <c r="M2376" i="12"/>
  <c r="M2375" i="12"/>
  <c r="M2374" i="12"/>
  <c r="M2373" i="12"/>
  <c r="M2372" i="12"/>
  <c r="M2371" i="12"/>
  <c r="M2370" i="12"/>
  <c r="M2369" i="12"/>
  <c r="M2368" i="12"/>
  <c r="M2367" i="12"/>
  <c r="M2366" i="12"/>
  <c r="M2365" i="12"/>
  <c r="M2364" i="12"/>
  <c r="M2363" i="12"/>
  <c r="M2362" i="12"/>
  <c r="M2361" i="12"/>
  <c r="M2360" i="12"/>
  <c r="M2359" i="12"/>
  <c r="M2358" i="12"/>
  <c r="M2357" i="12"/>
  <c r="M2356" i="12"/>
  <c r="M2355" i="12"/>
  <c r="M2354" i="12"/>
  <c r="M2353" i="12"/>
  <c r="M2352" i="12"/>
  <c r="M2351" i="12"/>
  <c r="M2350" i="12"/>
  <c r="M2349" i="12"/>
  <c r="M2348" i="12"/>
  <c r="M2347" i="12"/>
  <c r="M2346" i="12"/>
  <c r="M2345" i="12"/>
  <c r="M2344" i="12"/>
  <c r="M2343" i="12"/>
  <c r="M2342" i="12"/>
  <c r="M2341" i="12"/>
  <c r="M2340" i="12"/>
  <c r="M2339" i="12"/>
  <c r="M2338" i="12"/>
  <c r="M2337" i="12"/>
  <c r="M2336" i="12"/>
  <c r="M2335" i="12"/>
  <c r="M2334" i="12"/>
  <c r="M2333" i="12"/>
  <c r="M2332" i="12"/>
  <c r="M2331" i="12"/>
  <c r="M2330" i="12"/>
  <c r="M2329" i="12"/>
  <c r="M2328" i="12"/>
  <c r="M2327" i="12"/>
  <c r="M2326" i="12"/>
  <c r="M2325" i="12"/>
  <c r="M2324" i="12"/>
  <c r="M2323" i="12"/>
  <c r="M2322" i="12"/>
  <c r="M2321" i="12"/>
  <c r="M2320" i="12"/>
  <c r="M2319" i="12"/>
  <c r="M2318" i="12"/>
  <c r="M2317" i="12"/>
  <c r="M2316" i="12"/>
  <c r="M2315" i="12"/>
  <c r="M2314" i="12"/>
  <c r="M2313" i="12"/>
  <c r="M2312" i="12"/>
  <c r="M2311" i="12"/>
  <c r="M2310" i="12"/>
  <c r="M2309" i="12"/>
  <c r="M2308" i="12"/>
  <c r="M2307" i="12"/>
  <c r="M2306" i="12"/>
  <c r="M2305" i="12"/>
  <c r="M2304" i="12"/>
  <c r="M2303" i="12"/>
  <c r="M2302" i="12"/>
  <c r="M2301" i="12"/>
  <c r="M2300" i="12"/>
  <c r="M2299" i="12"/>
  <c r="M2298" i="12"/>
  <c r="M2297" i="12"/>
  <c r="M2296" i="12"/>
  <c r="M2295" i="12"/>
  <c r="M2294" i="12"/>
  <c r="M2293" i="12"/>
  <c r="M2292" i="12"/>
  <c r="M2291" i="12"/>
  <c r="M2290" i="12"/>
  <c r="M2289" i="12"/>
  <c r="M2288" i="12"/>
  <c r="M2287" i="12"/>
  <c r="M2286" i="12"/>
  <c r="M2285" i="12"/>
  <c r="M2284" i="12"/>
  <c r="M2283" i="12"/>
  <c r="M2282" i="12"/>
  <c r="M2281" i="12"/>
  <c r="M2280" i="12"/>
  <c r="M2279" i="12"/>
  <c r="M2278" i="12"/>
  <c r="M2277" i="12"/>
  <c r="M2276" i="12"/>
  <c r="M2275" i="12"/>
  <c r="M2274" i="12"/>
  <c r="M2273" i="12"/>
  <c r="M2272" i="12"/>
  <c r="M2271" i="12"/>
  <c r="M2270" i="12"/>
  <c r="M2269" i="12"/>
  <c r="M2268" i="12"/>
  <c r="M2267" i="12"/>
  <c r="M2266" i="12"/>
  <c r="M2265" i="12"/>
  <c r="M2264" i="12"/>
  <c r="M2263" i="12"/>
  <c r="M2262" i="12"/>
  <c r="M2261" i="12"/>
  <c r="M2260" i="12"/>
  <c r="M2259" i="12"/>
  <c r="M2258" i="12"/>
  <c r="M2257" i="12"/>
  <c r="M2256" i="12"/>
  <c r="M2255" i="12"/>
  <c r="M2254" i="12"/>
  <c r="M2253" i="12"/>
  <c r="M2252" i="12"/>
  <c r="M2251" i="12"/>
  <c r="M2250" i="12"/>
  <c r="M2249" i="12"/>
  <c r="M2248" i="12"/>
  <c r="M2247" i="12"/>
  <c r="M2246" i="12"/>
  <c r="M2245" i="12"/>
  <c r="M2244" i="12"/>
  <c r="M2243" i="12"/>
  <c r="M2242" i="12"/>
  <c r="M2241" i="12"/>
  <c r="M2240" i="12"/>
  <c r="M2239" i="12"/>
  <c r="M2238" i="12"/>
  <c r="M2237" i="12"/>
  <c r="M2236" i="12"/>
  <c r="M2235" i="12"/>
  <c r="M2234" i="12"/>
  <c r="M2233" i="12"/>
  <c r="M2232" i="12"/>
  <c r="M2231" i="12"/>
  <c r="M2230" i="12"/>
  <c r="M2229" i="12"/>
  <c r="M2228" i="12"/>
  <c r="M2227" i="12"/>
  <c r="M2226" i="12"/>
  <c r="M2225" i="12"/>
  <c r="M2224" i="12"/>
  <c r="M2223" i="12"/>
  <c r="M2222" i="12"/>
  <c r="M2221" i="12"/>
  <c r="M2220" i="12"/>
  <c r="M2219" i="12"/>
  <c r="M2218" i="12"/>
  <c r="M2217" i="12"/>
  <c r="M2216" i="12"/>
  <c r="M2215" i="12"/>
  <c r="M2214" i="12"/>
  <c r="M2213" i="12"/>
  <c r="M2212" i="12"/>
  <c r="M2211" i="12"/>
  <c r="M2210" i="12"/>
  <c r="M2209" i="12"/>
  <c r="M2208" i="12"/>
  <c r="M2207" i="12"/>
  <c r="M2206" i="12"/>
  <c r="M2205" i="12"/>
  <c r="M2204" i="12"/>
  <c r="M2203" i="12"/>
  <c r="M2202" i="12"/>
  <c r="M2201" i="12"/>
  <c r="M2200" i="12"/>
  <c r="M2199" i="12"/>
  <c r="M2198" i="12"/>
  <c r="M2197" i="12"/>
  <c r="M2196" i="12"/>
  <c r="M2195" i="12"/>
  <c r="M2194" i="12"/>
  <c r="M2193" i="12"/>
  <c r="M2192" i="12"/>
  <c r="M2191" i="12"/>
  <c r="M2190" i="12"/>
  <c r="M2189" i="12"/>
  <c r="M2188" i="12"/>
  <c r="M2187" i="12"/>
  <c r="M2186" i="12"/>
  <c r="M2185" i="12"/>
  <c r="M2184" i="12"/>
  <c r="M2183" i="12"/>
  <c r="M2182" i="12"/>
  <c r="M2181" i="12"/>
  <c r="M2180" i="12"/>
  <c r="M2179" i="12"/>
  <c r="M2178" i="12"/>
  <c r="M2177" i="12"/>
  <c r="M2176" i="12"/>
  <c r="M2175" i="12"/>
  <c r="M2174" i="12"/>
  <c r="M2173" i="12"/>
  <c r="M2172" i="12"/>
  <c r="M2171" i="12"/>
  <c r="M2170" i="12"/>
  <c r="M2169" i="12"/>
  <c r="M2168" i="12"/>
  <c r="M2167" i="12"/>
  <c r="M2166" i="12"/>
  <c r="M2165" i="12"/>
  <c r="M2164" i="12"/>
  <c r="M2163" i="12"/>
  <c r="M2162" i="12"/>
  <c r="M2161" i="12"/>
  <c r="M2160" i="12"/>
  <c r="M2159" i="12"/>
  <c r="M2158" i="12"/>
  <c r="M2157" i="12"/>
  <c r="M2156" i="12"/>
  <c r="M2155" i="12"/>
  <c r="M2154" i="12"/>
  <c r="M2153" i="12"/>
  <c r="M2152" i="12"/>
  <c r="M2151" i="12"/>
  <c r="M2150" i="12"/>
  <c r="M2149" i="12"/>
  <c r="M2148" i="12"/>
  <c r="M2147" i="12"/>
  <c r="M2146" i="12"/>
  <c r="M2145" i="12"/>
  <c r="M2144" i="12"/>
  <c r="M2143" i="12"/>
  <c r="M2142" i="12"/>
  <c r="M2141" i="12"/>
  <c r="M2140" i="12"/>
  <c r="M2139" i="12"/>
  <c r="M2138" i="12"/>
  <c r="M2137" i="12"/>
  <c r="M2136" i="12"/>
  <c r="M2135" i="12"/>
  <c r="M2134" i="12"/>
  <c r="M2133" i="12"/>
  <c r="M2132" i="12"/>
  <c r="M2131" i="12"/>
  <c r="M2130" i="12"/>
  <c r="M2129" i="12"/>
  <c r="M2128" i="12"/>
  <c r="M2127" i="12"/>
  <c r="M2126" i="12"/>
  <c r="M2125" i="12"/>
  <c r="M2124" i="12"/>
  <c r="M2123" i="12"/>
  <c r="M2122" i="12"/>
  <c r="M2121" i="12"/>
  <c r="M2120" i="12"/>
  <c r="M2119" i="12"/>
  <c r="M2118" i="12"/>
  <c r="M2117" i="12"/>
  <c r="M2116" i="12"/>
  <c r="M2115" i="12"/>
  <c r="M2114" i="12"/>
  <c r="M2113" i="12"/>
  <c r="M2112" i="12"/>
  <c r="M2111" i="12"/>
  <c r="M2110" i="12"/>
  <c r="M2109" i="12"/>
  <c r="M2108" i="12"/>
  <c r="M2107" i="12"/>
  <c r="M2106" i="12"/>
  <c r="M2105" i="12"/>
  <c r="M2104" i="12"/>
  <c r="M2103" i="12"/>
  <c r="M2102" i="12"/>
  <c r="M2101" i="12"/>
  <c r="M2100" i="12"/>
  <c r="M2099" i="12"/>
  <c r="M2098" i="12"/>
  <c r="M2097" i="12"/>
  <c r="M2096" i="12"/>
  <c r="M2095" i="12"/>
  <c r="M2094" i="12"/>
  <c r="M2093" i="12"/>
  <c r="M2092" i="12"/>
  <c r="M2091" i="12"/>
  <c r="M2090" i="12"/>
  <c r="M2089" i="12"/>
  <c r="M2088" i="12"/>
  <c r="M2087" i="12"/>
  <c r="M2086" i="12"/>
  <c r="M2085" i="12"/>
  <c r="M2084" i="12"/>
  <c r="M2083" i="12"/>
  <c r="M2082" i="12"/>
  <c r="M2081" i="12"/>
  <c r="M2080" i="12"/>
  <c r="M2079" i="12"/>
  <c r="M2078" i="12"/>
  <c r="M2077" i="12"/>
  <c r="M2076" i="12"/>
  <c r="M2075" i="12"/>
  <c r="M2074" i="12"/>
  <c r="M2073" i="12"/>
  <c r="M2072" i="12"/>
  <c r="M2071" i="12"/>
  <c r="M2070" i="12"/>
  <c r="M2069" i="12"/>
  <c r="M2068" i="12"/>
  <c r="M2067" i="12"/>
  <c r="M2066" i="12"/>
  <c r="M2065" i="12"/>
  <c r="M2064" i="12"/>
  <c r="M2063" i="12"/>
  <c r="M2062" i="12"/>
  <c r="M2061" i="12"/>
  <c r="M2060" i="12"/>
  <c r="M2059" i="12"/>
  <c r="M2058" i="12"/>
  <c r="M2057" i="12"/>
  <c r="M2056" i="12"/>
  <c r="M2055" i="12"/>
  <c r="M2054" i="12"/>
  <c r="M2053" i="12"/>
  <c r="M2052" i="12"/>
  <c r="M2051" i="12"/>
  <c r="M2050" i="12"/>
  <c r="M2049" i="12"/>
  <c r="M2048" i="12"/>
  <c r="M2047" i="12"/>
  <c r="M2046" i="12"/>
  <c r="M2045" i="12"/>
  <c r="M2044" i="12"/>
  <c r="M2043" i="12"/>
  <c r="M2042" i="12"/>
  <c r="M2041" i="12"/>
  <c r="M2040" i="12"/>
  <c r="M2039" i="12"/>
  <c r="M2038" i="12"/>
  <c r="M2037" i="12"/>
  <c r="M2036" i="12"/>
  <c r="M2035" i="12"/>
  <c r="M2034" i="12"/>
  <c r="M2033" i="12"/>
  <c r="M2032" i="12"/>
  <c r="M2031" i="12"/>
  <c r="M2030" i="12"/>
  <c r="M2029" i="12"/>
  <c r="M2028" i="12"/>
  <c r="M2027" i="12"/>
  <c r="M2026" i="12"/>
  <c r="M2025" i="12"/>
  <c r="M2024" i="12"/>
  <c r="M2023" i="12"/>
  <c r="M2022" i="12"/>
  <c r="M2021" i="12"/>
  <c r="M2020" i="12"/>
  <c r="M2019" i="12"/>
  <c r="M2018" i="12"/>
  <c r="M2017" i="12"/>
  <c r="M2016" i="12"/>
  <c r="M2015" i="12"/>
  <c r="M2014" i="12"/>
  <c r="M2013" i="12"/>
  <c r="M2012" i="12"/>
  <c r="M2011" i="12"/>
  <c r="M2010" i="12"/>
  <c r="M2009" i="12"/>
  <c r="M2008" i="12"/>
  <c r="M2007" i="12"/>
  <c r="M2006" i="12"/>
  <c r="M2005" i="12"/>
  <c r="M2004" i="12"/>
  <c r="M2003" i="12"/>
  <c r="M2002" i="12"/>
  <c r="M2001" i="12"/>
  <c r="M2000" i="12"/>
  <c r="M1999" i="12"/>
  <c r="M1998" i="12"/>
  <c r="M1997" i="12"/>
  <c r="M1996" i="12"/>
  <c r="M1995" i="12"/>
  <c r="M1994" i="12"/>
  <c r="M1993" i="12"/>
  <c r="M1992" i="12"/>
  <c r="M1991" i="12"/>
  <c r="M1990" i="12"/>
  <c r="M1989" i="12"/>
  <c r="M1988" i="12"/>
  <c r="M1987" i="12"/>
  <c r="M1986" i="12"/>
  <c r="M1985" i="12"/>
  <c r="M1984" i="12"/>
  <c r="M1983" i="12"/>
  <c r="M1982" i="12"/>
  <c r="M1981" i="12"/>
  <c r="M1980" i="12"/>
  <c r="M1979" i="12"/>
  <c r="M1978" i="12"/>
  <c r="M1977" i="12"/>
  <c r="M1976" i="12"/>
  <c r="M1975" i="12"/>
  <c r="M1974" i="12"/>
  <c r="M1973" i="12"/>
  <c r="M1972" i="12"/>
  <c r="M1971" i="12"/>
  <c r="M1970" i="12"/>
  <c r="M1969" i="12"/>
  <c r="M1968" i="12"/>
  <c r="M1967" i="12"/>
  <c r="M1966" i="12"/>
  <c r="M1965" i="12"/>
  <c r="M1964" i="12"/>
  <c r="M1963" i="12"/>
  <c r="M1962" i="12"/>
  <c r="M1961" i="12"/>
  <c r="M1960" i="12"/>
  <c r="M1959" i="12"/>
  <c r="M1958" i="12"/>
  <c r="M1957" i="12"/>
  <c r="M1956" i="12"/>
  <c r="M1955" i="12"/>
  <c r="M1954" i="12"/>
  <c r="M1953" i="12"/>
  <c r="M1952" i="12"/>
  <c r="M1951" i="12"/>
  <c r="M1950" i="12"/>
  <c r="M1949" i="12"/>
  <c r="M1948" i="12"/>
  <c r="M1947" i="12"/>
  <c r="M1946" i="12"/>
  <c r="M1945" i="12"/>
  <c r="M1944" i="12"/>
  <c r="M1943" i="12"/>
  <c r="M1942" i="12"/>
  <c r="M1941" i="12"/>
  <c r="M1940" i="12"/>
  <c r="M1939" i="12"/>
  <c r="M1938" i="12"/>
  <c r="M1937" i="12"/>
  <c r="M1936" i="12"/>
  <c r="M1935" i="12"/>
  <c r="M1934" i="12"/>
  <c r="M1933" i="12"/>
  <c r="M1932" i="12"/>
  <c r="M1931" i="12"/>
  <c r="M1930" i="12"/>
  <c r="M1929" i="12"/>
  <c r="M1928" i="12"/>
  <c r="M1927" i="12"/>
  <c r="M1926" i="12"/>
  <c r="M1925" i="12"/>
  <c r="M1924" i="12"/>
  <c r="M1923" i="12"/>
  <c r="M1922" i="12"/>
  <c r="M1921" i="12"/>
  <c r="M1920" i="12"/>
  <c r="M1919" i="12"/>
  <c r="M1918" i="12"/>
  <c r="M1917" i="12"/>
  <c r="M1916" i="12"/>
  <c r="M1915" i="12"/>
  <c r="M1914" i="12"/>
  <c r="M1913" i="12"/>
  <c r="M1912" i="12"/>
  <c r="M1911" i="12"/>
  <c r="M1910" i="12"/>
  <c r="M1909" i="12"/>
  <c r="M1908" i="12"/>
  <c r="M1907" i="12"/>
  <c r="M1906" i="12"/>
  <c r="M1905" i="12"/>
  <c r="M1904" i="12"/>
  <c r="M1903" i="12"/>
  <c r="M1902" i="12"/>
  <c r="M1901" i="12"/>
  <c r="M1900" i="12"/>
  <c r="M1899" i="12"/>
  <c r="M1898" i="12"/>
  <c r="M1897" i="12"/>
  <c r="M1896" i="12"/>
  <c r="M1895" i="12"/>
  <c r="M1894" i="12"/>
  <c r="M1893" i="12"/>
  <c r="M1892" i="12"/>
  <c r="M1891" i="12"/>
  <c r="M1890" i="12"/>
  <c r="M1889" i="12"/>
  <c r="M1888" i="12"/>
  <c r="M1887" i="12"/>
  <c r="M1886" i="12"/>
  <c r="M1885" i="12"/>
  <c r="M1884" i="12"/>
  <c r="M1883" i="12"/>
  <c r="M1882" i="12"/>
  <c r="M1881" i="12"/>
  <c r="M1880" i="12"/>
  <c r="M1879" i="12"/>
  <c r="M1878" i="12"/>
  <c r="M1877" i="12"/>
  <c r="M1876" i="12"/>
  <c r="M1875" i="12"/>
  <c r="M1874" i="12"/>
  <c r="M1873" i="12"/>
  <c r="M1872" i="12"/>
  <c r="M1871" i="12"/>
  <c r="M1870" i="12"/>
  <c r="M1869" i="12"/>
  <c r="M1868" i="12"/>
  <c r="M1867" i="12"/>
  <c r="M1866" i="12"/>
  <c r="M1865" i="12"/>
  <c r="M1864" i="12"/>
  <c r="M1863" i="12"/>
  <c r="M1862" i="12"/>
  <c r="M1861" i="12"/>
  <c r="M1860" i="12"/>
  <c r="M1859" i="12"/>
  <c r="M1858" i="12"/>
  <c r="M1857" i="12"/>
  <c r="M1856" i="12"/>
  <c r="M1855" i="12"/>
  <c r="M1854" i="12"/>
  <c r="M1853" i="12"/>
  <c r="M1852" i="12"/>
  <c r="M1851" i="12"/>
  <c r="M1850" i="12"/>
  <c r="M1849" i="12"/>
  <c r="M1848" i="12"/>
  <c r="M1847" i="12"/>
  <c r="M1846" i="12"/>
  <c r="M1845" i="12"/>
  <c r="M1844" i="12"/>
  <c r="M1843" i="12"/>
  <c r="M1842" i="12"/>
  <c r="M1841" i="12"/>
  <c r="M1840" i="12"/>
  <c r="M1839" i="12"/>
  <c r="M1838" i="12"/>
  <c r="M1837" i="12"/>
  <c r="M1836" i="12"/>
  <c r="M1835" i="12"/>
  <c r="M1834" i="12"/>
  <c r="M1833" i="12"/>
  <c r="M1832" i="12"/>
  <c r="M1831" i="12"/>
  <c r="M1830" i="12"/>
  <c r="M1829" i="12"/>
  <c r="M1828" i="12"/>
  <c r="M1827" i="12"/>
  <c r="M1826" i="12"/>
  <c r="M1825" i="12"/>
  <c r="M1824" i="12"/>
  <c r="M1823" i="12"/>
  <c r="M1822" i="12"/>
  <c r="M1821" i="12"/>
  <c r="M1820" i="12"/>
  <c r="M1819" i="12"/>
  <c r="M1818" i="12"/>
  <c r="M1817" i="12"/>
  <c r="M1816" i="12"/>
  <c r="M1815" i="12"/>
  <c r="M1814" i="12"/>
  <c r="M1813" i="12"/>
  <c r="M1812" i="12"/>
  <c r="M1811" i="12"/>
  <c r="M1810" i="12"/>
  <c r="M1809" i="12"/>
  <c r="M1808" i="12"/>
  <c r="M1807" i="12"/>
  <c r="M1806" i="12"/>
  <c r="M1805" i="12"/>
  <c r="M1804" i="12"/>
  <c r="M1803" i="12"/>
  <c r="M1802" i="12"/>
  <c r="M1801" i="12"/>
  <c r="M1800" i="12"/>
  <c r="M1799" i="12"/>
  <c r="M1798" i="12"/>
  <c r="M1797" i="12"/>
  <c r="M1796" i="12"/>
  <c r="M1795" i="12"/>
  <c r="M1794" i="12"/>
  <c r="M1793" i="12"/>
  <c r="M1792" i="12"/>
  <c r="M1791" i="12"/>
  <c r="M1790" i="12"/>
  <c r="M1789" i="12"/>
  <c r="M1788" i="12"/>
  <c r="M1787" i="12"/>
  <c r="M1786" i="12"/>
  <c r="M1785" i="12"/>
  <c r="M1784" i="12"/>
  <c r="M1783" i="12"/>
  <c r="M1782" i="12"/>
  <c r="M1781" i="12"/>
  <c r="M1780" i="12"/>
  <c r="M1779" i="12"/>
  <c r="M1778" i="12"/>
  <c r="M1777" i="12"/>
  <c r="M1776" i="12"/>
  <c r="M1775" i="12"/>
  <c r="M1774" i="12"/>
  <c r="M1773" i="12"/>
  <c r="M1772" i="12"/>
  <c r="M1771" i="12"/>
  <c r="M1770" i="12"/>
  <c r="M1769" i="12"/>
  <c r="M1768" i="12"/>
  <c r="M1767" i="12"/>
  <c r="M1766" i="12"/>
  <c r="M1765" i="12"/>
  <c r="M1764" i="12"/>
  <c r="M1763" i="12"/>
  <c r="M1762" i="12"/>
  <c r="M1761" i="12"/>
  <c r="M1760" i="12"/>
  <c r="M1759" i="12"/>
  <c r="M1758" i="12"/>
  <c r="M1757" i="12"/>
  <c r="M1756" i="12"/>
  <c r="M1755" i="12"/>
  <c r="M1754" i="12"/>
  <c r="M1753" i="12"/>
  <c r="M1752" i="12"/>
  <c r="M1751" i="12"/>
  <c r="M1750" i="12"/>
  <c r="M1749" i="12"/>
  <c r="M1748" i="12"/>
  <c r="M1747" i="12"/>
  <c r="M1746" i="12"/>
  <c r="M1745" i="12"/>
  <c r="M1744" i="12"/>
  <c r="M1743" i="12"/>
  <c r="M1742" i="12"/>
  <c r="M1741" i="12"/>
  <c r="M1740" i="12"/>
  <c r="M1739" i="12"/>
  <c r="M1738" i="12"/>
  <c r="M1737" i="12"/>
  <c r="M1736" i="12"/>
  <c r="M1735" i="12"/>
  <c r="M1734" i="12"/>
  <c r="M1733" i="12"/>
  <c r="M1732" i="12"/>
  <c r="M1731" i="12"/>
  <c r="M1730" i="12"/>
  <c r="M1729" i="12"/>
  <c r="M1728" i="12"/>
  <c r="M1727" i="12"/>
  <c r="M1726" i="12"/>
  <c r="M1725" i="12"/>
  <c r="M1724" i="12"/>
  <c r="M1723" i="12"/>
  <c r="M1722" i="12"/>
  <c r="M1721" i="12"/>
  <c r="M1720" i="12"/>
  <c r="M1719" i="12"/>
  <c r="M1718" i="12"/>
  <c r="M1717" i="12"/>
  <c r="M1716" i="12"/>
  <c r="M1715" i="12"/>
  <c r="M1714" i="12"/>
  <c r="M1713" i="12"/>
  <c r="M1712" i="12"/>
  <c r="M1711" i="12"/>
  <c r="M1710" i="12"/>
  <c r="M1709" i="12"/>
  <c r="M1708" i="12"/>
  <c r="M1707" i="12"/>
  <c r="M1706" i="12"/>
  <c r="M1705" i="12"/>
  <c r="M1704" i="12"/>
  <c r="M1703" i="12"/>
  <c r="M1702" i="12"/>
  <c r="M1701" i="12"/>
  <c r="M1700" i="12"/>
  <c r="M1699" i="12"/>
  <c r="M1698" i="12"/>
  <c r="M1697" i="12"/>
  <c r="M1696" i="12"/>
  <c r="M1695" i="12"/>
  <c r="M1694" i="12"/>
  <c r="M1693" i="12"/>
  <c r="M1692" i="12"/>
  <c r="M1691" i="12"/>
  <c r="M1690" i="12"/>
  <c r="M1689" i="12"/>
  <c r="M1688" i="12"/>
  <c r="M1687" i="12"/>
  <c r="M1686" i="12"/>
  <c r="M1685" i="12"/>
  <c r="M1684" i="12"/>
  <c r="M1683" i="12"/>
  <c r="M1682" i="12"/>
  <c r="M1681" i="12"/>
  <c r="M1680" i="12"/>
  <c r="M1679" i="12"/>
  <c r="M1678" i="12"/>
  <c r="M1677" i="12"/>
  <c r="M1676" i="12"/>
  <c r="M1675" i="12"/>
  <c r="M1674" i="12"/>
  <c r="M1673" i="12"/>
  <c r="M1672" i="12"/>
  <c r="M1671" i="12"/>
  <c r="M1670" i="12"/>
  <c r="M1669" i="12"/>
  <c r="M1668" i="12"/>
  <c r="M1667" i="12"/>
  <c r="M1666" i="12"/>
  <c r="M1665" i="12"/>
  <c r="M1664" i="12"/>
  <c r="M1663" i="12"/>
  <c r="M1662" i="12"/>
  <c r="M1661" i="12"/>
  <c r="M1660" i="12"/>
  <c r="M1659" i="12"/>
  <c r="M1658" i="12"/>
  <c r="M1657" i="12"/>
  <c r="M1656" i="12"/>
  <c r="M1655" i="12"/>
  <c r="M1654" i="12"/>
  <c r="M1653" i="12"/>
  <c r="M1652" i="12"/>
  <c r="M1651" i="12"/>
  <c r="M1650" i="12"/>
  <c r="M1649" i="12"/>
  <c r="M1648" i="12"/>
  <c r="M1647" i="12"/>
  <c r="M1646" i="12"/>
  <c r="M1645" i="12"/>
  <c r="M1644" i="12"/>
  <c r="M1643" i="12"/>
  <c r="M1642" i="12"/>
  <c r="M1641" i="12"/>
  <c r="M1640" i="12"/>
  <c r="M1639" i="12"/>
  <c r="M1638" i="12"/>
  <c r="M1637" i="12"/>
  <c r="M1636" i="12"/>
  <c r="M1635" i="12"/>
  <c r="M1634" i="12"/>
  <c r="M1633" i="12"/>
  <c r="M1632" i="12"/>
  <c r="M1631" i="12"/>
  <c r="M1630" i="12"/>
  <c r="M1629" i="12"/>
  <c r="M1628" i="12"/>
  <c r="M1627" i="12"/>
  <c r="M1626" i="12"/>
  <c r="M1625" i="12"/>
  <c r="M1624" i="12"/>
  <c r="M1623" i="12"/>
  <c r="M1622" i="12"/>
  <c r="M1621" i="12"/>
  <c r="M1620" i="12"/>
  <c r="M1619" i="12"/>
  <c r="M1618" i="12"/>
  <c r="M1617" i="12"/>
  <c r="M1616" i="12"/>
  <c r="M1615" i="12"/>
  <c r="M1614" i="12"/>
  <c r="M1613" i="12"/>
  <c r="M1612" i="12"/>
  <c r="M1611" i="12"/>
  <c r="M1610" i="12"/>
  <c r="M1609" i="12"/>
  <c r="M1608" i="12"/>
  <c r="M1607" i="12"/>
  <c r="M1606" i="12"/>
  <c r="M1605" i="12"/>
  <c r="M1604" i="12"/>
  <c r="M1603" i="12"/>
  <c r="M1602" i="12"/>
  <c r="M1601" i="12"/>
  <c r="M1600" i="12"/>
  <c r="M1599" i="12"/>
  <c r="M1598" i="12"/>
  <c r="M1597" i="12"/>
  <c r="M1596" i="12"/>
  <c r="M1595" i="12"/>
  <c r="M1594" i="12"/>
  <c r="M1593" i="12"/>
  <c r="M1592" i="12"/>
  <c r="M1591" i="12"/>
  <c r="M1590" i="12"/>
  <c r="M1589" i="12"/>
  <c r="M1588" i="12"/>
  <c r="M1587" i="12"/>
  <c r="M1586" i="12"/>
  <c r="M1585" i="12"/>
  <c r="M1584" i="12"/>
  <c r="M1583" i="12"/>
  <c r="M1582" i="12"/>
  <c r="M1581" i="12"/>
  <c r="M1580" i="12"/>
  <c r="M1579" i="12"/>
  <c r="M1578" i="12"/>
  <c r="M1577" i="12"/>
  <c r="M1576" i="12"/>
  <c r="M1575" i="12"/>
  <c r="M1574" i="12"/>
  <c r="M1573" i="12"/>
  <c r="M1572" i="12"/>
  <c r="M1571" i="12"/>
  <c r="M1570" i="12"/>
  <c r="M1569" i="12"/>
  <c r="M1568" i="12"/>
  <c r="M1567" i="12"/>
  <c r="M1566" i="12"/>
  <c r="M1565" i="12"/>
  <c r="M1564" i="12"/>
  <c r="M1563" i="12"/>
  <c r="M1562" i="12"/>
  <c r="M1561" i="12"/>
  <c r="M1560" i="12"/>
  <c r="M1559" i="12"/>
  <c r="M1558" i="12"/>
  <c r="M1557" i="12"/>
  <c r="M1556" i="12"/>
  <c r="M1555" i="12"/>
  <c r="M1554" i="12"/>
  <c r="M1553" i="12"/>
  <c r="M1552" i="12"/>
  <c r="M1551" i="12"/>
  <c r="M1550" i="12"/>
  <c r="M1549" i="12"/>
  <c r="M1548" i="12"/>
  <c r="M1547" i="12"/>
  <c r="M1546" i="12"/>
  <c r="M1545" i="12"/>
  <c r="M1544" i="12"/>
  <c r="M1543" i="12"/>
  <c r="M1542" i="12"/>
  <c r="M1541" i="12"/>
  <c r="M1540" i="12"/>
  <c r="M1539" i="12"/>
  <c r="M1538" i="12"/>
  <c r="M1537" i="12"/>
  <c r="M1536" i="12"/>
  <c r="M1535" i="12"/>
  <c r="M1534" i="12"/>
  <c r="M1533" i="12"/>
  <c r="M1532" i="12"/>
  <c r="M1531" i="12"/>
  <c r="M1530" i="12"/>
  <c r="M1529" i="12"/>
  <c r="M1528" i="12"/>
  <c r="M1527" i="12"/>
  <c r="M1526" i="12"/>
  <c r="M1525" i="12"/>
  <c r="M1524" i="12"/>
  <c r="M1523" i="12"/>
  <c r="M1522" i="12"/>
  <c r="M1521" i="12"/>
  <c r="M1520" i="12"/>
  <c r="M1519" i="12"/>
  <c r="M1518" i="12"/>
  <c r="M1517" i="12"/>
  <c r="M1516" i="12"/>
  <c r="M1515" i="12"/>
  <c r="M1514" i="12"/>
  <c r="M1513" i="12"/>
  <c r="M1512" i="12"/>
  <c r="M1511" i="12"/>
  <c r="M1510" i="12"/>
  <c r="M1509" i="12"/>
  <c r="M1508" i="12"/>
  <c r="M1507" i="12"/>
  <c r="M1506" i="12"/>
  <c r="M1505" i="12"/>
  <c r="M1504" i="12"/>
  <c r="M1503" i="12"/>
  <c r="M1502" i="12"/>
  <c r="M1501" i="12"/>
  <c r="M1500" i="12"/>
  <c r="M1499" i="12"/>
  <c r="M1498" i="12"/>
  <c r="M1497" i="12"/>
  <c r="M1496" i="12"/>
  <c r="M1495" i="12"/>
  <c r="M1494" i="12"/>
  <c r="M1493" i="12"/>
  <c r="M1492" i="12"/>
  <c r="M1491" i="12"/>
  <c r="M1490" i="12"/>
  <c r="M1489" i="12"/>
  <c r="M1488" i="12"/>
  <c r="M1487" i="12"/>
  <c r="M1486" i="12"/>
  <c r="M1485" i="12"/>
  <c r="M1484" i="12"/>
  <c r="M1483" i="12"/>
  <c r="M1482" i="12"/>
  <c r="M1481" i="12"/>
  <c r="M1480" i="12"/>
  <c r="M1479" i="12"/>
  <c r="M1478" i="12"/>
  <c r="M1477" i="12"/>
  <c r="M1476" i="12"/>
  <c r="M1475" i="12"/>
  <c r="M1474" i="12"/>
  <c r="M1473" i="12"/>
  <c r="M1472" i="12"/>
  <c r="M1471" i="12"/>
  <c r="M1470" i="12"/>
  <c r="M1469" i="12"/>
  <c r="M1468" i="12"/>
  <c r="M1467" i="12"/>
  <c r="M1466" i="12"/>
  <c r="M1465" i="12"/>
  <c r="M1464" i="12"/>
  <c r="M1463" i="12"/>
  <c r="M1462" i="12"/>
  <c r="M1461" i="12"/>
  <c r="M1460" i="12"/>
  <c r="M1459" i="12"/>
  <c r="M1458" i="12"/>
  <c r="M1457" i="12"/>
  <c r="M1456" i="12"/>
  <c r="M1455" i="12"/>
  <c r="M1454" i="12"/>
  <c r="M1453" i="12"/>
  <c r="M1452" i="12"/>
  <c r="M1451" i="12"/>
  <c r="M1450" i="12"/>
  <c r="M1449" i="12"/>
  <c r="M1448" i="12"/>
  <c r="M1447" i="12"/>
  <c r="M1446" i="12"/>
  <c r="M1445" i="12"/>
  <c r="M1444" i="12"/>
  <c r="M1443" i="12"/>
  <c r="M1442" i="12"/>
  <c r="M1441" i="12"/>
  <c r="M1440" i="12"/>
  <c r="M1439" i="12"/>
  <c r="M1438" i="12"/>
  <c r="M1437" i="12"/>
  <c r="M1436" i="12"/>
  <c r="M1435" i="12"/>
  <c r="M1434" i="12"/>
  <c r="M1433" i="12"/>
  <c r="M1432" i="12"/>
  <c r="M1431" i="12"/>
  <c r="M1430" i="12"/>
  <c r="M1429" i="12"/>
  <c r="M1428" i="12"/>
  <c r="M1427" i="12"/>
  <c r="M1426" i="12"/>
  <c r="M1425" i="12"/>
  <c r="M1424" i="12"/>
  <c r="M1423" i="12"/>
  <c r="M1422" i="12"/>
  <c r="M1421" i="12"/>
  <c r="M1420" i="12"/>
  <c r="M1419" i="12"/>
  <c r="M1418" i="12"/>
  <c r="M1417" i="12"/>
  <c r="M1416" i="12"/>
  <c r="M1415" i="12"/>
  <c r="M1414" i="12"/>
  <c r="M1413" i="12"/>
  <c r="M1412" i="12"/>
  <c r="M1411" i="12"/>
  <c r="M1410" i="12"/>
  <c r="M1409" i="12"/>
  <c r="M1408" i="12"/>
  <c r="M1407" i="12"/>
  <c r="M1406" i="12"/>
  <c r="M1405" i="12"/>
  <c r="M1404" i="12"/>
  <c r="M1403" i="12"/>
  <c r="M1402" i="12"/>
  <c r="M1401" i="12"/>
  <c r="M1400" i="12"/>
  <c r="M1399" i="12"/>
  <c r="M1398" i="12"/>
  <c r="M1397" i="12"/>
  <c r="M1396" i="12"/>
  <c r="M1395" i="12"/>
  <c r="M1394" i="12"/>
  <c r="M1393" i="12"/>
  <c r="M1392" i="12"/>
  <c r="M1391" i="12"/>
  <c r="M1390" i="12"/>
  <c r="M1389" i="12"/>
  <c r="M1388" i="12"/>
  <c r="M1387" i="12"/>
  <c r="M1386" i="12"/>
  <c r="M1385" i="12"/>
  <c r="M1384" i="12"/>
  <c r="M1383" i="12"/>
  <c r="M1382" i="12"/>
  <c r="M1381" i="12"/>
  <c r="M1380" i="12"/>
  <c r="M1379" i="12"/>
  <c r="M1378" i="12"/>
  <c r="M1377" i="12"/>
  <c r="M1376" i="12"/>
  <c r="M1375" i="12"/>
  <c r="M1374" i="12"/>
  <c r="M1373" i="12"/>
  <c r="M1372" i="12"/>
  <c r="M1371" i="12"/>
  <c r="M1370" i="12"/>
  <c r="M1369" i="12"/>
  <c r="M1368" i="12"/>
  <c r="M1367" i="12"/>
  <c r="M1366" i="12"/>
  <c r="M1365" i="12"/>
  <c r="M1364" i="12"/>
  <c r="M1363" i="12"/>
  <c r="M1362" i="12"/>
  <c r="M1361" i="12"/>
  <c r="M1360" i="12"/>
  <c r="M1359" i="12"/>
  <c r="M1358" i="12"/>
  <c r="M1357" i="12"/>
  <c r="M1356" i="12"/>
  <c r="M1355" i="12"/>
  <c r="M1354" i="12"/>
  <c r="M1353" i="12"/>
  <c r="M1352" i="12"/>
  <c r="M1351" i="12"/>
  <c r="M1350" i="12"/>
  <c r="M1349" i="12"/>
  <c r="M1348" i="12"/>
  <c r="M1347" i="12"/>
  <c r="M1346" i="12"/>
  <c r="M1345" i="12"/>
  <c r="M1344" i="12"/>
  <c r="M1343" i="12"/>
  <c r="M1342" i="12"/>
  <c r="M1341" i="12"/>
  <c r="M1340" i="12"/>
  <c r="M1339" i="12"/>
  <c r="M1338" i="12"/>
  <c r="M1337" i="12"/>
  <c r="M1336" i="12"/>
  <c r="M1335" i="12"/>
  <c r="M1334" i="12"/>
  <c r="M1333" i="12"/>
  <c r="M1332" i="12"/>
  <c r="M1331" i="12"/>
  <c r="M1330" i="12"/>
  <c r="M1329" i="12"/>
  <c r="M1328" i="12"/>
  <c r="M1327" i="12"/>
  <c r="M1326" i="12"/>
  <c r="M1325" i="12"/>
  <c r="M1324" i="12"/>
  <c r="M1323" i="12"/>
  <c r="M1322" i="12"/>
  <c r="M1321" i="12"/>
  <c r="M1320" i="12"/>
  <c r="M1319" i="12"/>
  <c r="M1318" i="12"/>
  <c r="M1317" i="12"/>
  <c r="M1316" i="12"/>
  <c r="M1315" i="12"/>
  <c r="M1314" i="12"/>
  <c r="M1313" i="12"/>
  <c r="M1312" i="12"/>
  <c r="M1311" i="12"/>
  <c r="M1310" i="12"/>
  <c r="M1309" i="12"/>
  <c r="M1308" i="12"/>
  <c r="M1307" i="12"/>
  <c r="M1306" i="12"/>
  <c r="M1305" i="12"/>
  <c r="M1304" i="12"/>
  <c r="M1303" i="12"/>
  <c r="M1302" i="12"/>
  <c r="M1301" i="12"/>
  <c r="M1300" i="12"/>
  <c r="M1299" i="12"/>
  <c r="M1298" i="12"/>
  <c r="M1297" i="12"/>
  <c r="M1296" i="12"/>
  <c r="M1295" i="12"/>
  <c r="M1294" i="12"/>
  <c r="M1293" i="12"/>
  <c r="M1292" i="12"/>
  <c r="M1291" i="12"/>
  <c r="M1290" i="12"/>
  <c r="M1289" i="12"/>
  <c r="M1288" i="12"/>
  <c r="M1287" i="12"/>
  <c r="M1286" i="12"/>
  <c r="M1285" i="12"/>
  <c r="M1284" i="12"/>
  <c r="M1283" i="12"/>
  <c r="M1282" i="12"/>
  <c r="M1281" i="12"/>
  <c r="M1280" i="12"/>
  <c r="M1279" i="12"/>
  <c r="M1278" i="12"/>
  <c r="M1277" i="12"/>
  <c r="M1276" i="12"/>
  <c r="M1275" i="12"/>
  <c r="M1274" i="12"/>
  <c r="M1273" i="12"/>
  <c r="M1272" i="12"/>
  <c r="M1271" i="12"/>
  <c r="M1270" i="12"/>
  <c r="M1269" i="12"/>
  <c r="M1268" i="12"/>
  <c r="M1267" i="12"/>
  <c r="M1266" i="12"/>
  <c r="M1265" i="12"/>
  <c r="M1264" i="12"/>
  <c r="M1263" i="12"/>
  <c r="M1262" i="12"/>
  <c r="M1261" i="12"/>
  <c r="M1260" i="12"/>
  <c r="M1259" i="12"/>
  <c r="M1258" i="12"/>
  <c r="M1257" i="12"/>
  <c r="M1256" i="12"/>
  <c r="M1255" i="12"/>
  <c r="M1254" i="12"/>
  <c r="M1253" i="12"/>
  <c r="M1252" i="12"/>
  <c r="M1251" i="12"/>
  <c r="M1250" i="12"/>
  <c r="M1249" i="12"/>
  <c r="M1248" i="12"/>
  <c r="M1247" i="12"/>
  <c r="M1246" i="12"/>
  <c r="M1245" i="12"/>
  <c r="M1244" i="12"/>
  <c r="M1243" i="12"/>
  <c r="M1242" i="12"/>
  <c r="M1241" i="12"/>
  <c r="M1240" i="12"/>
  <c r="M1239" i="12"/>
  <c r="M1238" i="12"/>
  <c r="M1237" i="12"/>
  <c r="M1236" i="12"/>
  <c r="M1235" i="12"/>
  <c r="M1234" i="12"/>
  <c r="M1233" i="12"/>
  <c r="M1232" i="12"/>
  <c r="M1231" i="12"/>
  <c r="M1230" i="12"/>
  <c r="M1229" i="12"/>
  <c r="M1228" i="12"/>
  <c r="M1227" i="12"/>
  <c r="M1226" i="12"/>
  <c r="M1225" i="12"/>
  <c r="M1224" i="12"/>
  <c r="M1223" i="12"/>
  <c r="M1222" i="12"/>
  <c r="M1221" i="12"/>
  <c r="M1220" i="12"/>
  <c r="M1219" i="12"/>
  <c r="M1218" i="12"/>
  <c r="M1217" i="12"/>
  <c r="M1216" i="12"/>
  <c r="M1215" i="12"/>
  <c r="M1214" i="12"/>
  <c r="M1213" i="12"/>
  <c r="M1212" i="12"/>
  <c r="M1211" i="12"/>
  <c r="M1210" i="12"/>
  <c r="M1209" i="12"/>
  <c r="M1208" i="12"/>
  <c r="M1207" i="12"/>
  <c r="M1206" i="12"/>
  <c r="M1205" i="12"/>
  <c r="M1204" i="12"/>
  <c r="M1203" i="12"/>
  <c r="M1202" i="12"/>
  <c r="M1201" i="12"/>
  <c r="M1200" i="12"/>
  <c r="M1199" i="12"/>
  <c r="M1198" i="12"/>
  <c r="M1197" i="12"/>
  <c r="M1196" i="12"/>
  <c r="M1195" i="12"/>
  <c r="M1194" i="12"/>
  <c r="M1193" i="12"/>
  <c r="M1192" i="12"/>
  <c r="M1191" i="12"/>
  <c r="M1190" i="12"/>
  <c r="M1189" i="12"/>
  <c r="M1188" i="12"/>
  <c r="M1187" i="12"/>
  <c r="M1186" i="12"/>
  <c r="M1185" i="12"/>
  <c r="M1184" i="12"/>
  <c r="M1183" i="12"/>
  <c r="M1182" i="12"/>
  <c r="M1181" i="12"/>
  <c r="M1180" i="12"/>
  <c r="M1179" i="12"/>
  <c r="M1178" i="12"/>
  <c r="M1177" i="12"/>
  <c r="M1176" i="12"/>
  <c r="M1175" i="12"/>
  <c r="M1174" i="12"/>
  <c r="M1173" i="12"/>
  <c r="M1172" i="12"/>
  <c r="M1171" i="12"/>
  <c r="M1170" i="12"/>
  <c r="M1169" i="12"/>
  <c r="M1168" i="12"/>
  <c r="M1167" i="12"/>
  <c r="M1166" i="12"/>
  <c r="M1165" i="12"/>
  <c r="M1164" i="12"/>
  <c r="M1163" i="12"/>
  <c r="M1162" i="12"/>
  <c r="M1161" i="12"/>
  <c r="M1160" i="12"/>
  <c r="M1159" i="12"/>
  <c r="M1158" i="12"/>
  <c r="M1157" i="12"/>
  <c r="M1156" i="12"/>
  <c r="M1155" i="12"/>
  <c r="M1154" i="12"/>
  <c r="M1153" i="12"/>
  <c r="M1152" i="12"/>
  <c r="M1151" i="12"/>
  <c r="M1150" i="12"/>
  <c r="M1149" i="12"/>
  <c r="M1148" i="12"/>
  <c r="M1147" i="12"/>
  <c r="M1146" i="12"/>
  <c r="M1145" i="12"/>
  <c r="M1144" i="12"/>
  <c r="M1143" i="12"/>
  <c r="M1142" i="12"/>
  <c r="M1141" i="12"/>
  <c r="M1140" i="12"/>
  <c r="M1139" i="12"/>
  <c r="M1138" i="12"/>
  <c r="M1137" i="12"/>
  <c r="M1136" i="12"/>
  <c r="M1135" i="12"/>
  <c r="M1134" i="12"/>
  <c r="M1133" i="12"/>
  <c r="M1132" i="12"/>
  <c r="M1131" i="12"/>
  <c r="M1130" i="12"/>
  <c r="M1129" i="12"/>
  <c r="M1128" i="12"/>
  <c r="M1127" i="12"/>
  <c r="M1126" i="12"/>
  <c r="M1125" i="12"/>
  <c r="M1124" i="12"/>
  <c r="M1123" i="12"/>
  <c r="M1122" i="12"/>
  <c r="M1121" i="12"/>
  <c r="M1120" i="12"/>
  <c r="M1119" i="12"/>
  <c r="M1118" i="12"/>
  <c r="M1117" i="12"/>
  <c r="M1116" i="12"/>
  <c r="M1115" i="12"/>
  <c r="M1114" i="12"/>
  <c r="M1113" i="12"/>
  <c r="M1112" i="12"/>
  <c r="M1111" i="12"/>
  <c r="M1110" i="12"/>
  <c r="M1109" i="12"/>
  <c r="M1108" i="12"/>
  <c r="M1107" i="12"/>
  <c r="M1106" i="12"/>
  <c r="M1105" i="12"/>
  <c r="M1104" i="12"/>
  <c r="M1103" i="12"/>
  <c r="M1102" i="12"/>
  <c r="M1101" i="12"/>
  <c r="M1100" i="12"/>
  <c r="M1099" i="12"/>
  <c r="M1098" i="12"/>
  <c r="M1097" i="12"/>
  <c r="M1096" i="12"/>
  <c r="M1095" i="12"/>
  <c r="M1094" i="12"/>
  <c r="M1093" i="12"/>
  <c r="M1092" i="12"/>
  <c r="M1091" i="12"/>
  <c r="M1090" i="12"/>
  <c r="M1089" i="12"/>
  <c r="M1088" i="12"/>
  <c r="M1087" i="12"/>
  <c r="M1086" i="12"/>
  <c r="M1085" i="12"/>
  <c r="M1084" i="12"/>
  <c r="M1083" i="12"/>
  <c r="M1082" i="12"/>
  <c r="M1081" i="12"/>
  <c r="M1080" i="12"/>
  <c r="M1079" i="12"/>
  <c r="M1078" i="12"/>
  <c r="M1077" i="12"/>
  <c r="M1076" i="12"/>
  <c r="M1075" i="12"/>
  <c r="M1074" i="12"/>
  <c r="M1073" i="12"/>
  <c r="M1072" i="12"/>
  <c r="M1071" i="12"/>
  <c r="M1070" i="12"/>
  <c r="M1069" i="12"/>
  <c r="M1068" i="12"/>
  <c r="M1067" i="12"/>
  <c r="M1066" i="12"/>
  <c r="M1065" i="12"/>
  <c r="M1064" i="12"/>
  <c r="M1063" i="12"/>
  <c r="M1062" i="12"/>
  <c r="M1061" i="12"/>
  <c r="M1060" i="12"/>
  <c r="M1059" i="12"/>
  <c r="M1058" i="12"/>
  <c r="M1057" i="12"/>
  <c r="M1056" i="12"/>
  <c r="M1055" i="12"/>
  <c r="M1054" i="12"/>
  <c r="M1053" i="12"/>
  <c r="M1052" i="12"/>
  <c r="M1051" i="12"/>
  <c r="M1050" i="12"/>
  <c r="M1049" i="12"/>
  <c r="M1048" i="12"/>
  <c r="M1047" i="12"/>
  <c r="M1046" i="12"/>
  <c r="M1045" i="12"/>
  <c r="M1044" i="12"/>
  <c r="M1043" i="12"/>
  <c r="M1042" i="12"/>
  <c r="M1041" i="12"/>
  <c r="M1040" i="12"/>
  <c r="M1039" i="12"/>
  <c r="M1038" i="12"/>
  <c r="M1037" i="12"/>
  <c r="M1036" i="12"/>
  <c r="M1035" i="12"/>
  <c r="M1034" i="12"/>
  <c r="M1033" i="12"/>
  <c r="M1032" i="12"/>
  <c r="M1031" i="12"/>
  <c r="M1030" i="12"/>
  <c r="M1029" i="12"/>
  <c r="M1028" i="12"/>
  <c r="M1027" i="12"/>
  <c r="M1026" i="12"/>
  <c r="M1025" i="12"/>
  <c r="M1024" i="12"/>
  <c r="M1023" i="12"/>
  <c r="M1022" i="12"/>
  <c r="M1021" i="12"/>
  <c r="M1020" i="12"/>
  <c r="M1019" i="12"/>
  <c r="M1018" i="12"/>
  <c r="M1017" i="12"/>
  <c r="M1016" i="12"/>
  <c r="M1015" i="12"/>
  <c r="M1014" i="12"/>
  <c r="M1013" i="12"/>
  <c r="M1012" i="12"/>
  <c r="M1011" i="12"/>
  <c r="M1010" i="12"/>
  <c r="M1009" i="12"/>
  <c r="M1008" i="12"/>
  <c r="M1007" i="12"/>
  <c r="M1006" i="12"/>
  <c r="M1005" i="12"/>
  <c r="M1004" i="12"/>
  <c r="M1003" i="12"/>
  <c r="M1002" i="12"/>
  <c r="M1001" i="12"/>
  <c r="M1000" i="12"/>
  <c r="M999" i="12"/>
  <c r="M998" i="12"/>
  <c r="M997" i="12"/>
  <c r="M996" i="12"/>
  <c r="M995" i="12"/>
  <c r="M994" i="12"/>
  <c r="M993" i="12"/>
  <c r="M992" i="12"/>
  <c r="M991" i="12"/>
  <c r="M990" i="12"/>
  <c r="M989" i="12"/>
  <c r="M988" i="12"/>
  <c r="M987" i="12"/>
  <c r="M986" i="12"/>
  <c r="M985" i="12"/>
  <c r="M984" i="12"/>
  <c r="M983" i="12"/>
  <c r="M982" i="12"/>
  <c r="M981" i="12"/>
  <c r="M980" i="12"/>
  <c r="M979" i="12"/>
  <c r="M978" i="12"/>
  <c r="M977" i="12"/>
  <c r="M976" i="12"/>
  <c r="M975" i="12"/>
  <c r="M974" i="12"/>
  <c r="M973" i="12"/>
  <c r="M972" i="12"/>
  <c r="M971" i="12"/>
  <c r="M970" i="12"/>
  <c r="M969" i="12"/>
  <c r="M968" i="12"/>
  <c r="M967" i="12"/>
  <c r="M966" i="12"/>
  <c r="M965" i="12"/>
  <c r="M964" i="12"/>
  <c r="M963" i="12"/>
  <c r="M962" i="12"/>
  <c r="M961" i="12"/>
  <c r="M960" i="12"/>
  <c r="M959" i="12"/>
  <c r="M958" i="12"/>
  <c r="M957" i="12"/>
  <c r="M956" i="12"/>
  <c r="M955" i="12"/>
  <c r="M954" i="12"/>
  <c r="M953" i="12"/>
  <c r="M952" i="12"/>
  <c r="M951" i="12"/>
  <c r="M950" i="12"/>
  <c r="M949" i="12"/>
  <c r="M948" i="12"/>
  <c r="M947" i="12"/>
  <c r="M946" i="12"/>
  <c r="M945" i="12"/>
  <c r="M944" i="12"/>
  <c r="M943" i="12"/>
  <c r="M942" i="12"/>
  <c r="M941" i="12"/>
  <c r="M940" i="12"/>
  <c r="M939" i="12"/>
  <c r="M938" i="12"/>
  <c r="M937" i="12"/>
  <c r="M936" i="12"/>
  <c r="M935" i="12"/>
  <c r="M934" i="12"/>
  <c r="M933" i="12"/>
  <c r="M932" i="12"/>
  <c r="M931" i="12"/>
  <c r="M930" i="12"/>
  <c r="M929" i="12"/>
  <c r="M928" i="12"/>
  <c r="M927" i="12"/>
  <c r="M926" i="12"/>
  <c r="M925" i="12"/>
  <c r="M924" i="12"/>
  <c r="M923" i="12"/>
  <c r="M922" i="12"/>
  <c r="M921" i="12"/>
  <c r="M920" i="12"/>
  <c r="M919" i="12"/>
  <c r="M918" i="12"/>
  <c r="M917" i="12"/>
  <c r="M916" i="12"/>
  <c r="M915" i="12"/>
  <c r="M914" i="12"/>
  <c r="M913" i="12"/>
  <c r="M912" i="12"/>
  <c r="M911" i="12"/>
  <c r="M910" i="12"/>
  <c r="M909" i="12"/>
  <c r="M908" i="12"/>
  <c r="M907" i="12"/>
  <c r="M906" i="12"/>
  <c r="M905" i="12"/>
  <c r="M904" i="12"/>
  <c r="M903" i="12"/>
  <c r="M902" i="12"/>
  <c r="M901" i="12"/>
  <c r="M900" i="12"/>
  <c r="M899" i="12"/>
  <c r="M898" i="12"/>
  <c r="M897" i="12"/>
  <c r="M896" i="12"/>
  <c r="M895" i="12"/>
  <c r="M894" i="12"/>
  <c r="M893" i="12"/>
  <c r="M892" i="12"/>
  <c r="M891" i="12"/>
  <c r="M890" i="12"/>
  <c r="M889" i="12"/>
  <c r="M888" i="12"/>
  <c r="M887" i="12"/>
  <c r="M886" i="12"/>
  <c r="M885" i="12"/>
  <c r="M884" i="12"/>
  <c r="M883" i="12"/>
  <c r="M882" i="12"/>
  <c r="M881" i="12"/>
  <c r="M880" i="12"/>
  <c r="M879" i="12"/>
  <c r="M878" i="12"/>
  <c r="M877" i="12"/>
  <c r="M876" i="12"/>
  <c r="M875" i="12"/>
  <c r="M874" i="12"/>
  <c r="M873" i="12"/>
  <c r="M872" i="12"/>
  <c r="M871" i="12"/>
  <c r="M870" i="12"/>
  <c r="M869" i="12"/>
  <c r="M868" i="12"/>
  <c r="M867" i="12"/>
  <c r="M866" i="12"/>
  <c r="M865" i="12"/>
  <c r="M864" i="12"/>
  <c r="M863" i="12"/>
  <c r="M862" i="12"/>
  <c r="M861" i="12"/>
  <c r="M860" i="12"/>
  <c r="M859" i="12"/>
  <c r="M858" i="12"/>
  <c r="M857" i="12"/>
  <c r="M856" i="12"/>
  <c r="M855" i="12"/>
  <c r="M854" i="12"/>
  <c r="M853" i="12"/>
  <c r="M852" i="12"/>
  <c r="M851" i="12"/>
  <c r="M850" i="12"/>
  <c r="M849" i="12"/>
  <c r="M848" i="12"/>
  <c r="M847" i="12"/>
  <c r="M846" i="12"/>
  <c r="M845" i="12"/>
  <c r="M844" i="12"/>
  <c r="M843" i="12"/>
  <c r="M842" i="12"/>
  <c r="M841" i="12"/>
  <c r="M840" i="12"/>
  <c r="M839" i="12"/>
  <c r="M838" i="12"/>
  <c r="M837" i="12"/>
  <c r="M836" i="12"/>
  <c r="M835" i="12"/>
  <c r="M834" i="12"/>
  <c r="M833" i="12"/>
  <c r="M832" i="12"/>
  <c r="M831" i="12"/>
  <c r="M830" i="12"/>
  <c r="M829" i="12"/>
  <c r="M828" i="12"/>
  <c r="M827" i="12"/>
  <c r="M826" i="12"/>
  <c r="M825" i="12"/>
  <c r="M824" i="12"/>
  <c r="M823" i="12"/>
  <c r="M822" i="12"/>
  <c r="M821" i="12"/>
  <c r="M820" i="12"/>
  <c r="M819" i="12"/>
  <c r="M818" i="12"/>
  <c r="M817" i="12"/>
  <c r="M816" i="12"/>
  <c r="M815" i="12"/>
  <c r="M814" i="12"/>
  <c r="M813" i="12"/>
  <c r="M812" i="12"/>
  <c r="M811" i="12"/>
  <c r="M810" i="12"/>
  <c r="M809" i="12"/>
  <c r="M808" i="12"/>
  <c r="M807" i="12"/>
  <c r="M806" i="12"/>
  <c r="M805" i="12"/>
  <c r="M804" i="12"/>
  <c r="M803" i="12"/>
  <c r="M802" i="12"/>
  <c r="M801" i="12"/>
  <c r="M800" i="12"/>
  <c r="M799" i="12"/>
  <c r="M798" i="12"/>
  <c r="M797" i="12"/>
  <c r="M796" i="12"/>
  <c r="M795" i="12"/>
  <c r="M794" i="12"/>
  <c r="M793" i="12"/>
  <c r="M792" i="12"/>
  <c r="M791" i="12"/>
  <c r="M790" i="12"/>
  <c r="M789" i="12"/>
  <c r="M788" i="12"/>
  <c r="M787" i="12"/>
  <c r="M786" i="12"/>
  <c r="M785" i="12"/>
  <c r="M784" i="12"/>
  <c r="M783" i="12"/>
  <c r="M782" i="12"/>
  <c r="M781" i="12"/>
  <c r="M780" i="12"/>
  <c r="M779" i="12"/>
  <c r="M778" i="12"/>
  <c r="M777" i="12"/>
  <c r="M776" i="12"/>
  <c r="M775" i="12"/>
  <c r="M774" i="12"/>
  <c r="M773" i="12"/>
  <c r="M772" i="12"/>
  <c r="M771" i="12"/>
  <c r="M770" i="12"/>
  <c r="M769" i="12"/>
  <c r="M768" i="12"/>
  <c r="M767" i="12"/>
  <c r="M766" i="12"/>
  <c r="M765" i="12"/>
  <c r="M764" i="12"/>
  <c r="M763" i="12"/>
  <c r="M762" i="12"/>
  <c r="M761" i="12"/>
  <c r="M760" i="12"/>
  <c r="M759" i="12"/>
  <c r="M758" i="12"/>
  <c r="M757" i="12"/>
  <c r="M756" i="12"/>
  <c r="M755" i="12"/>
  <c r="M754" i="12"/>
  <c r="M753" i="12"/>
  <c r="M752" i="12"/>
  <c r="M751" i="12"/>
  <c r="M750" i="12"/>
  <c r="M749" i="12"/>
  <c r="M748" i="12"/>
  <c r="M747" i="12"/>
  <c r="M746" i="12"/>
  <c r="M745" i="12"/>
  <c r="M744" i="12"/>
  <c r="M743" i="12"/>
  <c r="M742" i="12"/>
  <c r="M741" i="12"/>
  <c r="M740" i="12"/>
  <c r="M739" i="12"/>
  <c r="M738" i="12"/>
  <c r="M737" i="12"/>
  <c r="M736" i="12"/>
  <c r="M735" i="12"/>
  <c r="M734" i="12"/>
  <c r="M733" i="12"/>
  <c r="M732" i="12"/>
  <c r="M731" i="12"/>
  <c r="M730" i="12"/>
  <c r="M729" i="12"/>
  <c r="M728" i="12"/>
  <c r="M727" i="12"/>
  <c r="M726" i="12"/>
  <c r="M725" i="12"/>
  <c r="M724" i="12"/>
  <c r="M723" i="12"/>
  <c r="M722" i="12"/>
  <c r="M721" i="12"/>
  <c r="M720" i="12"/>
  <c r="M719" i="12"/>
  <c r="M718" i="12"/>
  <c r="M717" i="12"/>
  <c r="M716" i="12"/>
  <c r="M715" i="12"/>
  <c r="M714" i="12"/>
  <c r="M713" i="12"/>
  <c r="M712" i="12"/>
  <c r="M711" i="12"/>
  <c r="M710" i="12"/>
  <c r="M709" i="12"/>
  <c r="M708" i="12"/>
  <c r="M707" i="12"/>
  <c r="M706" i="12"/>
  <c r="M705" i="12"/>
  <c r="M704" i="12"/>
  <c r="M703" i="12"/>
  <c r="M702" i="12"/>
  <c r="M701" i="12"/>
  <c r="M700" i="12"/>
  <c r="M699" i="12"/>
  <c r="M698" i="12"/>
  <c r="M697" i="12"/>
  <c r="M696" i="12"/>
  <c r="M695" i="12"/>
  <c r="M694" i="12"/>
  <c r="M693" i="12"/>
  <c r="M692" i="12"/>
  <c r="M691" i="12"/>
  <c r="M690" i="12"/>
  <c r="M689" i="12"/>
  <c r="M688" i="12"/>
  <c r="M687" i="12"/>
  <c r="M686" i="12"/>
  <c r="M685" i="12"/>
  <c r="M684" i="12"/>
  <c r="M683" i="12"/>
  <c r="M682" i="12"/>
  <c r="M681" i="12"/>
  <c r="M680" i="12"/>
  <c r="M679" i="12"/>
  <c r="M678" i="12"/>
  <c r="M677" i="12"/>
  <c r="M676" i="12"/>
  <c r="M675" i="12"/>
  <c r="M674" i="12"/>
  <c r="M673" i="12"/>
  <c r="M672" i="12"/>
  <c r="M671" i="12"/>
  <c r="M670" i="12"/>
  <c r="M669" i="12"/>
  <c r="M668" i="12"/>
  <c r="M667" i="12"/>
  <c r="M666" i="12"/>
  <c r="M665" i="12"/>
  <c r="M664" i="12"/>
  <c r="M663" i="12"/>
  <c r="M662" i="12"/>
  <c r="M661" i="12"/>
  <c r="M660" i="12"/>
  <c r="M659" i="12"/>
  <c r="M658" i="12"/>
  <c r="M657" i="12"/>
  <c r="M656" i="12"/>
  <c r="M655" i="12"/>
  <c r="M654" i="12"/>
  <c r="M653" i="12"/>
  <c r="M652" i="12"/>
  <c r="M651" i="12"/>
  <c r="M650" i="12"/>
  <c r="M649" i="12"/>
  <c r="M648" i="12"/>
  <c r="M647" i="12"/>
  <c r="M646" i="12"/>
  <c r="M645" i="12"/>
  <c r="M644" i="12"/>
  <c r="M643" i="12"/>
  <c r="M642" i="12"/>
  <c r="M641" i="12"/>
  <c r="M640" i="12"/>
  <c r="M639" i="12"/>
  <c r="M638" i="12"/>
  <c r="M637" i="12"/>
  <c r="M636" i="12"/>
  <c r="M635" i="12"/>
  <c r="M634" i="12"/>
  <c r="M633" i="12"/>
  <c r="M632" i="12"/>
  <c r="M631" i="12"/>
  <c r="M630" i="12"/>
  <c r="M629" i="12"/>
  <c r="M628" i="12"/>
  <c r="M627" i="12"/>
  <c r="M626" i="12"/>
  <c r="M625" i="12"/>
  <c r="M624" i="12"/>
  <c r="M623" i="12"/>
  <c r="M622" i="12"/>
  <c r="M621" i="12"/>
  <c r="M620" i="12"/>
  <c r="M619" i="12"/>
  <c r="M618" i="12"/>
  <c r="M617" i="12"/>
  <c r="M616" i="12"/>
  <c r="M615" i="12"/>
  <c r="M614" i="12"/>
  <c r="M613" i="12"/>
  <c r="M612" i="12"/>
  <c r="M611" i="12"/>
  <c r="M610" i="12"/>
  <c r="M609" i="12"/>
  <c r="M608" i="12"/>
  <c r="M607" i="12"/>
  <c r="M606" i="12"/>
  <c r="M605" i="12"/>
  <c r="M604" i="12"/>
  <c r="M603" i="12"/>
  <c r="M602" i="12"/>
  <c r="M601" i="12"/>
  <c r="M600" i="12"/>
  <c r="M599" i="12"/>
  <c r="M598" i="12"/>
  <c r="M597" i="12"/>
  <c r="M596" i="12"/>
  <c r="M595" i="12"/>
  <c r="M594" i="12"/>
  <c r="M593" i="12"/>
  <c r="M592" i="12"/>
  <c r="M591" i="12"/>
  <c r="M590" i="12"/>
  <c r="M589" i="12"/>
  <c r="M588" i="12"/>
  <c r="M587" i="12"/>
  <c r="M586" i="12"/>
  <c r="M585" i="12"/>
  <c r="M584" i="12"/>
  <c r="M583" i="12"/>
  <c r="M582" i="12"/>
  <c r="M581" i="12"/>
  <c r="M580" i="12"/>
  <c r="M579" i="12"/>
  <c r="M578" i="12"/>
  <c r="M577" i="12"/>
  <c r="M576" i="12"/>
  <c r="M575" i="12"/>
  <c r="M574" i="12"/>
  <c r="M573" i="12"/>
  <c r="M572" i="12"/>
  <c r="M571" i="12"/>
  <c r="M570" i="12"/>
  <c r="M569" i="12"/>
  <c r="M568" i="12"/>
  <c r="M567" i="12"/>
  <c r="M566" i="12"/>
  <c r="M565" i="12"/>
  <c r="M564" i="12"/>
  <c r="M563" i="12"/>
  <c r="M562" i="12"/>
  <c r="M561" i="12"/>
  <c r="M560" i="12"/>
  <c r="M559" i="12"/>
  <c r="M558" i="12"/>
  <c r="M557" i="12"/>
  <c r="M556" i="12"/>
  <c r="M555" i="12"/>
  <c r="M554" i="12"/>
  <c r="M553" i="12"/>
  <c r="M552" i="12"/>
  <c r="M551" i="12"/>
  <c r="M550" i="12"/>
  <c r="M549" i="12"/>
  <c r="M548" i="12"/>
  <c r="M547" i="12"/>
  <c r="M546" i="12"/>
  <c r="M545" i="12"/>
  <c r="M544" i="12"/>
  <c r="M543" i="12"/>
  <c r="M542" i="12"/>
  <c r="M541" i="12"/>
  <c r="M540" i="12"/>
  <c r="M539" i="12"/>
  <c r="M538" i="12"/>
  <c r="M537" i="12"/>
  <c r="M536" i="12"/>
  <c r="M535" i="12"/>
  <c r="M534" i="12"/>
  <c r="M533" i="12"/>
  <c r="M532" i="12"/>
  <c r="M531" i="12"/>
  <c r="M530" i="12"/>
  <c r="M529" i="12"/>
  <c r="M528" i="12"/>
  <c r="M527" i="12"/>
  <c r="M526" i="12"/>
  <c r="M525" i="12"/>
  <c r="M524" i="12"/>
  <c r="M523" i="12"/>
  <c r="M522" i="12"/>
  <c r="M521" i="12"/>
  <c r="M520" i="12"/>
  <c r="M519" i="12"/>
  <c r="M518" i="12"/>
  <c r="M517" i="12"/>
  <c r="M516" i="12"/>
  <c r="M515" i="12"/>
  <c r="M514" i="12"/>
  <c r="M513" i="12"/>
  <c r="M512" i="12"/>
  <c r="M511" i="12"/>
  <c r="M510" i="12"/>
  <c r="M509" i="12"/>
  <c r="M508" i="12"/>
  <c r="M507" i="12"/>
  <c r="M506" i="12"/>
  <c r="M505" i="12"/>
  <c r="M504" i="12"/>
  <c r="M503" i="12"/>
  <c r="M502" i="12"/>
  <c r="M501" i="12"/>
  <c r="M500" i="12"/>
  <c r="M499" i="12"/>
  <c r="M498" i="12"/>
  <c r="M497" i="12"/>
  <c r="M496" i="12"/>
  <c r="M495" i="12"/>
  <c r="M494" i="12"/>
  <c r="M493" i="12"/>
  <c r="M492" i="12"/>
  <c r="M491" i="12"/>
  <c r="M490" i="12"/>
  <c r="M489" i="12"/>
  <c r="M488" i="12"/>
  <c r="M487" i="12"/>
  <c r="M486" i="12"/>
  <c r="M485" i="12"/>
  <c r="M484" i="12"/>
  <c r="M483" i="12"/>
  <c r="M482" i="12"/>
  <c r="M481" i="12"/>
  <c r="M480" i="12"/>
  <c r="M479" i="12"/>
  <c r="M478" i="12"/>
  <c r="M477" i="12"/>
  <c r="M476" i="12"/>
  <c r="M475" i="12"/>
  <c r="M474" i="12"/>
  <c r="M473" i="12"/>
  <c r="M472" i="12"/>
  <c r="M471" i="12"/>
  <c r="M470" i="12"/>
  <c r="M469" i="12"/>
  <c r="M468" i="12"/>
  <c r="M467" i="12"/>
  <c r="M466" i="12"/>
  <c r="M465" i="12"/>
  <c r="M464" i="12"/>
  <c r="M463" i="12"/>
  <c r="M462" i="12"/>
  <c r="M461" i="12"/>
  <c r="M460" i="12"/>
  <c r="M459" i="12"/>
  <c r="M458" i="12"/>
  <c r="M457" i="12"/>
  <c r="M456" i="12"/>
  <c r="M455" i="12"/>
  <c r="M454" i="12"/>
  <c r="M453" i="12"/>
  <c r="M452" i="12"/>
  <c r="M451" i="12"/>
  <c r="M450" i="12"/>
  <c r="M449" i="12"/>
  <c r="M448" i="12"/>
  <c r="M447" i="12"/>
  <c r="M446" i="12"/>
  <c r="M445" i="12"/>
  <c r="M444" i="12"/>
  <c r="M443" i="12"/>
  <c r="M442" i="12"/>
  <c r="M441" i="12"/>
  <c r="M440" i="12"/>
  <c r="M439" i="12"/>
  <c r="M438" i="12"/>
  <c r="M437" i="12"/>
  <c r="M436" i="12"/>
  <c r="M435" i="12"/>
  <c r="M434" i="12"/>
  <c r="M433" i="12"/>
  <c r="M432" i="12"/>
  <c r="M431" i="12"/>
  <c r="M430" i="12"/>
  <c r="M429" i="12"/>
  <c r="M428" i="12"/>
  <c r="M427" i="12"/>
  <c r="M426" i="12"/>
  <c r="M425" i="12"/>
  <c r="M424" i="12"/>
  <c r="M423" i="12"/>
  <c r="M422" i="12"/>
  <c r="M421" i="12"/>
  <c r="M420" i="12"/>
  <c r="M419" i="12"/>
  <c r="M418" i="12"/>
  <c r="M417" i="12"/>
  <c r="M416" i="12"/>
  <c r="M415" i="12"/>
  <c r="M414" i="12"/>
  <c r="M413" i="12"/>
  <c r="M412" i="12"/>
  <c r="M411" i="12"/>
  <c r="M410" i="12"/>
  <c r="M409" i="12"/>
  <c r="M408" i="12"/>
  <c r="M407" i="12"/>
  <c r="M406" i="12"/>
  <c r="M405" i="12"/>
  <c r="M404" i="12"/>
  <c r="M403" i="12"/>
  <c r="M402" i="12"/>
  <c r="M401" i="12"/>
  <c r="M400" i="12"/>
  <c r="M399" i="12"/>
  <c r="M398" i="12"/>
  <c r="M397" i="12"/>
  <c r="M396" i="12"/>
  <c r="M395" i="12"/>
  <c r="M394" i="12"/>
  <c r="M393" i="12"/>
  <c r="M392" i="12"/>
  <c r="M391" i="12"/>
  <c r="M390" i="12"/>
  <c r="M389" i="12"/>
  <c r="M388" i="12"/>
  <c r="M387" i="12"/>
  <c r="M386" i="12"/>
  <c r="M385" i="12"/>
  <c r="M384" i="12"/>
  <c r="M383" i="12"/>
  <c r="M382" i="12"/>
  <c r="M381" i="12"/>
  <c r="M380" i="12"/>
  <c r="M379" i="12"/>
  <c r="M378" i="12"/>
  <c r="M377" i="12"/>
  <c r="M376" i="12"/>
  <c r="M375" i="12"/>
  <c r="M374" i="12"/>
  <c r="M373" i="12"/>
  <c r="M372" i="12"/>
  <c r="M371" i="12"/>
  <c r="M370" i="12"/>
  <c r="M369" i="12"/>
  <c r="M368" i="12"/>
  <c r="M367" i="12"/>
  <c r="M366" i="12"/>
  <c r="M365" i="12"/>
  <c r="M364" i="12"/>
  <c r="M363" i="12"/>
  <c r="M362" i="12"/>
  <c r="M361" i="12"/>
  <c r="M360" i="12"/>
  <c r="M359" i="12"/>
  <c r="M358" i="12"/>
  <c r="M357" i="12"/>
  <c r="M356" i="12"/>
  <c r="M355" i="12"/>
  <c r="M354" i="12"/>
  <c r="M353" i="12"/>
  <c r="M352" i="12"/>
  <c r="M351" i="12"/>
  <c r="M350" i="12"/>
  <c r="M349" i="12"/>
  <c r="M348" i="12"/>
  <c r="M347" i="12"/>
  <c r="M346" i="12"/>
  <c r="M345" i="12"/>
  <c r="M344" i="12"/>
  <c r="M343" i="12"/>
  <c r="M342" i="12"/>
  <c r="M341" i="12"/>
  <c r="M340" i="12"/>
  <c r="M339" i="12"/>
  <c r="M338" i="12"/>
  <c r="M337" i="12"/>
  <c r="M336" i="12"/>
  <c r="M335" i="12"/>
  <c r="M334" i="12"/>
  <c r="M333" i="12"/>
  <c r="M332" i="12"/>
  <c r="M331" i="12"/>
  <c r="M330" i="12"/>
  <c r="M329" i="12"/>
  <c r="M328" i="12"/>
  <c r="M327" i="12"/>
  <c r="M326" i="12"/>
  <c r="M325" i="12"/>
  <c r="M324" i="12"/>
  <c r="M323" i="12"/>
  <c r="M322" i="12"/>
  <c r="M321" i="12"/>
  <c r="M320" i="12"/>
  <c r="M319" i="12"/>
  <c r="M318" i="12"/>
  <c r="M317" i="12"/>
  <c r="M316" i="12"/>
  <c r="M315" i="12"/>
  <c r="M314" i="12"/>
  <c r="M313" i="12"/>
  <c r="M312" i="12"/>
  <c r="M311" i="12"/>
  <c r="M310" i="12"/>
  <c r="M309" i="12"/>
  <c r="M308" i="12"/>
  <c r="M307" i="12"/>
  <c r="M306" i="12"/>
  <c r="M305" i="12"/>
  <c r="M304" i="12"/>
  <c r="M303" i="12"/>
  <c r="M302" i="12"/>
  <c r="M301" i="12"/>
  <c r="M300" i="12"/>
  <c r="M299" i="12"/>
  <c r="M298" i="12"/>
  <c r="M297" i="12"/>
  <c r="M296" i="12"/>
  <c r="M295" i="12"/>
  <c r="M294" i="12"/>
  <c r="M293" i="12"/>
  <c r="M292" i="12"/>
  <c r="M291" i="12"/>
  <c r="M290" i="12"/>
  <c r="M289" i="12"/>
  <c r="M288" i="12"/>
  <c r="M287" i="12"/>
  <c r="M286" i="12"/>
  <c r="M285" i="12"/>
  <c r="M284" i="12"/>
  <c r="M283" i="12"/>
  <c r="M282" i="12"/>
  <c r="M281" i="12"/>
  <c r="M280" i="12"/>
  <c r="M279" i="12"/>
  <c r="M278" i="12"/>
  <c r="M277" i="12"/>
  <c r="M276" i="12"/>
  <c r="M275" i="12"/>
  <c r="M274" i="12"/>
  <c r="M273" i="12"/>
  <c r="M272" i="12"/>
  <c r="M271" i="12"/>
  <c r="M270" i="12"/>
  <c r="M269" i="12"/>
  <c r="M268" i="12"/>
  <c r="M267" i="12"/>
  <c r="M266" i="12"/>
  <c r="M265" i="12"/>
  <c r="M264" i="12"/>
  <c r="M263" i="12"/>
  <c r="M262" i="12"/>
  <c r="M261" i="12"/>
  <c r="M260" i="12"/>
  <c r="M259" i="12"/>
  <c r="M258" i="12"/>
  <c r="M257" i="12"/>
  <c r="M256" i="12"/>
  <c r="M255" i="12"/>
  <c r="M254" i="12"/>
  <c r="M253" i="12"/>
  <c r="M252" i="12"/>
  <c r="M251" i="12"/>
  <c r="M250" i="12"/>
  <c r="M249" i="12"/>
  <c r="M248" i="12"/>
  <c r="M247" i="12"/>
  <c r="M246" i="12"/>
  <c r="M245" i="12"/>
  <c r="M244" i="12"/>
  <c r="M243" i="12"/>
  <c r="M242" i="12"/>
  <c r="M241" i="12"/>
  <c r="M240" i="12"/>
  <c r="M239" i="12"/>
  <c r="M238" i="12"/>
  <c r="M237" i="12"/>
  <c r="M236" i="12"/>
  <c r="M235" i="12"/>
  <c r="M234" i="12"/>
  <c r="M233" i="12"/>
  <c r="M232" i="12"/>
  <c r="M231" i="12"/>
  <c r="M230" i="12"/>
  <c r="M229" i="12"/>
  <c r="M228" i="12"/>
  <c r="M227" i="12"/>
  <c r="M226" i="12"/>
  <c r="M225" i="12"/>
  <c r="M224" i="12"/>
  <c r="M223" i="12"/>
  <c r="M222" i="12"/>
  <c r="M221" i="12"/>
  <c r="M220" i="12"/>
  <c r="M219" i="12"/>
  <c r="M218" i="12"/>
  <c r="M217" i="12"/>
  <c r="M216" i="12"/>
  <c r="M215" i="12"/>
  <c r="M214" i="12"/>
  <c r="M213" i="12"/>
  <c r="M212" i="12"/>
  <c r="M211" i="12"/>
  <c r="M210" i="12"/>
  <c r="M209" i="12"/>
  <c r="M208" i="12"/>
  <c r="M207" i="12"/>
  <c r="M206" i="12"/>
  <c r="M205" i="12"/>
  <c r="M204" i="12"/>
  <c r="M203" i="12"/>
  <c r="M202" i="12"/>
  <c r="M201" i="12"/>
  <c r="M200" i="12"/>
  <c r="M199" i="12"/>
  <c r="M198" i="12"/>
  <c r="M197" i="12"/>
  <c r="M196" i="12"/>
  <c r="M195" i="12"/>
  <c r="M194" i="12"/>
  <c r="M193" i="12"/>
  <c r="M192" i="12"/>
  <c r="M191" i="12"/>
  <c r="M190" i="12"/>
  <c r="M189" i="12"/>
  <c r="M188" i="12"/>
  <c r="M187" i="12"/>
  <c r="M186" i="12"/>
  <c r="M185" i="12"/>
  <c r="M184" i="12"/>
  <c r="M183" i="12"/>
  <c r="M182" i="12"/>
  <c r="M181" i="12"/>
  <c r="M180" i="12"/>
  <c r="M179" i="12"/>
  <c r="M178" i="12"/>
  <c r="M177" i="12"/>
  <c r="M176" i="12"/>
  <c r="M175" i="12"/>
  <c r="M174" i="12"/>
  <c r="M173" i="12"/>
  <c r="M172" i="12"/>
  <c r="M171" i="12"/>
  <c r="M170" i="12"/>
  <c r="M169" i="12"/>
  <c r="M168" i="12"/>
  <c r="M167" i="12"/>
  <c r="M166" i="12"/>
  <c r="M165" i="12"/>
  <c r="M164" i="12"/>
  <c r="M163" i="12"/>
  <c r="M162" i="12"/>
  <c r="M161" i="12"/>
  <c r="M160" i="12"/>
  <c r="M159" i="12"/>
  <c r="M158" i="12"/>
  <c r="M157" i="12"/>
  <c r="M156" i="12"/>
  <c r="M155" i="12"/>
  <c r="M154" i="12"/>
  <c r="M153" i="12"/>
  <c r="M152" i="12"/>
  <c r="M151" i="12"/>
  <c r="M150" i="12"/>
  <c r="M149" i="12"/>
  <c r="M148" i="12"/>
  <c r="M147" i="12"/>
  <c r="M146" i="12"/>
  <c r="M145" i="12"/>
  <c r="M144" i="12"/>
  <c r="M143" i="12"/>
  <c r="M142" i="12"/>
  <c r="M141" i="12"/>
  <c r="M140" i="12"/>
  <c r="M139" i="12"/>
  <c r="M138" i="12"/>
  <c r="M137" i="12"/>
  <c r="M136" i="12"/>
  <c r="M135" i="12"/>
  <c r="M134" i="12"/>
  <c r="M133" i="12"/>
  <c r="M132" i="12"/>
  <c r="M131" i="12"/>
  <c r="M130" i="12"/>
  <c r="M129" i="12"/>
  <c r="M128" i="12"/>
  <c r="M127" i="12"/>
  <c r="M126" i="12"/>
  <c r="M125" i="12"/>
  <c r="M124" i="12"/>
  <c r="M123" i="12"/>
  <c r="M122" i="12"/>
  <c r="M121" i="12"/>
  <c r="M120" i="12"/>
  <c r="M119" i="12"/>
  <c r="M118" i="12"/>
  <c r="M117" i="12"/>
  <c r="M116" i="12"/>
  <c r="M115" i="12"/>
  <c r="M114" i="12"/>
  <c r="M113" i="12"/>
  <c r="M112" i="12"/>
  <c r="M111" i="12"/>
  <c r="M110" i="12"/>
  <c r="M109" i="12"/>
  <c r="M108" i="12"/>
  <c r="M107" i="12"/>
  <c r="M106" i="12"/>
  <c r="M105" i="12"/>
  <c r="M104" i="12"/>
  <c r="M103" i="12"/>
  <c r="M102" i="12"/>
  <c r="M101" i="12"/>
  <c r="M100" i="12"/>
  <c r="M99" i="12"/>
  <c r="M98" i="12"/>
  <c r="M97" i="12"/>
  <c r="M96" i="12"/>
  <c r="M95" i="12"/>
  <c r="M94" i="12"/>
  <c r="M93" i="12"/>
  <c r="M92" i="12"/>
  <c r="M91" i="12"/>
  <c r="M90" i="12"/>
  <c r="M89" i="12"/>
  <c r="M88" i="12"/>
  <c r="M87" i="12"/>
  <c r="M86" i="12"/>
  <c r="M85" i="12"/>
  <c r="M84" i="12"/>
  <c r="M83" i="12"/>
  <c r="M82" i="12"/>
  <c r="M81" i="12"/>
  <c r="M80" i="12"/>
  <c r="M79" i="12"/>
  <c r="M78" i="12"/>
  <c r="M77" i="12"/>
  <c r="M76" i="12"/>
  <c r="M75" i="12"/>
  <c r="M74" i="12"/>
  <c r="M73" i="12"/>
  <c r="M72" i="12"/>
  <c r="M71" i="12"/>
  <c r="M70" i="12"/>
  <c r="M69" i="12"/>
  <c r="M68" i="12"/>
  <c r="M67" i="12"/>
  <c r="M66" i="12"/>
  <c r="M65" i="12"/>
  <c r="M64" i="12"/>
  <c r="M63" i="12"/>
  <c r="M62" i="12"/>
  <c r="M61" i="12"/>
  <c r="M60" i="12"/>
  <c r="M59" i="12"/>
  <c r="M58" i="12"/>
  <c r="M57" i="12"/>
  <c r="M56" i="12"/>
  <c r="M55" i="12"/>
  <c r="M54" i="12"/>
  <c r="M53" i="12"/>
  <c r="M52" i="12"/>
  <c r="M51" i="12"/>
  <c r="M50" i="12"/>
  <c r="M49" i="12"/>
  <c r="M48" i="12"/>
  <c r="M47" i="12"/>
  <c r="M46" i="12"/>
  <c r="M45" i="12"/>
  <c r="M44" i="12"/>
  <c r="M43" i="12"/>
  <c r="M42" i="12"/>
  <c r="M41" i="12"/>
  <c r="M40" i="12"/>
  <c r="M39" i="12"/>
  <c r="M38" i="12"/>
  <c r="M37" i="12"/>
  <c r="M36" i="12"/>
  <c r="M35" i="12"/>
  <c r="M34" i="12"/>
  <c r="M33" i="12"/>
  <c r="M32" i="12"/>
  <c r="M31" i="12"/>
  <c r="M30" i="12"/>
  <c r="M29" i="12"/>
  <c r="M28" i="12"/>
  <c r="M27" i="12"/>
  <c r="M26" i="12"/>
  <c r="M25" i="12"/>
  <c r="M24" i="12"/>
  <c r="M23" i="12"/>
  <c r="M22" i="12"/>
  <c r="M21" i="12"/>
  <c r="M20" i="12"/>
  <c r="M19" i="12"/>
  <c r="M18" i="12"/>
  <c r="M17" i="12"/>
  <c r="M16" i="12"/>
  <c r="M15" i="12"/>
  <c r="M14" i="12"/>
  <c r="M13" i="12"/>
  <c r="M12" i="12"/>
  <c r="M11" i="12"/>
  <c r="M10" i="12"/>
  <c r="M9" i="12"/>
  <c r="M8" i="12"/>
  <c r="M7" i="12"/>
  <c r="M6" i="12"/>
  <c r="M5" i="12"/>
  <c r="K350" i="1"/>
  <c r="K349" i="1"/>
  <c r="K348" i="1"/>
  <c r="K347" i="1"/>
  <c r="K346" i="1"/>
  <c r="K345" i="1"/>
  <c r="K344" i="1"/>
  <c r="K343" i="1"/>
  <c r="K342" i="1"/>
  <c r="K341" i="1"/>
  <c r="K340" i="1"/>
  <c r="K339" i="1"/>
  <c r="K338" i="1"/>
  <c r="K337" i="1"/>
  <c r="K336" i="1"/>
  <c r="K335" i="1"/>
  <c r="K334" i="1"/>
  <c r="K333" i="1"/>
  <c r="K332" i="1"/>
  <c r="K331" i="1"/>
  <c r="K330" i="1"/>
  <c r="K329" i="1"/>
  <c r="K328" i="1"/>
  <c r="K327" i="1"/>
  <c r="K326" i="1"/>
  <c r="K325" i="1"/>
  <c r="K324" i="1"/>
  <c r="K323" i="1"/>
  <c r="K322" i="1"/>
  <c r="K321" i="1"/>
  <c r="K320" i="1"/>
  <c r="K319" i="1"/>
  <c r="K318" i="1"/>
  <c r="K317" i="1"/>
  <c r="K316" i="1"/>
  <c r="K315" i="1"/>
  <c r="K314" i="1"/>
  <c r="K313" i="1"/>
  <c r="K312" i="1"/>
  <c r="K311" i="1"/>
  <c r="K310" i="1"/>
  <c r="K309" i="1"/>
  <c r="K308" i="1"/>
  <c r="K307" i="1"/>
  <c r="K306" i="1"/>
  <c r="K305" i="1"/>
  <c r="K304" i="1"/>
  <c r="K303" i="1"/>
  <c r="K302" i="1"/>
  <c r="K301" i="1"/>
  <c r="K300" i="1"/>
  <c r="K299" i="1"/>
  <c r="K298" i="1"/>
  <c r="K297" i="1"/>
  <c r="K296" i="1"/>
  <c r="K295" i="1"/>
  <c r="K294" i="1"/>
  <c r="K293" i="1"/>
  <c r="K292" i="1"/>
  <c r="K291" i="1"/>
  <c r="K290" i="1"/>
  <c r="K289" i="1"/>
  <c r="K288" i="1"/>
  <c r="K287" i="1"/>
  <c r="K286" i="1"/>
  <c r="K285" i="1"/>
  <c r="K284" i="1"/>
  <c r="K283" i="1"/>
  <c r="K282" i="1"/>
  <c r="K281" i="1"/>
  <c r="K280" i="1"/>
  <c r="K279" i="1"/>
  <c r="K278" i="1"/>
  <c r="K277" i="1"/>
  <c r="K276" i="1"/>
  <c r="K275" i="1"/>
  <c r="K274" i="1"/>
  <c r="K273" i="1"/>
  <c r="K272" i="1"/>
  <c r="K271" i="1"/>
  <c r="K270" i="1"/>
  <c r="K269" i="1"/>
  <c r="K268" i="1"/>
  <c r="K267" i="1"/>
  <c r="K266" i="1"/>
  <c r="K265" i="1"/>
  <c r="K264" i="1"/>
  <c r="K263" i="1"/>
  <c r="K262" i="1"/>
  <c r="K261" i="1"/>
  <c r="K260" i="1"/>
  <c r="K259" i="1"/>
  <c r="K258" i="1"/>
  <c r="K257" i="1"/>
  <c r="K256" i="1"/>
  <c r="K255" i="1"/>
  <c r="K254" i="1"/>
  <c r="K253" i="1"/>
  <c r="K252" i="1"/>
  <c r="K251" i="1"/>
  <c r="K250" i="1"/>
  <c r="K249" i="1"/>
  <c r="K248" i="1"/>
  <c r="K247" i="1"/>
  <c r="K246" i="1"/>
  <c r="K245" i="1"/>
  <c r="K244" i="1"/>
  <c r="K243" i="1"/>
  <c r="K242" i="1"/>
  <c r="K241" i="1"/>
  <c r="K240" i="1"/>
  <c r="K239" i="1"/>
  <c r="K238" i="1"/>
  <c r="K237" i="1"/>
  <c r="K236" i="1"/>
  <c r="K235" i="1"/>
  <c r="K234" i="1"/>
  <c r="K233" i="1"/>
  <c r="K232" i="1"/>
  <c r="K231" i="1"/>
  <c r="K230" i="1"/>
  <c r="K229" i="1"/>
  <c r="K228" i="1"/>
  <c r="K227" i="1"/>
  <c r="K226" i="1"/>
  <c r="K225" i="1"/>
  <c r="K224" i="1"/>
  <c r="K223" i="1"/>
  <c r="K222" i="1"/>
  <c r="K221" i="1"/>
  <c r="K220" i="1"/>
  <c r="K219" i="1"/>
  <c r="K218" i="1"/>
  <c r="K217" i="1"/>
  <c r="K216" i="1"/>
  <c r="K215" i="1"/>
  <c r="K214" i="1"/>
  <c r="K213" i="1"/>
  <c r="K212" i="1"/>
  <c r="K211" i="1"/>
  <c r="K210" i="1"/>
  <c r="K209" i="1"/>
  <c r="K208" i="1"/>
  <c r="K207" i="1"/>
  <c r="K206" i="1"/>
  <c r="K205" i="1"/>
  <c r="K204" i="1"/>
  <c r="K203" i="1"/>
  <c r="K202" i="1"/>
  <c r="K201" i="1"/>
  <c r="K200" i="1"/>
  <c r="K199" i="1"/>
  <c r="K198" i="1"/>
  <c r="K197" i="1"/>
  <c r="K196" i="1"/>
  <c r="K195" i="1"/>
  <c r="K194" i="1"/>
  <c r="K193" i="1"/>
  <c r="K192" i="1"/>
  <c r="K191" i="1"/>
  <c r="K190" i="1"/>
  <c r="K189" i="1"/>
  <c r="K188" i="1"/>
  <c r="K187" i="1"/>
  <c r="K186" i="1"/>
  <c r="K185" i="1"/>
  <c r="K184" i="1"/>
  <c r="K183" i="1"/>
  <c r="K182" i="1"/>
  <c r="K181" i="1"/>
  <c r="K180" i="1"/>
  <c r="K179" i="1"/>
  <c r="K178" i="1"/>
  <c r="K177" i="1"/>
  <c r="K176" i="1"/>
  <c r="K175" i="1"/>
  <c r="K174" i="1"/>
  <c r="K173" i="1"/>
  <c r="K172" i="1"/>
  <c r="K171" i="1"/>
  <c r="K170" i="1"/>
  <c r="K169" i="1"/>
  <c r="K168" i="1"/>
  <c r="K167" i="1"/>
  <c r="K166" i="1"/>
  <c r="K165" i="1"/>
  <c r="K164" i="1"/>
  <c r="K163" i="1"/>
  <c r="K162" i="1"/>
  <c r="K161" i="1"/>
  <c r="K160" i="1"/>
  <c r="K159" i="1"/>
  <c r="K158" i="1"/>
  <c r="K157" i="1"/>
  <c r="K156" i="1"/>
  <c r="K155" i="1"/>
  <c r="K154" i="1"/>
  <c r="K153" i="1"/>
  <c r="K152" i="1"/>
  <c r="K151" i="1"/>
  <c r="K150" i="1"/>
  <c r="K149" i="1"/>
  <c r="K148" i="1"/>
  <c r="K147" i="1"/>
  <c r="K146" i="1"/>
  <c r="K145" i="1"/>
  <c r="K144" i="1"/>
  <c r="K143" i="1"/>
  <c r="K142" i="1"/>
  <c r="K141" i="1"/>
  <c r="K140" i="1"/>
  <c r="K139" i="1"/>
  <c r="K138" i="1"/>
  <c r="K137" i="1"/>
  <c r="K136" i="1"/>
  <c r="K135" i="1"/>
  <c r="K134" i="1"/>
  <c r="K133" i="1"/>
  <c r="K132" i="1"/>
  <c r="K131" i="1"/>
  <c r="K130" i="1"/>
  <c r="K129" i="1"/>
  <c r="K128" i="1"/>
  <c r="K127" i="1"/>
  <c r="K126" i="1"/>
  <c r="K125" i="1"/>
  <c r="K124" i="1"/>
  <c r="K123" i="1"/>
  <c r="K122" i="1"/>
  <c r="K121" i="1"/>
  <c r="K120" i="1"/>
  <c r="K119" i="1"/>
  <c r="K118" i="1"/>
  <c r="K117" i="1"/>
  <c r="K116" i="1"/>
  <c r="K115" i="1"/>
  <c r="K114" i="1"/>
  <c r="K113" i="1"/>
  <c r="K112" i="1"/>
  <c r="K111" i="1"/>
  <c r="K110" i="1"/>
  <c r="K109" i="1"/>
  <c r="K108" i="1"/>
  <c r="K107" i="1"/>
  <c r="K106" i="1"/>
  <c r="K105" i="1"/>
  <c r="K104" i="1"/>
  <c r="K103" i="1"/>
  <c r="K102" i="1"/>
  <c r="K101" i="1"/>
  <c r="K100" i="1"/>
  <c r="K99" i="1"/>
  <c r="K98" i="1"/>
  <c r="K97" i="1"/>
  <c r="K96" i="1"/>
  <c r="K95" i="1"/>
  <c r="K94" i="1"/>
  <c r="K93" i="1"/>
  <c r="K92" i="1"/>
  <c r="K91" i="1"/>
  <c r="K90" i="1"/>
  <c r="K89" i="1"/>
  <c r="K88" i="1"/>
  <c r="K87" i="1"/>
  <c r="K86" i="1"/>
  <c r="K85" i="1"/>
  <c r="K84" i="1"/>
  <c r="K83" i="1"/>
  <c r="K82" i="1"/>
  <c r="K81" i="1"/>
  <c r="K80" i="1"/>
  <c r="K79" i="1"/>
  <c r="K78" i="1"/>
  <c r="K77" i="1"/>
  <c r="K76" i="1"/>
  <c r="K75" i="1"/>
  <c r="K74" i="1"/>
  <c r="K73" i="1"/>
  <c r="K72" i="1"/>
  <c r="K71" i="1"/>
  <c r="K70" i="1"/>
  <c r="K69" i="1"/>
  <c r="K68" i="1"/>
  <c r="K67" i="1"/>
  <c r="K66" i="1"/>
  <c r="K65" i="1"/>
  <c r="K64" i="1"/>
  <c r="K63" i="1"/>
  <c r="K62" i="1"/>
  <c r="K61" i="1"/>
  <c r="K60" i="1"/>
  <c r="K59" i="1"/>
  <c r="K58" i="1"/>
  <c r="K57" i="1"/>
  <c r="K56" i="1"/>
  <c r="K55" i="1"/>
  <c r="K54" i="1"/>
  <c r="K53" i="1"/>
  <c r="K52" i="1"/>
  <c r="K51" i="1"/>
  <c r="K50" i="1"/>
  <c r="K49" i="1"/>
  <c r="K48" i="1"/>
  <c r="K47" i="1"/>
  <c r="K46" i="1"/>
  <c r="K45" i="1"/>
  <c r="K44" i="1"/>
  <c r="K43" i="1"/>
  <c r="K42" i="1"/>
  <c r="K41" i="1"/>
  <c r="K40" i="1"/>
  <c r="K39" i="1"/>
  <c r="K38" i="1"/>
  <c r="K37" i="1"/>
  <c r="K36" i="1"/>
  <c r="K35" i="1"/>
  <c r="K34" i="1"/>
  <c r="K33" i="1"/>
  <c r="K32" i="1"/>
  <c r="K31" i="1"/>
  <c r="K30" i="1"/>
  <c r="K29" i="1"/>
  <c r="K28" i="1"/>
  <c r="K27" i="1"/>
  <c r="K26" i="1"/>
  <c r="K25" i="1"/>
  <c r="K24" i="1"/>
  <c r="K23" i="1"/>
  <c r="K22" i="1"/>
  <c r="K21" i="1"/>
  <c r="K20" i="1"/>
  <c r="K19" i="1"/>
  <c r="K18" i="1"/>
  <c r="K17" i="1"/>
  <c r="K16" i="1"/>
  <c r="K15" i="1"/>
  <c r="K14" i="1"/>
  <c r="K13" i="1"/>
  <c r="K12" i="1"/>
  <c r="K11" i="1"/>
  <c r="K10" i="1"/>
  <c r="K9" i="1"/>
  <c r="K8" i="1"/>
  <c r="K7" i="1"/>
  <c r="K6" i="1"/>
  <c r="K5" i="1"/>
</calcChain>
</file>

<file path=xl/sharedStrings.xml><?xml version="1.0" encoding="utf-8"?>
<sst xmlns="http://schemas.openxmlformats.org/spreadsheetml/2006/main" count="78055" uniqueCount="12786">
  <si>
    <t>3-character Code</t>
  </si>
  <si>
    <t>2-character Code</t>
  </si>
  <si>
    <t>Numeric Code</t>
  </si>
  <si>
    <t>Alpha-3 Code Element</t>
  </si>
  <si>
    <t>Alpha-2 Code Element</t>
  </si>
  <si>
    <t>Numeric Code Element</t>
  </si>
  <si>
    <t>Primary Correlation</t>
  </si>
  <si>
    <t>►►►►</t>
  </si>
  <si>
    <t>Overview</t>
  </si>
  <si>
    <t>Overview:</t>
  </si>
  <si>
    <t>CCWG Resource:</t>
  </si>
  <si>
    <t>GENC Resource:</t>
  </si>
  <si>
    <t>Release Notes:</t>
  </si>
  <si>
    <t>Usage Notes:</t>
  </si>
  <si>
    <t xml:space="preserve">1. If your workbook opens in Microsoft Excel without left-arrow/right-arrow control icons in one of your command bars, use the right-mouse menu while selecting an empty command bar area to the right of the header display (generally under the "Type a question for help" box) and select/enable the Web command bar.  
</t>
  </si>
  <si>
    <t>Column</t>
  </si>
  <si>
    <t>Purpose</t>
  </si>
  <si>
    <t>Notes</t>
  </si>
  <si>
    <t>For example: "GBR".</t>
  </si>
  <si>
    <r>
      <t>For example: "GB".  In the case that no 2-character code is specified, then this cell states</t>
    </r>
    <r>
      <rPr>
        <i/>
        <sz val="10"/>
        <rFont val="Arial"/>
        <family val="2"/>
      </rPr>
      <t xml:space="preserve"> </t>
    </r>
    <r>
      <rPr>
        <b/>
        <i/>
        <sz val="10"/>
        <color indexed="23"/>
        <rFont val="Arial"/>
        <family val="2"/>
      </rPr>
      <t>[None]</t>
    </r>
    <r>
      <rPr>
        <sz val="10"/>
        <rFont val="Arial"/>
        <family val="2"/>
      </rPr>
      <t>.</t>
    </r>
  </si>
  <si>
    <r>
      <t xml:space="preserve">For example: "826".  In the case that no 3-digit code is specified, then this cell states </t>
    </r>
    <r>
      <rPr>
        <b/>
        <i/>
        <sz val="10"/>
        <color indexed="23"/>
        <rFont val="Arial"/>
        <family val="2"/>
      </rPr>
      <t>[None]</t>
    </r>
    <r>
      <rPr>
        <sz val="10"/>
        <rFont val="Arial"/>
        <family val="2"/>
      </rPr>
      <t>.</t>
    </r>
  </si>
  <si>
    <t>For example: "UNITED KINGDOM".</t>
  </si>
  <si>
    <t>Origin</t>
  </si>
  <si>
    <t>Target</t>
  </si>
  <si>
    <t>A general principle that determines primary correlation is the correlation to the largest territorial part represented in the target standard; for example, "SVALBARD AND JAN MAYEN (ISO) to SVALBARD (GENC)" is the primary correlation in a set that also includes the correlation "SVALBARD AND JAN MAYEN (ISO) to JAN MAYEN (GENC)".  It is sometimes the case that no member of the correlation set is considered to be "primary".</t>
  </si>
  <si>
    <t xml:space="preserve">An indication that this geopolitical correlation is the principal way of relating a geopolitical entity (or administrative subdivision) item in the origin standard to an item in the target standard within the set of geopolitical correlations of which it is a member.
</t>
  </si>
  <si>
    <t>A web hyperlink to the corresponding complete browser-based presentation of the geopolitical correlation content for the code mapping.</t>
  </si>
  <si>
    <r>
      <t xml:space="preserve">Online Resource
</t>
    </r>
    <r>
      <rPr>
        <i/>
        <sz val="10"/>
        <color rgb="FF0000CC"/>
        <rFont val="Arial"/>
        <family val="2"/>
      </rPr>
      <t>(link)</t>
    </r>
  </si>
  <si>
    <r>
      <t xml:space="preserve">Online Resource </t>
    </r>
    <r>
      <rPr>
        <i/>
        <sz val="8"/>
        <color rgb="FF0000CC"/>
        <rFont val="Arial"/>
        <family val="2"/>
      </rPr>
      <t>(link)</t>
    </r>
  </si>
  <si>
    <t>Code Mappings</t>
  </si>
  <si>
    <t>For example, the code mapping derived from the geopolitical correlation "UNITED KINGDOM (ISO) to UNITED KINGDOM (GENC)".</t>
  </si>
  <si>
    <t>For example, the code mapping derived from the geopolitical correlation "UNITED KINGDOM (GENC) to UNITED KINGDOM (ISO)".</t>
  </si>
  <si>
    <r>
      <t xml:space="preserve">For example: "UNITED KINGDOM".  In the case that the territorial alignment of the associated Geopolitical Correlation is "null", then this cell states </t>
    </r>
    <r>
      <rPr>
        <sz val="10"/>
        <color theme="9" tint="-0.249977111117893"/>
        <rFont val="Arial"/>
        <family val="2"/>
      </rPr>
      <t>&lt;null&gt;</t>
    </r>
    <r>
      <rPr>
        <sz val="10"/>
        <rFont val="Arial"/>
        <family val="2"/>
      </rPr>
      <t xml:space="preserve"> and is </t>
    </r>
    <r>
      <rPr>
        <b/>
        <sz val="10"/>
        <color rgb="FFFFCC99"/>
        <rFont val="Arial"/>
        <family val="2"/>
      </rPr>
      <t>yellow-filled</t>
    </r>
    <r>
      <rPr>
        <sz val="10"/>
        <rFont val="Arial"/>
        <family val="2"/>
      </rPr>
      <t>.</t>
    </r>
  </si>
  <si>
    <t>The short name of the origin GENC geopolitical entity, in all capital letters with diacritical marks where applicable.</t>
  </si>
  <si>
    <t>The alphanumeric 3-character code that is used to designate the origin GENC geopolitical entity.</t>
  </si>
  <si>
    <t>The alphanumeric 2-character code that is used to designate the origin GENC geopolitical entity.</t>
  </si>
  <si>
    <t>The 3-digit numeric code that is used to designate the origin GENC geopolitical entity.</t>
  </si>
  <si>
    <t>The alphabetic 3-character code element that is used to designate the target ISO 3166 country.</t>
  </si>
  <si>
    <t>The alphabetic 2-character code element that is used to designate the target ISO 3166 country.</t>
  </si>
  <si>
    <t>The 3-digit numeric code element that is used to designate the target ISO 3166 country.</t>
  </si>
  <si>
    <t>The 4-, 5-, or 6-character code element that is used to designate the target ISO 3166 country subdivision.</t>
  </si>
  <si>
    <t>The short name of the target ISO 3166 country or country division.</t>
  </si>
  <si>
    <t>The alphanumeric 3-character code that is used to designate the origin ISO 3166 country.</t>
  </si>
  <si>
    <t>The alphanumeric 2-character code that is used to designate the origin ISO 3166 country.</t>
  </si>
  <si>
    <t>The 3-digit numeric code that is used to designate the origin ISO 3166 country.</t>
  </si>
  <si>
    <t>The 4-, 5-, or 6-character code element that is used to designate the origin ISO 3166 country subdivision.</t>
  </si>
  <si>
    <t>The short name of the target GENC geopolitical entity, in all capital letters with diacritical marks where applicable.</t>
  </si>
  <si>
    <t>The alphanumeric 3-character code that is used to designate the target GENC geopolitical entity.</t>
  </si>
  <si>
    <t>The alphanumeric 2-character code that is used to designate the target GENC geopolitical entity.</t>
  </si>
  <si>
    <t>The 3-digit numeric code that is used to designate the target GENC geopolitical entity.</t>
  </si>
  <si>
    <r>
      <rPr>
        <b/>
        <sz val="11"/>
        <color rgb="FFFF0000"/>
        <rFont val="Arial"/>
        <family val="2"/>
      </rPr>
      <t>Origin</t>
    </r>
    <r>
      <rPr>
        <b/>
        <sz val="10"/>
        <rFont val="Arial"/>
        <family val="2"/>
      </rPr>
      <t xml:space="preserve">
   Entity Name</t>
    </r>
  </si>
  <si>
    <t xml:space="preserve">   2-character Code</t>
  </si>
  <si>
    <r>
      <rPr>
        <b/>
        <sz val="11"/>
        <color rgb="FFFF0000"/>
        <rFont val="Arial"/>
        <family val="2"/>
      </rPr>
      <t>Target</t>
    </r>
    <r>
      <rPr>
        <b/>
        <sz val="10"/>
        <rFont val="Arial"/>
        <family val="2"/>
      </rPr>
      <t xml:space="preserve">
   Entity Name</t>
    </r>
  </si>
  <si>
    <t xml:space="preserve">   3-character Code</t>
  </si>
  <si>
    <t xml:space="preserve">   Numeric Code</t>
  </si>
  <si>
    <t xml:space="preserve">   Alpha-3 Code
   Element</t>
  </si>
  <si>
    <t xml:space="preserve">   Alpha-2 Code
   Element</t>
  </si>
  <si>
    <t xml:space="preserve">   Numeric Code
   Element</t>
  </si>
  <si>
    <t>For example, the code mapping derived from the geopolitical correlation "UNITED KINGDOM (GENC) to UNITED KINGDOM (1059)".</t>
  </si>
  <si>
    <t>A general principle that determines primary correlation is the correlation to the largest territorial part represented in the target standard; for example, "SVALBARD AND JAN MAYEN (1059) to SVALBARD (GENC)" is the primary correlation in a set that also includes the correlation "SVALBARD AND JAN MAYEN (1059) to JAN MAYEN (GENC)".  It is sometimes the case that no member of the correlation set is considered to be "primary".</t>
  </si>
  <si>
    <t>The alphabetic 3-character code element that is used to designate the target STANAG 1059 country.</t>
  </si>
  <si>
    <t>The alphabetic 2-character code element that is used to designate the target STANAG 1059 country.</t>
  </si>
  <si>
    <t>The short name of the origin STANAG 1059 country.</t>
  </si>
  <si>
    <t>The alphanumeric 3-character code that is used to designate the origin STANAG 1059 country.</t>
  </si>
  <si>
    <t>The alphanumeric 2-character code that is used to designate the origin STANAG 1059 country.</t>
  </si>
  <si>
    <t>http://www.gwg.nga.mil/ccwg.php</t>
  </si>
  <si>
    <t>GENC Standard</t>
  </si>
  <si>
    <t>ISO 3166, Parts 1 and 2</t>
  </si>
  <si>
    <t>Entity Name</t>
  </si>
  <si>
    <t>STANAG 1059</t>
  </si>
  <si>
    <t>6-character Code</t>
  </si>
  <si>
    <t>6-character Code Element</t>
  </si>
  <si>
    <t>Geopolitical Entity Name</t>
  </si>
  <si>
    <t>Country Name</t>
  </si>
  <si>
    <t>Country Subdivision Name</t>
  </si>
  <si>
    <t>Administrative Subdivision Preferred Name</t>
  </si>
  <si>
    <t>Subdivision Category</t>
  </si>
  <si>
    <r>
      <rPr>
        <b/>
        <sz val="11"/>
        <color rgb="FFFF0000"/>
        <rFont val="Arial"/>
        <family val="2"/>
      </rPr>
      <t>Origin</t>
    </r>
    <r>
      <rPr>
        <b/>
        <sz val="10"/>
        <rFont val="Arial"/>
        <family val="2"/>
      </rPr>
      <t xml:space="preserve">
   Geopolitical Entity Name</t>
    </r>
  </si>
  <si>
    <t xml:space="preserve">   6-character Code
   Element</t>
  </si>
  <si>
    <t>Geopolitical Entities:
GENC to ISO 3166 (Parts 1 and 2)</t>
  </si>
  <si>
    <t>For example, the code mapping derived from the geopolitical correlation "Addu Atholhu [MALDIVES] (GENC) to Seenu [MALDIVES] (ISO)".</t>
  </si>
  <si>
    <t xml:space="preserve">   Administrative Subdivision
   Preferred Name</t>
  </si>
  <si>
    <t xml:space="preserve">   Subdivision Category</t>
  </si>
  <si>
    <t xml:space="preserve">   6-character Code</t>
  </si>
  <si>
    <t>The subdivision category of the origin GENC administrative subdivision.</t>
  </si>
  <si>
    <t>For example: "MALDIVES".</t>
  </si>
  <si>
    <t>For example: "Addu Atholu".</t>
  </si>
  <si>
    <t>For example: "administrative atoll".</t>
  </si>
  <si>
    <t>The 4-, 5-, or 6-character code that is used to designate the origin GENC administrative subdivision.</t>
  </si>
  <si>
    <t>For example: "MV-01".</t>
  </si>
  <si>
    <t xml:space="preserve">An indication that this geopolitical correlation is the principal way of relating an administrative subdivision item in the origin standard to an item in the target standard within the set of geopolitical correlations of which it is a member.
</t>
  </si>
  <si>
    <t>It is sometimes the case that no member of the correlation set is considered to be "primary".</t>
  </si>
  <si>
    <r>
      <t xml:space="preserve">For example: "MALDIVES".  In the case that the territorial alignment of the associated Geopolitical Correlation is "null", then this cell states </t>
    </r>
    <r>
      <rPr>
        <sz val="10"/>
        <color theme="9" tint="-0.249977111117893"/>
        <rFont val="Arial"/>
        <family val="2"/>
      </rPr>
      <t>&lt;null&gt;</t>
    </r>
    <r>
      <rPr>
        <sz val="10"/>
        <rFont val="Arial"/>
        <family val="2"/>
      </rPr>
      <t xml:space="preserve"> and is </t>
    </r>
    <r>
      <rPr>
        <b/>
        <sz val="10"/>
        <color rgb="FFFFCC99"/>
        <rFont val="Arial"/>
        <family val="2"/>
      </rPr>
      <t>yellow-filled</t>
    </r>
    <r>
      <rPr>
        <sz val="10"/>
        <rFont val="Arial"/>
        <family val="2"/>
      </rPr>
      <t>.</t>
    </r>
  </si>
  <si>
    <r>
      <rPr>
        <b/>
        <sz val="11"/>
        <color rgb="FFFF0000"/>
        <rFont val="Arial"/>
        <family val="2"/>
      </rPr>
      <t>Target</t>
    </r>
    <r>
      <rPr>
        <b/>
        <sz val="10"/>
        <rFont val="Arial"/>
        <family val="2"/>
      </rPr>
      <t xml:space="preserve">
   Country Name</t>
    </r>
  </si>
  <si>
    <t>The short name of the target ISO 3166 country.</t>
  </si>
  <si>
    <t xml:space="preserve">   Country Subdivision
   Name</t>
  </si>
  <si>
    <t>The subdivision category of the target ISO 3166-2 country subdivision.</t>
  </si>
  <si>
    <t>Geopolitical Entities:
ISO 3166 (Part 1) to GENC</t>
  </si>
  <si>
    <t>For example, the code mapping derived from the geopolitical correlation "Alifu Alifu [MALDIVES] (ISO) to Ari Atholhu Uthuruburi [MALDIVES] (GENC)".</t>
  </si>
  <si>
    <r>
      <rPr>
        <b/>
        <sz val="11"/>
        <color rgb="FFFF0000"/>
        <rFont val="Arial"/>
        <family val="2"/>
      </rPr>
      <t>Origin</t>
    </r>
    <r>
      <rPr>
        <b/>
        <sz val="10"/>
        <rFont val="Arial"/>
        <family val="2"/>
      </rPr>
      <t xml:space="preserve">
   Country Name</t>
    </r>
  </si>
  <si>
    <t>The short name of the origin ISO 3166 country.</t>
  </si>
  <si>
    <t>The subdivision category of the origin ISO 3166-2 country subdivision.</t>
  </si>
  <si>
    <r>
      <rPr>
        <b/>
        <sz val="11"/>
        <color rgb="FFFF0000"/>
        <rFont val="Arial"/>
        <family val="2"/>
      </rPr>
      <t>Target</t>
    </r>
    <r>
      <rPr>
        <b/>
        <sz val="10"/>
        <rFont val="Arial"/>
        <family val="2"/>
      </rPr>
      <t xml:space="preserve">
   Geopolitical Entity Name</t>
    </r>
  </si>
  <si>
    <t>The subdivision category of the target GENC administrative subdivision.</t>
  </si>
  <si>
    <t>The 4-, 5-, or 6-character code that is used to designate the target GENC administrative subdivision.</t>
  </si>
  <si>
    <r>
      <t xml:space="preserve">For example: "826".  In the case that no numeric code element is specified, then this cell states </t>
    </r>
    <r>
      <rPr>
        <b/>
        <i/>
        <sz val="10"/>
        <color indexed="23"/>
        <rFont val="Arial"/>
        <family val="2"/>
      </rPr>
      <t>[None]</t>
    </r>
    <r>
      <rPr>
        <sz val="10"/>
        <rFont val="Arial"/>
        <family val="2"/>
      </rPr>
      <t xml:space="preserve">.  In the case that the target is not a country then this cell is empty and </t>
    </r>
    <r>
      <rPr>
        <b/>
        <sz val="10"/>
        <color theme="0" tint="-0.499984740745262"/>
        <rFont val="Arial"/>
        <family val="2"/>
      </rPr>
      <t>grey-filled</t>
    </r>
    <r>
      <rPr>
        <sz val="10"/>
        <rFont val="Arial"/>
        <family val="2"/>
      </rPr>
      <t xml:space="preserve">.  In the case that the territorial alignment of the associated Geopolitical Correlation is "null", then this cell is empty and </t>
    </r>
    <r>
      <rPr>
        <b/>
        <sz val="10"/>
        <color rgb="FFFFCC99"/>
        <rFont val="Arial"/>
        <family val="2"/>
      </rPr>
      <t>yellow-filled</t>
    </r>
    <r>
      <rPr>
        <sz val="10"/>
        <rFont val="Arial"/>
        <family val="2"/>
      </rPr>
      <t>.</t>
    </r>
  </si>
  <si>
    <t>Administrative Subdivisions:
GENC to ISO 3166 (Parts 1 and 2)</t>
  </si>
  <si>
    <t>Administrative Subdivisions:
 ISO 3166 (Part 2) to GENC</t>
  </si>
  <si>
    <t>The preferred name of the origin GENC administrative subdivision (of the specified geopolitical entity).  Note: More than one name may be specified in the GENC Standard.</t>
  </si>
  <si>
    <t>The preferred name of the target GENC administrative subdivision (of the specified geopolitical entity).  Note: More than one name may be specified in the GENC Standard.</t>
  </si>
  <si>
    <t>The short name of the target STANAG 1059 country.</t>
  </si>
  <si>
    <t>Geopolitical Entities:
STANAG 1059 to GENC</t>
  </si>
  <si>
    <t>Geopolitical Entities:
GENC to STANAG 1059</t>
  </si>
  <si>
    <t>For example: "Alifu Alifu".</t>
  </si>
  <si>
    <r>
      <t>For example: "GBR".  In the case that the target is not a country, then this cell is empty and</t>
    </r>
    <r>
      <rPr>
        <b/>
        <sz val="10"/>
        <color theme="0" tint="-0.499984740745262"/>
        <rFont val="Arial"/>
        <family val="2"/>
      </rPr>
      <t xml:space="preserve"> grey-filled</t>
    </r>
    <r>
      <rPr>
        <sz val="10"/>
        <rFont val="Arial"/>
        <family val="2"/>
      </rPr>
      <t xml:space="preserve">.  In the case that the territorial alignment of the associated Geopolitical Correlation is "null", then this cell is empty and </t>
    </r>
    <r>
      <rPr>
        <b/>
        <sz val="10"/>
        <color rgb="FFFFCC99"/>
        <rFont val="Arial"/>
        <family val="2"/>
      </rPr>
      <t>yellow-filled</t>
    </r>
    <r>
      <rPr>
        <sz val="10"/>
        <rFont val="Arial"/>
        <family val="2"/>
      </rPr>
      <t>.</t>
    </r>
  </si>
  <si>
    <r>
      <t>For example: "GB".  In the case that no alpha-2 code element is specified, then this cell states</t>
    </r>
    <r>
      <rPr>
        <i/>
        <sz val="10"/>
        <rFont val="Arial"/>
        <family val="2"/>
      </rPr>
      <t xml:space="preserve"> </t>
    </r>
    <r>
      <rPr>
        <b/>
        <i/>
        <sz val="10"/>
        <color indexed="23"/>
        <rFont val="Arial"/>
        <family val="2"/>
      </rPr>
      <t>[None]</t>
    </r>
    <r>
      <rPr>
        <sz val="10"/>
        <rFont val="Arial"/>
        <family val="2"/>
      </rPr>
      <t xml:space="preserve">.  In the case that the target is not a country, then this cell is empty and </t>
    </r>
    <r>
      <rPr>
        <b/>
        <sz val="10"/>
        <color theme="0" tint="-0.499984740745262"/>
        <rFont val="Arial"/>
        <family val="2"/>
      </rPr>
      <t>grey-filled</t>
    </r>
    <r>
      <rPr>
        <sz val="10"/>
        <rFont val="Arial"/>
        <family val="2"/>
      </rPr>
      <t xml:space="preserve">.  In the case that the territorial alignment of the associated Geopolitical Correlation is "null", then this cell is empty and </t>
    </r>
    <r>
      <rPr>
        <b/>
        <sz val="10"/>
        <color rgb="FFFFCC99"/>
        <rFont val="Arial"/>
        <family val="2"/>
      </rPr>
      <t>yellow-filled</t>
    </r>
    <r>
      <rPr>
        <sz val="10"/>
        <rFont val="Arial"/>
        <family val="2"/>
      </rPr>
      <t>.</t>
    </r>
  </si>
  <si>
    <r>
      <t xml:space="preserve">For example: "US-AS".  In the case that no code element is specified, then this cell states </t>
    </r>
    <r>
      <rPr>
        <b/>
        <i/>
        <sz val="10"/>
        <color indexed="23"/>
        <rFont val="Arial"/>
        <family val="2"/>
      </rPr>
      <t>[None]</t>
    </r>
    <r>
      <rPr>
        <sz val="10"/>
        <rFont val="Arial"/>
        <family val="2"/>
      </rPr>
      <t xml:space="preserve">.  In the case that the target is not a country subdivision, then this cell is empty and </t>
    </r>
    <r>
      <rPr>
        <b/>
        <sz val="10"/>
        <color theme="0" tint="-0.499984740745262"/>
        <rFont val="Arial"/>
        <family val="2"/>
      </rPr>
      <t>grey-filled</t>
    </r>
    <r>
      <rPr>
        <sz val="10"/>
        <rFont val="Arial"/>
        <family val="2"/>
      </rPr>
      <t xml:space="preserve">.  In the case that the territorial alignment of the associated Geopolitical Correlation is "null", then this cell is empty and </t>
    </r>
    <r>
      <rPr>
        <b/>
        <sz val="10"/>
        <color rgb="FFFFCC99"/>
        <rFont val="Arial"/>
        <family val="2"/>
      </rPr>
      <t>yellow-filled</t>
    </r>
    <r>
      <rPr>
        <sz val="10"/>
        <rFont val="Arial"/>
        <family val="2"/>
      </rPr>
      <t>.</t>
    </r>
  </si>
  <si>
    <r>
      <t xml:space="preserve">For example: </t>
    </r>
    <r>
      <rPr>
        <u/>
        <sz val="10"/>
        <color rgb="FF0000CC"/>
        <rFont val="Arial"/>
        <family val="2"/>
      </rPr>
      <t>http://nsgreg.nga.mil/genc/view?v=500560</t>
    </r>
  </si>
  <si>
    <r>
      <t xml:space="preserve">For example: "Seenu".  In the case that the target is not a country subdivision, then this cell is empty and grey-filled.  In the case that the territorial alignment of the associated Geopolitical Correlation is "null", then this cell is empty and </t>
    </r>
    <r>
      <rPr>
        <b/>
        <sz val="10"/>
        <color rgb="FFFFCC99"/>
        <rFont val="Arial"/>
        <family val="2"/>
      </rPr>
      <t>yellow-filled</t>
    </r>
    <r>
      <rPr>
        <sz val="10"/>
        <rFont val="Arial"/>
        <family val="2"/>
      </rPr>
      <t>.</t>
    </r>
  </si>
  <si>
    <r>
      <t xml:space="preserve">For example: "administrative atoll".  In the case that the target is not a country subdivision, then this cell is empty and grey-filled.  In the case that the territorial alignment of the associated Geopolitical Correlation is "null", then this cell is empty and </t>
    </r>
    <r>
      <rPr>
        <b/>
        <sz val="10"/>
        <color rgb="FFFFCC99"/>
        <rFont val="Arial"/>
        <family val="2"/>
      </rPr>
      <t>yellow-filled</t>
    </r>
    <r>
      <rPr>
        <sz val="10"/>
        <rFont val="Arial"/>
        <family val="2"/>
      </rPr>
      <t>.</t>
    </r>
  </si>
  <si>
    <r>
      <t xml:space="preserve">For example: "MV-01".  In the case that the target is not a country division, then this cell is empty and </t>
    </r>
    <r>
      <rPr>
        <b/>
        <sz val="10"/>
        <color theme="0" tint="-0.499984740745262"/>
        <rFont val="Arial"/>
        <family val="2"/>
      </rPr>
      <t>grey-filled</t>
    </r>
    <r>
      <rPr>
        <sz val="10"/>
        <rFont val="Arial"/>
        <family val="2"/>
      </rPr>
      <t xml:space="preserve">.  In the case that the territorial alignment of the associated Geopolitical Correlation is "null", then this cell is empty and </t>
    </r>
    <r>
      <rPr>
        <b/>
        <sz val="10"/>
        <color rgb="FFFFCC99"/>
        <rFont val="Arial"/>
        <family val="2"/>
      </rPr>
      <t>yellow-filled</t>
    </r>
    <r>
      <rPr>
        <sz val="10"/>
        <rFont val="Arial"/>
        <family val="2"/>
      </rPr>
      <t>.</t>
    </r>
  </si>
  <si>
    <r>
      <t xml:space="preserve">For example: "GBR".  In the case that the target is not a country division, then this cell is empty and </t>
    </r>
    <r>
      <rPr>
        <b/>
        <sz val="10"/>
        <color theme="0" tint="-0.499984740745262"/>
        <rFont val="Arial"/>
        <family val="2"/>
      </rPr>
      <t>grey-filled</t>
    </r>
    <r>
      <rPr>
        <sz val="10"/>
        <rFont val="Arial"/>
        <family val="2"/>
      </rPr>
      <t xml:space="preserve">.  In the case that the territorial alignment of the associated Geopolitical Correlation is "null", then this cell is empty and </t>
    </r>
    <r>
      <rPr>
        <b/>
        <sz val="10"/>
        <color rgb="FFFFCC99"/>
        <rFont val="Arial"/>
        <family val="2"/>
      </rPr>
      <t>yellow-filled</t>
    </r>
    <r>
      <rPr>
        <sz val="10"/>
        <rFont val="Arial"/>
        <family val="2"/>
      </rPr>
      <t>.</t>
    </r>
  </si>
  <si>
    <r>
      <t xml:space="preserve">For example: "826".  In the case that no numeric code element is specified, then this cell states </t>
    </r>
    <r>
      <rPr>
        <b/>
        <i/>
        <sz val="10"/>
        <color indexed="23"/>
        <rFont val="Arial"/>
        <family val="2"/>
      </rPr>
      <t>[None]</t>
    </r>
    <r>
      <rPr>
        <sz val="10"/>
        <rFont val="Arial"/>
        <family val="2"/>
      </rPr>
      <t xml:space="preserve">.  In the case that the target is not a country subdivision, then this cell is empty and </t>
    </r>
    <r>
      <rPr>
        <b/>
        <sz val="10"/>
        <color theme="0" tint="-0.499984740745262"/>
        <rFont val="Arial"/>
        <family val="2"/>
      </rPr>
      <t>grey-filled</t>
    </r>
    <r>
      <rPr>
        <sz val="10"/>
        <rFont val="Arial"/>
        <family val="2"/>
      </rPr>
      <t xml:space="preserve">.  In the case that the territorial alignment of the associated Geopolitical Correlation is "null", then this cell is empty and </t>
    </r>
    <r>
      <rPr>
        <b/>
        <sz val="10"/>
        <color rgb="FFFFCC99"/>
        <rFont val="Arial"/>
        <family val="2"/>
      </rPr>
      <t>yellow-filled</t>
    </r>
    <r>
      <rPr>
        <sz val="10"/>
        <rFont val="Arial"/>
        <family val="2"/>
      </rPr>
      <t>.</t>
    </r>
  </si>
  <si>
    <r>
      <t xml:space="preserve">For example: "GBR".  In the case that the target is not a geopolitical entity, then this cell is empty and </t>
    </r>
    <r>
      <rPr>
        <b/>
        <sz val="10"/>
        <color theme="0" tint="-0.499984740745262"/>
        <rFont val="Arial"/>
        <family val="2"/>
      </rPr>
      <t>grey-filled</t>
    </r>
    <r>
      <rPr>
        <sz val="10"/>
        <rFont val="Arial"/>
        <family val="2"/>
      </rPr>
      <t xml:space="preserve">.  In the case that the territorial alignment of the associated Geopolitical Correlation is "null", then this cell is empty and </t>
    </r>
    <r>
      <rPr>
        <b/>
        <sz val="10"/>
        <color rgb="FFFFCC99"/>
        <rFont val="Arial"/>
        <family val="2"/>
      </rPr>
      <t>yellow-filled</t>
    </r>
    <r>
      <rPr>
        <sz val="10"/>
        <rFont val="Arial"/>
        <family val="2"/>
      </rPr>
      <t>.</t>
    </r>
  </si>
  <si>
    <r>
      <t>For example: "GB".  In the case that no 2-character code is specified, then this cell states</t>
    </r>
    <r>
      <rPr>
        <i/>
        <sz val="10"/>
        <rFont val="Arial"/>
        <family val="2"/>
      </rPr>
      <t xml:space="preserve"> </t>
    </r>
    <r>
      <rPr>
        <b/>
        <i/>
        <sz val="10"/>
        <color indexed="23"/>
        <rFont val="Arial"/>
        <family val="2"/>
      </rPr>
      <t>[None]</t>
    </r>
    <r>
      <rPr>
        <sz val="10"/>
        <rFont val="Arial"/>
        <family val="2"/>
      </rPr>
      <t xml:space="preserve">.  In the case that the target is not a geopolitical entity, then this cell is empty and </t>
    </r>
    <r>
      <rPr>
        <b/>
        <sz val="10"/>
        <color theme="0" tint="-0.499984740745262"/>
        <rFont val="Arial"/>
        <family val="2"/>
      </rPr>
      <t>grey-filled</t>
    </r>
    <r>
      <rPr>
        <sz val="10"/>
        <rFont val="Arial"/>
        <family val="2"/>
      </rPr>
      <t xml:space="preserve">.  In the case that the territorial alignment of the associated Geopolitical Correlation is "null", then this cell is empty and </t>
    </r>
    <r>
      <rPr>
        <b/>
        <sz val="10"/>
        <color rgb="FFFFCC99"/>
        <rFont val="Arial"/>
        <family val="2"/>
      </rPr>
      <t>yellow-filled</t>
    </r>
    <r>
      <rPr>
        <sz val="10"/>
        <rFont val="Arial"/>
        <family val="2"/>
      </rPr>
      <t>.</t>
    </r>
  </si>
  <si>
    <r>
      <t xml:space="preserve">For example: "826".  In the case that no 3-digit code is specified, then this cell states </t>
    </r>
    <r>
      <rPr>
        <b/>
        <i/>
        <sz val="10"/>
        <color indexed="23"/>
        <rFont val="Arial"/>
        <family val="2"/>
      </rPr>
      <t>[None]</t>
    </r>
    <r>
      <rPr>
        <sz val="10"/>
        <rFont val="Arial"/>
        <family val="2"/>
      </rPr>
      <t xml:space="preserve">.  In the case that the target is not a geopolitical entity, then this cell is empty and </t>
    </r>
    <r>
      <rPr>
        <b/>
        <sz val="10"/>
        <color theme="0" tint="-0.499984740745262"/>
        <rFont val="Arial"/>
        <family val="2"/>
      </rPr>
      <t>grey-filled</t>
    </r>
    <r>
      <rPr>
        <sz val="10"/>
        <rFont val="Arial"/>
        <family val="2"/>
      </rPr>
      <t xml:space="preserve">.  In the case that the territorial alignment of the associated Geopolitical Correlation is "null", then this cell is empty and </t>
    </r>
    <r>
      <rPr>
        <b/>
        <sz val="10"/>
        <color rgb="FFFFCC99"/>
        <rFont val="Arial"/>
        <family val="2"/>
      </rPr>
      <t>yellow-filled</t>
    </r>
    <r>
      <rPr>
        <sz val="10"/>
        <rFont val="Arial"/>
        <family val="2"/>
      </rPr>
      <t>.</t>
    </r>
  </si>
  <si>
    <r>
      <t xml:space="preserve">For example: "US-AS".  In the case that no code element is specified, then this cell states </t>
    </r>
    <r>
      <rPr>
        <b/>
        <i/>
        <sz val="10"/>
        <color indexed="23"/>
        <rFont val="Arial"/>
        <family val="2"/>
      </rPr>
      <t>[None]</t>
    </r>
    <r>
      <rPr>
        <sz val="10"/>
        <rFont val="Arial"/>
        <family val="2"/>
      </rPr>
      <t xml:space="preserve">.  In the case that the target is not an administrative subdivision, then this cell is empty and </t>
    </r>
    <r>
      <rPr>
        <b/>
        <sz val="10"/>
        <color theme="0" tint="-0.499984740745262"/>
        <rFont val="Arial"/>
        <family val="2"/>
      </rPr>
      <t>grey-filled</t>
    </r>
    <r>
      <rPr>
        <sz val="10"/>
        <rFont val="Arial"/>
        <family val="2"/>
      </rPr>
      <t xml:space="preserve">.  In the case that the territorial alignment of the associated Geopolitical Correlation is "null", then this cell is empty and </t>
    </r>
    <r>
      <rPr>
        <b/>
        <sz val="10"/>
        <color rgb="FFFFCC99"/>
        <rFont val="Arial"/>
        <family val="2"/>
      </rPr>
      <t>yellow-filled</t>
    </r>
    <r>
      <rPr>
        <sz val="10"/>
        <rFont val="Arial"/>
        <family val="2"/>
      </rPr>
      <t>.</t>
    </r>
  </si>
  <si>
    <t>For example: "MV-02".</t>
  </si>
  <si>
    <r>
      <t xml:space="preserve">For example: "Ari Atholhu Uthuruburi".  In the case that the target is not an administrative subdivision, then this cell is empty and grey-filled.  In the case that the territorial alignment of the associated Geopolitical Correlation is "null", then this cell is empty and </t>
    </r>
    <r>
      <rPr>
        <b/>
        <sz val="10"/>
        <color rgb="FFFFCC99"/>
        <rFont val="Arial"/>
        <family val="2"/>
      </rPr>
      <t>yellow-filled</t>
    </r>
    <r>
      <rPr>
        <sz val="10"/>
        <rFont val="Arial"/>
        <family val="2"/>
      </rPr>
      <t>.</t>
    </r>
  </si>
  <si>
    <r>
      <t xml:space="preserve">For example: "administrative atoll".  In the case that the target is not an administrative subdivision, then this cell is empty and grey-filled.  In the case that the territorial alignment of the associated Geopolitical Correlation is "null", then this cell is empty and </t>
    </r>
    <r>
      <rPr>
        <b/>
        <sz val="10"/>
        <color rgb="FFFFCC99"/>
        <rFont val="Arial"/>
        <family val="2"/>
      </rPr>
      <t>yellow-filled</t>
    </r>
    <r>
      <rPr>
        <sz val="10"/>
        <rFont val="Arial"/>
        <family val="2"/>
      </rPr>
      <t>.</t>
    </r>
  </si>
  <si>
    <r>
      <t xml:space="preserve">For example: "MV-02".  In the case that the target is not an administrative subdivision, then this cell is empty and </t>
    </r>
    <r>
      <rPr>
        <b/>
        <sz val="10"/>
        <color theme="0" tint="-0.499984740745262"/>
        <rFont val="Arial"/>
        <family val="2"/>
      </rPr>
      <t>grey-filled</t>
    </r>
    <r>
      <rPr>
        <sz val="10"/>
        <rFont val="Arial"/>
        <family val="2"/>
      </rPr>
      <t xml:space="preserve">.  In the case that the territorial alignment of the associated Geopolitical Correlation is "null", then this cell is empty and </t>
    </r>
    <r>
      <rPr>
        <b/>
        <sz val="10"/>
        <color rgb="FFFFCC99"/>
        <rFont val="Arial"/>
        <family val="2"/>
      </rPr>
      <t>yellow-filled</t>
    </r>
    <r>
      <rPr>
        <sz val="10"/>
        <rFont val="Arial"/>
        <family val="2"/>
      </rPr>
      <t>.</t>
    </r>
  </si>
  <si>
    <r>
      <t xml:space="preserve">For example: "826".  In the case that no numeric code element is specified, then this cell states </t>
    </r>
    <r>
      <rPr>
        <b/>
        <i/>
        <sz val="10"/>
        <color indexed="23"/>
        <rFont val="Arial"/>
        <family val="2"/>
      </rPr>
      <t>[None]</t>
    </r>
    <r>
      <rPr>
        <sz val="10"/>
        <rFont val="Arial"/>
        <family val="2"/>
      </rPr>
      <t xml:space="preserve">.  In the case that the target is not a geopolitical entity, then this cell is empty and </t>
    </r>
    <r>
      <rPr>
        <b/>
        <sz val="10"/>
        <color theme="0" tint="-0.499984740745262"/>
        <rFont val="Arial"/>
        <family val="2"/>
      </rPr>
      <t>grey-filled</t>
    </r>
    <r>
      <rPr>
        <sz val="10"/>
        <rFont val="Arial"/>
        <family val="2"/>
      </rPr>
      <t xml:space="preserve">.  In the case that the territorial alignment of the associated Geopolitical Correlation is "null", then this cell is empty and </t>
    </r>
    <r>
      <rPr>
        <b/>
        <sz val="10"/>
        <color rgb="FFFFCC99"/>
        <rFont val="Arial"/>
        <family val="2"/>
      </rPr>
      <t>yellow-filled</t>
    </r>
    <r>
      <rPr>
        <sz val="10"/>
        <rFont val="Arial"/>
        <family val="2"/>
      </rPr>
      <t>.</t>
    </r>
  </si>
  <si>
    <r>
      <t>For example: "GBR".  In the case that the target is not a geopolitical entity, then this cell is empty and</t>
    </r>
    <r>
      <rPr>
        <b/>
        <sz val="10"/>
        <color theme="0" tint="-0.499984740745262"/>
        <rFont val="Arial"/>
        <family val="2"/>
      </rPr>
      <t xml:space="preserve"> grey-filled</t>
    </r>
    <r>
      <rPr>
        <sz val="10"/>
        <rFont val="Arial"/>
        <family val="2"/>
      </rPr>
      <t xml:space="preserve">.  In the case that the territorial alignment of the associated Geopolitical Correlation is "null", then this cell is empty and </t>
    </r>
    <r>
      <rPr>
        <b/>
        <sz val="10"/>
        <color rgb="FFFFCC99"/>
        <rFont val="Arial"/>
        <family val="2"/>
      </rPr>
      <t>yellow-filled</t>
    </r>
    <r>
      <rPr>
        <sz val="10"/>
        <rFont val="Arial"/>
        <family val="2"/>
      </rPr>
      <t>.</t>
    </r>
  </si>
  <si>
    <r>
      <t>For example: "GB".  In the case that no alpha-2 code element is specified, then this cell states</t>
    </r>
    <r>
      <rPr>
        <i/>
        <sz val="10"/>
        <rFont val="Arial"/>
        <family val="2"/>
      </rPr>
      <t xml:space="preserve"> </t>
    </r>
    <r>
      <rPr>
        <b/>
        <i/>
        <sz val="10"/>
        <color indexed="23"/>
        <rFont val="Arial"/>
        <family val="2"/>
      </rPr>
      <t>[None]</t>
    </r>
    <r>
      <rPr>
        <sz val="10"/>
        <rFont val="Arial"/>
        <family val="2"/>
      </rPr>
      <t xml:space="preserve">.  In the case that the target is not a geopolitical entity, then this cell is empty and </t>
    </r>
    <r>
      <rPr>
        <b/>
        <sz val="10"/>
        <color theme="0" tint="-0.499984740745262"/>
        <rFont val="Arial"/>
        <family val="2"/>
      </rPr>
      <t>grey-filled</t>
    </r>
    <r>
      <rPr>
        <sz val="10"/>
        <rFont val="Arial"/>
        <family val="2"/>
      </rPr>
      <t xml:space="preserve">.  In the case that the territorial alignment of the associated Geopolitical Correlation is "null", then this cell is empty and </t>
    </r>
    <r>
      <rPr>
        <b/>
        <sz val="10"/>
        <color rgb="FFFFCC99"/>
        <rFont val="Arial"/>
        <family val="2"/>
      </rPr>
      <t>yellow-filled</t>
    </r>
    <r>
      <rPr>
        <sz val="10"/>
        <rFont val="Arial"/>
        <family val="2"/>
      </rPr>
      <t>.</t>
    </r>
  </si>
  <si>
    <r>
      <t xml:space="preserve">Code mappings based on the correlation package relating administrative subdivisions represented in the GENC Standard to country subdivisions represented in ISO 3166-2.
</t>
    </r>
    <r>
      <rPr>
        <sz val="10"/>
        <color indexed="12"/>
        <rFont val="Arial"/>
        <family val="2"/>
      </rPr>
      <t>Correlation targets may also be taken from ISO 3166-1 (countries), in the case where it contains an entry for a geospatially coextensive territory that is not available in ISO 3166-2.</t>
    </r>
  </si>
  <si>
    <r>
      <t>For example: "GB".  In the case that no 2-character code is specified, then this cell states</t>
    </r>
    <r>
      <rPr>
        <i/>
        <sz val="10"/>
        <rFont val="Arial"/>
        <family val="2"/>
      </rPr>
      <t xml:space="preserve"> </t>
    </r>
    <r>
      <rPr>
        <b/>
        <i/>
        <sz val="10"/>
        <color indexed="23"/>
        <rFont val="Arial"/>
        <family val="2"/>
      </rPr>
      <t>[None]</t>
    </r>
    <r>
      <rPr>
        <sz val="10"/>
        <rFont val="Arial"/>
        <family val="2"/>
      </rPr>
      <t xml:space="preserve">.  In the case that the target is not a country subdivision, then this cell is empty and </t>
    </r>
    <r>
      <rPr>
        <b/>
        <sz val="10"/>
        <color theme="0" tint="-0.499984740745262"/>
        <rFont val="Arial"/>
        <family val="2"/>
      </rPr>
      <t>grey-filled</t>
    </r>
    <r>
      <rPr>
        <sz val="10"/>
        <rFont val="Arial"/>
        <family val="2"/>
      </rPr>
      <t xml:space="preserve">.  In the case that the territorial alignment of the associated Geopolitical Correlation is "null", then this cell is empty and </t>
    </r>
    <r>
      <rPr>
        <b/>
        <sz val="10"/>
        <color rgb="FFFFCC99"/>
        <rFont val="Arial"/>
        <family val="2"/>
      </rPr>
      <t>yellow-filled</t>
    </r>
    <r>
      <rPr>
        <sz val="10"/>
        <rFont val="Arial"/>
        <family val="2"/>
      </rPr>
      <t>.</t>
    </r>
  </si>
  <si>
    <t>In the case that the target of the correlation is a country (rather than country subdivision), then the alphanumeric 3-character code element that is used to designate the target ISO 3166 country.</t>
  </si>
  <si>
    <t>In the case that the target of the correlation is a country (rather than country subdivision), then the alphanumeric 2-character code element that is used to designate the target ISO 3166 country.</t>
  </si>
  <si>
    <t>In the case that the target of the correlation is an administrative subdivision (rather than a geopolitical entity), then the 4-, 5-, or 6-character code that is used to designate the target GENC administrative subdivision.</t>
  </si>
  <si>
    <t>In the case that the target of the correlation is a country subdivision (rather than a country), then the 4-, 5-, or 6-character code element that is used to designate the target ISO 3166 country subdivision.</t>
  </si>
  <si>
    <t>In the case that the target of the correlation is a country (rather than country subdivision), then the 3-digit numeric code element that is used to designate the target ISO 3166 country.</t>
  </si>
  <si>
    <t>The name of the target ISO 3166 country division (of the specified country).  Note: More than one name may be specified in ISO 3166-2.</t>
  </si>
  <si>
    <t>The name of the origin ISO 3166 country division (of the specified country).  Note: More than one name may be specified in ISO 3166-2.</t>
  </si>
  <si>
    <t>Code mappings based on the correlation package relating country subdivisions represented in ISO 3166-2 to administrative subdivisions (or geopolitical entities) represented in the GENC Standard.</t>
  </si>
  <si>
    <r>
      <t xml:space="preserve">For example: "GBR".  In the case that the target is not a geopolitical entity, then this cell is empty and </t>
    </r>
    <r>
      <rPr>
        <b/>
        <sz val="10"/>
        <color theme="0" tint="-0.499984740745262"/>
        <rFont val="Arial"/>
        <family val="2"/>
      </rPr>
      <t>grey-filled</t>
    </r>
    <r>
      <rPr>
        <sz val="10"/>
        <rFont val="Arial"/>
        <family val="2"/>
      </rPr>
      <t>.</t>
    </r>
  </si>
  <si>
    <r>
      <t>For example: "GB".  In the case that no 2-character code is specified, then this cell states</t>
    </r>
    <r>
      <rPr>
        <i/>
        <sz val="10"/>
        <rFont val="Arial"/>
        <family val="2"/>
      </rPr>
      <t xml:space="preserve"> </t>
    </r>
    <r>
      <rPr>
        <b/>
        <i/>
        <sz val="10"/>
        <color indexed="23"/>
        <rFont val="Arial"/>
        <family val="2"/>
      </rPr>
      <t>[None]</t>
    </r>
    <r>
      <rPr>
        <sz val="10"/>
        <rFont val="Arial"/>
        <family val="2"/>
      </rPr>
      <t xml:space="preserve">.  In the case that the target is not a geopolitical entity, then this cell is empty and </t>
    </r>
    <r>
      <rPr>
        <b/>
        <sz val="10"/>
        <color theme="0" tint="-0.499984740745262"/>
        <rFont val="Arial"/>
        <family val="2"/>
      </rPr>
      <t>grey-filled</t>
    </r>
    <r>
      <rPr>
        <sz val="10"/>
        <rFont val="Arial"/>
        <family val="2"/>
      </rPr>
      <t>.</t>
    </r>
  </si>
  <si>
    <t>In the case that the target of the correlation is a geopolitical entity (rather than an administrative subdivision), then the 3-digit numeric code that is used to designate the target GENC geopolitical entity.</t>
  </si>
  <si>
    <t>In the case that the target of the correlation is a geopolitical entity (rather than an administrative subdivision), then the alphanumeric 2-character code that is used to designate the target GENC geopolitical entity.</t>
  </si>
  <si>
    <t>In the case that the target of the correlation is a geopolitical entity (rather than an administrative subdivision), then the alphanumeric 3-character code that is used to designate the target GENC geopolitical entity.</t>
  </si>
  <si>
    <t>For example, the code mapping derived from the geopolitical correlation "UNITED KINGDOM (1059) to UNITED KINGDOM (GENC)".</t>
  </si>
  <si>
    <r>
      <t xml:space="preserve">Code mappings based on the correlation package relating geopolitical entities represented in the GENC Standard (including countries, dependencies, and areas of special sovereignty) to countries represented in ISO 3166-1 (including countries, dependencies, and other areas of particular geopolitical interest).
</t>
    </r>
    <r>
      <rPr>
        <sz val="10"/>
        <color indexed="12"/>
        <rFont val="Arial"/>
        <family val="2"/>
      </rPr>
      <t>In a few cases, correlation targets are also taken from ISO 3166-2 (country subdivisions), which may contain an entry for a geospatially coextensive territory that is not available in ISO 3166-1; for example, the GENC Standard contains an entry named "BAKER ISLAND", while ISO 3166-1 includes that territory under the general entry for "UNITED STATES MINOR OUTLYING ISLANDS", with a specific entry for Baker Island only in ISO 3166-2.
Note that in assessing the territorial alignment of correlations, some assumptions have been made, as follows, regarding geospatial overlap or exclusion:
(1) The GENC Standard assumes that the geopolitical entities referenced by GENC entries at the same level are geospatially mutually exclusive, with one exception (which is: at the top level, "BRITISH INDIAN OCEAN TERRITORY" covers the area also denoted individually by "DIEGO GARCIA"). Except for that one case, different GENC top-level entries represent entities with non-overlapping geospatial extents.
(2) The ISO 3166 Maintenance Agency (ISO 3166/MA) states in ISO 3166-1:2013, Clause 4.3, that some country names in ISO 3166-1 may cover areas that are also coded separately, and "the entries are therefore not mutually exclusive".  The example given is that of France ('FR') and Martinique ('MQ'), both of which have ISO 3166-1 code elements, even though France includes Martinique (as indicated in ISO 3166-2 with the code element 'FR-MQ'); therefore, in ISO 3166-1, entries may represent geospatially overlapping entities. We note that at least some overlaps can be identified by looking at the lists of administrative subdivisions in ISO 3166-2.
(3) ISO 3166-2:2013, Clause 4.1.2, states that the lists of country subdivisions are complete (as far as known) and "without overlaps"; therefore, for entries in ISO 3166-2, entries at the same level of administrative subdivisions are assumed to be geospatially mutually exclusive. Note that for some countries there are two levels of administrative subdivisions (</t>
    </r>
    <r>
      <rPr>
        <i/>
        <sz val="10"/>
        <color indexed="12"/>
        <rFont val="Arial"/>
        <family val="2"/>
      </rPr>
      <t>e.g</t>
    </r>
    <r>
      <rPr>
        <sz val="10"/>
        <color indexed="12"/>
        <rFont val="Arial"/>
        <family val="2"/>
      </rPr>
      <t>., Belgium).</t>
    </r>
  </si>
  <si>
    <r>
      <t xml:space="preserve">Code mappings based on the correlation package relating countries represented in ISO 3166 Codes for the representation of names of countries and their subdivisions, Part 1: Country codes (ISO 3166-1), to geopolitical entities represented in the Geopolitical Entities, Names, and Codes GENC Standard (including countries, dependencies, and areas of special sovereignty).
</t>
    </r>
    <r>
      <rPr>
        <sz val="10"/>
        <color indexed="12"/>
        <rFont val="Arial"/>
        <family val="2"/>
      </rPr>
      <t>Note that in assessing the terrirotial alignment of correlations, some assumptions have been made, as follows, regarding geospatial overlap or exclusion:
(1) The GENC Standard assumes that the geopolitical entities referenced by GENC entries at the same level are geospatially mutually exclusive, with one exception (which is: at the top level, "BRITISH INDIAN OCEAN TERRITORY" covers the area also denoted individually by "DIEGO GARCIA"). Except for that one case, different GENC top-level entries represent entities with non-overlapping geospatial extents.
(2) The ISO 3166 Maintenance Agency (MA) states in ISO 3166-1:2013, Clause 4.3, that some country names in ISO 3166-1 may cover areas that are also coded separately, and "the entries are therefore not mutually exclusive".  The example given is that of France (FR) and Martinique, both of which have ISO 3166-1 code elements, even though France includes Martinique (as indicated in ISO 3166-2); therefore, in ISO 3166-1, entries may represent geospatially overlapping entities.  We note that at least some overlaps can be identified by looking at the lists of administrative subdivisions in ISO 3166-2.
(3) ISO 3166-2:2013, Clause 4.1.2, states that the lists of country subdivisions are complete (as far as known) and "without overlaps"; therefore, for entries in ISO 3166-2, entries at the same level of administrative subdivisions are assumed to be geospatially mutually exclusive. Note that for some countries there are two levels of administrative subdivisions (</t>
    </r>
    <r>
      <rPr>
        <i/>
        <sz val="10"/>
        <color indexed="12"/>
        <rFont val="Arial"/>
        <family val="2"/>
      </rPr>
      <t>e.g</t>
    </r>
    <r>
      <rPr>
        <sz val="10"/>
        <color indexed="12"/>
        <rFont val="Arial"/>
        <family val="2"/>
      </rPr>
      <t>., Belgium).</t>
    </r>
  </si>
  <si>
    <r>
      <t>Code mappings based on the correlation package relating geopolitical entities represented in the GENC Standard (including countries, dependencies, and areas of special sovereignty), to top-level geographical entities (intended to represent "nations and countries") represented in STANAG 1059.</t>
    </r>
    <r>
      <rPr>
        <sz val="10"/>
        <color indexed="12"/>
        <rFont val="Arial"/>
        <family val="2"/>
      </rPr>
      <t xml:space="preserve">
Note that in assessing the territorial alignment of correlations, some assumptions have been made, as follows, regarding geospatial overlap or exclusion:
(1) The GENC Standard assumes that the geopolitical entities referenced by GENC entries at the same level are geospatially mutually exclusive, with one exception (which is: at the top level, "BRITISH INDIAN OCEAN TERRITORY" covers the area also denoted individually by "DIEGO GARCIA"). Except for that one case, different GENC top-level entries represent entities with non-overlapping geospatial extents.
(2) STANAG 1059 states that the codes shown in Annex A are ISO codes. The ISO 3166 Maintenance Agency (ISO 3166/MA) states in ISO 3166-1:2013, Clause 4.3, that some country names in ISO 3166-1 may cover areas that are also coded separately, and "the entries are therefore not mutually exclusive". The example given is that of France ('FR') and Martinique ('MQ'), both of which have ISO 3166-1 code elements, even though France includes Martinique (as indicated in ISO 3166-2 with the code element 'FR-MQ'); therefore, in ISO 3166-1, entries may represent geospatially overlapping entities. We note that at least some overlaps can be identified by looking at the lists of administrative subdivisions in ISO 3166-2.</t>
    </r>
  </si>
  <si>
    <r>
      <t xml:space="preserve">Code mappings based on the correlation package relating top-level geographical entities (intended to represent "nations and countries") represented in STANAG 1059, to geopolitical entities represented in the Geopolitical Entities, Names, and Codes GENC Standard (including countries, dependencies, and areas of special sovereignty).
</t>
    </r>
    <r>
      <rPr>
        <sz val="10"/>
        <color indexed="12"/>
        <rFont val="Arial"/>
        <family val="2"/>
      </rPr>
      <t>Note that in assessing the territorial alignment of correlations, some assumptions have been made, as follows, regarding geospatial overlap or exclusion:
(1) The GENC Standard assumes that the geopolitical entities referenced by GENC entries at the same level are geospatially mutually exclusive, with one exception (which is: at the top level, "BRITISH INDIAN OCEAN TERRITORY" covers the area also denoted individually by "DIEGO GARCIA"). Except for that one case, different GENC top-level entries represent entities with non-overlapping geospatial extents.
(2) STANAG 1059 states that the codes shown in Annex A are ISO codes. The ISO 3166 Maintenance Agency (MA) states in ISO 3166-1:2013, Clause 4.3, that some country names in ISO 3166-1 may cover areas that are also coded separately, and "the entries are therefore not mutually exclusive". The example given is that of France (FR) and Martinique, both of which have ISO 3166-1 code elements, even though France includes Martinique (as indicated in ISO 3166-2); therefore, in ISO 3166-1, entries may represent geospatially overlapping entities. We note that at least some overlaps can be identified by looking at the lists of administrative subdivisions in ISO 3166-2.</t>
    </r>
  </si>
  <si>
    <t>http://nsgreg.nga.mil/genc</t>
  </si>
  <si>
    <t>[workbook prepared 12 February 2017, 12:33 PM]</t>
  </si>
  <si>
    <t>GENC Standard, Edition 3.0, Update 6, Mapping Workbook</t>
  </si>
  <si>
    <t>This workbook documents "country" code mappings derived from six Correlation Packages associated with the Geopolitical Entities, Names, and Codes (GENC) Standard, Edition 3.0, Update 6.  The GENC Standard is a profile of ISO 3166 (multi-part) and asserts both restrictions to, and extensions of, the ISO 3166 base standard in order to address unique U.S. Government requirements.  A geopolitical correlation is an information structure that directionally relates the representation of a geopolitical entity (or an administrative subdivision) in one standard (origin) to its representation in a different standard (target).  A correlation package specifies the conditions under which a set of geopolitical correlations was prepared and any constraints that may apply to their use.  A code mapping is a directional transformation where a codespace/code pair is substituted by zero or more codes in a different codespace.  "Country" code mappings may be derived from geopolitical correlations._x000D_
The concepts, terminology, and information structures used in this workbook are documented in the GENC Standard, Edition 3.0, Annex D - Geopolitical Correlations and Mappings.  This workbook documents code mappings corresponding to four of the six correlation packages specified in Annex D.1; those four are: _x000D_
    • GENC Standard to ISO 3166                                                                            • ISO 3166 to GENC Standard _x000D_
    • GENC Standard to STANAG 1059                                                                   • STANAG 1059 to GENC Standard _x000D_
This workbook consists of this cover sheet and one or two tabs/sheets for each of the four correlation packages.  Geopolitical Entities are listed in name-order in the source standard.  Administrative Subdivisions are listed in name-order, organized by their Geopolitical Entity (also listed in name-order), in the source standard.  Hyperlinks are used to relate individual code mappings in this workbook to the corresponding online Geopolitical Correlation information resource in the GENC Registry.  The content of the GENC Registry as of [2/12/2017 12:33:00 PM] was used in the preparation of this workbook.  The content of both the GENC Registry and the GENC Standard is managed by the Country Codes Working Group (CCWG).</t>
  </si>
  <si>
    <t>Geopolitical Entity Mapping (GENC Standard, Edition 3.0, Update 6)</t>
  </si>
  <si>
    <t>AFGHANISTAN</t>
  </si>
  <si>
    <t>AFG</t>
  </si>
  <si>
    <t>AF</t>
  </si>
  <si>
    <t>004</t>
  </si>
  <si>
    <t>AKROTIRI</t>
  </si>
  <si>
    <t>XQZ</t>
  </si>
  <si>
    <t>QZ</t>
  </si>
  <si>
    <t>900</t>
  </si>
  <si>
    <t>&lt;null&gt;</t>
  </si>
  <si>
    <t>ALBANIA</t>
  </si>
  <si>
    <t>ALB</t>
  </si>
  <si>
    <t>AL</t>
  </si>
  <si>
    <t>008</t>
  </si>
  <si>
    <t>ALGERIA</t>
  </si>
  <si>
    <t>DZA</t>
  </si>
  <si>
    <t>DZ</t>
  </si>
  <si>
    <t>012</t>
  </si>
  <si>
    <t>AMERICAN SAMOA</t>
  </si>
  <si>
    <t>ASM</t>
  </si>
  <si>
    <t>AS</t>
  </si>
  <si>
    <t>016</t>
  </si>
  <si>
    <t>American Samoa</t>
  </si>
  <si>
    <t>US-AS</t>
  </si>
  <si>
    <t>ANDORRA</t>
  </si>
  <si>
    <t>AND</t>
  </si>
  <si>
    <t>AD</t>
  </si>
  <si>
    <t>020</t>
  </si>
  <si>
    <t>ANGOLA</t>
  </si>
  <si>
    <t>AGO</t>
  </si>
  <si>
    <t>AO</t>
  </si>
  <si>
    <t>024</t>
  </si>
  <si>
    <t>ANGUILLA</t>
  </si>
  <si>
    <t>AIA</t>
  </si>
  <si>
    <t>AI</t>
  </si>
  <si>
    <t>660</t>
  </si>
  <si>
    <t>ANTARCTICA</t>
  </si>
  <si>
    <t>ATA</t>
  </si>
  <si>
    <t>AQ</t>
  </si>
  <si>
    <t>010</t>
  </si>
  <si>
    <t>ANTIGUA AND BARBUDA</t>
  </si>
  <si>
    <t>ATG</t>
  </si>
  <si>
    <t>AG</t>
  </si>
  <si>
    <t>028</t>
  </si>
  <si>
    <t>ARGENTINA</t>
  </si>
  <si>
    <t>ARG</t>
  </si>
  <si>
    <t>AR</t>
  </si>
  <si>
    <t>032</t>
  </si>
  <si>
    <t>ARMENIA</t>
  </si>
  <si>
    <t>ARM</t>
  </si>
  <si>
    <t>AM</t>
  </si>
  <si>
    <t>051</t>
  </si>
  <si>
    <t>ARUBA</t>
  </si>
  <si>
    <t>ABW</t>
  </si>
  <si>
    <t>AW</t>
  </si>
  <si>
    <t>533</t>
  </si>
  <si>
    <t>Aruba</t>
  </si>
  <si>
    <t>NL-AW</t>
  </si>
  <si>
    <t>ASHMORE AND CARTIER ISLANDS</t>
  </si>
  <si>
    <t>XAC</t>
  </si>
  <si>
    <t>XA</t>
  </si>
  <si>
    <t>902</t>
  </si>
  <si>
    <t>AUSTRALIA</t>
  </si>
  <si>
    <t>AUS</t>
  </si>
  <si>
    <t>AU</t>
  </si>
  <si>
    <t>036</t>
  </si>
  <si>
    <t>AUSTRIA</t>
  </si>
  <si>
    <t>AUT</t>
  </si>
  <si>
    <t>AT</t>
  </si>
  <si>
    <t>040</t>
  </si>
  <si>
    <t>AZERBAIJAN</t>
  </si>
  <si>
    <t>AZE</t>
  </si>
  <si>
    <t>AZ</t>
  </si>
  <si>
    <t>031</t>
  </si>
  <si>
    <t>BAHAMAS, THE</t>
  </si>
  <si>
    <t>BHS</t>
  </si>
  <si>
    <t>BS</t>
  </si>
  <si>
    <t>044</t>
  </si>
  <si>
    <t>BAHAMAS</t>
  </si>
  <si>
    <t>BAHRAIN</t>
  </si>
  <si>
    <t>BHR</t>
  </si>
  <si>
    <t>BH</t>
  </si>
  <si>
    <t>048</t>
  </si>
  <si>
    <t>BAKER ISLAND</t>
  </si>
  <si>
    <t>XBK</t>
  </si>
  <si>
    <t>XB</t>
  </si>
  <si>
    <t>903</t>
  </si>
  <si>
    <t>UNITED STATES MINOR OUTLYING ISLANDS</t>
  </si>
  <si>
    <t>UMI</t>
  </si>
  <si>
    <t>UM</t>
  </si>
  <si>
    <t>581</t>
  </si>
  <si>
    <t>Baker Island</t>
  </si>
  <si>
    <t>UM-81</t>
  </si>
  <si>
    <t>United States Minor Outlying Islands</t>
  </si>
  <si>
    <t>US-UM</t>
  </si>
  <si>
    <t>BANGLADESH</t>
  </si>
  <si>
    <t>BGD</t>
  </si>
  <si>
    <t>BD</t>
  </si>
  <si>
    <t>050</t>
  </si>
  <si>
    <t>BARBADOS</t>
  </si>
  <si>
    <t>BRB</t>
  </si>
  <si>
    <t>BB</t>
  </si>
  <si>
    <t>052</t>
  </si>
  <si>
    <t>BASSAS DA INDIA</t>
  </si>
  <si>
    <t>XBI</t>
  </si>
  <si>
    <t>QS</t>
  </si>
  <si>
    <t>904</t>
  </si>
  <si>
    <t>FRENCH SOUTHERN TERRITORIES</t>
  </si>
  <si>
    <t>ATF</t>
  </si>
  <si>
    <t>TF</t>
  </si>
  <si>
    <t>260</t>
  </si>
  <si>
    <t>Terres australes françaises</t>
  </si>
  <si>
    <t>FR-TF</t>
  </si>
  <si>
    <t>BELARUS</t>
  </si>
  <si>
    <t>BLR</t>
  </si>
  <si>
    <t>BY</t>
  </si>
  <si>
    <t>112</t>
  </si>
  <si>
    <t>BELGIUM</t>
  </si>
  <si>
    <t>BEL</t>
  </si>
  <si>
    <t>BE</t>
  </si>
  <si>
    <t>056</t>
  </si>
  <si>
    <t>BELIZE</t>
  </si>
  <si>
    <t>BLZ</t>
  </si>
  <si>
    <t>BZ</t>
  </si>
  <si>
    <t>084</t>
  </si>
  <si>
    <t>BENIN</t>
  </si>
  <si>
    <t>BEN</t>
  </si>
  <si>
    <t>BJ</t>
  </si>
  <si>
    <t>204</t>
  </si>
  <si>
    <t>BERMUDA</t>
  </si>
  <si>
    <t>BMU</t>
  </si>
  <si>
    <t>BM</t>
  </si>
  <si>
    <t>060</t>
  </si>
  <si>
    <t>BHUTAN</t>
  </si>
  <si>
    <t>BTN</t>
  </si>
  <si>
    <t>BT</t>
  </si>
  <si>
    <t>064</t>
  </si>
  <si>
    <t>BOLIVIA</t>
  </si>
  <si>
    <t>BOL</t>
  </si>
  <si>
    <t>BO</t>
  </si>
  <si>
    <t>068</t>
  </si>
  <si>
    <t>BOLIVIA (PLURINATIONAL STATE OF)</t>
  </si>
  <si>
    <t>BONAIRE, SINT EUSTATIUS, AND SABA</t>
  </si>
  <si>
    <t>BES</t>
  </si>
  <si>
    <t>BQ</t>
  </si>
  <si>
    <t>535</t>
  </si>
  <si>
    <t>BONAIRE, SINT EUSTATIUS AND SABA</t>
  </si>
  <si>
    <t>NETHERLANDS</t>
  </si>
  <si>
    <t>NLD</t>
  </si>
  <si>
    <t>NL</t>
  </si>
  <si>
    <t>528</t>
  </si>
  <si>
    <t>Bonaire</t>
  </si>
  <si>
    <t>BQ-BO</t>
  </si>
  <si>
    <t>Saba</t>
  </si>
  <si>
    <t>BQ-SA</t>
  </si>
  <si>
    <t>Sint Eustatius</t>
  </si>
  <si>
    <t>BQ-SE</t>
  </si>
  <si>
    <t>NL-BQ1</t>
  </si>
  <si>
    <t>NL-BQ2</t>
  </si>
  <si>
    <t>NL-BQ3</t>
  </si>
  <si>
    <t>BOSNIA AND HERZEGOVINA</t>
  </si>
  <si>
    <t>BIH</t>
  </si>
  <si>
    <t>BA</t>
  </si>
  <si>
    <t>070</t>
  </si>
  <si>
    <t>BOTSWANA</t>
  </si>
  <si>
    <t>BWA</t>
  </si>
  <si>
    <t>BW</t>
  </si>
  <si>
    <t>072</t>
  </si>
  <si>
    <t>BOUVET ISLAND</t>
  </si>
  <si>
    <t>BVT</t>
  </si>
  <si>
    <t>BV</t>
  </si>
  <si>
    <t>074</t>
  </si>
  <si>
    <t>BRAZIL</t>
  </si>
  <si>
    <t>BRA</t>
  </si>
  <si>
    <t>BR</t>
  </si>
  <si>
    <t>076</t>
  </si>
  <si>
    <t>BRITISH INDIAN OCEAN TERRITORY</t>
  </si>
  <si>
    <t>IOT</t>
  </si>
  <si>
    <t>IO</t>
  </si>
  <si>
    <t>086</t>
  </si>
  <si>
    <t>BRUNEI</t>
  </si>
  <si>
    <t>BRN</t>
  </si>
  <si>
    <t>BN</t>
  </si>
  <si>
    <t>096</t>
  </si>
  <si>
    <t>BRUNEI DARUSSALAM</t>
  </si>
  <si>
    <t>BULGARIA</t>
  </si>
  <si>
    <t>BGR</t>
  </si>
  <si>
    <t>BG</t>
  </si>
  <si>
    <t>100</t>
  </si>
  <si>
    <t>BURKINA FASO</t>
  </si>
  <si>
    <t>BFA</t>
  </si>
  <si>
    <t>BF</t>
  </si>
  <si>
    <t>854</t>
  </si>
  <si>
    <t>BURMA</t>
  </si>
  <si>
    <t>MMR</t>
  </si>
  <si>
    <t>MM</t>
  </si>
  <si>
    <t>104</t>
  </si>
  <si>
    <t>MYANMAR</t>
  </si>
  <si>
    <t>BURUNDI</t>
  </si>
  <si>
    <t>BDI</t>
  </si>
  <si>
    <t>BI</t>
  </si>
  <si>
    <t>108</t>
  </si>
  <si>
    <t>CABO VERDE</t>
  </si>
  <si>
    <t>CPV</t>
  </si>
  <si>
    <t>CV</t>
  </si>
  <si>
    <t>132</t>
  </si>
  <si>
    <t>CAMBODIA</t>
  </si>
  <si>
    <t>KHM</t>
  </si>
  <si>
    <t>KH</t>
  </si>
  <si>
    <t>116</t>
  </si>
  <si>
    <t>CAMEROON</t>
  </si>
  <si>
    <t>CMR</t>
  </si>
  <si>
    <t>CM</t>
  </si>
  <si>
    <t>120</t>
  </si>
  <si>
    <t>CANADA</t>
  </si>
  <si>
    <t>CAN</t>
  </si>
  <si>
    <t>CA</t>
  </si>
  <si>
    <t>124</t>
  </si>
  <si>
    <t>CAYMAN ISLANDS</t>
  </si>
  <si>
    <t>CYM</t>
  </si>
  <si>
    <t>KY</t>
  </si>
  <si>
    <t>136</t>
  </si>
  <si>
    <t>CENTRAL AFRICAN REPUBLIC</t>
  </si>
  <si>
    <t>CAF</t>
  </si>
  <si>
    <t>CF</t>
  </si>
  <si>
    <t>140</t>
  </si>
  <si>
    <t>CHAD</t>
  </si>
  <si>
    <t>TCD</t>
  </si>
  <si>
    <t>TD</t>
  </si>
  <si>
    <t>148</t>
  </si>
  <si>
    <t>CHILE</t>
  </si>
  <si>
    <t>CHL</t>
  </si>
  <si>
    <t>CL</t>
  </si>
  <si>
    <t>152</t>
  </si>
  <si>
    <t>CHINA</t>
  </si>
  <si>
    <t>CHN</t>
  </si>
  <si>
    <t>CN</t>
  </si>
  <si>
    <t>156</t>
  </si>
  <si>
    <t>CHRISTMAS ISLAND</t>
  </si>
  <si>
    <t>CXR</t>
  </si>
  <si>
    <t>CX</t>
  </si>
  <si>
    <t>162</t>
  </si>
  <si>
    <t>CLIPPERTON ISLAND</t>
  </si>
  <si>
    <t>CPT</t>
  </si>
  <si>
    <t>CP</t>
  </si>
  <si>
    <t>905</t>
  </si>
  <si>
    <t>FRANCE</t>
  </si>
  <si>
    <t>FRA</t>
  </si>
  <si>
    <t>FR</t>
  </si>
  <si>
    <t>250</t>
  </si>
  <si>
    <t>Clipperton</t>
  </si>
  <si>
    <t>FR-CP</t>
  </si>
  <si>
    <t>COCOS (KEELING) ISLANDS</t>
  </si>
  <si>
    <t>CCK</t>
  </si>
  <si>
    <t>CC</t>
  </si>
  <si>
    <t>166</t>
  </si>
  <si>
    <t>COLOMBIA</t>
  </si>
  <si>
    <t>COL</t>
  </si>
  <si>
    <t>CO</t>
  </si>
  <si>
    <t>170</t>
  </si>
  <si>
    <t>COMOROS</t>
  </si>
  <si>
    <t>COM</t>
  </si>
  <si>
    <t>KM</t>
  </si>
  <si>
    <t>174</t>
  </si>
  <si>
    <t>CONGO (BRAZZAVILLE)</t>
  </si>
  <si>
    <t>COG</t>
  </si>
  <si>
    <t>CG</t>
  </si>
  <si>
    <t>178</t>
  </si>
  <si>
    <t>CONGO</t>
  </si>
  <si>
    <t>CONGO (KINSHASA)</t>
  </si>
  <si>
    <t>COD</t>
  </si>
  <si>
    <t>CD</t>
  </si>
  <si>
    <t>180</t>
  </si>
  <si>
    <t>CONGO, DEMOCRATIC REPUBLIC OF THE</t>
  </si>
  <si>
    <t>COOK ISLANDS</t>
  </si>
  <si>
    <t>COK</t>
  </si>
  <si>
    <t>CK</t>
  </si>
  <si>
    <t>184</t>
  </si>
  <si>
    <t>CORAL SEA ISLANDS</t>
  </si>
  <si>
    <t>XCS</t>
  </si>
  <si>
    <t>XC</t>
  </si>
  <si>
    <t>906</t>
  </si>
  <si>
    <t>COSTA RICA</t>
  </si>
  <si>
    <t>CRI</t>
  </si>
  <si>
    <t>CR</t>
  </si>
  <si>
    <t>188</t>
  </si>
  <si>
    <t>CÔTE D’IVOIRE</t>
  </si>
  <si>
    <t>CIV</t>
  </si>
  <si>
    <t>CI</t>
  </si>
  <si>
    <t>384</t>
  </si>
  <si>
    <t>CÔTE D'IVOIRE</t>
  </si>
  <si>
    <t>CROATIA</t>
  </si>
  <si>
    <t>HRV</t>
  </si>
  <si>
    <t>HR</t>
  </si>
  <si>
    <t>191</t>
  </si>
  <si>
    <t>CUBA</t>
  </si>
  <si>
    <t>CUB</t>
  </si>
  <si>
    <t>CU</t>
  </si>
  <si>
    <t>192</t>
  </si>
  <si>
    <t>CURAÇAO</t>
  </si>
  <si>
    <t>CUW</t>
  </si>
  <si>
    <t>CW</t>
  </si>
  <si>
    <t>531</t>
  </si>
  <si>
    <t>Curaçao</t>
  </si>
  <si>
    <t>NL-CW</t>
  </si>
  <si>
    <t>CYPRUS</t>
  </si>
  <si>
    <t>CYP</t>
  </si>
  <si>
    <t>CY</t>
  </si>
  <si>
    <t>196</t>
  </si>
  <si>
    <t>CZECHIA</t>
  </si>
  <si>
    <t>CZE</t>
  </si>
  <si>
    <t>CZ</t>
  </si>
  <si>
    <t>203</t>
  </si>
  <si>
    <t>DENMARK</t>
  </si>
  <si>
    <t>DNK</t>
  </si>
  <si>
    <t>DK</t>
  </si>
  <si>
    <t>208</t>
  </si>
  <si>
    <t>DHEKELIA</t>
  </si>
  <si>
    <t>XXD</t>
  </si>
  <si>
    <t>XD</t>
  </si>
  <si>
    <t>907</t>
  </si>
  <si>
    <t>DIEGO GARCIA</t>
  </si>
  <si>
    <t>DGA</t>
  </si>
  <si>
    <t>DG</t>
  </si>
  <si>
    <t>908</t>
  </si>
  <si>
    <t>DJIBOUTI</t>
  </si>
  <si>
    <t>DJI</t>
  </si>
  <si>
    <t>DJ</t>
  </si>
  <si>
    <t>262</t>
  </si>
  <si>
    <t>DOMINICA</t>
  </si>
  <si>
    <t>DMA</t>
  </si>
  <si>
    <t>DM</t>
  </si>
  <si>
    <t>212</t>
  </si>
  <si>
    <t>DOMINICAN REPUBLIC</t>
  </si>
  <si>
    <t>DOM</t>
  </si>
  <si>
    <t>DO</t>
  </si>
  <si>
    <t>214</t>
  </si>
  <si>
    <t>ECUADOR</t>
  </si>
  <si>
    <t>ECU</t>
  </si>
  <si>
    <t>EC</t>
  </si>
  <si>
    <t>218</t>
  </si>
  <si>
    <t>EGYPT</t>
  </si>
  <si>
    <t>EGY</t>
  </si>
  <si>
    <t>EG</t>
  </si>
  <si>
    <t>818</t>
  </si>
  <si>
    <t>EL SALVADOR</t>
  </si>
  <si>
    <t>SLV</t>
  </si>
  <si>
    <t>SV</t>
  </si>
  <si>
    <t>222</t>
  </si>
  <si>
    <t>ENTITY 1</t>
  </si>
  <si>
    <t>XAZ</t>
  </si>
  <si>
    <t>[None]</t>
  </si>
  <si>
    <t>909</t>
  </si>
  <si>
    <t>ENTITY 2</t>
  </si>
  <si>
    <t>XCR</t>
  </si>
  <si>
    <t>910</t>
  </si>
  <si>
    <t>ENTITY 3</t>
  </si>
  <si>
    <t>XCY</t>
  </si>
  <si>
    <t>911</t>
  </si>
  <si>
    <t>ENTITY 4</t>
  </si>
  <si>
    <t>XKM</t>
  </si>
  <si>
    <t>912</t>
  </si>
  <si>
    <t>ENTITY 5</t>
  </si>
  <si>
    <t>XKN</t>
  </si>
  <si>
    <t>913</t>
  </si>
  <si>
    <t>ENTITY 6</t>
  </si>
  <si>
    <t>AX3</t>
  </si>
  <si>
    <t>A3</t>
  </si>
  <si>
    <t>914</t>
  </si>
  <si>
    <t>EQUATORIAL GUINEA</t>
  </si>
  <si>
    <t>GNQ</t>
  </si>
  <si>
    <t>GQ</t>
  </si>
  <si>
    <t>226</t>
  </si>
  <si>
    <t>ERITREA</t>
  </si>
  <si>
    <t>ERI</t>
  </si>
  <si>
    <t>ER</t>
  </si>
  <si>
    <t>232</t>
  </si>
  <si>
    <t>ESTONIA</t>
  </si>
  <si>
    <t>EST</t>
  </si>
  <si>
    <t>EE</t>
  </si>
  <si>
    <t>233</t>
  </si>
  <si>
    <t>ETHIOPIA</t>
  </si>
  <si>
    <t>ETH</t>
  </si>
  <si>
    <t>ET</t>
  </si>
  <si>
    <t>231</t>
  </si>
  <si>
    <t>EUROPA ISLAND</t>
  </si>
  <si>
    <t>XEU</t>
  </si>
  <si>
    <t>XE</t>
  </si>
  <si>
    <t>915</t>
  </si>
  <si>
    <t>FALKLAND ISLANDS (ISLAS MALVINAS)</t>
  </si>
  <si>
    <t>FLK</t>
  </si>
  <si>
    <t>FK</t>
  </si>
  <si>
    <t>238</t>
  </si>
  <si>
    <t>FALKLAND ISLANDS (MALVINAS)</t>
  </si>
  <si>
    <t>FAROE ISLANDS</t>
  </si>
  <si>
    <t>FRO</t>
  </si>
  <si>
    <t>FO</t>
  </si>
  <si>
    <t>234</t>
  </si>
  <si>
    <t>FIJI</t>
  </si>
  <si>
    <t>FJI</t>
  </si>
  <si>
    <t>FJ</t>
  </si>
  <si>
    <t>242</t>
  </si>
  <si>
    <t>FINLAND</t>
  </si>
  <si>
    <t>FIN</t>
  </si>
  <si>
    <t>FI</t>
  </si>
  <si>
    <t>246</t>
  </si>
  <si>
    <t>ÅLAND ISLANDS</t>
  </si>
  <si>
    <t>ALA</t>
  </si>
  <si>
    <t>AX</t>
  </si>
  <si>
    <t>248</t>
  </si>
  <si>
    <t>FRENCH GUIANA</t>
  </si>
  <si>
    <t>GUF</t>
  </si>
  <si>
    <t>GF</t>
  </si>
  <si>
    <t>254</t>
  </si>
  <si>
    <t>Guyane (française)</t>
  </si>
  <si>
    <t>FR-GF</t>
  </si>
  <si>
    <t>FRENCH POLYNESIA</t>
  </si>
  <si>
    <t>PYF</t>
  </si>
  <si>
    <t>PF</t>
  </si>
  <si>
    <t>258</t>
  </si>
  <si>
    <t>Polynésie française</t>
  </si>
  <si>
    <t>FR-PF</t>
  </si>
  <si>
    <t>FRENCH SOUTHERN AND ANTARCTIC LANDS</t>
  </si>
  <si>
    <t>GABON</t>
  </si>
  <si>
    <t>GAB</t>
  </si>
  <si>
    <t>GA</t>
  </si>
  <si>
    <t>266</t>
  </si>
  <si>
    <t>GAMBIA, THE</t>
  </si>
  <si>
    <t>GMB</t>
  </si>
  <si>
    <t>GM</t>
  </si>
  <si>
    <t>270</t>
  </si>
  <si>
    <t>GAMBIA</t>
  </si>
  <si>
    <t>GAZA STRIP</t>
  </si>
  <si>
    <t>XGZ</t>
  </si>
  <si>
    <t>XG</t>
  </si>
  <si>
    <t>916</t>
  </si>
  <si>
    <t>PALESTINE, STATE OF</t>
  </si>
  <si>
    <t>PSE</t>
  </si>
  <si>
    <t>PS</t>
  </si>
  <si>
    <t>275</t>
  </si>
  <si>
    <t>GEORGIA</t>
  </si>
  <si>
    <t>GEO</t>
  </si>
  <si>
    <t>GE</t>
  </si>
  <si>
    <t>268</t>
  </si>
  <si>
    <t>GERMANY</t>
  </si>
  <si>
    <t>DEU</t>
  </si>
  <si>
    <t>DE</t>
  </si>
  <si>
    <t>276</t>
  </si>
  <si>
    <t>GHANA</t>
  </si>
  <si>
    <t>GHA</t>
  </si>
  <si>
    <t>GH</t>
  </si>
  <si>
    <t>288</t>
  </si>
  <si>
    <t>GIBRALTAR</t>
  </si>
  <si>
    <t>GIB</t>
  </si>
  <si>
    <t>GI</t>
  </si>
  <si>
    <t>292</t>
  </si>
  <si>
    <t>GLORIOSO ISLANDS</t>
  </si>
  <si>
    <t>XGL</t>
  </si>
  <si>
    <t>QX</t>
  </si>
  <si>
    <t>917</t>
  </si>
  <si>
    <t>GREECE</t>
  </si>
  <si>
    <t>GRC</t>
  </si>
  <si>
    <t>GR</t>
  </si>
  <si>
    <t>300</t>
  </si>
  <si>
    <t>GREENLAND</t>
  </si>
  <si>
    <t>GRL</t>
  </si>
  <si>
    <t>GL</t>
  </si>
  <si>
    <t>304</t>
  </si>
  <si>
    <t>GRENADA</t>
  </si>
  <si>
    <t>GRD</t>
  </si>
  <si>
    <t>GD</t>
  </si>
  <si>
    <t>308</t>
  </si>
  <si>
    <t>GUADELOUPE</t>
  </si>
  <si>
    <t>GLP</t>
  </si>
  <si>
    <t>GP</t>
  </si>
  <si>
    <t>312</t>
  </si>
  <si>
    <t>Guadeloupe</t>
  </si>
  <si>
    <t>FR-GP</t>
  </si>
  <si>
    <t>FR-GUA</t>
  </si>
  <si>
    <t>GUAM</t>
  </si>
  <si>
    <t>GUM</t>
  </si>
  <si>
    <t>GU</t>
  </si>
  <si>
    <t>316</t>
  </si>
  <si>
    <t>Guam</t>
  </si>
  <si>
    <t>US-GU</t>
  </si>
  <si>
    <t>GUANTANAMO BAY NAVAL BASE</t>
  </si>
  <si>
    <t>AX2</t>
  </si>
  <si>
    <t>A2</t>
  </si>
  <si>
    <t>918</t>
  </si>
  <si>
    <t>GUATEMALA</t>
  </si>
  <si>
    <t>GTM</t>
  </si>
  <si>
    <t>GT</t>
  </si>
  <si>
    <t>320</t>
  </si>
  <si>
    <t>GUERNSEY</t>
  </si>
  <si>
    <t>GGY</t>
  </si>
  <si>
    <t>GG</t>
  </si>
  <si>
    <t>831</t>
  </si>
  <si>
    <t>GUINEA</t>
  </si>
  <si>
    <t>GIN</t>
  </si>
  <si>
    <t>GN</t>
  </si>
  <si>
    <t>324</t>
  </si>
  <si>
    <t>GUINEA-BISSAU</t>
  </si>
  <si>
    <t>GNB</t>
  </si>
  <si>
    <t>GW</t>
  </si>
  <si>
    <t>624</t>
  </si>
  <si>
    <t>GUYANA</t>
  </si>
  <si>
    <t>GUY</t>
  </si>
  <si>
    <t>GY</t>
  </si>
  <si>
    <t>328</t>
  </si>
  <si>
    <t>HAITI</t>
  </si>
  <si>
    <t>HTI</t>
  </si>
  <si>
    <t>HT</t>
  </si>
  <si>
    <t>332</t>
  </si>
  <si>
    <t>HEARD ISLAND AND MCDONALD ISLANDS</t>
  </si>
  <si>
    <t>HMD</t>
  </si>
  <si>
    <t>HM</t>
  </si>
  <si>
    <t>334</t>
  </si>
  <si>
    <t>HONDURAS</t>
  </si>
  <si>
    <t>HND</t>
  </si>
  <si>
    <t>HN</t>
  </si>
  <si>
    <t>340</t>
  </si>
  <si>
    <t>HONG KONG</t>
  </si>
  <si>
    <t>HKG</t>
  </si>
  <si>
    <t>HK</t>
  </si>
  <si>
    <t>344</t>
  </si>
  <si>
    <t>Xianggang</t>
  </si>
  <si>
    <t>CN-91</t>
  </si>
  <si>
    <t>HOWLAND ISLAND</t>
  </si>
  <si>
    <t>XHO</t>
  </si>
  <si>
    <t>XH</t>
  </si>
  <si>
    <t>919</t>
  </si>
  <si>
    <t>Howland Island</t>
  </si>
  <si>
    <t>UM-84</t>
  </si>
  <si>
    <t>HUNGARY</t>
  </si>
  <si>
    <t>HUN</t>
  </si>
  <si>
    <t>HU</t>
  </si>
  <si>
    <t>348</t>
  </si>
  <si>
    <t>ICELAND</t>
  </si>
  <si>
    <t>ISL</t>
  </si>
  <si>
    <t>IS</t>
  </si>
  <si>
    <t>352</t>
  </si>
  <si>
    <t>INDIA</t>
  </si>
  <si>
    <t>IND</t>
  </si>
  <si>
    <t>IN</t>
  </si>
  <si>
    <t>356</t>
  </si>
  <si>
    <t>INDONESIA</t>
  </si>
  <si>
    <t>IDN</t>
  </si>
  <si>
    <t>ID</t>
  </si>
  <si>
    <t>360</t>
  </si>
  <si>
    <t>IRAN</t>
  </si>
  <si>
    <t>IRN</t>
  </si>
  <si>
    <t>IR</t>
  </si>
  <si>
    <t>364</t>
  </si>
  <si>
    <t>IRAN (ISLAMIC REPUBLIC OF)</t>
  </si>
  <si>
    <t>IRAQ</t>
  </si>
  <si>
    <t>IRQ</t>
  </si>
  <si>
    <t>IQ</t>
  </si>
  <si>
    <t>368</t>
  </si>
  <si>
    <t>IRELAND</t>
  </si>
  <si>
    <t>IRL</t>
  </si>
  <si>
    <t>IE</t>
  </si>
  <si>
    <t>372</t>
  </si>
  <si>
    <t>ISLE OF MAN</t>
  </si>
  <si>
    <t>IMN</t>
  </si>
  <si>
    <t>IM</t>
  </si>
  <si>
    <t>833</t>
  </si>
  <si>
    <t>ISRAEL</t>
  </si>
  <si>
    <t>ISR</t>
  </si>
  <si>
    <t>IL</t>
  </si>
  <si>
    <t>376</t>
  </si>
  <si>
    <t>ITALY</t>
  </si>
  <si>
    <t>ITA</t>
  </si>
  <si>
    <t>IT</t>
  </si>
  <si>
    <t>380</t>
  </si>
  <si>
    <t>JAMAICA</t>
  </si>
  <si>
    <t>JAM</t>
  </si>
  <si>
    <t>JM</t>
  </si>
  <si>
    <t>388</t>
  </si>
  <si>
    <t>JAN MAYEN</t>
  </si>
  <si>
    <t>XJM</t>
  </si>
  <si>
    <t>XJ</t>
  </si>
  <si>
    <t>920</t>
  </si>
  <si>
    <t>SVALBARD AND JAN MAYEN</t>
  </si>
  <si>
    <t>SJM</t>
  </si>
  <si>
    <t>SJ</t>
  </si>
  <si>
    <t>744</t>
  </si>
  <si>
    <t>Jan Mayen (Arctic Region)</t>
  </si>
  <si>
    <t>NO-22</t>
  </si>
  <si>
    <t>JAPAN</t>
  </si>
  <si>
    <t>JPN</t>
  </si>
  <si>
    <t>JP</t>
  </si>
  <si>
    <t>392</t>
  </si>
  <si>
    <t>JARVIS ISLAND</t>
  </si>
  <si>
    <t>XJV</t>
  </si>
  <si>
    <t>XQ</t>
  </si>
  <si>
    <t>921</t>
  </si>
  <si>
    <t>Jarvis Island</t>
  </si>
  <si>
    <t>UM-86</t>
  </si>
  <si>
    <t>JERSEY</t>
  </si>
  <si>
    <t>JEY</t>
  </si>
  <si>
    <t>JE</t>
  </si>
  <si>
    <t>832</t>
  </si>
  <si>
    <t>JOHNSTON ATOLL</t>
  </si>
  <si>
    <t>XJA</t>
  </si>
  <si>
    <t>XU</t>
  </si>
  <si>
    <t>922</t>
  </si>
  <si>
    <t>Johnston Atoll</t>
  </si>
  <si>
    <t>UM-67</t>
  </si>
  <si>
    <t>JORDAN</t>
  </si>
  <si>
    <t>JOR</t>
  </si>
  <si>
    <t>JO</t>
  </si>
  <si>
    <t>400</t>
  </si>
  <si>
    <t>JUAN DE NOVA ISLAND</t>
  </si>
  <si>
    <t>XJN</t>
  </si>
  <si>
    <t>QU</t>
  </si>
  <si>
    <t>923</t>
  </si>
  <si>
    <t>KAZAKHSTAN</t>
  </si>
  <si>
    <t>KAZ</t>
  </si>
  <si>
    <t>KZ</t>
  </si>
  <si>
    <t>398</t>
  </si>
  <si>
    <t>KENYA</t>
  </si>
  <si>
    <t>KEN</t>
  </si>
  <si>
    <t>KE</t>
  </si>
  <si>
    <t>404</t>
  </si>
  <si>
    <t>KINGMAN REEF</t>
  </si>
  <si>
    <t>XKR</t>
  </si>
  <si>
    <t>XM</t>
  </si>
  <si>
    <t>924</t>
  </si>
  <si>
    <t>Kingman Reef</t>
  </si>
  <si>
    <t>UM-89</t>
  </si>
  <si>
    <t>KIRIBATI</t>
  </si>
  <si>
    <t>KIR</t>
  </si>
  <si>
    <t>KI</t>
  </si>
  <si>
    <t>296</t>
  </si>
  <si>
    <t>KOREA, NORTH</t>
  </si>
  <si>
    <t>PRK</t>
  </si>
  <si>
    <t>KP</t>
  </si>
  <si>
    <t>408</t>
  </si>
  <si>
    <t>KOREA, DEMOCRATIC PEOPLE'S REPUBLIC OF</t>
  </si>
  <si>
    <t>KOREA, SOUTH</t>
  </si>
  <si>
    <t>KOR</t>
  </si>
  <si>
    <t>KR</t>
  </si>
  <si>
    <t>410</t>
  </si>
  <si>
    <t>KOREA, REPUBLIC OF</t>
  </si>
  <si>
    <t>KOSOVO</t>
  </si>
  <si>
    <t>XKS</t>
  </si>
  <si>
    <t>XK</t>
  </si>
  <si>
    <t>901</t>
  </si>
  <si>
    <t>Kosovo-Metohija</t>
  </si>
  <si>
    <t>RS-KM</t>
  </si>
  <si>
    <t>KUWAIT</t>
  </si>
  <si>
    <t>KWT</t>
  </si>
  <si>
    <t>KW</t>
  </si>
  <si>
    <t>414</t>
  </si>
  <si>
    <t>KYRGYZSTAN</t>
  </si>
  <si>
    <t>KGZ</t>
  </si>
  <si>
    <t>KG</t>
  </si>
  <si>
    <t>417</t>
  </si>
  <si>
    <t>LAOS</t>
  </si>
  <si>
    <t>LAO</t>
  </si>
  <si>
    <t>LA</t>
  </si>
  <si>
    <t>418</t>
  </si>
  <si>
    <t>LAO PEOPLE'S DEMOCRATIC REPUBLIC</t>
  </si>
  <si>
    <t>LATVIA</t>
  </si>
  <si>
    <t>LVA</t>
  </si>
  <si>
    <t>LV</t>
  </si>
  <si>
    <t>428</t>
  </si>
  <si>
    <t>LEBANON</t>
  </si>
  <si>
    <t>LBN</t>
  </si>
  <si>
    <t>LB</t>
  </si>
  <si>
    <t>422</t>
  </si>
  <si>
    <t>LESOTHO</t>
  </si>
  <si>
    <t>LSO</t>
  </si>
  <si>
    <t>LS</t>
  </si>
  <si>
    <t>426</t>
  </si>
  <si>
    <t>LIBERIA</t>
  </si>
  <si>
    <t>LBR</t>
  </si>
  <si>
    <t>LR</t>
  </si>
  <si>
    <t>430</t>
  </si>
  <si>
    <t>LIBYA</t>
  </si>
  <si>
    <t>LBY</t>
  </si>
  <si>
    <t>LY</t>
  </si>
  <si>
    <t>434</t>
  </si>
  <si>
    <t>LIECHTENSTEIN</t>
  </si>
  <si>
    <t>LIE</t>
  </si>
  <si>
    <t>LI</t>
  </si>
  <si>
    <t>438</t>
  </si>
  <si>
    <t>LITHUANIA</t>
  </si>
  <si>
    <t>LTU</t>
  </si>
  <si>
    <t>LT</t>
  </si>
  <si>
    <t>440</t>
  </si>
  <si>
    <t>LUXEMBOURG</t>
  </si>
  <si>
    <t>LUX</t>
  </si>
  <si>
    <t>LU</t>
  </si>
  <si>
    <t>442</t>
  </si>
  <si>
    <t>MACAU</t>
  </si>
  <si>
    <t>MAC</t>
  </si>
  <si>
    <t>MO</t>
  </si>
  <si>
    <t>446</t>
  </si>
  <si>
    <t>MACAO</t>
  </si>
  <si>
    <t>Aomen</t>
  </si>
  <si>
    <t>CN-92</t>
  </si>
  <si>
    <t>MACEDONIA</t>
  </si>
  <si>
    <t>MKD</t>
  </si>
  <si>
    <t>MK</t>
  </si>
  <si>
    <t>807</t>
  </si>
  <si>
    <t>MACEDONIA, THE FORMER YUGOSLAV REPUBLIC OF</t>
  </si>
  <si>
    <t>MADAGASCAR</t>
  </si>
  <si>
    <t>MDG</t>
  </si>
  <si>
    <t>MG</t>
  </si>
  <si>
    <t>450</t>
  </si>
  <si>
    <t>MALAWI</t>
  </si>
  <si>
    <t>MWI</t>
  </si>
  <si>
    <t>MW</t>
  </si>
  <si>
    <t>454</t>
  </si>
  <si>
    <t>MALAYSIA</t>
  </si>
  <si>
    <t>MYS</t>
  </si>
  <si>
    <t>MY</t>
  </si>
  <si>
    <t>458</t>
  </si>
  <si>
    <t>MALDIVES</t>
  </si>
  <si>
    <t>MDV</t>
  </si>
  <si>
    <t>MV</t>
  </si>
  <si>
    <t>462</t>
  </si>
  <si>
    <t>MALI</t>
  </si>
  <si>
    <t>MLI</t>
  </si>
  <si>
    <t>ML</t>
  </si>
  <si>
    <t>466</t>
  </si>
  <si>
    <t>MALTA</t>
  </si>
  <si>
    <t>MLT</t>
  </si>
  <si>
    <t>MT</t>
  </si>
  <si>
    <t>470</t>
  </si>
  <si>
    <t>MARSHALL ISLANDS</t>
  </si>
  <si>
    <t>MHL</t>
  </si>
  <si>
    <t>MH</t>
  </si>
  <si>
    <t>584</t>
  </si>
  <si>
    <t>MARTINIQUE</t>
  </si>
  <si>
    <t>MTQ</t>
  </si>
  <si>
    <t>MQ</t>
  </si>
  <si>
    <t>474</t>
  </si>
  <si>
    <t>Martinique</t>
  </si>
  <si>
    <t>FR-MQ</t>
  </si>
  <si>
    <t>MAURITANIA</t>
  </si>
  <si>
    <t>MRT</t>
  </si>
  <si>
    <t>MR</t>
  </si>
  <si>
    <t>478</t>
  </si>
  <si>
    <t>MAURITIUS</t>
  </si>
  <si>
    <t>MUS</t>
  </si>
  <si>
    <t>MU</t>
  </si>
  <si>
    <t>480</t>
  </si>
  <si>
    <t>MAYOTTE</t>
  </si>
  <si>
    <t>MYT</t>
  </si>
  <si>
    <t>YT</t>
  </si>
  <si>
    <t>175</t>
  </si>
  <si>
    <t>Mayotte</t>
  </si>
  <si>
    <t>FR-YT</t>
  </si>
  <si>
    <t>FR-MAY</t>
  </si>
  <si>
    <t>MEXICO</t>
  </si>
  <si>
    <t>MEX</t>
  </si>
  <si>
    <t>MX</t>
  </si>
  <si>
    <t>484</t>
  </si>
  <si>
    <t>MICRONESIA, FEDERATED STATES OF</t>
  </si>
  <si>
    <t>FSM</t>
  </si>
  <si>
    <t>FM</t>
  </si>
  <si>
    <t>583</t>
  </si>
  <si>
    <t>MICRONESIA (FEDERATED STATES OF)</t>
  </si>
  <si>
    <t>MIDWAY ISLANDS</t>
  </si>
  <si>
    <t>XMW</t>
  </si>
  <si>
    <t>QM</t>
  </si>
  <si>
    <t>925</t>
  </si>
  <si>
    <t>Midway Islands</t>
  </si>
  <si>
    <t>UM-71</t>
  </si>
  <si>
    <t>MOLDOVA</t>
  </si>
  <si>
    <t>MDA</t>
  </si>
  <si>
    <t>MD</t>
  </si>
  <si>
    <t>498</t>
  </si>
  <si>
    <t>MOLDOVA, REPUBLIC OF</t>
  </si>
  <si>
    <t>MONACO</t>
  </si>
  <si>
    <t>MCO</t>
  </si>
  <si>
    <t>MC</t>
  </si>
  <si>
    <t>492</t>
  </si>
  <si>
    <t>MONGOLIA</t>
  </si>
  <si>
    <t>MNG</t>
  </si>
  <si>
    <t>MN</t>
  </si>
  <si>
    <t>496</t>
  </si>
  <si>
    <t>MONTENEGRO</t>
  </si>
  <si>
    <t>MNE</t>
  </si>
  <si>
    <t>ME</t>
  </si>
  <si>
    <t>499</t>
  </si>
  <si>
    <t>MONTSERRAT</t>
  </si>
  <si>
    <t>MSR</t>
  </si>
  <si>
    <t>MS</t>
  </si>
  <si>
    <t>500</t>
  </si>
  <si>
    <t>MOROCCO</t>
  </si>
  <si>
    <t>MAR</t>
  </si>
  <si>
    <t>MA</t>
  </si>
  <si>
    <t>504</t>
  </si>
  <si>
    <t>MOZAMBIQUE</t>
  </si>
  <si>
    <t>MOZ</t>
  </si>
  <si>
    <t>MZ</t>
  </si>
  <si>
    <t>508</t>
  </si>
  <si>
    <t>NAMIBIA</t>
  </si>
  <si>
    <t>NAM</t>
  </si>
  <si>
    <t>NA</t>
  </si>
  <si>
    <t>516</t>
  </si>
  <si>
    <t>NAURU</t>
  </si>
  <si>
    <t>NRU</t>
  </si>
  <si>
    <t>NR</t>
  </si>
  <si>
    <t>520</t>
  </si>
  <si>
    <t>NAVASSA ISLAND</t>
  </si>
  <si>
    <t>XNV</t>
  </si>
  <si>
    <t>XV</t>
  </si>
  <si>
    <t>926</t>
  </si>
  <si>
    <t>Navassa Island</t>
  </si>
  <si>
    <t>UM-76</t>
  </si>
  <si>
    <t>NEPAL</t>
  </si>
  <si>
    <t>NPL</t>
  </si>
  <si>
    <t>NP</t>
  </si>
  <si>
    <t>524</t>
  </si>
  <si>
    <t>NEW CALEDONIA</t>
  </si>
  <si>
    <t>NCL</t>
  </si>
  <si>
    <t>NC</t>
  </si>
  <si>
    <t>540</t>
  </si>
  <si>
    <t>Nouvelle-Calédonie</t>
  </si>
  <si>
    <t>FR-NC</t>
  </si>
  <si>
    <t>NEW ZEALAND</t>
  </si>
  <si>
    <t>NZL</t>
  </si>
  <si>
    <t>NZ</t>
  </si>
  <si>
    <t>554</t>
  </si>
  <si>
    <t>NICARAGUA</t>
  </si>
  <si>
    <t>NIC</t>
  </si>
  <si>
    <t>NI</t>
  </si>
  <si>
    <t>558</t>
  </si>
  <si>
    <t>NIGER</t>
  </si>
  <si>
    <t>NER</t>
  </si>
  <si>
    <t>NE</t>
  </si>
  <si>
    <t>562</t>
  </si>
  <si>
    <t>NIGERIA</t>
  </si>
  <si>
    <t>NGA</t>
  </si>
  <si>
    <t>NG</t>
  </si>
  <si>
    <t>566</t>
  </si>
  <si>
    <t>NIUE</t>
  </si>
  <si>
    <t>NIU</t>
  </si>
  <si>
    <t>NU</t>
  </si>
  <si>
    <t>570</t>
  </si>
  <si>
    <t>NORFOLK ISLAND</t>
  </si>
  <si>
    <t>NFK</t>
  </si>
  <si>
    <t>NF</t>
  </si>
  <si>
    <t>574</t>
  </si>
  <si>
    <t>NORTHERN MARIANA ISLANDS</t>
  </si>
  <si>
    <t>MNP</t>
  </si>
  <si>
    <t>MP</t>
  </si>
  <si>
    <t>580</t>
  </si>
  <si>
    <t>Northern Mariana Islands</t>
  </si>
  <si>
    <t>US-MP</t>
  </si>
  <si>
    <t>NORWAY</t>
  </si>
  <si>
    <t>NOR</t>
  </si>
  <si>
    <t>NO</t>
  </si>
  <si>
    <t>578</t>
  </si>
  <si>
    <t>OMAN</t>
  </si>
  <si>
    <t>OMN</t>
  </si>
  <si>
    <t>OM</t>
  </si>
  <si>
    <t>512</t>
  </si>
  <si>
    <t>PAKISTAN</t>
  </si>
  <si>
    <t>PAK</t>
  </si>
  <si>
    <t>PK</t>
  </si>
  <si>
    <t>586</t>
  </si>
  <si>
    <t>PALAU</t>
  </si>
  <si>
    <t>PLW</t>
  </si>
  <si>
    <t>PW</t>
  </si>
  <si>
    <t>585</t>
  </si>
  <si>
    <t>PALMYRA ATOLL</t>
  </si>
  <si>
    <t>XPL</t>
  </si>
  <si>
    <t>XL</t>
  </si>
  <si>
    <t>927</t>
  </si>
  <si>
    <t>Palmyra Atoll</t>
  </si>
  <si>
    <t>UM-95</t>
  </si>
  <si>
    <t>PANAMA</t>
  </si>
  <si>
    <t>PAN</t>
  </si>
  <si>
    <t>PA</t>
  </si>
  <si>
    <t>591</t>
  </si>
  <si>
    <t>PAPUA NEW GUINEA</t>
  </si>
  <si>
    <t>PNG</t>
  </si>
  <si>
    <t>PG</t>
  </si>
  <si>
    <t>598</t>
  </si>
  <si>
    <t>PARACEL ISLANDS</t>
  </si>
  <si>
    <t>XPR</t>
  </si>
  <si>
    <t>XP</t>
  </si>
  <si>
    <t>928</t>
  </si>
  <si>
    <t>TAIWAN, PROVINCE OF CHINA</t>
  </si>
  <si>
    <t>TWN</t>
  </si>
  <si>
    <t>TW</t>
  </si>
  <si>
    <t>158</t>
  </si>
  <si>
    <t>VIET NAM</t>
  </si>
  <si>
    <t>VNM</t>
  </si>
  <si>
    <t>VN</t>
  </si>
  <si>
    <t>704</t>
  </si>
  <si>
    <t>PARAGUAY</t>
  </si>
  <si>
    <t>PRY</t>
  </si>
  <si>
    <t>PY</t>
  </si>
  <si>
    <t>600</t>
  </si>
  <si>
    <t>PERU</t>
  </si>
  <si>
    <t>PER</t>
  </si>
  <si>
    <t>PE</t>
  </si>
  <si>
    <t>604</t>
  </si>
  <si>
    <t>PHILIPPINES</t>
  </si>
  <si>
    <t>PHL</t>
  </si>
  <si>
    <t>PH</t>
  </si>
  <si>
    <t>608</t>
  </si>
  <si>
    <t>PITCAIRN ISLANDS</t>
  </si>
  <si>
    <t>PCN</t>
  </si>
  <si>
    <t>PN</t>
  </si>
  <si>
    <t>612</t>
  </si>
  <si>
    <t>PITCAIRN</t>
  </si>
  <si>
    <t>POLAND</t>
  </si>
  <si>
    <t>POL</t>
  </si>
  <si>
    <t>PL</t>
  </si>
  <si>
    <t>616</t>
  </si>
  <si>
    <t>PORTUGAL</t>
  </si>
  <si>
    <t>PRT</t>
  </si>
  <si>
    <t>PT</t>
  </si>
  <si>
    <t>620</t>
  </si>
  <si>
    <t>PUERTO RICO</t>
  </si>
  <si>
    <t>PRI</t>
  </si>
  <si>
    <t>PR</t>
  </si>
  <si>
    <t>630</t>
  </si>
  <si>
    <t>Puerto Rico</t>
  </si>
  <si>
    <t>US-PR</t>
  </si>
  <si>
    <t>QATAR</t>
  </si>
  <si>
    <t>QAT</t>
  </si>
  <si>
    <t>QA</t>
  </si>
  <si>
    <t>634</t>
  </si>
  <si>
    <t>REUNION</t>
  </si>
  <si>
    <t>REU</t>
  </si>
  <si>
    <t>RE</t>
  </si>
  <si>
    <t>638</t>
  </si>
  <si>
    <t>RÉUNION</t>
  </si>
  <si>
    <t>La Réunion</t>
  </si>
  <si>
    <t>FR-RE</t>
  </si>
  <si>
    <t>FR-LRE</t>
  </si>
  <si>
    <t>ROMANIA</t>
  </si>
  <si>
    <t>ROU</t>
  </si>
  <si>
    <t>RO</t>
  </si>
  <si>
    <t>642</t>
  </si>
  <si>
    <t>RUSSIA</t>
  </si>
  <si>
    <t>RUS</t>
  </si>
  <si>
    <t>RU</t>
  </si>
  <si>
    <t>643</t>
  </si>
  <si>
    <t>RUSSIAN FEDERATION</t>
  </si>
  <si>
    <t>RWANDA</t>
  </si>
  <si>
    <t>RWA</t>
  </si>
  <si>
    <t>RW</t>
  </si>
  <si>
    <t>646</t>
  </si>
  <si>
    <t>SAINT BARTHELEMY</t>
  </si>
  <si>
    <t>BLM</t>
  </si>
  <si>
    <t>BL</t>
  </si>
  <si>
    <t>652</t>
  </si>
  <si>
    <t>SAINT BARTHÉLEMY</t>
  </si>
  <si>
    <t>Saint-Barthélemy</t>
  </si>
  <si>
    <t>FR-BL</t>
  </si>
  <si>
    <t>SAINT HELENA, ASCENSION, AND TRISTAN DA CUNHA</t>
  </si>
  <si>
    <t>SHN</t>
  </si>
  <si>
    <t>SH</t>
  </si>
  <si>
    <t>654</t>
  </si>
  <si>
    <t>SAINT HELENA, ASCENSION AND TRISTAN DA CUNHA</t>
  </si>
  <si>
    <t>SAINT KITTS AND NEVIS</t>
  </si>
  <si>
    <t>KNA</t>
  </si>
  <si>
    <t>KN</t>
  </si>
  <si>
    <t>659</t>
  </si>
  <si>
    <t>SAINT LUCIA</t>
  </si>
  <si>
    <t>LCA</t>
  </si>
  <si>
    <t>LC</t>
  </si>
  <si>
    <t>662</t>
  </si>
  <si>
    <t>SAINT MARTIN</t>
  </si>
  <si>
    <t>MAF</t>
  </si>
  <si>
    <t>MF</t>
  </si>
  <si>
    <t>663</t>
  </si>
  <si>
    <t>SAINT MARTIN (FRENCH PART)</t>
  </si>
  <si>
    <t>Saint-Martin</t>
  </si>
  <si>
    <t>FR-MF</t>
  </si>
  <si>
    <t>SAINT PIERRE AND MIQUELON</t>
  </si>
  <si>
    <t>SPM</t>
  </si>
  <si>
    <t>PM</t>
  </si>
  <si>
    <t>666</t>
  </si>
  <si>
    <t>Saint-Pierre-et-Miquelon</t>
  </si>
  <si>
    <t>FR-PM</t>
  </si>
  <si>
    <t>SAINT VINCENT AND THE GRENADINES</t>
  </si>
  <si>
    <t>VCT</t>
  </si>
  <si>
    <t>VC</t>
  </si>
  <si>
    <t>670</t>
  </si>
  <si>
    <t>SAMOA</t>
  </si>
  <si>
    <t>WSM</t>
  </si>
  <si>
    <t>WS</t>
  </si>
  <si>
    <t>882</t>
  </si>
  <si>
    <t>SAN MARINO</t>
  </si>
  <si>
    <t>SMR</t>
  </si>
  <si>
    <t>SM</t>
  </si>
  <si>
    <t>674</t>
  </si>
  <si>
    <t>SAO TOME AND PRINCIPE</t>
  </si>
  <si>
    <t>STP</t>
  </si>
  <si>
    <t>ST</t>
  </si>
  <si>
    <t>678</t>
  </si>
  <si>
    <t>SAUDI ARABIA</t>
  </si>
  <si>
    <t>SAU</t>
  </si>
  <si>
    <t>SA</t>
  </si>
  <si>
    <t>682</t>
  </si>
  <si>
    <t>SENEGAL</t>
  </si>
  <si>
    <t>SEN</t>
  </si>
  <si>
    <t>SN</t>
  </si>
  <si>
    <t>686</t>
  </si>
  <si>
    <t>SERBIA</t>
  </si>
  <si>
    <t>SRB</t>
  </si>
  <si>
    <t>RS</t>
  </si>
  <si>
    <t>688</t>
  </si>
  <si>
    <t>SEYCHELLES</t>
  </si>
  <si>
    <t>SYC</t>
  </si>
  <si>
    <t>SC</t>
  </si>
  <si>
    <t>690</t>
  </si>
  <si>
    <t>SIERRA LEONE</t>
  </si>
  <si>
    <t>SLE</t>
  </si>
  <si>
    <t>SL</t>
  </si>
  <si>
    <t>694</t>
  </si>
  <si>
    <t>SINGAPORE</t>
  </si>
  <si>
    <t>SGP</t>
  </si>
  <si>
    <t>SG</t>
  </si>
  <si>
    <t>702</t>
  </si>
  <si>
    <t>SINT MAARTEN</t>
  </si>
  <si>
    <t>SXM</t>
  </si>
  <si>
    <t>SX</t>
  </si>
  <si>
    <t>534</t>
  </si>
  <si>
    <t>SINT MAARTEN (DUTCH PART)</t>
  </si>
  <si>
    <t>Sint Maarten</t>
  </si>
  <si>
    <t>NL-SX</t>
  </si>
  <si>
    <t>SLOVAKIA</t>
  </si>
  <si>
    <t>SVK</t>
  </si>
  <si>
    <t>SK</t>
  </si>
  <si>
    <t>703</t>
  </si>
  <si>
    <t>SLOVENIA</t>
  </si>
  <si>
    <t>SVN</t>
  </si>
  <si>
    <t>SI</t>
  </si>
  <si>
    <t>705</t>
  </si>
  <si>
    <t>SOLOMON ISLANDS</t>
  </si>
  <si>
    <t>SLB</t>
  </si>
  <si>
    <t>SB</t>
  </si>
  <si>
    <t>090</t>
  </si>
  <si>
    <t>SOMALIA</t>
  </si>
  <si>
    <t>SOM</t>
  </si>
  <si>
    <t>SO</t>
  </si>
  <si>
    <t>706</t>
  </si>
  <si>
    <t>SOUTH AFRICA</t>
  </si>
  <si>
    <t>ZAF</t>
  </si>
  <si>
    <t>ZA</t>
  </si>
  <si>
    <t>710</t>
  </si>
  <si>
    <t>SOUTH GEORGIA AND SOUTH SANDWICH ISLANDS</t>
  </si>
  <si>
    <t>SGS</t>
  </si>
  <si>
    <t>GS</t>
  </si>
  <si>
    <t>239</t>
  </si>
  <si>
    <t>SOUTH GEORGIA AND THE SOUTH SANDWICH ISLANDS</t>
  </si>
  <si>
    <t>SOUTH SUDAN</t>
  </si>
  <si>
    <t>SSD</t>
  </si>
  <si>
    <t>SS</t>
  </si>
  <si>
    <t>728</t>
  </si>
  <si>
    <t>SPAIN</t>
  </si>
  <si>
    <t>ESP</t>
  </si>
  <si>
    <t>ES</t>
  </si>
  <si>
    <t>724</t>
  </si>
  <si>
    <t>SPRATLY ISLANDS</t>
  </si>
  <si>
    <t>XSP</t>
  </si>
  <si>
    <t>XS</t>
  </si>
  <si>
    <t>929</t>
  </si>
  <si>
    <t>SRI LANKA</t>
  </si>
  <si>
    <t>LKA</t>
  </si>
  <si>
    <t>LK</t>
  </si>
  <si>
    <t>144</t>
  </si>
  <si>
    <t>SUDAN</t>
  </si>
  <si>
    <t>SDN</t>
  </si>
  <si>
    <t>SD</t>
  </si>
  <si>
    <t>729</t>
  </si>
  <si>
    <t>SURINAME</t>
  </si>
  <si>
    <t>SUR</t>
  </si>
  <si>
    <t>SR</t>
  </si>
  <si>
    <t>740</t>
  </si>
  <si>
    <t>SVALBARD</t>
  </si>
  <si>
    <t>XSV</t>
  </si>
  <si>
    <t>XR</t>
  </si>
  <si>
    <t>930</t>
  </si>
  <si>
    <t>Svalbard (Arctic Region)</t>
  </si>
  <si>
    <t>NO-21</t>
  </si>
  <si>
    <t>SWAZILAND</t>
  </si>
  <si>
    <t>SWZ</t>
  </si>
  <si>
    <t>SZ</t>
  </si>
  <si>
    <t>748</t>
  </si>
  <si>
    <t>SWEDEN</t>
  </si>
  <si>
    <t>SWE</t>
  </si>
  <si>
    <t>SE</t>
  </si>
  <si>
    <t>752</t>
  </si>
  <si>
    <t>SWITZERLAND</t>
  </si>
  <si>
    <t>CHE</t>
  </si>
  <si>
    <t>CH</t>
  </si>
  <si>
    <t>756</t>
  </si>
  <si>
    <t>SYRIA</t>
  </si>
  <si>
    <t>SYR</t>
  </si>
  <si>
    <t>SY</t>
  </si>
  <si>
    <t>760</t>
  </si>
  <si>
    <t>SYRIAN ARAB REPUBLIC</t>
  </si>
  <si>
    <t>TAIWAN</t>
  </si>
  <si>
    <t>TAJIKISTAN</t>
  </si>
  <si>
    <t>TJK</t>
  </si>
  <si>
    <t>TJ</t>
  </si>
  <si>
    <t>762</t>
  </si>
  <si>
    <t>TANZANIA</t>
  </si>
  <si>
    <t>TZA</t>
  </si>
  <si>
    <t>TZ</t>
  </si>
  <si>
    <t>834</t>
  </si>
  <si>
    <t>TANZANIA, UNITED REPUBLIC OF</t>
  </si>
  <si>
    <t>THAILAND</t>
  </si>
  <si>
    <t>THA</t>
  </si>
  <si>
    <t>TH</t>
  </si>
  <si>
    <t>764</t>
  </si>
  <si>
    <t>TIMOR-LESTE</t>
  </si>
  <si>
    <t>TLS</t>
  </si>
  <si>
    <t>TL</t>
  </si>
  <si>
    <t>626</t>
  </si>
  <si>
    <t>TOGO</t>
  </si>
  <si>
    <t>TGO</t>
  </si>
  <si>
    <t>TG</t>
  </si>
  <si>
    <t>768</t>
  </si>
  <si>
    <t>TOKELAU</t>
  </si>
  <si>
    <t>TKL</t>
  </si>
  <si>
    <t>TK</t>
  </si>
  <si>
    <t>772</t>
  </si>
  <si>
    <t>TONGA</t>
  </si>
  <si>
    <t>TON</t>
  </si>
  <si>
    <t>TO</t>
  </si>
  <si>
    <t>776</t>
  </si>
  <si>
    <t>TRINIDAD AND TOBAGO</t>
  </si>
  <si>
    <t>TTO</t>
  </si>
  <si>
    <t>TT</t>
  </si>
  <si>
    <t>780</t>
  </si>
  <si>
    <t>TROMELIN ISLAND</t>
  </si>
  <si>
    <t>XTR</t>
  </si>
  <si>
    <t>XT</t>
  </si>
  <si>
    <t>931</t>
  </si>
  <si>
    <t>TUNISIA</t>
  </si>
  <si>
    <t>TUN</t>
  </si>
  <si>
    <t>TN</t>
  </si>
  <si>
    <t>788</t>
  </si>
  <si>
    <t>TURKEY</t>
  </si>
  <si>
    <t>TUR</t>
  </si>
  <si>
    <t>TR</t>
  </si>
  <si>
    <t>792</t>
  </si>
  <si>
    <t>TURKMENISTAN</t>
  </si>
  <si>
    <t>TKM</t>
  </si>
  <si>
    <t>TM</t>
  </si>
  <si>
    <t>795</t>
  </si>
  <si>
    <t>TURKS AND CAICOS ISLANDS</t>
  </si>
  <si>
    <t>TCA</t>
  </si>
  <si>
    <t>TC</t>
  </si>
  <si>
    <t>796</t>
  </si>
  <si>
    <t>TUVALU</t>
  </si>
  <si>
    <t>TUV</t>
  </si>
  <si>
    <t>TV</t>
  </si>
  <si>
    <t>798</t>
  </si>
  <si>
    <t>UGANDA</t>
  </si>
  <si>
    <t>UGA</t>
  </si>
  <si>
    <t>UG</t>
  </si>
  <si>
    <t>800</t>
  </si>
  <si>
    <t>UKRAINE</t>
  </si>
  <si>
    <t>UKR</t>
  </si>
  <si>
    <t>UA</t>
  </si>
  <si>
    <t>804</t>
  </si>
  <si>
    <t>UNITED ARAB EMIRATES</t>
  </si>
  <si>
    <t>ARE</t>
  </si>
  <si>
    <t>AE</t>
  </si>
  <si>
    <t>784</t>
  </si>
  <si>
    <t>UNITED KINGDOM</t>
  </si>
  <si>
    <t>GBR</t>
  </si>
  <si>
    <t>GB</t>
  </si>
  <si>
    <t>826</t>
  </si>
  <si>
    <t>UNITED KINGDOM OF GREAT BRITAIN AND NORTHERN IRELAND</t>
  </si>
  <si>
    <t>UNITED STATES</t>
  </si>
  <si>
    <t>USA</t>
  </si>
  <si>
    <t>US</t>
  </si>
  <si>
    <t>840</t>
  </si>
  <si>
    <t>UNITED STATES OF AMERICA</t>
  </si>
  <si>
    <t>UNKNOWN</t>
  </si>
  <si>
    <t>AX1</t>
  </si>
  <si>
    <t>A1</t>
  </si>
  <si>
    <t>932</t>
  </si>
  <si>
    <t>URUGUAY</t>
  </si>
  <si>
    <t>URY</t>
  </si>
  <si>
    <t>UY</t>
  </si>
  <si>
    <t>858</t>
  </si>
  <si>
    <t>UZBEKISTAN</t>
  </si>
  <si>
    <t>UZB</t>
  </si>
  <si>
    <t>UZ</t>
  </si>
  <si>
    <t>860</t>
  </si>
  <si>
    <t>VANUATU</t>
  </si>
  <si>
    <t>VUT</t>
  </si>
  <si>
    <t>VU</t>
  </si>
  <si>
    <t>548</t>
  </si>
  <si>
    <t>VATICAN CITY</t>
  </si>
  <si>
    <t>VAT</t>
  </si>
  <si>
    <t>VA</t>
  </si>
  <si>
    <t>336</t>
  </si>
  <si>
    <t>HOLY SEE</t>
  </si>
  <si>
    <t>VENEZUELA</t>
  </si>
  <si>
    <t>VEN</t>
  </si>
  <si>
    <t>VE</t>
  </si>
  <si>
    <t>862</t>
  </si>
  <si>
    <t>VENEZUELA (BOLIVARIAN REPUBLIC OF)</t>
  </si>
  <si>
    <t>VIETNAM</t>
  </si>
  <si>
    <t>VIRGIN ISLANDS, BRITISH</t>
  </si>
  <si>
    <t>VGB</t>
  </si>
  <si>
    <t>VG</t>
  </si>
  <si>
    <t>092</t>
  </si>
  <si>
    <t>VIRGIN ISLANDS, U.S.</t>
  </si>
  <si>
    <t>VIR</t>
  </si>
  <si>
    <t>VI</t>
  </si>
  <si>
    <t>850</t>
  </si>
  <si>
    <t>Virgin Islands, U.S.</t>
  </si>
  <si>
    <t>US-VI</t>
  </si>
  <si>
    <t>WAKE ISLAND</t>
  </si>
  <si>
    <t>XWK</t>
  </si>
  <si>
    <t>QW</t>
  </si>
  <si>
    <t>933</t>
  </si>
  <si>
    <t>Wake Island</t>
  </si>
  <si>
    <t>UM-79</t>
  </si>
  <si>
    <t>WALLIS AND FUTUNA</t>
  </si>
  <si>
    <t>WLF</t>
  </si>
  <si>
    <t>WF</t>
  </si>
  <si>
    <t>876</t>
  </si>
  <si>
    <t>Wallis-et-Futuna</t>
  </si>
  <si>
    <t>FR-WF</t>
  </si>
  <si>
    <t>WEST BANK</t>
  </si>
  <si>
    <t>XWB</t>
  </si>
  <si>
    <t>XW</t>
  </si>
  <si>
    <t>934</t>
  </si>
  <si>
    <t>WESTERN SAHARA</t>
  </si>
  <si>
    <t>ESH</t>
  </si>
  <si>
    <t>EH</t>
  </si>
  <si>
    <t>732</t>
  </si>
  <si>
    <t>YEMEN</t>
  </si>
  <si>
    <t>YEM</t>
  </si>
  <si>
    <t>YE</t>
  </si>
  <si>
    <t>887</t>
  </si>
  <si>
    <t>ZAMBIA</t>
  </si>
  <si>
    <t>ZMB</t>
  </si>
  <si>
    <t>ZM</t>
  </si>
  <si>
    <t>894</t>
  </si>
  <si>
    <t>ZIMBABWE</t>
  </si>
  <si>
    <t>ZWE</t>
  </si>
  <si>
    <t>ZW</t>
  </si>
  <si>
    <t>716</t>
  </si>
  <si>
    <t>Administrative Subdivision Mapping (GENC Standard, Edition 3.0, Update 6)</t>
  </si>
  <si>
    <t>Badakhshān</t>
  </si>
  <si>
    <t>province</t>
  </si>
  <si>
    <t>AF-BDS</t>
  </si>
  <si>
    <t>Bādghīs</t>
  </si>
  <si>
    <t>AF-BDG</t>
  </si>
  <si>
    <t>Baghlān</t>
  </si>
  <si>
    <t>AF-BGL</t>
  </si>
  <si>
    <t>Balkh</t>
  </si>
  <si>
    <t>AF-BAL</t>
  </si>
  <si>
    <t>Bāmyān</t>
  </si>
  <si>
    <t>AF-BAM</t>
  </si>
  <si>
    <t>Dāykundī</t>
  </si>
  <si>
    <t>AF-DAY</t>
  </si>
  <si>
    <t>Farāh</t>
  </si>
  <si>
    <t>AF-FRA</t>
  </si>
  <si>
    <t>Fāryāb</t>
  </si>
  <si>
    <t>AF-FYB</t>
  </si>
  <si>
    <t>Ghaznī</t>
  </si>
  <si>
    <t>AF-GHA</t>
  </si>
  <si>
    <t>Ghōr</t>
  </si>
  <si>
    <t>AF-GHO</t>
  </si>
  <si>
    <t>Helmand</t>
  </si>
  <si>
    <t>AF-HEL</t>
  </si>
  <si>
    <t>Herāt</t>
  </si>
  <si>
    <t>AF-HER</t>
  </si>
  <si>
    <t>Jowzjān</t>
  </si>
  <si>
    <t>AF-JOW</t>
  </si>
  <si>
    <t>Kābul</t>
  </si>
  <si>
    <t>AF-KAB</t>
  </si>
  <si>
    <t>Kandahār</t>
  </si>
  <si>
    <t>AF-KAN</t>
  </si>
  <si>
    <t>Kāpīsā</t>
  </si>
  <si>
    <t>AF-KAP</t>
  </si>
  <si>
    <t>Khōst</t>
  </si>
  <si>
    <t>AF-KHO</t>
  </si>
  <si>
    <t>Kunaṟ</t>
  </si>
  <si>
    <t>AF-KNR</t>
  </si>
  <si>
    <t>Kunduz</t>
  </si>
  <si>
    <t>AF-KDZ</t>
  </si>
  <si>
    <t>Laghmān</t>
  </si>
  <si>
    <t>AF-LAG</t>
  </si>
  <si>
    <t>Lōgar</t>
  </si>
  <si>
    <t>AF-LOG</t>
  </si>
  <si>
    <t>Nangarhār</t>
  </si>
  <si>
    <t>AF-NAN</t>
  </si>
  <si>
    <t>Nīmrōz</t>
  </si>
  <si>
    <t>AF-NIM</t>
  </si>
  <si>
    <t>Nūristān</t>
  </si>
  <si>
    <t>AF-NUR</t>
  </si>
  <si>
    <t>Paktīkā</t>
  </si>
  <si>
    <t>AF-PKA</t>
  </si>
  <si>
    <t>Paktiyā</t>
  </si>
  <si>
    <t>AF-PIA</t>
  </si>
  <si>
    <t>Panjshir</t>
  </si>
  <si>
    <t>AF-PAN</t>
  </si>
  <si>
    <t>Panjshayr</t>
  </si>
  <si>
    <t>Parwān</t>
  </si>
  <si>
    <t>AF-PAR</t>
  </si>
  <si>
    <t>Samangān</t>
  </si>
  <si>
    <t>AF-SAM</t>
  </si>
  <si>
    <t>Sar-e Pul</t>
  </si>
  <si>
    <t>AF-SAR</t>
  </si>
  <si>
    <t>Takhār</t>
  </si>
  <si>
    <t>AF-TAK</t>
  </si>
  <si>
    <t>Uruzgān</t>
  </si>
  <si>
    <t>AF-URU</t>
  </si>
  <si>
    <t>Wardak</t>
  </si>
  <si>
    <t>AF-WAR</t>
  </si>
  <si>
    <t>Zābul</t>
  </si>
  <si>
    <t>AF-ZAB</t>
  </si>
  <si>
    <t>Berat</t>
  </si>
  <si>
    <t>county</t>
  </si>
  <si>
    <t>AL-01</t>
  </si>
  <si>
    <t>Dibër</t>
  </si>
  <si>
    <t>AL-09</t>
  </si>
  <si>
    <t>Durrës</t>
  </si>
  <si>
    <t>AL-02</t>
  </si>
  <si>
    <t>Elbasan</t>
  </si>
  <si>
    <t>AL-03</t>
  </si>
  <si>
    <t>Fier</t>
  </si>
  <si>
    <t>AL-04</t>
  </si>
  <si>
    <t>Gjirokastër</t>
  </si>
  <si>
    <t>AL-05</t>
  </si>
  <si>
    <t>Korçë</t>
  </si>
  <si>
    <t>AL-06</t>
  </si>
  <si>
    <t>Kukës</t>
  </si>
  <si>
    <t>AL-07</t>
  </si>
  <si>
    <t>Lezhë</t>
  </si>
  <si>
    <t>AL-08</t>
  </si>
  <si>
    <t>Shkodër</t>
  </si>
  <si>
    <t>AL-10</t>
  </si>
  <si>
    <t>Tiranë</t>
  </si>
  <si>
    <t>AL-11</t>
  </si>
  <si>
    <t>Vlorë</t>
  </si>
  <si>
    <t>AL-12</t>
  </si>
  <si>
    <t>Adrar</t>
  </si>
  <si>
    <t>DZ-01</t>
  </si>
  <si>
    <t>Aïn Defla</t>
  </si>
  <si>
    <t>DZ-44</t>
  </si>
  <si>
    <t>Aïn Temouchent</t>
  </si>
  <si>
    <t>DZ-46</t>
  </si>
  <si>
    <t>Aïn Témouchent</t>
  </si>
  <si>
    <t>Alger</t>
  </si>
  <si>
    <t>DZ-16</t>
  </si>
  <si>
    <t>Annaba</t>
  </si>
  <si>
    <t>DZ-23</t>
  </si>
  <si>
    <t>Batna</t>
  </si>
  <si>
    <t>DZ-05</t>
  </si>
  <si>
    <t>Béchar</t>
  </si>
  <si>
    <t>DZ-08</t>
  </si>
  <si>
    <t>Bejaïa</t>
  </si>
  <si>
    <t>DZ-06</t>
  </si>
  <si>
    <t>Béjaïa</t>
  </si>
  <si>
    <t>Biskra</t>
  </si>
  <si>
    <t>DZ-07</t>
  </si>
  <si>
    <t>Blida</t>
  </si>
  <si>
    <t>DZ-09</t>
  </si>
  <si>
    <t>Bordj Bou Arréridj</t>
  </si>
  <si>
    <t>DZ-34</t>
  </si>
  <si>
    <t>Bouira</t>
  </si>
  <si>
    <t>DZ-10</t>
  </si>
  <si>
    <t>Boumerdes</t>
  </si>
  <si>
    <t>DZ-35</t>
  </si>
  <si>
    <t>Boumerdès</t>
  </si>
  <si>
    <t>Chlef</t>
  </si>
  <si>
    <t>DZ-02</t>
  </si>
  <si>
    <t>Constantine</t>
  </si>
  <si>
    <t>DZ-25</t>
  </si>
  <si>
    <t>Djelfa</t>
  </si>
  <si>
    <t>DZ-17</t>
  </si>
  <si>
    <t>El Bayadh</t>
  </si>
  <si>
    <t>DZ-32</t>
  </si>
  <si>
    <t>El Oued</t>
  </si>
  <si>
    <t>DZ-39</t>
  </si>
  <si>
    <t>El Tarf</t>
  </si>
  <si>
    <t>DZ-36</t>
  </si>
  <si>
    <t>Ghardaïa</t>
  </si>
  <si>
    <t>DZ-47</t>
  </si>
  <si>
    <t>Guelma</t>
  </si>
  <si>
    <t>DZ-24</t>
  </si>
  <si>
    <t>Illizi</t>
  </si>
  <si>
    <t>DZ-33</t>
  </si>
  <si>
    <t>Jijel</t>
  </si>
  <si>
    <t>DZ-18</t>
  </si>
  <si>
    <t>Khenchela</t>
  </si>
  <si>
    <t>DZ-40</t>
  </si>
  <si>
    <t>Laghouat</t>
  </si>
  <si>
    <t>DZ-03</t>
  </si>
  <si>
    <t>Mascara</t>
  </si>
  <si>
    <t>DZ-29</t>
  </si>
  <si>
    <t>Médéa</t>
  </si>
  <si>
    <t>DZ-26</t>
  </si>
  <si>
    <t>Mila</t>
  </si>
  <si>
    <t>DZ-43</t>
  </si>
  <si>
    <t>Mostaganem</t>
  </si>
  <si>
    <t>DZ-27</t>
  </si>
  <si>
    <t>M’sila</t>
  </si>
  <si>
    <t>DZ-28</t>
  </si>
  <si>
    <t>Naama</t>
  </si>
  <si>
    <t>DZ-45</t>
  </si>
  <si>
    <t>Oran</t>
  </si>
  <si>
    <t>DZ-31</t>
  </si>
  <si>
    <t>Ouargla</t>
  </si>
  <si>
    <t>DZ-30</t>
  </si>
  <si>
    <t>Oum el Bouaghi</t>
  </si>
  <si>
    <t>DZ-04</t>
  </si>
  <si>
    <t>Relizane</t>
  </si>
  <si>
    <t>DZ-48</t>
  </si>
  <si>
    <t>Saïda</t>
  </si>
  <si>
    <t>DZ-20</t>
  </si>
  <si>
    <t>Sétif</t>
  </si>
  <si>
    <t>DZ-19</t>
  </si>
  <si>
    <t>Sidi Bel Abbès</t>
  </si>
  <si>
    <t>DZ-22</t>
  </si>
  <si>
    <t>Skikda</t>
  </si>
  <si>
    <t>DZ-21</t>
  </si>
  <si>
    <t>Souk Ahras</t>
  </si>
  <si>
    <t>DZ-41</t>
  </si>
  <si>
    <t>Tamanrasset</t>
  </si>
  <si>
    <t>DZ-11</t>
  </si>
  <si>
    <t>Tébessa</t>
  </si>
  <si>
    <t>DZ-12</t>
  </si>
  <si>
    <t>Tiaret</t>
  </si>
  <si>
    <t>DZ-14</t>
  </si>
  <si>
    <t>Tindouf</t>
  </si>
  <si>
    <t>DZ-37</t>
  </si>
  <si>
    <t>Tipaza</t>
  </si>
  <si>
    <t>DZ-42</t>
  </si>
  <si>
    <t>Tissemsilt</t>
  </si>
  <si>
    <t>DZ-38</t>
  </si>
  <si>
    <t>Tizi Ouzou</t>
  </si>
  <si>
    <t>DZ-15</t>
  </si>
  <si>
    <t>Tlemcen</t>
  </si>
  <si>
    <t>DZ-13</t>
  </si>
  <si>
    <t>Andorra la Vella</t>
  </si>
  <si>
    <t>parish</t>
  </si>
  <si>
    <t>AD-07</t>
  </si>
  <si>
    <t>Canillo</t>
  </si>
  <si>
    <t>AD-02</t>
  </si>
  <si>
    <t>Encamp</t>
  </si>
  <si>
    <t>AD-03</t>
  </si>
  <si>
    <t>Escaldes-Engordany</t>
  </si>
  <si>
    <t>AD-08</t>
  </si>
  <si>
    <t>La Massana</t>
  </si>
  <si>
    <t>AD-04</t>
  </si>
  <si>
    <t>Ordino</t>
  </si>
  <si>
    <t>AD-05</t>
  </si>
  <si>
    <t>Sant Julià de Lòria</t>
  </si>
  <si>
    <t>AD-06</t>
  </si>
  <si>
    <t>Bengo</t>
  </si>
  <si>
    <t>AO-BGO</t>
  </si>
  <si>
    <t>Benguela</t>
  </si>
  <si>
    <t>AO-BGU</t>
  </si>
  <si>
    <t>Bié</t>
  </si>
  <si>
    <t>AO-BIE</t>
  </si>
  <si>
    <t>Cabinda</t>
  </si>
  <si>
    <t>AO-CAB</t>
  </si>
  <si>
    <t>Cunene</t>
  </si>
  <si>
    <t>AO-CNN</t>
  </si>
  <si>
    <t>Huambo</t>
  </si>
  <si>
    <t>AO-HUA</t>
  </si>
  <si>
    <t>Huíla</t>
  </si>
  <si>
    <t>AO-HUI</t>
  </si>
  <si>
    <t>Kuando Kubango</t>
  </si>
  <si>
    <t>AO-CCU</t>
  </si>
  <si>
    <t>Kwanza Norte</t>
  </si>
  <si>
    <t>AO-CNO</t>
  </si>
  <si>
    <t>Kwanza Sul</t>
  </si>
  <si>
    <t>AO-CUS</t>
  </si>
  <si>
    <t>Luanda</t>
  </si>
  <si>
    <t>AO-LUA</t>
  </si>
  <si>
    <t>Lunda Norte</t>
  </si>
  <si>
    <t>AO-LNO</t>
  </si>
  <si>
    <t>Lunda Sul</t>
  </si>
  <si>
    <t>AO-LSU</t>
  </si>
  <si>
    <t>Malanje</t>
  </si>
  <si>
    <t>AO-MAL</t>
  </si>
  <si>
    <t>Malange</t>
  </si>
  <si>
    <t>Moxico</t>
  </si>
  <si>
    <t>AO-MOX</t>
  </si>
  <si>
    <t>Namibe</t>
  </si>
  <si>
    <t>AO-NAM</t>
  </si>
  <si>
    <t>Uíge</t>
  </si>
  <si>
    <t>AO-UIG</t>
  </si>
  <si>
    <t>Zaire</t>
  </si>
  <si>
    <t>AO-ZAI</t>
  </si>
  <si>
    <t>Barbuda</t>
  </si>
  <si>
    <t>dependency</t>
  </si>
  <si>
    <t>AG-10</t>
  </si>
  <si>
    <t>Redonda</t>
  </si>
  <si>
    <t>AG-11</t>
  </si>
  <si>
    <t>Saint George</t>
  </si>
  <si>
    <t>AG-03</t>
  </si>
  <si>
    <t>Saint John</t>
  </si>
  <si>
    <t>AG-04</t>
  </si>
  <si>
    <t>Saint Mary</t>
  </si>
  <si>
    <t>AG-05</t>
  </si>
  <si>
    <t>Saint Paul</t>
  </si>
  <si>
    <t>AG-06</t>
  </si>
  <si>
    <t>Saint Peter</t>
  </si>
  <si>
    <t>AG-07</t>
  </si>
  <si>
    <t>Saint Philip</t>
  </si>
  <si>
    <t>AG-08</t>
  </si>
  <si>
    <t>Buenos Aires</t>
  </si>
  <si>
    <t>AR-B</t>
  </si>
  <si>
    <t>Buenos Aires, Ciudad Autónoma de</t>
  </si>
  <si>
    <t>autonomous city</t>
  </si>
  <si>
    <t>AR-C</t>
  </si>
  <si>
    <t>Ciudad Autónoma de Buenos Aires</t>
  </si>
  <si>
    <t>city</t>
  </si>
  <si>
    <t>Catamarca</t>
  </si>
  <si>
    <t>AR-K</t>
  </si>
  <si>
    <t>Chaco</t>
  </si>
  <si>
    <t>AR-H</t>
  </si>
  <si>
    <t>Chubut</t>
  </si>
  <si>
    <t>AR-U</t>
  </si>
  <si>
    <t>Córdoba</t>
  </si>
  <si>
    <t>AR-X</t>
  </si>
  <si>
    <t>Corrientes</t>
  </si>
  <si>
    <t>AR-W</t>
  </si>
  <si>
    <t>Entre Ríos</t>
  </si>
  <si>
    <t>AR-E</t>
  </si>
  <si>
    <t>Formosa</t>
  </si>
  <si>
    <t>AR-P</t>
  </si>
  <si>
    <t>Jujuy</t>
  </si>
  <si>
    <t>AR-Y</t>
  </si>
  <si>
    <t>La Pampa</t>
  </si>
  <si>
    <t>AR-L</t>
  </si>
  <si>
    <t>La Rioja</t>
  </si>
  <si>
    <t>AR-F</t>
  </si>
  <si>
    <t>Mendoza</t>
  </si>
  <si>
    <t>AR-M</t>
  </si>
  <si>
    <t>Misiones</t>
  </si>
  <si>
    <t>AR-N</t>
  </si>
  <si>
    <t>Neuquén</t>
  </si>
  <si>
    <t>AR-Q</t>
  </si>
  <si>
    <t>Río Negro</t>
  </si>
  <si>
    <t>AR-R</t>
  </si>
  <si>
    <t>Salta</t>
  </si>
  <si>
    <t>AR-A</t>
  </si>
  <si>
    <t>San Juan</t>
  </si>
  <si>
    <t>AR-J</t>
  </si>
  <si>
    <t>San Luis</t>
  </si>
  <si>
    <t>AR-D</t>
  </si>
  <si>
    <t>Santa Cruz</t>
  </si>
  <si>
    <t>AR-Z</t>
  </si>
  <si>
    <t>Santa Fe</t>
  </si>
  <si>
    <t>AR-S</t>
  </si>
  <si>
    <t>Santiago del Estero</t>
  </si>
  <si>
    <t>AR-G</t>
  </si>
  <si>
    <t>Tierra del Fuego, Antártida e Islas del Atlántico Sur</t>
  </si>
  <si>
    <t>AR-V</t>
  </si>
  <si>
    <t>Tierra del Fuego</t>
  </si>
  <si>
    <t>Tucumán</t>
  </si>
  <si>
    <t>AR-T</t>
  </si>
  <si>
    <t>Aragatsotn</t>
  </si>
  <si>
    <t>region</t>
  </si>
  <si>
    <t>AM-AG</t>
  </si>
  <si>
    <t>Aragac̣otn</t>
  </si>
  <si>
    <t>Ararat</t>
  </si>
  <si>
    <t>AM-AR</t>
  </si>
  <si>
    <t>Armavir</t>
  </si>
  <si>
    <t>AM-AV</t>
  </si>
  <si>
    <t>Geghark’unik’</t>
  </si>
  <si>
    <t>AM-GR</t>
  </si>
  <si>
    <t>Geġark'unik'</t>
  </si>
  <si>
    <t>Kotayk’</t>
  </si>
  <si>
    <t>AM-KT</t>
  </si>
  <si>
    <t>Kotayk'</t>
  </si>
  <si>
    <t>Lorri</t>
  </si>
  <si>
    <t>AM-LO</t>
  </si>
  <si>
    <t>Loṙi</t>
  </si>
  <si>
    <t>Shirak</t>
  </si>
  <si>
    <t>AM-SH</t>
  </si>
  <si>
    <t>Širak</t>
  </si>
  <si>
    <t>Syunik’</t>
  </si>
  <si>
    <t>AM-SU</t>
  </si>
  <si>
    <t>Syunik'</t>
  </si>
  <si>
    <t>Tavush</t>
  </si>
  <si>
    <t>AM-TV</t>
  </si>
  <si>
    <t>Tavuš</t>
  </si>
  <si>
    <t>Vayots’ Dzor</t>
  </si>
  <si>
    <t>AM-VD</t>
  </si>
  <si>
    <t>Vayoc' Jor</t>
  </si>
  <si>
    <t>Yerevan</t>
  </si>
  <si>
    <t>AM-ER</t>
  </si>
  <si>
    <t>Erevan</t>
  </si>
  <si>
    <t>Australian Capital Territory</t>
  </si>
  <si>
    <t>territory</t>
  </si>
  <si>
    <t>AU-ACT</t>
  </si>
  <si>
    <t>New South Wales</t>
  </si>
  <si>
    <t>state</t>
  </si>
  <si>
    <t>AU-NSW</t>
  </si>
  <si>
    <t>Northern Territory</t>
  </si>
  <si>
    <t>AU-NT</t>
  </si>
  <si>
    <t>Queensland</t>
  </si>
  <si>
    <t>AU-QLD</t>
  </si>
  <si>
    <t>South Australia</t>
  </si>
  <si>
    <t>AU-SA</t>
  </si>
  <si>
    <t>Tasmania</t>
  </si>
  <si>
    <t>AU-TAS</t>
  </si>
  <si>
    <t>Victoria</t>
  </si>
  <si>
    <t>AU-VIC</t>
  </si>
  <si>
    <t>Western Australia</t>
  </si>
  <si>
    <t>AU-WA</t>
  </si>
  <si>
    <t>Burgenland</t>
  </si>
  <si>
    <t>AT-1</t>
  </si>
  <si>
    <t>Kärnten</t>
  </si>
  <si>
    <t>AT-2</t>
  </si>
  <si>
    <t>Niederösterreich</t>
  </si>
  <si>
    <t>AT-3</t>
  </si>
  <si>
    <t>Oberösterreich</t>
  </si>
  <si>
    <t>AT-4</t>
  </si>
  <si>
    <t>Salzburg</t>
  </si>
  <si>
    <t>AT-5</t>
  </si>
  <si>
    <t>Steiermark</t>
  </si>
  <si>
    <t>AT-6</t>
  </si>
  <si>
    <t>Tirol</t>
  </si>
  <si>
    <t>AT-7</t>
  </si>
  <si>
    <t>Vorarlberg</t>
  </si>
  <si>
    <t>AT-8</t>
  </si>
  <si>
    <t>Wien</t>
  </si>
  <si>
    <t>AT-9</t>
  </si>
  <si>
    <t>Abşeron</t>
  </si>
  <si>
    <t>district</t>
  </si>
  <si>
    <t>AZ-ABS</t>
  </si>
  <si>
    <t>rayon</t>
  </si>
  <si>
    <t>Ağcabədi</t>
  </si>
  <si>
    <t>AZ-AGC</t>
  </si>
  <si>
    <t>Ağcabәdi</t>
  </si>
  <si>
    <t>Ağdam</t>
  </si>
  <si>
    <t>AZ-AGM</t>
  </si>
  <si>
    <t>Ağdaş</t>
  </si>
  <si>
    <t>AZ-AGS</t>
  </si>
  <si>
    <t>Ağstafa</t>
  </si>
  <si>
    <t>AZ-AGA</t>
  </si>
  <si>
    <t>Ağsu</t>
  </si>
  <si>
    <t>AZ-AGU</t>
  </si>
  <si>
    <t>Astara</t>
  </si>
  <si>
    <t>AZ-AST</t>
  </si>
  <si>
    <t>Babək</t>
  </si>
  <si>
    <t>AZ-BAB</t>
  </si>
  <si>
    <t>Bakı</t>
  </si>
  <si>
    <t>AZ-BA</t>
  </si>
  <si>
    <t>municipality</t>
  </si>
  <si>
    <t>Balakən</t>
  </si>
  <si>
    <t>AZ-BAL</t>
  </si>
  <si>
    <t>Bərdə</t>
  </si>
  <si>
    <t>AZ-BAR</t>
  </si>
  <si>
    <t>Beyləqan</t>
  </si>
  <si>
    <t>AZ-BEY</t>
  </si>
  <si>
    <t>Biləsuvar</t>
  </si>
  <si>
    <t>AZ-BIL</t>
  </si>
  <si>
    <t>Cəbrayıl</t>
  </si>
  <si>
    <t>AZ-CAB</t>
  </si>
  <si>
    <t>Cəlilabad</t>
  </si>
  <si>
    <t>AZ-CAL</t>
  </si>
  <si>
    <t>Culfa</t>
  </si>
  <si>
    <t>AZ-CUL</t>
  </si>
  <si>
    <t>Daşkəsən</t>
  </si>
  <si>
    <t>AZ-DAS</t>
  </si>
  <si>
    <t>Füzuli</t>
  </si>
  <si>
    <t>AZ-FUZ</t>
  </si>
  <si>
    <t>Gədəbəy</t>
  </si>
  <si>
    <t>AZ-GAD</t>
  </si>
  <si>
    <t>Gəncə</t>
  </si>
  <si>
    <t>AZ-GA</t>
  </si>
  <si>
    <t>Gәncә</t>
  </si>
  <si>
    <t>Goranboy</t>
  </si>
  <si>
    <t>AZ-GOR</t>
  </si>
  <si>
    <t>Göyçay</t>
  </si>
  <si>
    <t>AZ-GOY</t>
  </si>
  <si>
    <t>Göygöl</t>
  </si>
  <si>
    <t>AZ-GYG</t>
  </si>
  <si>
    <t>Hacıqabul</t>
  </si>
  <si>
    <t>AZ-HAC</t>
  </si>
  <si>
    <t>İmişli</t>
  </si>
  <si>
    <t>AZ-IMI</t>
  </si>
  <si>
    <t>İsmayıllı</t>
  </si>
  <si>
    <t>AZ-ISM</t>
  </si>
  <si>
    <t>Kəlbəcər</t>
  </si>
  <si>
    <t>AZ-KAL</t>
  </si>
  <si>
    <t>Kəngərli</t>
  </si>
  <si>
    <t>AZ-KAN</t>
  </si>
  <si>
    <t>Kǝngǝrli</t>
  </si>
  <si>
    <t>Kürdəmir</t>
  </si>
  <si>
    <t>AZ-KUR</t>
  </si>
  <si>
    <t>Laçın</t>
  </si>
  <si>
    <t>AZ-LAC</t>
  </si>
  <si>
    <t>Lənkəran</t>
  </si>
  <si>
    <t>AZ-LA</t>
  </si>
  <si>
    <t>Lәnkәran</t>
  </si>
  <si>
    <t>AZ-LAN</t>
  </si>
  <si>
    <t>Lerik</t>
  </si>
  <si>
    <t>AZ-LER</t>
  </si>
  <si>
    <t>Masallı</t>
  </si>
  <si>
    <t>AZ-MAS</t>
  </si>
  <si>
    <t>Mingəçevir</t>
  </si>
  <si>
    <t>AZ-MI</t>
  </si>
  <si>
    <t>Mingәçevir</t>
  </si>
  <si>
    <t>Naftalan</t>
  </si>
  <si>
    <t>AZ-NA</t>
  </si>
  <si>
    <t>Naxçıvan</t>
  </si>
  <si>
    <t>autonomous republic</t>
  </si>
  <si>
    <t>AZ-NX</t>
  </si>
  <si>
    <t>AZ-NV</t>
  </si>
  <si>
    <t>Neftçala</t>
  </si>
  <si>
    <t>AZ-NEF</t>
  </si>
  <si>
    <t>Oğuz</t>
  </si>
  <si>
    <t>AZ-OGU</t>
  </si>
  <si>
    <t>Ordubad</t>
  </si>
  <si>
    <t>AZ-ORD</t>
  </si>
  <si>
    <t>Qəbələ</t>
  </si>
  <si>
    <t>AZ-QAB</t>
  </si>
  <si>
    <t>Qәbәlә</t>
  </si>
  <si>
    <t>Qax</t>
  </si>
  <si>
    <t>AZ-QAX</t>
  </si>
  <si>
    <t>Qazax</t>
  </si>
  <si>
    <t>AZ-QAZ</t>
  </si>
  <si>
    <t>Qobustan</t>
  </si>
  <si>
    <t>AZ-QOB</t>
  </si>
  <si>
    <t>Quba</t>
  </si>
  <si>
    <t>AZ-QBA</t>
  </si>
  <si>
    <t>Qubadlı</t>
  </si>
  <si>
    <t>AZ-QBI</t>
  </si>
  <si>
    <t>Qusar</t>
  </si>
  <si>
    <t>AZ-QUS</t>
  </si>
  <si>
    <t>Saatlı</t>
  </si>
  <si>
    <t>AZ-SAT</t>
  </si>
  <si>
    <t>Sabirabad</t>
  </si>
  <si>
    <t>AZ-SAB</t>
  </si>
  <si>
    <t>Şabran</t>
  </si>
  <si>
    <t>AZ-SBN</t>
  </si>
  <si>
    <t>Sədərək</t>
  </si>
  <si>
    <t>AZ-SAD</t>
  </si>
  <si>
    <t>Sәdәrәk</t>
  </si>
  <si>
    <t>Şahbuz</t>
  </si>
  <si>
    <t>AZ-SAH</t>
  </si>
  <si>
    <t>Şəki</t>
  </si>
  <si>
    <t>AZ-SA</t>
  </si>
  <si>
    <t>Şәki</t>
  </si>
  <si>
    <t>AZ-SAK</t>
  </si>
  <si>
    <t>Salyan</t>
  </si>
  <si>
    <t>AZ-SAL</t>
  </si>
  <si>
    <t>Şamaxı</t>
  </si>
  <si>
    <t>AZ-SMI</t>
  </si>
  <si>
    <t>Şəmkir</t>
  </si>
  <si>
    <t>AZ-SKR</t>
  </si>
  <si>
    <t>Şәmkir</t>
  </si>
  <si>
    <t>Samux</t>
  </si>
  <si>
    <t>AZ-SMX</t>
  </si>
  <si>
    <t>Şərur</t>
  </si>
  <si>
    <t>AZ-SAR</t>
  </si>
  <si>
    <t>Şәrur</t>
  </si>
  <si>
    <t>Şirvan</t>
  </si>
  <si>
    <t>AZ-SR</t>
  </si>
  <si>
    <t>Siyəzən</t>
  </si>
  <si>
    <t>AZ-SIY</t>
  </si>
  <si>
    <t>Siyәzәn</t>
  </si>
  <si>
    <t>Sumqayıt</t>
  </si>
  <si>
    <t>AZ-SM</t>
  </si>
  <si>
    <t>Şuşa</t>
  </si>
  <si>
    <t>AZ-SUS</t>
  </si>
  <si>
    <t>Tərtər</t>
  </si>
  <si>
    <t>AZ-TAR</t>
  </si>
  <si>
    <t>Tәrtәr</t>
  </si>
  <si>
    <t>Tovuz</t>
  </si>
  <si>
    <t>AZ-TOV</t>
  </si>
  <si>
    <t>Ucar</t>
  </si>
  <si>
    <t>AZ-UCA</t>
  </si>
  <si>
    <t>Xaçmaz</t>
  </si>
  <si>
    <t>AZ-XAC</t>
  </si>
  <si>
    <t>Xankəndi</t>
  </si>
  <si>
    <t>AZ-XA</t>
  </si>
  <si>
    <t>Xankәndi</t>
  </si>
  <si>
    <t>Xızı</t>
  </si>
  <si>
    <t>AZ-XIZ</t>
  </si>
  <si>
    <t>Xocalı</t>
  </si>
  <si>
    <t>AZ-XCI</t>
  </si>
  <si>
    <t>Xocavənd</t>
  </si>
  <si>
    <t>AZ-XVD</t>
  </si>
  <si>
    <t>Xocavәnd</t>
  </si>
  <si>
    <t>Yardımlı</t>
  </si>
  <si>
    <t>AZ-YAR</t>
  </si>
  <si>
    <t>Yevlax</t>
  </si>
  <si>
    <t>AZ-YE</t>
  </si>
  <si>
    <t>AZ-YEV</t>
  </si>
  <si>
    <t>Zəngilan</t>
  </si>
  <si>
    <t>AZ-ZAN</t>
  </si>
  <si>
    <t>Zәngilan</t>
  </si>
  <si>
    <t>Zaqatala</t>
  </si>
  <si>
    <t>AZ-ZAQ</t>
  </si>
  <si>
    <t>Zərdab</t>
  </si>
  <si>
    <t>AZ-ZAR</t>
  </si>
  <si>
    <t>Zәrdab</t>
  </si>
  <si>
    <t>Acklins</t>
  </si>
  <si>
    <t>BS-AK</t>
  </si>
  <si>
    <t>Berry Islands</t>
  </si>
  <si>
    <t>BS-BY</t>
  </si>
  <si>
    <t>Bimini</t>
  </si>
  <si>
    <t>BS-BI</t>
  </si>
  <si>
    <t>Black Point</t>
  </si>
  <si>
    <t>BS-BP</t>
  </si>
  <si>
    <t>Cat Island</t>
  </si>
  <si>
    <t>BS-CI</t>
  </si>
  <si>
    <t>Central Abaco</t>
  </si>
  <si>
    <t>BS-CO</t>
  </si>
  <si>
    <t>Central Andros</t>
  </si>
  <si>
    <t>BS-CS</t>
  </si>
  <si>
    <t>Central Eleuthera</t>
  </si>
  <si>
    <t>BS-CE</t>
  </si>
  <si>
    <t>City of Freeport</t>
  </si>
  <si>
    <t>BS-FP</t>
  </si>
  <si>
    <t>Crooked Island and Long Cay</t>
  </si>
  <si>
    <t>BS-CK</t>
  </si>
  <si>
    <t>East Grand Bahama</t>
  </si>
  <si>
    <t>BS-EG</t>
  </si>
  <si>
    <t>Exuma</t>
  </si>
  <si>
    <t>BS-EX</t>
  </si>
  <si>
    <t>Grand Cay</t>
  </si>
  <si>
    <t>BS-GC</t>
  </si>
  <si>
    <t>Harbour Island</t>
  </si>
  <si>
    <t>BS-HI</t>
  </si>
  <si>
    <t>Hope Town</t>
  </si>
  <si>
    <t>BS-HT</t>
  </si>
  <si>
    <t>Inagua</t>
  </si>
  <si>
    <t>BS-IN</t>
  </si>
  <si>
    <t>Long Island</t>
  </si>
  <si>
    <t>BS-LI</t>
  </si>
  <si>
    <t>Mangrove Cay</t>
  </si>
  <si>
    <t>BS-MC</t>
  </si>
  <si>
    <t>Mayaguana</t>
  </si>
  <si>
    <t>BS-MG</t>
  </si>
  <si>
    <t>Moore’s Island</t>
  </si>
  <si>
    <t>BS-MI</t>
  </si>
  <si>
    <t>North Abaco</t>
  </si>
  <si>
    <t>BS-NO</t>
  </si>
  <si>
    <t>North Andros</t>
  </si>
  <si>
    <t>BS-NS</t>
  </si>
  <si>
    <t>North Eleuthera</t>
  </si>
  <si>
    <t>BS-NE</t>
  </si>
  <si>
    <t>Ragged Island</t>
  </si>
  <si>
    <t>BS-RI</t>
  </si>
  <si>
    <t>Rum Cay</t>
  </si>
  <si>
    <t>BS-RC</t>
  </si>
  <si>
    <t>San Salvador</t>
  </si>
  <si>
    <t>BS-SS</t>
  </si>
  <si>
    <t>South Abaco</t>
  </si>
  <si>
    <t>BS-SO</t>
  </si>
  <si>
    <t>South Andros</t>
  </si>
  <si>
    <t>BS-SA</t>
  </si>
  <si>
    <t>South Eleuthera</t>
  </si>
  <si>
    <t>BS-SE</t>
  </si>
  <si>
    <t>Spanish Wells</t>
  </si>
  <si>
    <t>BS-SW</t>
  </si>
  <si>
    <t>West Grand Bahama</t>
  </si>
  <si>
    <t>BS-WG</t>
  </si>
  <si>
    <t>Al ‘Āşimah</t>
  </si>
  <si>
    <t>governorate</t>
  </si>
  <si>
    <t>BH-13</t>
  </si>
  <si>
    <t>Al Janūbīyah</t>
  </si>
  <si>
    <t>BH-14</t>
  </si>
  <si>
    <t>Al Muḩarraq</t>
  </si>
  <si>
    <t>BH-15</t>
  </si>
  <si>
    <t>Ash Shamālīyah</t>
  </si>
  <si>
    <t>BH-17</t>
  </si>
  <si>
    <t>Bāgerhāt</t>
  </si>
  <si>
    <t>BD-05</t>
  </si>
  <si>
    <t>Bagerhat</t>
  </si>
  <si>
    <t>Bandarban</t>
  </si>
  <si>
    <t>BD-01</t>
  </si>
  <si>
    <t>Barguna</t>
  </si>
  <si>
    <t>BD-02</t>
  </si>
  <si>
    <t>Barisāl</t>
  </si>
  <si>
    <t>BD-06</t>
  </si>
  <si>
    <t>Barisal</t>
  </si>
  <si>
    <t>division</t>
  </si>
  <si>
    <t>BD-A</t>
  </si>
  <si>
    <t>Bhola</t>
  </si>
  <si>
    <t>BD-07</t>
  </si>
  <si>
    <t>Bogra</t>
  </si>
  <si>
    <t>BD-03</t>
  </si>
  <si>
    <t>Brāhmanbāria</t>
  </si>
  <si>
    <t>BD-04</t>
  </si>
  <si>
    <t>Brahmanbaria</t>
  </si>
  <si>
    <t>Chāndpur</t>
  </si>
  <si>
    <t>BD-09</t>
  </si>
  <si>
    <t>Chandpur</t>
  </si>
  <si>
    <t>Chapai Nawābganj</t>
  </si>
  <si>
    <t>BD-45</t>
  </si>
  <si>
    <t>Chapai Nawabganj</t>
  </si>
  <si>
    <t>Chittagong</t>
  </si>
  <si>
    <t>BD-10</t>
  </si>
  <si>
    <t>BD-B</t>
  </si>
  <si>
    <t>Chuādānga</t>
  </si>
  <si>
    <t>BD-12</t>
  </si>
  <si>
    <t>Chuadanga</t>
  </si>
  <si>
    <t>Comilla</t>
  </si>
  <si>
    <t>BD-08</t>
  </si>
  <si>
    <t>Cox’s Bāzār</t>
  </si>
  <si>
    <t>BD-11</t>
  </si>
  <si>
    <t>Cox's Bazar</t>
  </si>
  <si>
    <t>Dhaka</t>
  </si>
  <si>
    <t>BD-13</t>
  </si>
  <si>
    <t>BD-C</t>
  </si>
  <si>
    <t>Dinājpur</t>
  </si>
  <si>
    <t>BD-14</t>
  </si>
  <si>
    <t>Dinajpur</t>
  </si>
  <si>
    <t>Farīdpur</t>
  </si>
  <si>
    <t>BD-15</t>
  </si>
  <si>
    <t>Faridpur</t>
  </si>
  <si>
    <t>Feni</t>
  </si>
  <si>
    <t>BD-16</t>
  </si>
  <si>
    <t>Gaibandha</t>
  </si>
  <si>
    <t>BD-19</t>
  </si>
  <si>
    <t>Gāzipur</t>
  </si>
  <si>
    <t>BD-18</t>
  </si>
  <si>
    <t>Gazipur</t>
  </si>
  <si>
    <t>Gopālganj</t>
  </si>
  <si>
    <t>BD-17</t>
  </si>
  <si>
    <t>Gopalganj</t>
  </si>
  <si>
    <t>Habiganj</t>
  </si>
  <si>
    <t>BD-20</t>
  </si>
  <si>
    <t>Jaipurhāt</t>
  </si>
  <si>
    <t>BD-24</t>
  </si>
  <si>
    <t>Joypurhat</t>
  </si>
  <si>
    <t>Jamālpur</t>
  </si>
  <si>
    <t>BD-21</t>
  </si>
  <si>
    <t>Jamalpur</t>
  </si>
  <si>
    <t>Jessore</t>
  </si>
  <si>
    <t>BD-22</t>
  </si>
  <si>
    <t>Jhālakāti</t>
  </si>
  <si>
    <t>BD-25</t>
  </si>
  <si>
    <t>Jhalakathi</t>
  </si>
  <si>
    <t>Jhenaidah</t>
  </si>
  <si>
    <t>BD-23</t>
  </si>
  <si>
    <t>Khagrāchari</t>
  </si>
  <si>
    <t>BD-29</t>
  </si>
  <si>
    <t>Khagrachhari</t>
  </si>
  <si>
    <t>Khulna</t>
  </si>
  <si>
    <t>BD-27</t>
  </si>
  <si>
    <t>BD-D</t>
  </si>
  <si>
    <t>Kishorganj</t>
  </si>
  <si>
    <t>BD-26</t>
  </si>
  <si>
    <t>Kishoreganj</t>
  </si>
  <si>
    <t>Kurīgrām</t>
  </si>
  <si>
    <t>BD-28</t>
  </si>
  <si>
    <t>Kurigram</t>
  </si>
  <si>
    <t>Kushtia</t>
  </si>
  <si>
    <t>BD-30</t>
  </si>
  <si>
    <t>Lakshmipur</t>
  </si>
  <si>
    <t>BD-31</t>
  </si>
  <si>
    <t>Lālmonirhāt</t>
  </si>
  <si>
    <t>BD-32</t>
  </si>
  <si>
    <t>Lalmonirhat</t>
  </si>
  <si>
    <t>Mādārīpur</t>
  </si>
  <si>
    <t>BD-36</t>
  </si>
  <si>
    <t>Madaripur</t>
  </si>
  <si>
    <t>Māgura</t>
  </si>
  <si>
    <t>BD-37</t>
  </si>
  <si>
    <t>Magura</t>
  </si>
  <si>
    <t>Mānikganj</t>
  </si>
  <si>
    <t>BD-33</t>
  </si>
  <si>
    <t>Manikganj</t>
  </si>
  <si>
    <t>Meherpur</t>
  </si>
  <si>
    <t>BD-39</t>
  </si>
  <si>
    <t>Moulvibāzār</t>
  </si>
  <si>
    <t>BD-38</t>
  </si>
  <si>
    <t>Moulvibazar</t>
  </si>
  <si>
    <t>Munshiganj</t>
  </si>
  <si>
    <t>BD-35</t>
  </si>
  <si>
    <t>Mymensingh</t>
  </si>
  <si>
    <t>BD-34</t>
  </si>
  <si>
    <t>BD-H</t>
  </si>
  <si>
    <t>Naogaon</t>
  </si>
  <si>
    <t>BD-48</t>
  </si>
  <si>
    <t>Narail</t>
  </si>
  <si>
    <t>BD-43</t>
  </si>
  <si>
    <t>Nārāyanganj</t>
  </si>
  <si>
    <t>BD-40</t>
  </si>
  <si>
    <t>Narayanganj</t>
  </si>
  <si>
    <t>Narsingdi</t>
  </si>
  <si>
    <t>BD-42</t>
  </si>
  <si>
    <t>Nator</t>
  </si>
  <si>
    <t>BD-44</t>
  </si>
  <si>
    <t>Natore</t>
  </si>
  <si>
    <t>Netrakona</t>
  </si>
  <si>
    <t>BD-41</t>
  </si>
  <si>
    <t>Nilphāmāri</t>
  </si>
  <si>
    <t>BD-46</t>
  </si>
  <si>
    <t>Nilphamari</t>
  </si>
  <si>
    <t>Noākhāli</t>
  </si>
  <si>
    <t>BD-47</t>
  </si>
  <si>
    <t>Noakhali</t>
  </si>
  <si>
    <t>Pābna</t>
  </si>
  <si>
    <t>BD-49</t>
  </si>
  <si>
    <t>Pabna</t>
  </si>
  <si>
    <t>Panchāgarh</t>
  </si>
  <si>
    <t>BD-52</t>
  </si>
  <si>
    <t>Panchagarh</t>
  </si>
  <si>
    <t>Patuākhāli</t>
  </si>
  <si>
    <t>BD-51</t>
  </si>
  <si>
    <t>Patuakhali</t>
  </si>
  <si>
    <t>Pirojpur</t>
  </si>
  <si>
    <t>BD-50</t>
  </si>
  <si>
    <t>Rājbāri</t>
  </si>
  <si>
    <t>BD-53</t>
  </si>
  <si>
    <t>Rajbari</t>
  </si>
  <si>
    <t>Rājshāhi</t>
  </si>
  <si>
    <t>BD-54</t>
  </si>
  <si>
    <t>Rajshahi</t>
  </si>
  <si>
    <t>BD-E</t>
  </si>
  <si>
    <t>Rangamati</t>
  </si>
  <si>
    <t>BD-56</t>
  </si>
  <si>
    <t>Rangpur</t>
  </si>
  <si>
    <t>BD-55</t>
  </si>
  <si>
    <t>BD-F</t>
  </si>
  <si>
    <t>Sātkhira</t>
  </si>
  <si>
    <t>BD-58</t>
  </si>
  <si>
    <t>Satkhira</t>
  </si>
  <si>
    <t>Shariyatpur</t>
  </si>
  <si>
    <t>BD-62</t>
  </si>
  <si>
    <t>Shariatpur</t>
  </si>
  <si>
    <t>Sherpur</t>
  </si>
  <si>
    <t>BD-57</t>
  </si>
  <si>
    <t>Sirājganj</t>
  </si>
  <si>
    <t>BD-59</t>
  </si>
  <si>
    <t>Sirajganj</t>
  </si>
  <si>
    <t>Sunāmganj</t>
  </si>
  <si>
    <t>BD-61</t>
  </si>
  <si>
    <t>Sunamganj</t>
  </si>
  <si>
    <t>Sylhet</t>
  </si>
  <si>
    <t>BD-60</t>
  </si>
  <si>
    <t>BD-G</t>
  </si>
  <si>
    <t>Tangail</t>
  </si>
  <si>
    <t>BD-63</t>
  </si>
  <si>
    <t>Thākurgaon</t>
  </si>
  <si>
    <t>BD-64</t>
  </si>
  <si>
    <t>Thakurgaon</t>
  </si>
  <si>
    <t>Christ Church</t>
  </si>
  <si>
    <t>BB-01</t>
  </si>
  <si>
    <t>Saint Andrew</t>
  </si>
  <si>
    <t>BB-02</t>
  </si>
  <si>
    <t>BB-03</t>
  </si>
  <si>
    <t>Saint James</t>
  </si>
  <si>
    <t>BB-04</t>
  </si>
  <si>
    <t>BB-05</t>
  </si>
  <si>
    <t>Saint Joseph</t>
  </si>
  <si>
    <t>BB-06</t>
  </si>
  <si>
    <t>Saint Lucy</t>
  </si>
  <si>
    <t>BB-07</t>
  </si>
  <si>
    <t>Saint Michael</t>
  </si>
  <si>
    <t>BB-08</t>
  </si>
  <si>
    <t>BB-09</t>
  </si>
  <si>
    <t>BB-10</t>
  </si>
  <si>
    <t>Saint Thomas</t>
  </si>
  <si>
    <t>BB-11</t>
  </si>
  <si>
    <t>Brestskaya Voblasts’</t>
  </si>
  <si>
    <t>BY-BR</t>
  </si>
  <si>
    <t>Brestskaya voblasts'</t>
  </si>
  <si>
    <t>oblast</t>
  </si>
  <si>
    <t>Homyel’skaya Voblasts’</t>
  </si>
  <si>
    <t>BY-HO</t>
  </si>
  <si>
    <t>Homyel'skaya voblasts'</t>
  </si>
  <si>
    <t>Hrodzyenskaya Voblasts’</t>
  </si>
  <si>
    <t>BY-HR</t>
  </si>
  <si>
    <t>Hrodzenskaya voblasts'</t>
  </si>
  <si>
    <t>Mahilyowskaya Voblasts’</t>
  </si>
  <si>
    <t>BY-MA</t>
  </si>
  <si>
    <t>Mahilyowskaya voblasts'</t>
  </si>
  <si>
    <t>Minsk</t>
  </si>
  <si>
    <t>BY-HM</t>
  </si>
  <si>
    <t>Horad Minsk</t>
  </si>
  <si>
    <t>Minskaya Voblasts’</t>
  </si>
  <si>
    <t>BY-MI</t>
  </si>
  <si>
    <t>Minskaya voblasts'</t>
  </si>
  <si>
    <t>Vitsyebskaya Voblasts’</t>
  </si>
  <si>
    <t>BY-VI</t>
  </si>
  <si>
    <t>Vitsyebskaya voblasts'</t>
  </si>
  <si>
    <t>Antwerpen</t>
  </si>
  <si>
    <t>BE-VAN</t>
  </si>
  <si>
    <t>Brabant Wallon</t>
  </si>
  <si>
    <t>BE-WBR</t>
  </si>
  <si>
    <t>Brabant wallon</t>
  </si>
  <si>
    <t>Brussels-Capital Region</t>
  </si>
  <si>
    <t>BE-BRU</t>
  </si>
  <si>
    <t>Bruxelles-Capitale, Région de</t>
  </si>
  <si>
    <t>Flanders</t>
  </si>
  <si>
    <t>BE-VLG</t>
  </si>
  <si>
    <t>Vlaamse Gewest</t>
  </si>
  <si>
    <t>Hainaut</t>
  </si>
  <si>
    <t>BE-WHT</t>
  </si>
  <si>
    <t>Liège</t>
  </si>
  <si>
    <t>BE-WLG</t>
  </si>
  <si>
    <t>Limburg</t>
  </si>
  <si>
    <t>BE-VLI</t>
  </si>
  <si>
    <t>Luxembourg</t>
  </si>
  <si>
    <t>BE-WLX</t>
  </si>
  <si>
    <t>Namur</t>
  </si>
  <si>
    <t>BE-WNA</t>
  </si>
  <si>
    <t>Oost-Vlaanderen</t>
  </si>
  <si>
    <t>BE-VOV</t>
  </si>
  <si>
    <t>Vlaams Brabant</t>
  </si>
  <si>
    <t>BE-VBR</t>
  </si>
  <si>
    <t>Wallonia</t>
  </si>
  <si>
    <t>BE-WAL</t>
  </si>
  <si>
    <t>wallonne, Région</t>
  </si>
  <si>
    <t>West-Vlaanderen</t>
  </si>
  <si>
    <t>BE-VWV</t>
  </si>
  <si>
    <t>Belize</t>
  </si>
  <si>
    <t>BZ-BZ</t>
  </si>
  <si>
    <t>Cayo</t>
  </si>
  <si>
    <t>BZ-CY</t>
  </si>
  <si>
    <t>Corozal</t>
  </si>
  <si>
    <t>BZ-CZL</t>
  </si>
  <si>
    <t>Orange Walk</t>
  </si>
  <si>
    <t>BZ-OW</t>
  </si>
  <si>
    <t>Stann Creek</t>
  </si>
  <si>
    <t>BZ-SC</t>
  </si>
  <si>
    <t>Toledo</t>
  </si>
  <si>
    <t>BZ-TOL</t>
  </si>
  <si>
    <t>Alibori</t>
  </si>
  <si>
    <t>department</t>
  </si>
  <si>
    <t>BJ-AL</t>
  </si>
  <si>
    <t>Atacora</t>
  </si>
  <si>
    <t>BJ-AK</t>
  </si>
  <si>
    <t>Atlantique</t>
  </si>
  <si>
    <t>BJ-AQ</t>
  </si>
  <si>
    <t>Borgou</t>
  </si>
  <si>
    <t>BJ-BO</t>
  </si>
  <si>
    <t>Collines</t>
  </si>
  <si>
    <t>BJ-CO</t>
  </si>
  <si>
    <t>Couffo</t>
  </si>
  <si>
    <t>BJ-KO</t>
  </si>
  <si>
    <t>Donga</t>
  </si>
  <si>
    <t>BJ-DO</t>
  </si>
  <si>
    <t>Littoral</t>
  </si>
  <si>
    <t>BJ-LI</t>
  </si>
  <si>
    <t>Mono</t>
  </si>
  <si>
    <t>BJ-MO</t>
  </si>
  <si>
    <t>Ouémé</t>
  </si>
  <si>
    <t>BJ-OU</t>
  </si>
  <si>
    <t>Plateau</t>
  </si>
  <si>
    <t>BJ-PL</t>
  </si>
  <si>
    <t>Zou</t>
  </si>
  <si>
    <t>BJ-ZO</t>
  </si>
  <si>
    <t>Devonshire</t>
  </si>
  <si>
    <t>BM-01</t>
  </si>
  <si>
    <t>Hamilton</t>
  </si>
  <si>
    <t>BM-03</t>
  </si>
  <si>
    <t>BM-02</t>
  </si>
  <si>
    <t>Paget</t>
  </si>
  <si>
    <t>BM-04</t>
  </si>
  <si>
    <t>Pembroke</t>
  </si>
  <si>
    <t>BM-05</t>
  </si>
  <si>
    <t>BM-06</t>
  </si>
  <si>
    <t>Saint George’s</t>
  </si>
  <si>
    <t>BM-07</t>
  </si>
  <si>
    <t>Sandys</t>
  </si>
  <si>
    <t>BM-08</t>
  </si>
  <si>
    <t>Smith’s</t>
  </si>
  <si>
    <t>BM-09</t>
  </si>
  <si>
    <t>Southampton</t>
  </si>
  <si>
    <t>BM-10</t>
  </si>
  <si>
    <t>Warwick</t>
  </si>
  <si>
    <t>BM-11</t>
  </si>
  <si>
    <t>Bumthang</t>
  </si>
  <si>
    <t>BT-33</t>
  </si>
  <si>
    <t>Chhukha</t>
  </si>
  <si>
    <t>BT-12</t>
  </si>
  <si>
    <t>Dagana</t>
  </si>
  <si>
    <t>BT-22</t>
  </si>
  <si>
    <t>Gasa</t>
  </si>
  <si>
    <t>BT-GA</t>
  </si>
  <si>
    <t>Haa</t>
  </si>
  <si>
    <t>BT-13</t>
  </si>
  <si>
    <t>Lhuentse</t>
  </si>
  <si>
    <t>BT-44</t>
  </si>
  <si>
    <t>Mongar</t>
  </si>
  <si>
    <t>BT-42</t>
  </si>
  <si>
    <t>Monggar</t>
  </si>
  <si>
    <t>Paro</t>
  </si>
  <si>
    <t>BT-11</t>
  </si>
  <si>
    <t>Pemagatshel</t>
  </si>
  <si>
    <t>BT-43</t>
  </si>
  <si>
    <t>Punakha</t>
  </si>
  <si>
    <t>BT-23</t>
  </si>
  <si>
    <t>Samdrup Jongkhar</t>
  </si>
  <si>
    <t>BT-45</t>
  </si>
  <si>
    <t>Samtse</t>
  </si>
  <si>
    <t>BT-14</t>
  </si>
  <si>
    <t>Sarpang</t>
  </si>
  <si>
    <t>BT-31</t>
  </si>
  <si>
    <t>Thimphu</t>
  </si>
  <si>
    <t>BT-15</t>
  </si>
  <si>
    <t>Trashigang</t>
  </si>
  <si>
    <t>BT-41</t>
  </si>
  <si>
    <t>Trashi Yangtse</t>
  </si>
  <si>
    <t>BT-TY</t>
  </si>
  <si>
    <t>Trongsa</t>
  </si>
  <si>
    <t>BT-32</t>
  </si>
  <si>
    <t>Tsirang</t>
  </si>
  <si>
    <t>BT-21</t>
  </si>
  <si>
    <t>Wangdue Phodrang</t>
  </si>
  <si>
    <t>BT-24</t>
  </si>
  <si>
    <t>Zhemgang</t>
  </si>
  <si>
    <t>BT-34</t>
  </si>
  <si>
    <t>Chuquisaca</t>
  </si>
  <si>
    <t>BO-H</t>
  </si>
  <si>
    <t>Cochabamba</t>
  </si>
  <si>
    <t>BO-C</t>
  </si>
  <si>
    <t>El Beni</t>
  </si>
  <si>
    <t>BO-B</t>
  </si>
  <si>
    <t>La Paz</t>
  </si>
  <si>
    <t>BO-L</t>
  </si>
  <si>
    <t>Oruro</t>
  </si>
  <si>
    <t>BO-O</t>
  </si>
  <si>
    <t>Pando</t>
  </si>
  <si>
    <t>BO-N</t>
  </si>
  <si>
    <t>Potosí</t>
  </si>
  <si>
    <t>BO-P</t>
  </si>
  <si>
    <t>BO-S</t>
  </si>
  <si>
    <t>Tarija</t>
  </si>
  <si>
    <t>BO-T</t>
  </si>
  <si>
    <t>special municipality</t>
  </si>
  <si>
    <t>BONAIRE, SAINT EUSTATIUS AND SABA</t>
  </si>
  <si>
    <t>Bosnia and Herzegovina, Federation of</t>
  </si>
  <si>
    <t>federation</t>
  </si>
  <si>
    <t>BA-BIH</t>
  </si>
  <si>
    <t>Federacija Bosne i Hercegovine</t>
  </si>
  <si>
    <t>entity</t>
  </si>
  <si>
    <t>Brcko District</t>
  </si>
  <si>
    <t>BA-BRC</t>
  </si>
  <si>
    <t>Brčko distrikt</t>
  </si>
  <si>
    <t>district with special status</t>
  </si>
  <si>
    <t>Srpska, Republika</t>
  </si>
  <si>
    <t>republic</t>
  </si>
  <si>
    <t>BA-SRP</t>
  </si>
  <si>
    <t>Republika Srpska</t>
  </si>
  <si>
    <t>Central</t>
  </si>
  <si>
    <t>BW-CE</t>
  </si>
  <si>
    <t>Chobe</t>
  </si>
  <si>
    <t>BW-CH</t>
  </si>
  <si>
    <t>Francistown</t>
  </si>
  <si>
    <t>BW-FR</t>
  </si>
  <si>
    <t>Gaborone</t>
  </si>
  <si>
    <t>BW-GA</t>
  </si>
  <si>
    <t>Ghanzi</t>
  </si>
  <si>
    <t>BW-GH</t>
  </si>
  <si>
    <t>Jwaneng</t>
  </si>
  <si>
    <t>town</t>
  </si>
  <si>
    <t>BW-JW</t>
  </si>
  <si>
    <t>Kgalagadi</t>
  </si>
  <si>
    <t>BW-KG</t>
  </si>
  <si>
    <t>Kgatleng</t>
  </si>
  <si>
    <t>BW-KL</t>
  </si>
  <si>
    <t>Kweneng</t>
  </si>
  <si>
    <t>BW-KW</t>
  </si>
  <si>
    <t>Lobatse</t>
  </si>
  <si>
    <t>BW-LO</t>
  </si>
  <si>
    <t>North East</t>
  </si>
  <si>
    <t>BW-NE</t>
  </si>
  <si>
    <t>North West</t>
  </si>
  <si>
    <t>BW-NW</t>
  </si>
  <si>
    <t>Selibe Phikwe</t>
  </si>
  <si>
    <t>BW-SP</t>
  </si>
  <si>
    <t>South East</t>
  </si>
  <si>
    <t>BW-SE</t>
  </si>
  <si>
    <t>Southern</t>
  </si>
  <si>
    <t>BW-SO</t>
  </si>
  <si>
    <t>Sowa Town</t>
  </si>
  <si>
    <t>BW-ST</t>
  </si>
  <si>
    <t>Acre</t>
  </si>
  <si>
    <t>BR-AC</t>
  </si>
  <si>
    <t>Alagoas</t>
  </si>
  <si>
    <t>BR-AL</t>
  </si>
  <si>
    <t>Amapá</t>
  </si>
  <si>
    <t>BR-AP</t>
  </si>
  <si>
    <t>Amazonas</t>
  </si>
  <si>
    <t>BR-AM</t>
  </si>
  <si>
    <t>Bahia</t>
  </si>
  <si>
    <t>BR-BA</t>
  </si>
  <si>
    <t>Ceará</t>
  </si>
  <si>
    <t>BR-CE</t>
  </si>
  <si>
    <t>Distrito Federal</t>
  </si>
  <si>
    <t>federal district</t>
  </si>
  <si>
    <t>BR-DF</t>
  </si>
  <si>
    <t>Espírito Santo</t>
  </si>
  <si>
    <t>BR-ES</t>
  </si>
  <si>
    <t>Goiás</t>
  </si>
  <si>
    <t>BR-GO</t>
  </si>
  <si>
    <t>Maranhão</t>
  </si>
  <si>
    <t>BR-MA</t>
  </si>
  <si>
    <t>Mato Grosso</t>
  </si>
  <si>
    <t>BR-MT</t>
  </si>
  <si>
    <t>Mato Grosso do Sul</t>
  </si>
  <si>
    <t>BR-MS</t>
  </si>
  <si>
    <t>Minas Gerais</t>
  </si>
  <si>
    <t>BR-MG</t>
  </si>
  <si>
    <t>Pará</t>
  </si>
  <si>
    <t>BR-PA</t>
  </si>
  <si>
    <t>Paraíba</t>
  </si>
  <si>
    <t>BR-PB</t>
  </si>
  <si>
    <t>Paraná</t>
  </si>
  <si>
    <t>BR-PR</t>
  </si>
  <si>
    <t>Pernambuco</t>
  </si>
  <si>
    <t>BR-PE</t>
  </si>
  <si>
    <t>Piauí</t>
  </si>
  <si>
    <t>BR-PI</t>
  </si>
  <si>
    <t>Rio de Janeiro</t>
  </si>
  <si>
    <t>BR-RJ</t>
  </si>
  <si>
    <t>Rio Grande do Norte</t>
  </si>
  <si>
    <t>BR-RN</t>
  </si>
  <si>
    <t>Rio Grande do Sul</t>
  </si>
  <si>
    <t>BR-RS</t>
  </si>
  <si>
    <t>Rondônia</t>
  </si>
  <si>
    <t>BR-RO</t>
  </si>
  <si>
    <t>Roraima</t>
  </si>
  <si>
    <t>BR-RR</t>
  </si>
  <si>
    <t>Santa Catarina</t>
  </si>
  <si>
    <t>BR-SC</t>
  </si>
  <si>
    <t>São Paulo</t>
  </si>
  <si>
    <t>BR-SP</t>
  </si>
  <si>
    <t>Sergipe</t>
  </si>
  <si>
    <t>BR-SE</t>
  </si>
  <si>
    <t>Tocantins</t>
  </si>
  <si>
    <t>BR-TO</t>
  </si>
  <si>
    <t>Belait</t>
  </si>
  <si>
    <t>BN-BE</t>
  </si>
  <si>
    <t>Brunei and Muara</t>
  </si>
  <si>
    <t>BN-BM</t>
  </si>
  <si>
    <t>Brunei-Muara</t>
  </si>
  <si>
    <t>Temburong</t>
  </si>
  <si>
    <t>BN-TE</t>
  </si>
  <si>
    <t>Tutong</t>
  </si>
  <si>
    <t>BN-TU</t>
  </si>
  <si>
    <t>Blagoevgrad</t>
  </si>
  <si>
    <t>BG-01</t>
  </si>
  <si>
    <t>Burgas</t>
  </si>
  <si>
    <t>BG-02</t>
  </si>
  <si>
    <t>Dobrich</t>
  </si>
  <si>
    <t>BG-08</t>
  </si>
  <si>
    <t>Gabrovo</t>
  </si>
  <si>
    <t>BG-07</t>
  </si>
  <si>
    <t>Haskovo</t>
  </si>
  <si>
    <t>BG-26</t>
  </si>
  <si>
    <t>Kardzhali</t>
  </si>
  <si>
    <t>BG-09</t>
  </si>
  <si>
    <t>Kyustendil</t>
  </si>
  <si>
    <t>BG-10</t>
  </si>
  <si>
    <t>Lovech</t>
  </si>
  <si>
    <t>BG-11</t>
  </si>
  <si>
    <t>Montana</t>
  </si>
  <si>
    <t>BG-12</t>
  </si>
  <si>
    <t>Pazardzhik</t>
  </si>
  <si>
    <t>BG-13</t>
  </si>
  <si>
    <t>Pernik</t>
  </si>
  <si>
    <t>BG-14</t>
  </si>
  <si>
    <t>Pleven</t>
  </si>
  <si>
    <t>BG-15</t>
  </si>
  <si>
    <t>Plovdiv</t>
  </si>
  <si>
    <t>BG-16</t>
  </si>
  <si>
    <t>Razgrad</t>
  </si>
  <si>
    <t>BG-17</t>
  </si>
  <si>
    <t>Ruse</t>
  </si>
  <si>
    <t>BG-18</t>
  </si>
  <si>
    <t>Shumen</t>
  </si>
  <si>
    <t>BG-27</t>
  </si>
  <si>
    <t>Silistra</t>
  </si>
  <si>
    <t>BG-19</t>
  </si>
  <si>
    <t>Sliven</t>
  </si>
  <si>
    <t>BG-20</t>
  </si>
  <si>
    <t>Smolyan</t>
  </si>
  <si>
    <t>BG-21</t>
  </si>
  <si>
    <t>Sofia</t>
  </si>
  <si>
    <t>BG-23</t>
  </si>
  <si>
    <t>Sofia-Grad</t>
  </si>
  <si>
    <t>BG-22</t>
  </si>
  <si>
    <t>Sofia (stolitsa)</t>
  </si>
  <si>
    <t>Stara Zagora</t>
  </si>
  <si>
    <t>BG-24</t>
  </si>
  <si>
    <t>Targovishte</t>
  </si>
  <si>
    <t>BG-25</t>
  </si>
  <si>
    <t>Varna</t>
  </si>
  <si>
    <t>BG-03</t>
  </si>
  <si>
    <t>Veliko Tarnovo</t>
  </si>
  <si>
    <t>BG-04</t>
  </si>
  <si>
    <t>Vidin</t>
  </si>
  <si>
    <t>BG-05</t>
  </si>
  <si>
    <t>Vratsa</t>
  </si>
  <si>
    <t>BG-06</t>
  </si>
  <si>
    <t>Yambol</t>
  </si>
  <si>
    <t>BG-28</t>
  </si>
  <si>
    <t>Balé</t>
  </si>
  <si>
    <t>BF-BAL</t>
  </si>
  <si>
    <t>Bam</t>
  </si>
  <si>
    <t>BF-BAM</t>
  </si>
  <si>
    <t>Banwa</t>
  </si>
  <si>
    <t>BF-BAN</t>
  </si>
  <si>
    <t>Bazèga</t>
  </si>
  <si>
    <t>BF-BAZ</t>
  </si>
  <si>
    <t>Boucle du Mouhoun</t>
  </si>
  <si>
    <t>BF-01</t>
  </si>
  <si>
    <t>Bougouriba</t>
  </si>
  <si>
    <t>BF-BGR</t>
  </si>
  <si>
    <t>Boulgou</t>
  </si>
  <si>
    <t>BF-BLG</t>
  </si>
  <si>
    <t>Boulkiemdé</t>
  </si>
  <si>
    <t>BF-BLK</t>
  </si>
  <si>
    <t>Cascades</t>
  </si>
  <si>
    <t>BF-02</t>
  </si>
  <si>
    <t>Centre</t>
  </si>
  <si>
    <t>BF-03</t>
  </si>
  <si>
    <t>Centre-Est</t>
  </si>
  <si>
    <t>BF-04</t>
  </si>
  <si>
    <t>Centre-Nord</t>
  </si>
  <si>
    <t>BF-05</t>
  </si>
  <si>
    <t>Centre-Ouest</t>
  </si>
  <si>
    <t>BF-06</t>
  </si>
  <si>
    <t>Centre-Sud</t>
  </si>
  <si>
    <t>BF-07</t>
  </si>
  <si>
    <t>Comoé</t>
  </si>
  <si>
    <t>BF-COM</t>
  </si>
  <si>
    <t>Est</t>
  </si>
  <si>
    <t>BF-08</t>
  </si>
  <si>
    <t>Ganzourgou</t>
  </si>
  <si>
    <t>BF-GAN</t>
  </si>
  <si>
    <t>Gnagna</t>
  </si>
  <si>
    <t>BF-GNA</t>
  </si>
  <si>
    <t>Gourma</t>
  </si>
  <si>
    <t>BF-GOU</t>
  </si>
  <si>
    <t>Hauts-Bassins</t>
  </si>
  <si>
    <t>BF-09</t>
  </si>
  <si>
    <t>Houet</t>
  </si>
  <si>
    <t>BF-HOU</t>
  </si>
  <si>
    <t>Ioba</t>
  </si>
  <si>
    <t>BF-IOB</t>
  </si>
  <si>
    <t>Kadiogo</t>
  </si>
  <si>
    <t>BF-KAD</t>
  </si>
  <si>
    <t>Kénédougou</t>
  </si>
  <si>
    <t>BF-KEN</t>
  </si>
  <si>
    <t>Komondjari</t>
  </si>
  <si>
    <t>BF-KMD</t>
  </si>
  <si>
    <t>Kompienga</t>
  </si>
  <si>
    <t>BF-KMP</t>
  </si>
  <si>
    <t>Kossi</t>
  </si>
  <si>
    <t>BF-KOS</t>
  </si>
  <si>
    <t>Koulpélogo</t>
  </si>
  <si>
    <t>BF-KOP</t>
  </si>
  <si>
    <t>Kouritenga</t>
  </si>
  <si>
    <t>BF-KOT</t>
  </si>
  <si>
    <t>Kourwéogo</t>
  </si>
  <si>
    <t>BF-KOW</t>
  </si>
  <si>
    <t>Léraba</t>
  </si>
  <si>
    <t>BF-LER</t>
  </si>
  <si>
    <t>Loroum</t>
  </si>
  <si>
    <t>BF-LOR</t>
  </si>
  <si>
    <t>Mouhoun</t>
  </si>
  <si>
    <t>BF-MOU</t>
  </si>
  <si>
    <t>Nahouri</t>
  </si>
  <si>
    <t>BF-NAO</t>
  </si>
  <si>
    <t>Namentenga</t>
  </si>
  <si>
    <t>BF-NAM</t>
  </si>
  <si>
    <t>Nayala</t>
  </si>
  <si>
    <t>BF-NAY</t>
  </si>
  <si>
    <t>Nord</t>
  </si>
  <si>
    <t>BF-10</t>
  </si>
  <si>
    <t>Noumbiel</t>
  </si>
  <si>
    <t>BF-NOU</t>
  </si>
  <si>
    <t>Oubritenga</t>
  </si>
  <si>
    <t>BF-OUB</t>
  </si>
  <si>
    <t>Oudalan</t>
  </si>
  <si>
    <t>BF-OUD</t>
  </si>
  <si>
    <t>Passoré</t>
  </si>
  <si>
    <t>BF-PAS</t>
  </si>
  <si>
    <t>Plateau-Central</t>
  </si>
  <si>
    <t>BF-11</t>
  </si>
  <si>
    <t>Poni</t>
  </si>
  <si>
    <t>BF-PON</t>
  </si>
  <si>
    <t>Sahel</t>
  </si>
  <si>
    <t>BF-12</t>
  </si>
  <si>
    <t>Sanguié</t>
  </si>
  <si>
    <t>BF-SNG</t>
  </si>
  <si>
    <t>Sanmatenga</t>
  </si>
  <si>
    <t>BF-SMT</t>
  </si>
  <si>
    <t>Séno</t>
  </si>
  <si>
    <t>BF-SEN</t>
  </si>
  <si>
    <t>Sissili</t>
  </si>
  <si>
    <t>BF-SIS</t>
  </si>
  <si>
    <t>Soum</t>
  </si>
  <si>
    <t>BF-SOM</t>
  </si>
  <si>
    <t>Sourou</t>
  </si>
  <si>
    <t>BF-SOR</t>
  </si>
  <si>
    <t>Sud-Ouest</t>
  </si>
  <si>
    <t>BF-13</t>
  </si>
  <si>
    <t>Tapoa</t>
  </si>
  <si>
    <t>BF-TAP</t>
  </si>
  <si>
    <t>Tuy</t>
  </si>
  <si>
    <t>BF-TUI</t>
  </si>
  <si>
    <t>Yagha</t>
  </si>
  <si>
    <t>BF-YAG</t>
  </si>
  <si>
    <t>Yatenga</t>
  </si>
  <si>
    <t>BF-YAT</t>
  </si>
  <si>
    <t>Ziro</t>
  </si>
  <si>
    <t>BF-ZIR</t>
  </si>
  <si>
    <t>Zondoma</t>
  </si>
  <si>
    <t>BF-ZON</t>
  </si>
  <si>
    <t>Zoundwéogo</t>
  </si>
  <si>
    <t>BF-ZOU</t>
  </si>
  <si>
    <t>Ayeyawady</t>
  </si>
  <si>
    <t>MM-07</t>
  </si>
  <si>
    <t>Ayeyarwady</t>
  </si>
  <si>
    <t>Bago</t>
  </si>
  <si>
    <t>MM-02</t>
  </si>
  <si>
    <t>Chin State</t>
  </si>
  <si>
    <t>MM-14</t>
  </si>
  <si>
    <t>Chin</t>
  </si>
  <si>
    <t>Kachin State</t>
  </si>
  <si>
    <t>MM-11</t>
  </si>
  <si>
    <t>Kachin</t>
  </si>
  <si>
    <t>Kayah State</t>
  </si>
  <si>
    <t>MM-12</t>
  </si>
  <si>
    <t>Kayah</t>
  </si>
  <si>
    <t>Kayin State</t>
  </si>
  <si>
    <t>MM-13</t>
  </si>
  <si>
    <t>Kayin</t>
  </si>
  <si>
    <t>Magway</t>
  </si>
  <si>
    <t>MM-03</t>
  </si>
  <si>
    <t>Mandalay</t>
  </si>
  <si>
    <t>MM-04</t>
  </si>
  <si>
    <t>Mon State</t>
  </si>
  <si>
    <t>MM-15</t>
  </si>
  <si>
    <t>Mon</t>
  </si>
  <si>
    <t>Nay Pyi Taw</t>
  </si>
  <si>
    <t>union territory</t>
  </si>
  <si>
    <t>MM-18</t>
  </si>
  <si>
    <t>Rakhine State</t>
  </si>
  <si>
    <t>MM-16</t>
  </si>
  <si>
    <t>Rakhine</t>
  </si>
  <si>
    <t>Sagaing</t>
  </si>
  <si>
    <t>MM-01</t>
  </si>
  <si>
    <t>Shan State</t>
  </si>
  <si>
    <t>MM-17</t>
  </si>
  <si>
    <t>Shan</t>
  </si>
  <si>
    <t>Taninthayi</t>
  </si>
  <si>
    <t>MM-05</t>
  </si>
  <si>
    <t>Tanintharyi</t>
  </si>
  <si>
    <t>Yangon</t>
  </si>
  <si>
    <t>MM-06</t>
  </si>
  <si>
    <t>Bubanza</t>
  </si>
  <si>
    <t>BI-BB</t>
  </si>
  <si>
    <t>Bujumbura Mairie</t>
  </si>
  <si>
    <t>BI-BM</t>
  </si>
  <si>
    <t>Bujumbura Rural</t>
  </si>
  <si>
    <t>BI-BL</t>
  </si>
  <si>
    <t>Bururi</t>
  </si>
  <si>
    <t>BI-BR</t>
  </si>
  <si>
    <t>Cankuzo</t>
  </si>
  <si>
    <t>BI-CA</t>
  </si>
  <si>
    <t>Cibitoke</t>
  </si>
  <si>
    <t>BI-CI</t>
  </si>
  <si>
    <t>Gitega</t>
  </si>
  <si>
    <t>BI-GI</t>
  </si>
  <si>
    <t>Karuzi</t>
  </si>
  <si>
    <t>BI-KR</t>
  </si>
  <si>
    <t>Kayanza</t>
  </si>
  <si>
    <t>BI-KY</t>
  </si>
  <si>
    <t>Kirundo</t>
  </si>
  <si>
    <t>BI-KI</t>
  </si>
  <si>
    <t>Makamba</t>
  </si>
  <si>
    <t>BI-MA</t>
  </si>
  <si>
    <t>Muramvya</t>
  </si>
  <si>
    <t>BI-MU</t>
  </si>
  <si>
    <t>Muyinga</t>
  </si>
  <si>
    <t>BI-MY</t>
  </si>
  <si>
    <t>Mwaro</t>
  </si>
  <si>
    <t>BI-MW</t>
  </si>
  <si>
    <t>Ngozi</t>
  </si>
  <si>
    <t>BI-NG</t>
  </si>
  <si>
    <t>Rumonge</t>
  </si>
  <si>
    <t>BI-RM</t>
  </si>
  <si>
    <t>Rutana</t>
  </si>
  <si>
    <t>BI-RT</t>
  </si>
  <si>
    <t>Ruyigi</t>
  </si>
  <si>
    <t>BI-RY</t>
  </si>
  <si>
    <t>Boa Vista</t>
  </si>
  <si>
    <t>CV-BV</t>
  </si>
  <si>
    <t>CAPE VERDE</t>
  </si>
  <si>
    <t>Brava</t>
  </si>
  <si>
    <t>CV-BR</t>
  </si>
  <si>
    <t>Ilhas de Barlavento</t>
  </si>
  <si>
    <t>geographical region</t>
  </si>
  <si>
    <t>CV-B</t>
  </si>
  <si>
    <t>Ilhas de Sotavento</t>
  </si>
  <si>
    <t>CV-S</t>
  </si>
  <si>
    <t>Maio</t>
  </si>
  <si>
    <t>CV-MA</t>
  </si>
  <si>
    <t>Mosteiros</t>
  </si>
  <si>
    <t>CV-MO</t>
  </si>
  <si>
    <t>Paul</t>
  </si>
  <si>
    <t>CV-PA</t>
  </si>
  <si>
    <t>Porto Novo</t>
  </si>
  <si>
    <t>CV-PN</t>
  </si>
  <si>
    <t>Praia</t>
  </si>
  <si>
    <t>CV-PR</t>
  </si>
  <si>
    <t>Ribeira Brava</t>
  </si>
  <si>
    <t>CV-RB</t>
  </si>
  <si>
    <t>Ribeira Grande</t>
  </si>
  <si>
    <t>CV-RG</t>
  </si>
  <si>
    <t>Ribeira Grande de Santiago</t>
  </si>
  <si>
    <t>CV-RS</t>
  </si>
  <si>
    <t>Sal</t>
  </si>
  <si>
    <t>CV-SL</t>
  </si>
  <si>
    <t>CV-CA</t>
  </si>
  <si>
    <t>Santa Catarina do Fogo</t>
  </si>
  <si>
    <t>CV-CF</t>
  </si>
  <si>
    <t>CV-CR</t>
  </si>
  <si>
    <t>São Domingos</t>
  </si>
  <si>
    <t>CV-SD</t>
  </si>
  <si>
    <t>São Filipe</t>
  </si>
  <si>
    <t>CV-SF</t>
  </si>
  <si>
    <t>São Lourenço dos Órgãos</t>
  </si>
  <si>
    <t>CV-SO</t>
  </si>
  <si>
    <t>São Miguel</t>
  </si>
  <si>
    <t>CV-SM</t>
  </si>
  <si>
    <t>São Salvador do Mundo</t>
  </si>
  <si>
    <t>CV-SS</t>
  </si>
  <si>
    <t>São Vicente</t>
  </si>
  <si>
    <t>CV-SV</t>
  </si>
  <si>
    <t>Tarrafal</t>
  </si>
  <si>
    <t>CV-TA</t>
  </si>
  <si>
    <t>Tarrafal de São Nicolau</t>
  </si>
  <si>
    <t>CV-TS</t>
  </si>
  <si>
    <t>Banteay Meanchey</t>
  </si>
  <si>
    <t>KH-1</t>
  </si>
  <si>
    <t>Banteay Mean Chey</t>
  </si>
  <si>
    <t>Battambang</t>
  </si>
  <si>
    <t>KH-2</t>
  </si>
  <si>
    <t>Baat Dambang</t>
  </si>
  <si>
    <t>Kampong Cham</t>
  </si>
  <si>
    <t>KH-3</t>
  </si>
  <si>
    <t>Kampong Chaam</t>
  </si>
  <si>
    <t>Kampong Chhnang</t>
  </si>
  <si>
    <t>KH-4</t>
  </si>
  <si>
    <t>Kampong Speu</t>
  </si>
  <si>
    <t>KH-5</t>
  </si>
  <si>
    <t>Kampong Spueu</t>
  </si>
  <si>
    <t>Kampong Thom</t>
  </si>
  <si>
    <t>KH-6</t>
  </si>
  <si>
    <t>Kampong Thum</t>
  </si>
  <si>
    <t>Kampot</t>
  </si>
  <si>
    <t>KH-7</t>
  </si>
  <si>
    <t>Kandal</t>
  </si>
  <si>
    <t>KH-8</t>
  </si>
  <si>
    <t>Kandaal</t>
  </si>
  <si>
    <t>Kep</t>
  </si>
  <si>
    <t>KH-23</t>
  </si>
  <si>
    <t>Krong Kaeb</t>
  </si>
  <si>
    <t>Koh Kong</t>
  </si>
  <si>
    <t>KH-9</t>
  </si>
  <si>
    <t>Kaoh Kong</t>
  </si>
  <si>
    <t>Kratie</t>
  </si>
  <si>
    <t>KH-10</t>
  </si>
  <si>
    <t>Kracheh</t>
  </si>
  <si>
    <t>Mondolkiri</t>
  </si>
  <si>
    <t>KH-11</t>
  </si>
  <si>
    <t>Mondol Kiri</t>
  </si>
  <si>
    <t>Oddar Meanchey</t>
  </si>
  <si>
    <t>KH-22</t>
  </si>
  <si>
    <t>Otdar Mean Chey</t>
  </si>
  <si>
    <t>Pailin</t>
  </si>
  <si>
    <t>KH-24</t>
  </si>
  <si>
    <t>Krong Pailin</t>
  </si>
  <si>
    <t>Phnom Penh</t>
  </si>
  <si>
    <t>KH-12</t>
  </si>
  <si>
    <t>autonomous municipality</t>
  </si>
  <si>
    <t>Preah Vihear</t>
  </si>
  <si>
    <t>KH-13</t>
  </si>
  <si>
    <t>Prey Veng</t>
  </si>
  <si>
    <t>KH-14</t>
  </si>
  <si>
    <t>Prey Veaeng</t>
  </si>
  <si>
    <t>Pursat</t>
  </si>
  <si>
    <t>KH-15</t>
  </si>
  <si>
    <t>Pousaat</t>
  </si>
  <si>
    <t>Ratanakiri</t>
  </si>
  <si>
    <t>KH-16</t>
  </si>
  <si>
    <t>Rotanak Kiri</t>
  </si>
  <si>
    <t>Siem Reap</t>
  </si>
  <si>
    <t>KH-17</t>
  </si>
  <si>
    <t>Siem Reab</t>
  </si>
  <si>
    <t>Sihanoukville</t>
  </si>
  <si>
    <t>KH-18</t>
  </si>
  <si>
    <t>Krong Preah Sihanouk</t>
  </si>
  <si>
    <t>Stung Treng</t>
  </si>
  <si>
    <t>KH-19</t>
  </si>
  <si>
    <t>Stueng Traeng</t>
  </si>
  <si>
    <t>Svay Rieng</t>
  </si>
  <si>
    <t>KH-20</t>
  </si>
  <si>
    <t>Svaay Rieng</t>
  </si>
  <si>
    <t>Takeo</t>
  </si>
  <si>
    <t>KH-21</t>
  </si>
  <si>
    <t>Taakaev</t>
  </si>
  <si>
    <t>Tbong Khmum</t>
  </si>
  <si>
    <t>KH-25</t>
  </si>
  <si>
    <t>Adamaoua</t>
  </si>
  <si>
    <t>CM-AD</t>
  </si>
  <si>
    <t>CM-CE</t>
  </si>
  <si>
    <t>CM-ES</t>
  </si>
  <si>
    <t>East</t>
  </si>
  <si>
    <t>Extrême-Nord</t>
  </si>
  <si>
    <t>CM-EN</t>
  </si>
  <si>
    <t>Far North</t>
  </si>
  <si>
    <t>CM-LT</t>
  </si>
  <si>
    <t>CM-NO</t>
  </si>
  <si>
    <t>North</t>
  </si>
  <si>
    <t>North-West</t>
  </si>
  <si>
    <t>CM-NW</t>
  </si>
  <si>
    <t>Ouest</t>
  </si>
  <si>
    <t>CM-OU</t>
  </si>
  <si>
    <t>West</t>
  </si>
  <si>
    <t>South-West</t>
  </si>
  <si>
    <t>CM-SW</t>
  </si>
  <si>
    <t>Sud</t>
  </si>
  <si>
    <t>CM-SU</t>
  </si>
  <si>
    <t>South</t>
  </si>
  <si>
    <t>Alberta</t>
  </si>
  <si>
    <t>CA-AB</t>
  </si>
  <si>
    <t>British Columbia</t>
  </si>
  <si>
    <t>CA-BC</t>
  </si>
  <si>
    <t>Manitoba</t>
  </si>
  <si>
    <t>CA-MB</t>
  </si>
  <si>
    <t>New Brunswick</t>
  </si>
  <si>
    <t>CA-NB</t>
  </si>
  <si>
    <t>Newfoundland and Labrador</t>
  </si>
  <si>
    <t>CA-NL</t>
  </si>
  <si>
    <t>Northwest Territories</t>
  </si>
  <si>
    <t>CA-NT</t>
  </si>
  <si>
    <t>Nova Scotia</t>
  </si>
  <si>
    <t>CA-NS</t>
  </si>
  <si>
    <t>Nunavut</t>
  </si>
  <si>
    <t>CA-NU</t>
  </si>
  <si>
    <t>Ontario</t>
  </si>
  <si>
    <t>CA-ON</t>
  </si>
  <si>
    <t>Prince Edward Island</t>
  </si>
  <si>
    <t>CA-PE</t>
  </si>
  <si>
    <t>Québec</t>
  </si>
  <si>
    <t>CA-QC</t>
  </si>
  <si>
    <t>Quebec</t>
  </si>
  <si>
    <t>Saskatchewan</t>
  </si>
  <si>
    <t>CA-SK</t>
  </si>
  <si>
    <t>Yukon</t>
  </si>
  <si>
    <t>CA-YT</t>
  </si>
  <si>
    <t>Bamingui-Bangoran</t>
  </si>
  <si>
    <t>prefecture</t>
  </si>
  <si>
    <t>CF-BB</t>
  </si>
  <si>
    <t>Bangui</t>
  </si>
  <si>
    <t>commune</t>
  </si>
  <si>
    <t>CF-BGF</t>
  </si>
  <si>
    <t>Basse-Kotto</t>
  </si>
  <si>
    <t>CF-BK</t>
  </si>
  <si>
    <t>Haute-Kotto</t>
  </si>
  <si>
    <t>CF-HK</t>
  </si>
  <si>
    <t>Haut-Mbomou</t>
  </si>
  <si>
    <t>CF-HM</t>
  </si>
  <si>
    <t>Kémo</t>
  </si>
  <si>
    <t>CF-KG</t>
  </si>
  <si>
    <t>Kémo-Gribingui</t>
  </si>
  <si>
    <t>Lobaye</t>
  </si>
  <si>
    <t>CF-LB</t>
  </si>
  <si>
    <t>Mambéré-Kadéï</t>
  </si>
  <si>
    <t>CF-HS</t>
  </si>
  <si>
    <t>Haute-Sangha / Mambéré-Kadéï</t>
  </si>
  <si>
    <t>Mbomou</t>
  </si>
  <si>
    <t>CF-MB</t>
  </si>
  <si>
    <t>Nana-Grébizi</t>
  </si>
  <si>
    <t>economic prefecture</t>
  </si>
  <si>
    <t>CF-KB</t>
  </si>
  <si>
    <t>Gribingui</t>
  </si>
  <si>
    <t>Nana-Mambéré</t>
  </si>
  <si>
    <t>CF-NM</t>
  </si>
  <si>
    <t>Ombella-Mpoko</t>
  </si>
  <si>
    <t>CF-MP</t>
  </si>
  <si>
    <t>Ouaka</t>
  </si>
  <si>
    <t>CF-UK</t>
  </si>
  <si>
    <t>Ouham</t>
  </si>
  <si>
    <t>CF-AC</t>
  </si>
  <si>
    <t>Ouham-Pendé</t>
  </si>
  <si>
    <t>CF-OP</t>
  </si>
  <si>
    <t>Sangha-Mbaéré</t>
  </si>
  <si>
    <t>CF-SE</t>
  </si>
  <si>
    <t>Sangha</t>
  </si>
  <si>
    <t>Vakaga</t>
  </si>
  <si>
    <t>CF-VK</t>
  </si>
  <si>
    <t>Barh el Gazel</t>
  </si>
  <si>
    <t>TD-BG</t>
  </si>
  <si>
    <t>Baḩr al Ghazāl</t>
  </si>
  <si>
    <t>Batha</t>
  </si>
  <si>
    <t>TD-BA</t>
  </si>
  <si>
    <t>Al Baţḩah</t>
  </si>
  <si>
    <t>Borkou</t>
  </si>
  <si>
    <t>TD-BO</t>
  </si>
  <si>
    <t>Būrkū</t>
  </si>
  <si>
    <t>Chari-Baguirmi</t>
  </si>
  <si>
    <t>TD-CB</t>
  </si>
  <si>
    <t>Shārī Bāqirmī</t>
  </si>
  <si>
    <t>Ennedi-Est</t>
  </si>
  <si>
    <t>TD-EE</t>
  </si>
  <si>
    <t>Ennedi-Ouest</t>
  </si>
  <si>
    <t>TD-EO</t>
  </si>
  <si>
    <t>Guéra</t>
  </si>
  <si>
    <t>TD-GR</t>
  </si>
  <si>
    <t>Qīrā</t>
  </si>
  <si>
    <t>Hadjer-Lamis</t>
  </si>
  <si>
    <t>TD-HL</t>
  </si>
  <si>
    <t>Ḩajjar Lamīs</t>
  </si>
  <si>
    <t>Kanem</t>
  </si>
  <si>
    <t>TD-KA</t>
  </si>
  <si>
    <t>Kānim</t>
  </si>
  <si>
    <t>Lac</t>
  </si>
  <si>
    <t>TD-LC</t>
  </si>
  <si>
    <t>Al Buḩayrah</t>
  </si>
  <si>
    <t>Logone Occidental</t>
  </si>
  <si>
    <t>TD-LO</t>
  </si>
  <si>
    <t>Lūqūn al Gharbī</t>
  </si>
  <si>
    <t>Logone Oriental</t>
  </si>
  <si>
    <t>TD-LR</t>
  </si>
  <si>
    <t>Lūqūn ash Sharqī</t>
  </si>
  <si>
    <t>Mandoul</t>
  </si>
  <si>
    <t>TD-MA</t>
  </si>
  <si>
    <t>Māndūl</t>
  </si>
  <si>
    <t>Mayo-Kébbi Est</t>
  </si>
  <si>
    <t>TD-ME</t>
  </si>
  <si>
    <t>Māyū Kībbī ash Sharqī</t>
  </si>
  <si>
    <t>Mayo-Kébbi Ouest</t>
  </si>
  <si>
    <t>TD-MO</t>
  </si>
  <si>
    <t>Māyū Kībbī al Gharbī</t>
  </si>
  <si>
    <t>Moyen-Chari</t>
  </si>
  <si>
    <t>TD-MC</t>
  </si>
  <si>
    <t>Shārī al Awsaţ</t>
  </si>
  <si>
    <t>Ouaddaï</t>
  </si>
  <si>
    <t>TD-OD</t>
  </si>
  <si>
    <t>Waddāy</t>
  </si>
  <si>
    <t>Salamat</t>
  </si>
  <si>
    <t>TD-SA</t>
  </si>
  <si>
    <t>Salāmāt</t>
  </si>
  <si>
    <t>Sila</t>
  </si>
  <si>
    <t>TD-SI</t>
  </si>
  <si>
    <t>Sīlā</t>
  </si>
  <si>
    <t>Tandjilé</t>
  </si>
  <si>
    <t>TD-TA</t>
  </si>
  <si>
    <t>Tānjilī</t>
  </si>
  <si>
    <t>Tibesti</t>
  </si>
  <si>
    <t>TD-TI</t>
  </si>
  <si>
    <t>Tibastī</t>
  </si>
  <si>
    <t>Ville de N’Djaména</t>
  </si>
  <si>
    <t>TD-ND</t>
  </si>
  <si>
    <t>Madīnat Injamīnā</t>
  </si>
  <si>
    <t>Wadi Fira</t>
  </si>
  <si>
    <t>TD-WF</t>
  </si>
  <si>
    <t>Wādī Fīrā</t>
  </si>
  <si>
    <t>Antofagasta</t>
  </si>
  <si>
    <t>CL-AN</t>
  </si>
  <si>
    <t>Araucanía</t>
  </si>
  <si>
    <t>CL-AR</t>
  </si>
  <si>
    <t>La Araucanía</t>
  </si>
  <si>
    <t>Arica y Parinacota</t>
  </si>
  <si>
    <t>CL-AP</t>
  </si>
  <si>
    <t>Atacama</t>
  </si>
  <si>
    <t>CL-AT</t>
  </si>
  <si>
    <t>Aysén</t>
  </si>
  <si>
    <t>CL-AI</t>
  </si>
  <si>
    <t>Aisén del General Carlos Ibañez del Campo</t>
  </si>
  <si>
    <t>Biobío</t>
  </si>
  <si>
    <t>CL-BI</t>
  </si>
  <si>
    <t>Coquimbo</t>
  </si>
  <si>
    <t>CL-CO</t>
  </si>
  <si>
    <t>Libertador General Bernardo O’Higgins</t>
  </si>
  <si>
    <t>CL-LI</t>
  </si>
  <si>
    <t>Libertador General Bernardo O'Higgins</t>
  </si>
  <si>
    <t>Los Lagos</t>
  </si>
  <si>
    <t>CL-LL</t>
  </si>
  <si>
    <t>Los Ríos</t>
  </si>
  <si>
    <t>CL-LR</t>
  </si>
  <si>
    <t>Magallanes y de la Antártica Chilena</t>
  </si>
  <si>
    <t>CL-MA</t>
  </si>
  <si>
    <t>Magallanes</t>
  </si>
  <si>
    <t>Maule</t>
  </si>
  <si>
    <t>CL-ML</t>
  </si>
  <si>
    <t>Región Metropolitana</t>
  </si>
  <si>
    <t>CL-RM</t>
  </si>
  <si>
    <t>Región Metropolitana de Santiago</t>
  </si>
  <si>
    <t>Tarapacá</t>
  </si>
  <si>
    <t>CL-TA</t>
  </si>
  <si>
    <t>Valparaíso</t>
  </si>
  <si>
    <t>CL-VS</t>
  </si>
  <si>
    <t>Anhui</t>
  </si>
  <si>
    <t>CN-34</t>
  </si>
  <si>
    <t>Beijing</t>
  </si>
  <si>
    <t>CN-11</t>
  </si>
  <si>
    <t>Chongqing</t>
  </si>
  <si>
    <t>CN-50</t>
  </si>
  <si>
    <t>Fujian</t>
  </si>
  <si>
    <t>CN-35</t>
  </si>
  <si>
    <t>Gansu</t>
  </si>
  <si>
    <t>CN-62</t>
  </si>
  <si>
    <t>Guangdong</t>
  </si>
  <si>
    <t>CN-44</t>
  </si>
  <si>
    <t>Guangxi</t>
  </si>
  <si>
    <t>autonomous region</t>
  </si>
  <si>
    <t>CN-45</t>
  </si>
  <si>
    <t>Guizhou</t>
  </si>
  <si>
    <t>CN-52</t>
  </si>
  <si>
    <t>Hainan</t>
  </si>
  <si>
    <t>CN-46</t>
  </si>
  <si>
    <t>Hebei</t>
  </si>
  <si>
    <t>CN-13</t>
  </si>
  <si>
    <t>Heilongjiang</t>
  </si>
  <si>
    <t>CN-23</t>
  </si>
  <si>
    <t>Henan</t>
  </si>
  <si>
    <t>CN-41</t>
  </si>
  <si>
    <t>Hubei</t>
  </si>
  <si>
    <t>CN-42</t>
  </si>
  <si>
    <t>Hunan</t>
  </si>
  <si>
    <t>CN-43</t>
  </si>
  <si>
    <t>Inner Mongolia</t>
  </si>
  <si>
    <t>CN-15</t>
  </si>
  <si>
    <t>Nei Mongol</t>
  </si>
  <si>
    <t>Jiangsu</t>
  </si>
  <si>
    <t>CN-32</t>
  </si>
  <si>
    <t>Jiangxi</t>
  </si>
  <si>
    <t>CN-36</t>
  </si>
  <si>
    <t>Jilin</t>
  </si>
  <si>
    <t>CN-22</t>
  </si>
  <si>
    <t>Liaoning</t>
  </si>
  <si>
    <t>CN-21</t>
  </si>
  <si>
    <t>Ningxia</t>
  </si>
  <si>
    <t>CN-64</t>
  </si>
  <si>
    <t>Qinghai</t>
  </si>
  <si>
    <t>CN-63</t>
  </si>
  <si>
    <t>Shaanxi</t>
  </si>
  <si>
    <t>CN-61</t>
  </si>
  <si>
    <t>Shandong</t>
  </si>
  <si>
    <t>CN-37</t>
  </si>
  <si>
    <t>Shanghai</t>
  </si>
  <si>
    <t>CN-31</t>
  </si>
  <si>
    <t>Shanxi</t>
  </si>
  <si>
    <t>CN-14</t>
  </si>
  <si>
    <t>Sichuan</t>
  </si>
  <si>
    <t>CN-51</t>
  </si>
  <si>
    <t>Tianjin</t>
  </si>
  <si>
    <t>CN-12</t>
  </si>
  <si>
    <t>Tibet</t>
  </si>
  <si>
    <t>CN-54</t>
  </si>
  <si>
    <t>Xizang</t>
  </si>
  <si>
    <t>Xinjiang</t>
  </si>
  <si>
    <t>CN-65</t>
  </si>
  <si>
    <t>Yunnan</t>
  </si>
  <si>
    <t>CN-53</t>
  </si>
  <si>
    <t>Zhejiang</t>
  </si>
  <si>
    <t>CN-33</t>
  </si>
  <si>
    <t>CO-AMA</t>
  </si>
  <si>
    <t>Antioquia</t>
  </si>
  <si>
    <t>CO-ANT</t>
  </si>
  <si>
    <t>Arauca</t>
  </si>
  <si>
    <t>CO-ARA</t>
  </si>
  <si>
    <t>Atlántico</t>
  </si>
  <si>
    <t>CO-ATL</t>
  </si>
  <si>
    <t>Bogotá</t>
  </si>
  <si>
    <t>capital district</t>
  </si>
  <si>
    <t>CO-DC</t>
  </si>
  <si>
    <t>Distrito Capital de Bogotá</t>
  </si>
  <si>
    <t>Bolívar</t>
  </si>
  <si>
    <t>CO-BOL</t>
  </si>
  <si>
    <t>Boyacá</t>
  </si>
  <si>
    <t>CO-BOY</t>
  </si>
  <si>
    <t>Caldas</t>
  </si>
  <si>
    <t>CO-CAL</t>
  </si>
  <si>
    <t>Caquetá</t>
  </si>
  <si>
    <t>CO-CAQ</t>
  </si>
  <si>
    <t>Casanare</t>
  </si>
  <si>
    <t>CO-CAS</t>
  </si>
  <si>
    <t>Cauca</t>
  </si>
  <si>
    <t>CO-CAU</t>
  </si>
  <si>
    <t>Cesar</t>
  </si>
  <si>
    <t>CO-CES</t>
  </si>
  <si>
    <t>Chocó</t>
  </si>
  <si>
    <t>CO-CHO</t>
  </si>
  <si>
    <t>CO-COR</t>
  </si>
  <si>
    <t>Cundinamarca</t>
  </si>
  <si>
    <t>CO-CUN</t>
  </si>
  <si>
    <t>Guainía</t>
  </si>
  <si>
    <t>CO-GUA</t>
  </si>
  <si>
    <t>Guaviare</t>
  </si>
  <si>
    <t>CO-GUV</t>
  </si>
  <si>
    <t>Huila</t>
  </si>
  <si>
    <t>CO-HUI</t>
  </si>
  <si>
    <t>La Guajira</t>
  </si>
  <si>
    <t>CO-LAG</t>
  </si>
  <si>
    <t>Magdalena</t>
  </si>
  <si>
    <t>CO-MAG</t>
  </si>
  <si>
    <t>Meta</t>
  </si>
  <si>
    <t>CO-MET</t>
  </si>
  <si>
    <t>Nariño</t>
  </si>
  <si>
    <t>CO-NAR</t>
  </si>
  <si>
    <t>Norte de Santander</t>
  </si>
  <si>
    <t>CO-NSA</t>
  </si>
  <si>
    <t>Putumayo</t>
  </si>
  <si>
    <t>CO-PUT</t>
  </si>
  <si>
    <t>Quindío</t>
  </si>
  <si>
    <t>CO-QUI</t>
  </si>
  <si>
    <t>Risaralda</t>
  </si>
  <si>
    <t>CO-RIS</t>
  </si>
  <si>
    <t>San Andrés y Providencia</t>
  </si>
  <si>
    <t>CO-SAP</t>
  </si>
  <si>
    <t>San Andrés, Providencia y Santa Catalina</t>
  </si>
  <si>
    <t>Santander</t>
  </si>
  <si>
    <t>CO-SAN</t>
  </si>
  <si>
    <t>Sucre</t>
  </si>
  <si>
    <t>CO-SUC</t>
  </si>
  <si>
    <t>Tolima</t>
  </si>
  <si>
    <t>CO-TOL</t>
  </si>
  <si>
    <t>Valle del Cauca</t>
  </si>
  <si>
    <t>CO-VAC</t>
  </si>
  <si>
    <t>Vaupés</t>
  </si>
  <si>
    <t>CO-VAU</t>
  </si>
  <si>
    <t>Vichada</t>
  </si>
  <si>
    <t>CO-VID</t>
  </si>
  <si>
    <t>Anjouan</t>
  </si>
  <si>
    <t>autonomous island</t>
  </si>
  <si>
    <t>KM-A</t>
  </si>
  <si>
    <t>Andjouân</t>
  </si>
  <si>
    <t>island</t>
  </si>
  <si>
    <t>Grande Comore</t>
  </si>
  <si>
    <t>KM-G</t>
  </si>
  <si>
    <t>Andjazîdja</t>
  </si>
  <si>
    <t>Mohéli</t>
  </si>
  <si>
    <t>KM-M</t>
  </si>
  <si>
    <t>Moûhîlî</t>
  </si>
  <si>
    <t>Bouenza</t>
  </si>
  <si>
    <t>CG-11</t>
  </si>
  <si>
    <t>Brazzaville</t>
  </si>
  <si>
    <t>CG-BZV</t>
  </si>
  <si>
    <t>Cuvette</t>
  </si>
  <si>
    <t>CG-8</t>
  </si>
  <si>
    <t>Cuvette-Ouest</t>
  </si>
  <si>
    <t>CG-15</t>
  </si>
  <si>
    <t>Kouilou</t>
  </si>
  <si>
    <t>CG-5</t>
  </si>
  <si>
    <t>Lékoumou</t>
  </si>
  <si>
    <t>CG-2</t>
  </si>
  <si>
    <t>Likouala</t>
  </si>
  <si>
    <t>CG-7</t>
  </si>
  <si>
    <t>Niari</t>
  </si>
  <si>
    <t>CG-9</t>
  </si>
  <si>
    <t>Plateaux</t>
  </si>
  <si>
    <t>CG-14</t>
  </si>
  <si>
    <t>Pointe-Noire</t>
  </si>
  <si>
    <t>CG-16</t>
  </si>
  <si>
    <t>Pool</t>
  </si>
  <si>
    <t>CG-12</t>
  </si>
  <si>
    <t>CG-13</t>
  </si>
  <si>
    <t>Bas-Uélé</t>
  </si>
  <si>
    <t>CD-BU</t>
  </si>
  <si>
    <t>CONGO, THE DEMOCRATIC REPUBLIC OF THE</t>
  </si>
  <si>
    <t>Équateur</t>
  </si>
  <si>
    <t>CD-EQ</t>
  </si>
  <si>
    <t>Haut-Katanga</t>
  </si>
  <si>
    <t>CD-HK</t>
  </si>
  <si>
    <t>Haut-Lomami</t>
  </si>
  <si>
    <t>CD-HL</t>
  </si>
  <si>
    <t>Haut-Uélé</t>
  </si>
  <si>
    <t>CD-HU</t>
  </si>
  <si>
    <t>Ituri</t>
  </si>
  <si>
    <t>CD-IT</t>
  </si>
  <si>
    <t>Kasaï</t>
  </si>
  <si>
    <t>CD-KS</t>
  </si>
  <si>
    <t>Kasaï Central</t>
  </si>
  <si>
    <t>CD-KC</t>
  </si>
  <si>
    <t>Kasaï Oriental</t>
  </si>
  <si>
    <t>CD-KE</t>
  </si>
  <si>
    <t>Kinshasa</t>
  </si>
  <si>
    <t>CD-KN</t>
  </si>
  <si>
    <t>Kongo Central</t>
  </si>
  <si>
    <t>CD-BC</t>
  </si>
  <si>
    <t>Kwango</t>
  </si>
  <si>
    <t>CD-KG</t>
  </si>
  <si>
    <t>Kwilu</t>
  </si>
  <si>
    <t>CD-KL</t>
  </si>
  <si>
    <t>Lomami</t>
  </si>
  <si>
    <t>CD-LO</t>
  </si>
  <si>
    <t>Lualaba</t>
  </si>
  <si>
    <t>CD-LU</t>
  </si>
  <si>
    <t>Mai-Ndombe</t>
  </si>
  <si>
    <t>CD-MN</t>
  </si>
  <si>
    <t>Maniema</t>
  </si>
  <si>
    <t>CD-MA</t>
  </si>
  <si>
    <t>Mongala</t>
  </si>
  <si>
    <t>CD-MO</t>
  </si>
  <si>
    <t>Nord-Kivu</t>
  </si>
  <si>
    <t>CD-NK</t>
  </si>
  <si>
    <t>Nord-Ubangi</t>
  </si>
  <si>
    <t>CD-NU</t>
  </si>
  <si>
    <t>Sankuru</t>
  </si>
  <si>
    <t>CD-SA</t>
  </si>
  <si>
    <t>Sud-Kivu</t>
  </si>
  <si>
    <t>CD-SK</t>
  </si>
  <si>
    <t>Sud-Ubangi</t>
  </si>
  <si>
    <t>CD-SU</t>
  </si>
  <si>
    <t>Tanganyika</t>
  </si>
  <si>
    <t>CD-TA</t>
  </si>
  <si>
    <t>Tshopo</t>
  </si>
  <si>
    <t>CD-TO</t>
  </si>
  <si>
    <t>Tshuapa</t>
  </si>
  <si>
    <t>CD-TU</t>
  </si>
  <si>
    <t>Alajuela</t>
  </si>
  <si>
    <t>CR-A</t>
  </si>
  <si>
    <t>Cartago</t>
  </si>
  <si>
    <t>CR-C</t>
  </si>
  <si>
    <t>Guanacaste</t>
  </si>
  <si>
    <t>CR-G</t>
  </si>
  <si>
    <t>Heredia</t>
  </si>
  <si>
    <t>CR-H</t>
  </si>
  <si>
    <t>Limón</t>
  </si>
  <si>
    <t>CR-L</t>
  </si>
  <si>
    <t>Puntarenas</t>
  </si>
  <si>
    <t>CR-P</t>
  </si>
  <si>
    <t>San José</t>
  </si>
  <si>
    <t>CR-SJ</t>
  </si>
  <si>
    <t>Abidjan</t>
  </si>
  <si>
    <t>autonomous district</t>
  </si>
  <si>
    <t>CI-AB</t>
  </si>
  <si>
    <t>Bas-Sassandra</t>
  </si>
  <si>
    <t>CI-BS</t>
  </si>
  <si>
    <t>CI-CM</t>
  </si>
  <si>
    <t>Denguélé</t>
  </si>
  <si>
    <t>CI-DN</t>
  </si>
  <si>
    <t>Gôh-Djiboua</t>
  </si>
  <si>
    <t>CI-GD</t>
  </si>
  <si>
    <t>Lacs</t>
  </si>
  <si>
    <t>CI-LC</t>
  </si>
  <si>
    <t>Lagunes</t>
  </si>
  <si>
    <t>CI-LG</t>
  </si>
  <si>
    <t>Montagnes</t>
  </si>
  <si>
    <t>CI-MG</t>
  </si>
  <si>
    <t>Sassandra-Marahoué</t>
  </si>
  <si>
    <t>CI-SM</t>
  </si>
  <si>
    <t>Savanes</t>
  </si>
  <si>
    <t>CI-SV</t>
  </si>
  <si>
    <t>Vallée du Bandama</t>
  </si>
  <si>
    <t>CI-VB</t>
  </si>
  <si>
    <t>Woroba</t>
  </si>
  <si>
    <t>CI-WR</t>
  </si>
  <si>
    <t>Yamoussoukro</t>
  </si>
  <si>
    <t>CI-YM</t>
  </si>
  <si>
    <t>Zanzan</t>
  </si>
  <si>
    <t>CI-ZZ</t>
  </si>
  <si>
    <t>Bjelovarsko-Bilogorska Županija</t>
  </si>
  <si>
    <t>HR-07</t>
  </si>
  <si>
    <t>Bjelovarsko-bilogorska županija</t>
  </si>
  <si>
    <t>Brodsko-Posavska Županija</t>
  </si>
  <si>
    <t>HR-12</t>
  </si>
  <si>
    <t>Brodsko-posavska županija</t>
  </si>
  <si>
    <t>Dubrovačko-Neretvanska Županija</t>
  </si>
  <si>
    <t>HR-19</t>
  </si>
  <si>
    <t>Dubrovačko-neretvanska županija</t>
  </si>
  <si>
    <t>Istarska Županija</t>
  </si>
  <si>
    <t>HR-18</t>
  </si>
  <si>
    <t>Istarska županija</t>
  </si>
  <si>
    <t>Karlovačka Županija</t>
  </si>
  <si>
    <t>HR-04</t>
  </si>
  <si>
    <t>Karlovačka županija</t>
  </si>
  <si>
    <t>Koprivničko-Križevačka Županija</t>
  </si>
  <si>
    <t>HR-06</t>
  </si>
  <si>
    <t>Koprivničko-križevačka županija</t>
  </si>
  <si>
    <t>Krapinsko-Zagorska Županija</t>
  </si>
  <si>
    <t>HR-02</t>
  </si>
  <si>
    <t>Krapinsko-zagorska županija</t>
  </si>
  <si>
    <t>Ličko-Senjska Županija</t>
  </si>
  <si>
    <t>HR-09</t>
  </si>
  <si>
    <t>Ličko-senjska županija</t>
  </si>
  <si>
    <t>Međimurska Županija</t>
  </si>
  <si>
    <t>HR-20</t>
  </si>
  <si>
    <t>Međimurska županija</t>
  </si>
  <si>
    <t>Osječko-Baranjska Županija</t>
  </si>
  <si>
    <t>HR-14</t>
  </si>
  <si>
    <t>Osječko-baranjska županija</t>
  </si>
  <si>
    <t>Požeško-Slavonska Županija</t>
  </si>
  <si>
    <t>HR-11</t>
  </si>
  <si>
    <t>Požeško-slavonska županija</t>
  </si>
  <si>
    <t>Primorsko-Goranska Županija</t>
  </si>
  <si>
    <t>HR-08</t>
  </si>
  <si>
    <t>Primorsko-goranska županija</t>
  </si>
  <si>
    <t>Šibensko-Kninska Županija</t>
  </si>
  <si>
    <t>HR-15</t>
  </si>
  <si>
    <t>Šibensko-kninska županija</t>
  </si>
  <si>
    <t>Sisačko-Moslavačka Županija</t>
  </si>
  <si>
    <t>HR-03</t>
  </si>
  <si>
    <t>Sisačko-moslavačka županija</t>
  </si>
  <si>
    <t>Splitsko-Dalmatinska Županija</t>
  </si>
  <si>
    <t>HR-17</t>
  </si>
  <si>
    <t>Splitsko-dalmatinska županija</t>
  </si>
  <si>
    <t>Varaždinska Županija</t>
  </si>
  <si>
    <t>HR-05</t>
  </si>
  <si>
    <t>Varaždinska županija</t>
  </si>
  <si>
    <t>Virovitičko-Podravska Županija</t>
  </si>
  <si>
    <t>HR-10</t>
  </si>
  <si>
    <t>Virovitičko-podravska županija</t>
  </si>
  <si>
    <t>Vukovarsko-Srijemska Županija</t>
  </si>
  <si>
    <t>HR-16</t>
  </si>
  <si>
    <t>Vukovarsko-srijemska županija</t>
  </si>
  <si>
    <t>Zadarska Županija</t>
  </si>
  <si>
    <t>HR-13</t>
  </si>
  <si>
    <t>Zadarska županija</t>
  </si>
  <si>
    <t>Zagreb, Grad</t>
  </si>
  <si>
    <t>HR-21</t>
  </si>
  <si>
    <t>Grad Zagreb</t>
  </si>
  <si>
    <t>Zagrebačka Županija</t>
  </si>
  <si>
    <t>HR-01</t>
  </si>
  <si>
    <t>Zagrebačka županija</t>
  </si>
  <si>
    <t>Artemisa</t>
  </si>
  <si>
    <t>CU-15</t>
  </si>
  <si>
    <t>Camagüey</t>
  </si>
  <si>
    <t>CU-09</t>
  </si>
  <si>
    <t>Ciego de Ávila</t>
  </si>
  <si>
    <t>CU-08</t>
  </si>
  <si>
    <t>Cienfuegos</t>
  </si>
  <si>
    <t>CU-06</t>
  </si>
  <si>
    <t>Granma</t>
  </si>
  <si>
    <t>CU-12</t>
  </si>
  <si>
    <t>Guantánamo</t>
  </si>
  <si>
    <t>CU-14</t>
  </si>
  <si>
    <t>Holguín</t>
  </si>
  <si>
    <t>CU-11</t>
  </si>
  <si>
    <t>Isla de la Juventud</t>
  </si>
  <si>
    <t>CU-99</t>
  </si>
  <si>
    <t>La Habana</t>
  </si>
  <si>
    <t>CU-03</t>
  </si>
  <si>
    <t>Las Tunas</t>
  </si>
  <si>
    <t>CU-10</t>
  </si>
  <si>
    <t>Matanzas</t>
  </si>
  <si>
    <t>CU-04</t>
  </si>
  <si>
    <t>Mayabeque</t>
  </si>
  <si>
    <t>CU-16</t>
  </si>
  <si>
    <t>Pinar del Río</t>
  </si>
  <si>
    <t>CU-01</t>
  </si>
  <si>
    <t>Sancti Spíritus</t>
  </si>
  <si>
    <t>CU-07</t>
  </si>
  <si>
    <t>Santiago de Cuba</t>
  </si>
  <si>
    <t>CU-13</t>
  </si>
  <si>
    <t>Villa Clara</t>
  </si>
  <si>
    <t>CU-05</t>
  </si>
  <si>
    <t>Ammóchostos</t>
  </si>
  <si>
    <t>CY-04</t>
  </si>
  <si>
    <t>Ammochostos</t>
  </si>
  <si>
    <t>Kerýneia</t>
  </si>
  <si>
    <t>CY-06</t>
  </si>
  <si>
    <t>Keryneia</t>
  </si>
  <si>
    <t>Lárnaka</t>
  </si>
  <si>
    <t>CY-03</t>
  </si>
  <si>
    <t>Larnaka</t>
  </si>
  <si>
    <t>Lefkosía</t>
  </si>
  <si>
    <t>CY-01</t>
  </si>
  <si>
    <t>Lefkosia</t>
  </si>
  <si>
    <t>Lemesós</t>
  </si>
  <si>
    <t>CY-02</t>
  </si>
  <si>
    <t>Lemesos</t>
  </si>
  <si>
    <t>Páfos</t>
  </si>
  <si>
    <t>CY-05</t>
  </si>
  <si>
    <t>Pafos</t>
  </si>
  <si>
    <t>Benešov</t>
  </si>
  <si>
    <t>CZ-201</t>
  </si>
  <si>
    <t>CZECH REPUBLIC</t>
  </si>
  <si>
    <t>Beroun</t>
  </si>
  <si>
    <t>CZ-202</t>
  </si>
  <si>
    <t>Blansko</t>
  </si>
  <si>
    <t>CZ-641</t>
  </si>
  <si>
    <t>Břeclav</t>
  </si>
  <si>
    <t>CZ-644</t>
  </si>
  <si>
    <t>Brno-Venkov</t>
  </si>
  <si>
    <t>CZ-643</t>
  </si>
  <si>
    <t>Brno-venkov</t>
  </si>
  <si>
    <t>Bruntál</t>
  </si>
  <si>
    <t>CZ-801</t>
  </si>
  <si>
    <t>Česká Lípa</t>
  </si>
  <si>
    <t>CZ-511</t>
  </si>
  <si>
    <t>České Budějovice</t>
  </si>
  <si>
    <t>CZ-311</t>
  </si>
  <si>
    <t>Český Krumlov</t>
  </si>
  <si>
    <t>CZ-312</t>
  </si>
  <si>
    <t>Cheb</t>
  </si>
  <si>
    <t>CZ-411</t>
  </si>
  <si>
    <t>Chomutov</t>
  </si>
  <si>
    <t>CZ-422</t>
  </si>
  <si>
    <t>Chrudim</t>
  </si>
  <si>
    <t>CZ-531</t>
  </si>
  <si>
    <t>Děčín</t>
  </si>
  <si>
    <t>CZ-421</t>
  </si>
  <si>
    <t>Domažlice</t>
  </si>
  <si>
    <t>CZ-321</t>
  </si>
  <si>
    <t>Frýdek-Místek</t>
  </si>
  <si>
    <t>CZ-802</t>
  </si>
  <si>
    <t>Frýdek Místek</t>
  </si>
  <si>
    <t>Havlíčkův Brod</t>
  </si>
  <si>
    <t>CZ-631</t>
  </si>
  <si>
    <t>Hodonín</t>
  </si>
  <si>
    <t>CZ-645</t>
  </si>
  <si>
    <t>Hradec Králové</t>
  </si>
  <si>
    <t>CZ-521</t>
  </si>
  <si>
    <t>Jablonec nad Nisou</t>
  </si>
  <si>
    <t>CZ-512</t>
  </si>
  <si>
    <t>Jeseník</t>
  </si>
  <si>
    <t>CZ-711</t>
  </si>
  <si>
    <t>Jičín</t>
  </si>
  <si>
    <t>CZ-522</t>
  </si>
  <si>
    <t>Jihlava</t>
  </si>
  <si>
    <t>CZ-632</t>
  </si>
  <si>
    <t xml:space="preserve">Jihočeský Kraj </t>
  </si>
  <si>
    <t>CZ-31</t>
  </si>
  <si>
    <t>Jihočeský kraj</t>
  </si>
  <si>
    <t>Jihomoravský Kraj</t>
  </si>
  <si>
    <t>CZ-64</t>
  </si>
  <si>
    <t>Jihomoravský kraj</t>
  </si>
  <si>
    <t>Jindřichův Hradec</t>
  </si>
  <si>
    <t>CZ-313</t>
  </si>
  <si>
    <t>Karlovarský Kraj</t>
  </si>
  <si>
    <t>CZ-41</t>
  </si>
  <si>
    <t>Karlovarský kraj</t>
  </si>
  <si>
    <t>Karlovy Vary</t>
  </si>
  <si>
    <t>CZ-412</t>
  </si>
  <si>
    <t>Karviná</t>
  </si>
  <si>
    <t>CZ-803</t>
  </si>
  <si>
    <t>Kladno</t>
  </si>
  <si>
    <t>CZ-203</t>
  </si>
  <si>
    <t>Klatovy</t>
  </si>
  <si>
    <t>CZ-322</t>
  </si>
  <si>
    <t>Kolín</t>
  </si>
  <si>
    <t>CZ-204</t>
  </si>
  <si>
    <t>Královéhradecký Kraj</t>
  </si>
  <si>
    <t>CZ-52</t>
  </si>
  <si>
    <t>Královéhradecký kraj</t>
  </si>
  <si>
    <t>Kroměříž</t>
  </si>
  <si>
    <t>CZ-721</t>
  </si>
  <si>
    <t>Kutná Hora</t>
  </si>
  <si>
    <t>CZ-205</t>
  </si>
  <si>
    <t>Liberec</t>
  </si>
  <si>
    <t>CZ-513</t>
  </si>
  <si>
    <t>Liberecký Kraj</t>
  </si>
  <si>
    <t>CZ-51</t>
  </si>
  <si>
    <t>Liberecký kraj</t>
  </si>
  <si>
    <t>Litoměřice</t>
  </si>
  <si>
    <t>CZ-423</t>
  </si>
  <si>
    <t>Louny</t>
  </si>
  <si>
    <t>CZ-424</t>
  </si>
  <si>
    <t>Mělník</t>
  </si>
  <si>
    <t>CZ-206</t>
  </si>
  <si>
    <t>Město Brno</t>
  </si>
  <si>
    <t>CZ-642</t>
  </si>
  <si>
    <t>Brno-město</t>
  </si>
  <si>
    <t>Mladá Boleslav</t>
  </si>
  <si>
    <t>CZ-207</t>
  </si>
  <si>
    <t xml:space="preserve">Moravskoslezský Kraj </t>
  </si>
  <si>
    <t>CZ-80</t>
  </si>
  <si>
    <t>Moravskoslezský kraj</t>
  </si>
  <si>
    <t>Most</t>
  </si>
  <si>
    <t>CZ-425</t>
  </si>
  <si>
    <t>Náchod</t>
  </si>
  <si>
    <t>CZ-523</t>
  </si>
  <si>
    <t>Nový Jičín</t>
  </si>
  <si>
    <t>CZ-804</t>
  </si>
  <si>
    <t>Nymburk</t>
  </si>
  <si>
    <t>CZ-208</t>
  </si>
  <si>
    <t>Olomouc</t>
  </si>
  <si>
    <t>CZ-712</t>
  </si>
  <si>
    <t>Olomoucký Kraj</t>
  </si>
  <si>
    <t>CZ-71</t>
  </si>
  <si>
    <t>Olomoucký kraj</t>
  </si>
  <si>
    <t>Opava</t>
  </si>
  <si>
    <t>CZ-805</t>
  </si>
  <si>
    <t>Ostrava-Město</t>
  </si>
  <si>
    <t>CZ-806</t>
  </si>
  <si>
    <t>Ostrava-město</t>
  </si>
  <si>
    <t>Pardubice</t>
  </si>
  <si>
    <t>CZ-532</t>
  </si>
  <si>
    <t>Pardubický Kraj</t>
  </si>
  <si>
    <t>CZ-53</t>
  </si>
  <si>
    <t>Pardubický kraj</t>
  </si>
  <si>
    <t>Pelhřimov</t>
  </si>
  <si>
    <t>CZ-633</t>
  </si>
  <si>
    <t>Písek</t>
  </si>
  <si>
    <t>CZ-314</t>
  </si>
  <si>
    <t>Plzeň-Jih</t>
  </si>
  <si>
    <t>CZ-324</t>
  </si>
  <si>
    <t>Plzeň-jih</t>
  </si>
  <si>
    <t>Plzeň-Město</t>
  </si>
  <si>
    <t>CZ-323</t>
  </si>
  <si>
    <t>Plzeň-město</t>
  </si>
  <si>
    <t>Plzeň-Sever</t>
  </si>
  <si>
    <t>CZ-325</t>
  </si>
  <si>
    <t>Plzeň-sever</t>
  </si>
  <si>
    <t>Plzeňský Kraj</t>
  </si>
  <si>
    <t>CZ-32</t>
  </si>
  <si>
    <t>Plzeňský kraj</t>
  </si>
  <si>
    <t>Prachatice</t>
  </si>
  <si>
    <t>CZ-315</t>
  </si>
  <si>
    <t>Praha, Hlavní Město</t>
  </si>
  <si>
    <t>capital city</t>
  </si>
  <si>
    <t>CZ-10</t>
  </si>
  <si>
    <t>Praha, hlavní mešto</t>
  </si>
  <si>
    <t>Praha Čtrnáct</t>
  </si>
  <si>
    <t>CZ-114</t>
  </si>
  <si>
    <t>Praha 14</t>
  </si>
  <si>
    <t>Praha Čtyři</t>
  </si>
  <si>
    <t>CZ-104</t>
  </si>
  <si>
    <t>Praha 4</t>
  </si>
  <si>
    <t>Praha Deset</t>
  </si>
  <si>
    <t>CZ-110</t>
  </si>
  <si>
    <t>Praha 10</t>
  </si>
  <si>
    <t>Praha Devatenáct</t>
  </si>
  <si>
    <t>CZ-119</t>
  </si>
  <si>
    <t>Praha 19</t>
  </si>
  <si>
    <t>Praha Devět</t>
  </si>
  <si>
    <t>CZ-109</t>
  </si>
  <si>
    <t>Praha 9</t>
  </si>
  <si>
    <t>Praha Dva</t>
  </si>
  <si>
    <t>CZ-102</t>
  </si>
  <si>
    <t>Praha 2</t>
  </si>
  <si>
    <t>Praha Dvacet</t>
  </si>
  <si>
    <t>CZ-120</t>
  </si>
  <si>
    <t>Praha 20</t>
  </si>
  <si>
    <t>Praha Dvacet-dva</t>
  </si>
  <si>
    <t>CZ-122</t>
  </si>
  <si>
    <t>Praha 22</t>
  </si>
  <si>
    <t>Praha Dvacet-jeden</t>
  </si>
  <si>
    <t>CZ-121</t>
  </si>
  <si>
    <t>Praha 21</t>
  </si>
  <si>
    <t>Praha Dvanáct</t>
  </si>
  <si>
    <t>CZ-112</t>
  </si>
  <si>
    <t>Praha 12</t>
  </si>
  <si>
    <t>Praha Jeden</t>
  </si>
  <si>
    <t>CZ-101</t>
  </si>
  <si>
    <t>Praha 1</t>
  </si>
  <si>
    <t xml:space="preserve">Praha Jedenáct </t>
  </si>
  <si>
    <t>CZ-111</t>
  </si>
  <si>
    <t>Praha 11</t>
  </si>
  <si>
    <t>Praha Osm</t>
  </si>
  <si>
    <t>CZ-108</t>
  </si>
  <si>
    <t>Praha 8</t>
  </si>
  <si>
    <t>Praha Osmnáct</t>
  </si>
  <si>
    <t>CZ-118</t>
  </si>
  <si>
    <t>Praha 18</t>
  </si>
  <si>
    <t>Praha Patnáct</t>
  </si>
  <si>
    <t>CZ-115</t>
  </si>
  <si>
    <t>Praha 15</t>
  </si>
  <si>
    <t>Praha Pět</t>
  </si>
  <si>
    <t>CZ-105</t>
  </si>
  <si>
    <t>Praha 5</t>
  </si>
  <si>
    <t>Praha Sedm</t>
  </si>
  <si>
    <t>CZ-107</t>
  </si>
  <si>
    <t>Praha 7</t>
  </si>
  <si>
    <t>Praha Sedmnáct</t>
  </si>
  <si>
    <t>CZ-117</t>
  </si>
  <si>
    <t>Praha 17</t>
  </si>
  <si>
    <t>Praha Šest</t>
  </si>
  <si>
    <t>CZ-106</t>
  </si>
  <si>
    <t>Praha 6</t>
  </si>
  <si>
    <t>Praha Šestnáct</t>
  </si>
  <si>
    <t>CZ-116</t>
  </si>
  <si>
    <t>Praha 16</t>
  </si>
  <si>
    <t>Praha Tři</t>
  </si>
  <si>
    <t>CZ-103</t>
  </si>
  <si>
    <t>Praha 3</t>
  </si>
  <si>
    <t>Praha Třináct</t>
  </si>
  <si>
    <t>CZ-113</t>
  </si>
  <si>
    <t>Praha 13</t>
  </si>
  <si>
    <t>Praha-Východ</t>
  </si>
  <si>
    <t>CZ-209</t>
  </si>
  <si>
    <t>Praha-východ</t>
  </si>
  <si>
    <t>Praha-Západ</t>
  </si>
  <si>
    <t>CZ-20A</t>
  </si>
  <si>
    <t>Praha-západ</t>
  </si>
  <si>
    <t>Přerov</t>
  </si>
  <si>
    <t>CZ-714</t>
  </si>
  <si>
    <t>Příbram</t>
  </si>
  <si>
    <t>CZ-20B</t>
  </si>
  <si>
    <t>Prostějov</t>
  </si>
  <si>
    <t>CZ-713</t>
  </si>
  <si>
    <t>Rakovník</t>
  </si>
  <si>
    <t>CZ-20C</t>
  </si>
  <si>
    <t>Rokycany</t>
  </si>
  <si>
    <t>CZ-326</t>
  </si>
  <si>
    <t>Rychnov nad Kněžnou</t>
  </si>
  <si>
    <t>CZ-524</t>
  </si>
  <si>
    <t>Semily</t>
  </si>
  <si>
    <t>CZ-514</t>
  </si>
  <si>
    <t>Sokolov</t>
  </si>
  <si>
    <t>CZ-413</t>
  </si>
  <si>
    <t>Strakonice</t>
  </si>
  <si>
    <t>CZ-316</t>
  </si>
  <si>
    <t>Středočeský Kraj</t>
  </si>
  <si>
    <t>CZ-20</t>
  </si>
  <si>
    <t>Středočeský kraj</t>
  </si>
  <si>
    <t>Šumperk</t>
  </si>
  <si>
    <t>CZ-715</t>
  </si>
  <si>
    <t>Svitavy</t>
  </si>
  <si>
    <t>CZ-533</t>
  </si>
  <si>
    <t>Tábor</t>
  </si>
  <si>
    <t>CZ-317</t>
  </si>
  <si>
    <t>Tachov</t>
  </si>
  <si>
    <t>CZ-327</t>
  </si>
  <si>
    <t>Teplice</t>
  </si>
  <si>
    <t>CZ-426</t>
  </si>
  <si>
    <t>Třebíč</t>
  </si>
  <si>
    <t>CZ-634</t>
  </si>
  <si>
    <t>Trutnov</t>
  </si>
  <si>
    <t>CZ-525</t>
  </si>
  <si>
    <t>Uherské Hradiště</t>
  </si>
  <si>
    <t>CZ-722</t>
  </si>
  <si>
    <t>Ústecký Kraj</t>
  </si>
  <si>
    <t>CZ-42</t>
  </si>
  <si>
    <t>Ústecký kraj</t>
  </si>
  <si>
    <t>Ústí nad Labem</t>
  </si>
  <si>
    <t>CZ-427</t>
  </si>
  <si>
    <t>Ústí nad Orlicí</t>
  </si>
  <si>
    <t>CZ-534</t>
  </si>
  <si>
    <t>Vsetín</t>
  </si>
  <si>
    <t>CZ-723</t>
  </si>
  <si>
    <t>Vyškov</t>
  </si>
  <si>
    <t>CZ-646</t>
  </si>
  <si>
    <t>Vysočina</t>
  </si>
  <si>
    <t>CZ-63</t>
  </si>
  <si>
    <t>Kraj Vysočina</t>
  </si>
  <si>
    <t>Žd’ár nad Sázavou</t>
  </si>
  <si>
    <t>CZ-635</t>
  </si>
  <si>
    <t>Žďár nad Sázavou</t>
  </si>
  <si>
    <t>Zlín</t>
  </si>
  <si>
    <t>CZ-724</t>
  </si>
  <si>
    <t>Zlínský Kraj</t>
  </si>
  <si>
    <t>CZ-72</t>
  </si>
  <si>
    <t>Zlínský kraj</t>
  </si>
  <si>
    <t>Znojmo</t>
  </si>
  <si>
    <t>CZ-647</t>
  </si>
  <si>
    <t>Hovedstaden</t>
  </si>
  <si>
    <t>DK-84</t>
  </si>
  <si>
    <t>Midtjylland</t>
  </si>
  <si>
    <t>DK-82</t>
  </si>
  <si>
    <t>Nordjylland</t>
  </si>
  <si>
    <t>DK-81</t>
  </si>
  <si>
    <t>Sjælland</t>
  </si>
  <si>
    <t>DK-85</t>
  </si>
  <si>
    <t>Syddanmark</t>
  </si>
  <si>
    <t>DK-83</t>
  </si>
  <si>
    <t>Ali Sabieh</t>
  </si>
  <si>
    <t>DJ-AS</t>
  </si>
  <si>
    <t>Arta</t>
  </si>
  <si>
    <t>DJ-AR</t>
  </si>
  <si>
    <t>Dikhil</t>
  </si>
  <si>
    <t>DJ-DI</t>
  </si>
  <si>
    <t>Djibouti</t>
  </si>
  <si>
    <t>DJ-DJ</t>
  </si>
  <si>
    <t>Obock</t>
  </si>
  <si>
    <t>DJ-OB</t>
  </si>
  <si>
    <t>Tadjourah</t>
  </si>
  <si>
    <t>DJ-TA</t>
  </si>
  <si>
    <t>DM-02</t>
  </si>
  <si>
    <t>Saint David</t>
  </si>
  <si>
    <t>DM-03</t>
  </si>
  <si>
    <t>DM-04</t>
  </si>
  <si>
    <t>DM-05</t>
  </si>
  <si>
    <t>DM-06</t>
  </si>
  <si>
    <t>Saint Luke</t>
  </si>
  <si>
    <t>DM-07</t>
  </si>
  <si>
    <t>Saint Mark</t>
  </si>
  <si>
    <t>DM-08</t>
  </si>
  <si>
    <t>Saint Patrick</t>
  </si>
  <si>
    <t>DM-09</t>
  </si>
  <si>
    <t>DM-10</t>
  </si>
  <si>
    <t>DM-11</t>
  </si>
  <si>
    <t>Azua</t>
  </si>
  <si>
    <t>DO-02</t>
  </si>
  <si>
    <t>Baoruco</t>
  </si>
  <si>
    <t>DO-03</t>
  </si>
  <si>
    <t>Barahona</t>
  </si>
  <si>
    <t>DO-04</t>
  </si>
  <si>
    <t>Cibao Nordeste</t>
  </si>
  <si>
    <t>DO-33</t>
  </si>
  <si>
    <t>Cibao Noroeste</t>
  </si>
  <si>
    <t>DO-34</t>
  </si>
  <si>
    <t>Cibao Norte</t>
  </si>
  <si>
    <t>DO-35</t>
  </si>
  <si>
    <t>Cibao Sur</t>
  </si>
  <si>
    <t>DO-36</t>
  </si>
  <si>
    <t>Dajabón</t>
  </si>
  <si>
    <t>DO-05</t>
  </si>
  <si>
    <t>Distrito Nacional</t>
  </si>
  <si>
    <t>DO-01</t>
  </si>
  <si>
    <t>Distrito Nacional (Santo Domingo)</t>
  </si>
  <si>
    <t>Duarte</t>
  </si>
  <si>
    <t>DO-06</t>
  </si>
  <si>
    <t>Elías Piña</t>
  </si>
  <si>
    <t>DO-07</t>
  </si>
  <si>
    <t>El Seibo</t>
  </si>
  <si>
    <t>DO-08</t>
  </si>
  <si>
    <t>El Valle</t>
  </si>
  <si>
    <t>DO-37</t>
  </si>
  <si>
    <t>Enriquillo</t>
  </si>
  <si>
    <t>DO-38</t>
  </si>
  <si>
    <t>Espaillat</t>
  </si>
  <si>
    <t>DO-09</t>
  </si>
  <si>
    <t>Hato Mayor</t>
  </si>
  <si>
    <t>DO-30</t>
  </si>
  <si>
    <t>Hermanas Mirabal</t>
  </si>
  <si>
    <t>DO-19</t>
  </si>
  <si>
    <t>Higuamo</t>
  </si>
  <si>
    <t>DO-39</t>
  </si>
  <si>
    <t>Independencia</t>
  </si>
  <si>
    <t>DO-10</t>
  </si>
  <si>
    <t>La Altagracia</t>
  </si>
  <si>
    <t>DO-11</t>
  </si>
  <si>
    <t>La Romana</t>
  </si>
  <si>
    <t>DO-12</t>
  </si>
  <si>
    <t>La Vega</t>
  </si>
  <si>
    <t>DO-13</t>
  </si>
  <si>
    <t>María Trinidad Sánchez</t>
  </si>
  <si>
    <t>DO-14</t>
  </si>
  <si>
    <t>Monseñor Nouel</t>
  </si>
  <si>
    <t>DO-28</t>
  </si>
  <si>
    <t>Monte Cristi</t>
  </si>
  <si>
    <t>DO-15</t>
  </si>
  <si>
    <t>Monte Plata</t>
  </si>
  <si>
    <t>DO-29</t>
  </si>
  <si>
    <t>Ozama</t>
  </si>
  <si>
    <t>DO-40</t>
  </si>
  <si>
    <t>Pedernales</t>
  </si>
  <si>
    <t>DO-16</t>
  </si>
  <si>
    <t>Peravia</t>
  </si>
  <si>
    <t>DO-17</t>
  </si>
  <si>
    <t>Puerto Plata</t>
  </si>
  <si>
    <t>DO-18</t>
  </si>
  <si>
    <t>Samaná</t>
  </si>
  <si>
    <t>DO-20</t>
  </si>
  <si>
    <t>San Cristóbal</t>
  </si>
  <si>
    <t>DO-21</t>
  </si>
  <si>
    <t>San José de Ocoa</t>
  </si>
  <si>
    <t>DO-31</t>
  </si>
  <si>
    <t>DO-22</t>
  </si>
  <si>
    <t>San Pedro de Macorís</t>
  </si>
  <si>
    <t>DO-23</t>
  </si>
  <si>
    <t>Sánchez Ramírez</t>
  </si>
  <si>
    <t>DO-24</t>
  </si>
  <si>
    <t>Santiago</t>
  </si>
  <si>
    <t>DO-25</t>
  </si>
  <si>
    <t>Santiago Rodríguez</t>
  </si>
  <si>
    <t>DO-26</t>
  </si>
  <si>
    <t>Santo Domingo</t>
  </si>
  <si>
    <t>DO-32</t>
  </si>
  <si>
    <t>Valdesia</t>
  </si>
  <si>
    <t>DO-41</t>
  </si>
  <si>
    <t>Valverde</t>
  </si>
  <si>
    <t>DO-27</t>
  </si>
  <si>
    <t>Yuma</t>
  </si>
  <si>
    <t>DO-42</t>
  </si>
  <si>
    <t>Azuay</t>
  </si>
  <si>
    <t>EC-A</t>
  </si>
  <si>
    <t>EC-B</t>
  </si>
  <si>
    <t>Cañar</t>
  </si>
  <si>
    <t>EC-F</t>
  </si>
  <si>
    <t>Carchi</t>
  </si>
  <si>
    <t>EC-C</t>
  </si>
  <si>
    <t>Chimborazo</t>
  </si>
  <si>
    <t>EC-H</t>
  </si>
  <si>
    <t>Cotopaxi</t>
  </si>
  <si>
    <t>EC-X</t>
  </si>
  <si>
    <t>El Oro</t>
  </si>
  <si>
    <t>EC-O</t>
  </si>
  <si>
    <t>Esmeraldas</t>
  </si>
  <si>
    <t>EC-E</t>
  </si>
  <si>
    <t>Galápagos</t>
  </si>
  <si>
    <t>EC-W</t>
  </si>
  <si>
    <t>Guayas</t>
  </si>
  <si>
    <t>EC-G</t>
  </si>
  <si>
    <t>Imbabura</t>
  </si>
  <si>
    <t>EC-I</t>
  </si>
  <si>
    <t>Loja</t>
  </si>
  <si>
    <t>EC-L</t>
  </si>
  <si>
    <t>EC-R</t>
  </si>
  <si>
    <t>Manabí</t>
  </si>
  <si>
    <t>EC-M</t>
  </si>
  <si>
    <t>Morona-Santiago</t>
  </si>
  <si>
    <t>EC-S</t>
  </si>
  <si>
    <t>Napo</t>
  </si>
  <si>
    <t>EC-N</t>
  </si>
  <si>
    <t>Orellana</t>
  </si>
  <si>
    <t>EC-D</t>
  </si>
  <si>
    <t>Pastaza</t>
  </si>
  <si>
    <t>EC-Y</t>
  </si>
  <si>
    <t>Pichincha</t>
  </si>
  <si>
    <t>EC-P</t>
  </si>
  <si>
    <t>Santa Elena</t>
  </si>
  <si>
    <t>EC-SE</t>
  </si>
  <si>
    <t>Santo Domingo de los Tsáchilas</t>
  </si>
  <si>
    <t>EC-SD</t>
  </si>
  <si>
    <t>Sucumbíos</t>
  </si>
  <si>
    <t>EC-U</t>
  </si>
  <si>
    <t>Tungurahua</t>
  </si>
  <si>
    <t>EC-T</t>
  </si>
  <si>
    <t>Zamora-Chinchipe</t>
  </si>
  <si>
    <t>EC-Z</t>
  </si>
  <si>
    <t>Ad Daqahlīyah</t>
  </si>
  <si>
    <t>EG-DK</t>
  </si>
  <si>
    <t>Al Baḩr al Aḩmar</t>
  </si>
  <si>
    <t>EG-BA</t>
  </si>
  <si>
    <t>EG-BH</t>
  </si>
  <si>
    <t>Al Fayyūm</t>
  </si>
  <si>
    <t>EG-FYM</t>
  </si>
  <si>
    <t>Al Gharbīyah</t>
  </si>
  <si>
    <t>EG-GH</t>
  </si>
  <si>
    <t>Al Iskandarīyah</t>
  </si>
  <si>
    <t>EG-ALX</t>
  </si>
  <si>
    <t>Al Ismā‘īlīyah</t>
  </si>
  <si>
    <t>EG-IS</t>
  </si>
  <si>
    <t>Al Jīzah</t>
  </si>
  <si>
    <t>EG-GZ</t>
  </si>
  <si>
    <t>Al Minūfīyah</t>
  </si>
  <si>
    <t>EG-MNF</t>
  </si>
  <si>
    <t>Al Minyā</t>
  </si>
  <si>
    <t>EG-MN</t>
  </si>
  <si>
    <t>Al Qāhirah</t>
  </si>
  <si>
    <t>EG-C</t>
  </si>
  <si>
    <t>Al Qalyūbīyah</t>
  </si>
  <si>
    <t>EG-KB</t>
  </si>
  <si>
    <t>Al Uqşur</t>
  </si>
  <si>
    <t>EG-LX</t>
  </si>
  <si>
    <t>Al Wādī al Jadīd</t>
  </si>
  <si>
    <t>EG-WAD</t>
  </si>
  <si>
    <t>Ash Sharqīyah</t>
  </si>
  <si>
    <t>EG-SHR</t>
  </si>
  <si>
    <t>As Suways</t>
  </si>
  <si>
    <t>EG-SUZ</t>
  </si>
  <si>
    <t>Aswān</t>
  </si>
  <si>
    <t>EG-ASN</t>
  </si>
  <si>
    <t>Asyūţ</t>
  </si>
  <si>
    <t>EG-AST</t>
  </si>
  <si>
    <t>Banī Suwayf</t>
  </si>
  <si>
    <t>EG-BNS</t>
  </si>
  <si>
    <t>Būr Sa‘īd</t>
  </si>
  <si>
    <t>EG-PTS</t>
  </si>
  <si>
    <t>Dumyāţ</t>
  </si>
  <si>
    <t>EG-DT</t>
  </si>
  <si>
    <t>Janūb Sīnā’</t>
  </si>
  <si>
    <t>EG-JS</t>
  </si>
  <si>
    <t>Kafr ash Shaykh</t>
  </si>
  <si>
    <t>EG-KFS</t>
  </si>
  <si>
    <t>Maţrūḩ</t>
  </si>
  <si>
    <t>EG-MT</t>
  </si>
  <si>
    <t>Qinā</t>
  </si>
  <si>
    <t>EG-KN</t>
  </si>
  <si>
    <t>Shamāl Sīnā’</t>
  </si>
  <si>
    <t>EG-SIN</t>
  </si>
  <si>
    <t>Sūhāj</t>
  </si>
  <si>
    <t>EG-SHG</t>
  </si>
  <si>
    <t>Ahuachapán</t>
  </si>
  <si>
    <t>SV-AH</t>
  </si>
  <si>
    <t>Cabañas</t>
  </si>
  <si>
    <t>SV-CA</t>
  </si>
  <si>
    <t>Chalatenango</t>
  </si>
  <si>
    <t>SV-CH</t>
  </si>
  <si>
    <t>Cuscatlán</t>
  </si>
  <si>
    <t>SV-CU</t>
  </si>
  <si>
    <t>La Libertad</t>
  </si>
  <si>
    <t>SV-LI</t>
  </si>
  <si>
    <t>SV-PA</t>
  </si>
  <si>
    <t>La Unión</t>
  </si>
  <si>
    <t>SV-UN</t>
  </si>
  <si>
    <t>Morazán</t>
  </si>
  <si>
    <t>SV-MO</t>
  </si>
  <si>
    <t>San Miguel</t>
  </si>
  <si>
    <t>SV-SM</t>
  </si>
  <si>
    <t>SV-SS</t>
  </si>
  <si>
    <t>Santa Ana</t>
  </si>
  <si>
    <t>SV-SA</t>
  </si>
  <si>
    <t>San Vicente</t>
  </si>
  <si>
    <t>SV-SV</t>
  </si>
  <si>
    <t>Sonsonate</t>
  </si>
  <si>
    <t>SV-SO</t>
  </si>
  <si>
    <t>Usulután</t>
  </si>
  <si>
    <t>SV-US</t>
  </si>
  <si>
    <t>Annobón</t>
  </si>
  <si>
    <t>GQ-AN</t>
  </si>
  <si>
    <t>Bioko Norte</t>
  </si>
  <si>
    <t>GQ-BN</t>
  </si>
  <si>
    <t>Bioko Sur</t>
  </si>
  <si>
    <t>GQ-BS</t>
  </si>
  <si>
    <t>Centro Sur</t>
  </si>
  <si>
    <t>GQ-CS</t>
  </si>
  <si>
    <t>Kié-Ntem</t>
  </si>
  <si>
    <t>GQ-KN</t>
  </si>
  <si>
    <t>Litoral</t>
  </si>
  <si>
    <t>GQ-LI</t>
  </si>
  <si>
    <t>Región Continental</t>
  </si>
  <si>
    <t>GQ-C</t>
  </si>
  <si>
    <t>Región Insular</t>
  </si>
  <si>
    <t>GQ-I</t>
  </si>
  <si>
    <t>Wele-Nzas</t>
  </si>
  <si>
    <t>GQ-WN</t>
  </si>
  <si>
    <t>Wele-Nzás</t>
  </si>
  <si>
    <t>Ānseba</t>
  </si>
  <si>
    <t>ER-AN</t>
  </si>
  <si>
    <t>Ansabā</t>
  </si>
  <si>
    <t>Debub</t>
  </si>
  <si>
    <t>ER-DU</t>
  </si>
  <si>
    <t>Al Janūbī</t>
  </si>
  <si>
    <t>Debubawī K’eyih Bahrī</t>
  </si>
  <si>
    <t>ER-DK</t>
  </si>
  <si>
    <t>Janūbī al Baḩrī al Aḩmar</t>
  </si>
  <si>
    <t>Gash Barka</t>
  </si>
  <si>
    <t>ER-GB</t>
  </si>
  <si>
    <t>Qāsh-Barkah</t>
  </si>
  <si>
    <t>Ma’ākel</t>
  </si>
  <si>
    <t>ER-MA</t>
  </si>
  <si>
    <t>Al Awsaţ</t>
  </si>
  <si>
    <t>Semēnawī K’eyih Bahrī</t>
  </si>
  <si>
    <t>ER-SK</t>
  </si>
  <si>
    <t>Shimālī al Baḩrī al Aḩmar</t>
  </si>
  <si>
    <t>Harjumaa</t>
  </si>
  <si>
    <t>EE-37</t>
  </si>
  <si>
    <t>Hiiumaa</t>
  </si>
  <si>
    <t>EE-39</t>
  </si>
  <si>
    <t>Ida-Virumaa</t>
  </si>
  <si>
    <t>EE-44</t>
  </si>
  <si>
    <t>Järvamaa</t>
  </si>
  <si>
    <t>EE-51</t>
  </si>
  <si>
    <t>Jõgevamaa</t>
  </si>
  <si>
    <t>EE-49</t>
  </si>
  <si>
    <t>Läänemaa</t>
  </si>
  <si>
    <t>EE-57</t>
  </si>
  <si>
    <t>Lääne-Virumaa</t>
  </si>
  <si>
    <t>EE-59</t>
  </si>
  <si>
    <t>Pärnumaa</t>
  </si>
  <si>
    <t>EE-67</t>
  </si>
  <si>
    <t>Põlvamaa</t>
  </si>
  <si>
    <t>EE-65</t>
  </si>
  <si>
    <t>Raplamaa</t>
  </si>
  <si>
    <t>EE-70</t>
  </si>
  <si>
    <t>Saaremaa</t>
  </si>
  <si>
    <t>EE-74</t>
  </si>
  <si>
    <t>Tartumaa</t>
  </si>
  <si>
    <t>EE-78</t>
  </si>
  <si>
    <t>Valgamaa</t>
  </si>
  <si>
    <t>EE-82</t>
  </si>
  <si>
    <t>Viljandimaa</t>
  </si>
  <si>
    <t>EE-84</t>
  </si>
  <si>
    <t>Võrumaa</t>
  </si>
  <si>
    <t>EE-86</t>
  </si>
  <si>
    <t>Ādīs Ābeba</t>
  </si>
  <si>
    <t>administration</t>
  </si>
  <si>
    <t>ET-AA</t>
  </si>
  <si>
    <t>Āfar</t>
  </si>
  <si>
    <t>ET-AF</t>
  </si>
  <si>
    <t>Āmara</t>
  </si>
  <si>
    <t>ET-AM</t>
  </si>
  <si>
    <t>Bīnshangul Gumuz</t>
  </si>
  <si>
    <t>ET-BE</t>
  </si>
  <si>
    <t>Dirē Dawa</t>
  </si>
  <si>
    <t>ET-DD</t>
  </si>
  <si>
    <t>Gambēla Hizboch</t>
  </si>
  <si>
    <t>ET-GA</t>
  </si>
  <si>
    <t>Hārerī Hizb</t>
  </si>
  <si>
    <t>ET-HA</t>
  </si>
  <si>
    <t>Oromīya</t>
  </si>
  <si>
    <t>ET-OR</t>
  </si>
  <si>
    <t>Sumalē</t>
  </si>
  <si>
    <t>ET-SO</t>
  </si>
  <si>
    <t>Tigray</t>
  </si>
  <si>
    <t>ET-TI</t>
  </si>
  <si>
    <t>YeDebub Bihēroch Bihēreseboch na Hizboch</t>
  </si>
  <si>
    <t>ET-SN</t>
  </si>
  <si>
    <t>Ba</t>
  </si>
  <si>
    <t>FJ-01</t>
  </si>
  <si>
    <t>Bua</t>
  </si>
  <si>
    <t>FJ-02</t>
  </si>
  <si>
    <t>Cakaudrove</t>
  </si>
  <si>
    <t>FJ-03</t>
  </si>
  <si>
    <t>FJ-C</t>
  </si>
  <si>
    <t>Eastern</t>
  </si>
  <si>
    <t>FJ-E</t>
  </si>
  <si>
    <t>Kadavu</t>
  </si>
  <si>
    <t>FJ-04</t>
  </si>
  <si>
    <t>Lau</t>
  </si>
  <si>
    <t>FJ-05</t>
  </si>
  <si>
    <t>Lomaiviti</t>
  </si>
  <si>
    <t>FJ-06</t>
  </si>
  <si>
    <t>Macuata</t>
  </si>
  <si>
    <t>FJ-07</t>
  </si>
  <si>
    <t>Nadroga and Navosa</t>
  </si>
  <si>
    <t>FJ-08</t>
  </si>
  <si>
    <t>Naitasiri</t>
  </si>
  <si>
    <t>FJ-09</t>
  </si>
  <si>
    <t>Namosi</t>
  </si>
  <si>
    <t>FJ-10</t>
  </si>
  <si>
    <t>Northern</t>
  </si>
  <si>
    <t>FJ-N</t>
  </si>
  <si>
    <t>Ra</t>
  </si>
  <si>
    <t>FJ-11</t>
  </si>
  <si>
    <t>Rewa</t>
  </si>
  <si>
    <t>FJ-12</t>
  </si>
  <si>
    <t>Rotuma</t>
  </si>
  <si>
    <t>FJ-R</t>
  </si>
  <si>
    <t>Serua</t>
  </si>
  <si>
    <t>FJ-13</t>
  </si>
  <si>
    <t>Tailevu</t>
  </si>
  <si>
    <t>FJ-14</t>
  </si>
  <si>
    <t>Western</t>
  </si>
  <si>
    <t>FJ-W</t>
  </si>
  <si>
    <t>Åland</t>
  </si>
  <si>
    <t>FI-01</t>
  </si>
  <si>
    <t>Ahvenanmaan maakunta</t>
  </si>
  <si>
    <t>Etelä-Karjala</t>
  </si>
  <si>
    <t>FI-02</t>
  </si>
  <si>
    <t>Etelä-Pohjanmaa</t>
  </si>
  <si>
    <t>FI-03</t>
  </si>
  <si>
    <t>Etelä-Savo</t>
  </si>
  <si>
    <t>FI-04</t>
  </si>
  <si>
    <t>Kainuu</t>
  </si>
  <si>
    <t>FI-05</t>
  </si>
  <si>
    <t>Kanta-Häme</t>
  </si>
  <si>
    <t>FI-06</t>
  </si>
  <si>
    <t>Keski-Pohjanmaa</t>
  </si>
  <si>
    <t>FI-07</t>
  </si>
  <si>
    <t>Keski-Suomi</t>
  </si>
  <si>
    <t>FI-08</t>
  </si>
  <si>
    <t>Kymenlaakso</t>
  </si>
  <si>
    <t>FI-09</t>
  </si>
  <si>
    <t>Lappi</t>
  </si>
  <si>
    <t>FI-10</t>
  </si>
  <si>
    <t>Päijät-Häme</t>
  </si>
  <si>
    <t>FI-16</t>
  </si>
  <si>
    <t>Pirkanmaa</t>
  </si>
  <si>
    <t>FI-11</t>
  </si>
  <si>
    <t>Pohjanmaa</t>
  </si>
  <si>
    <t>FI-12</t>
  </si>
  <si>
    <t>Pohjois-Karjala</t>
  </si>
  <si>
    <t>FI-13</t>
  </si>
  <si>
    <t>Pohjois-Pohjanmaa</t>
  </si>
  <si>
    <t>FI-14</t>
  </si>
  <si>
    <t>Pohjois-Savo</t>
  </si>
  <si>
    <t>FI-15</t>
  </si>
  <si>
    <t>Satakunta</t>
  </si>
  <si>
    <t>FI-17</t>
  </si>
  <si>
    <t>Uusimaa</t>
  </si>
  <si>
    <t>FI-18</t>
  </si>
  <si>
    <t>Varsinais-Suomi</t>
  </si>
  <si>
    <t>FI-19</t>
  </si>
  <si>
    <t>Ain</t>
  </si>
  <si>
    <t>FR-01</t>
  </si>
  <si>
    <t>metropolitan department</t>
  </si>
  <si>
    <t>Aisne</t>
  </si>
  <si>
    <t>FR-02</t>
  </si>
  <si>
    <t>Allier</t>
  </si>
  <si>
    <t>FR-03</t>
  </si>
  <si>
    <t>Alpes-de-Haute-Provence</t>
  </si>
  <si>
    <t>FR-04</t>
  </si>
  <si>
    <t>Alpes-Maritimes</t>
  </si>
  <si>
    <t>FR-06</t>
  </si>
  <si>
    <t>Ardèche</t>
  </si>
  <si>
    <t>FR-07</t>
  </si>
  <si>
    <t>Ardennes</t>
  </si>
  <si>
    <t>FR-08</t>
  </si>
  <si>
    <t>Ariège</t>
  </si>
  <si>
    <t>FR-09</t>
  </si>
  <si>
    <t>Aube</t>
  </si>
  <si>
    <t>FR-10</t>
  </si>
  <si>
    <t>Aude</t>
  </si>
  <si>
    <t>FR-11</t>
  </si>
  <si>
    <t>Auvergne-Rhône-Alpes</t>
  </si>
  <si>
    <t>FR-ARA</t>
  </si>
  <si>
    <t>metropolitan region</t>
  </si>
  <si>
    <t>Aveyron</t>
  </si>
  <si>
    <t>FR-12</t>
  </si>
  <si>
    <t>Bas-Rhin</t>
  </si>
  <si>
    <t>FR-67</t>
  </si>
  <si>
    <t>Belfort</t>
  </si>
  <si>
    <t>FR-90</t>
  </si>
  <si>
    <t>Territoire de Belfort</t>
  </si>
  <si>
    <t>Bouches-du-Rhône</t>
  </si>
  <si>
    <t>FR-13</t>
  </si>
  <si>
    <t>Bourgogne-Franche-Comté</t>
  </si>
  <si>
    <t>FR-BFC</t>
  </si>
  <si>
    <t>Bretagne</t>
  </si>
  <si>
    <t>FR-BRE</t>
  </si>
  <si>
    <t>Calvados</t>
  </si>
  <si>
    <t>FR-14</t>
  </si>
  <si>
    <t>Cantal</t>
  </si>
  <si>
    <t>FR-15</t>
  </si>
  <si>
    <t>Centre-Val de Loire</t>
  </si>
  <si>
    <t>FR-CVL</t>
  </si>
  <si>
    <t>Charente</t>
  </si>
  <si>
    <t>FR-16</t>
  </si>
  <si>
    <t>Charente-Maritime</t>
  </si>
  <si>
    <t>FR-17</t>
  </si>
  <si>
    <t>Cher</t>
  </si>
  <si>
    <t>FR-18</t>
  </si>
  <si>
    <t>Corrèze</t>
  </si>
  <si>
    <t>FR-19</t>
  </si>
  <si>
    <t>Corse-du-Sud</t>
  </si>
  <si>
    <t>FR-2A</t>
  </si>
  <si>
    <t>Corsica</t>
  </si>
  <si>
    <t>FR-COR</t>
  </si>
  <si>
    <t>Corse</t>
  </si>
  <si>
    <t>Côte-d’Or</t>
  </si>
  <si>
    <t>FR-21</t>
  </si>
  <si>
    <t>Côte-d'Or</t>
  </si>
  <si>
    <t>Côtes-d’Armor</t>
  </si>
  <si>
    <t>FR-22</t>
  </si>
  <si>
    <t>Côtes-d'Armor</t>
  </si>
  <si>
    <t>Creuse</t>
  </si>
  <si>
    <t>FR-23</t>
  </si>
  <si>
    <t>Deux-Sèvres</t>
  </si>
  <si>
    <t>FR-79</t>
  </si>
  <si>
    <t>Dordogne</t>
  </si>
  <si>
    <t>FR-24</t>
  </si>
  <si>
    <t>Doubs</t>
  </si>
  <si>
    <t>FR-25</t>
  </si>
  <si>
    <t>Drôme</t>
  </si>
  <si>
    <t>FR-26</t>
  </si>
  <si>
    <t>Essonne</t>
  </si>
  <si>
    <t>FR-91</t>
  </si>
  <si>
    <t>Eure</t>
  </si>
  <si>
    <t>FR-27</t>
  </si>
  <si>
    <t>Eure-et-Loir</t>
  </si>
  <si>
    <t>FR-28</t>
  </si>
  <si>
    <t>Finistère</t>
  </si>
  <si>
    <t>FR-29</t>
  </si>
  <si>
    <t>Gard</t>
  </si>
  <si>
    <t>FR-30</t>
  </si>
  <si>
    <t>Gers</t>
  </si>
  <si>
    <t>FR-32</t>
  </si>
  <si>
    <t>Gironde</t>
  </si>
  <si>
    <t>FR-33</t>
  </si>
  <si>
    <t>Grand Est</t>
  </si>
  <si>
    <t>FR-GES</t>
  </si>
  <si>
    <t>Grand-Est</t>
  </si>
  <si>
    <t>Haute-Corse</t>
  </si>
  <si>
    <t>FR-2B</t>
  </si>
  <si>
    <t>Haute-Garonne</t>
  </si>
  <si>
    <t>FR-31</t>
  </si>
  <si>
    <t>Haute-Loire</t>
  </si>
  <si>
    <t>FR-43</t>
  </si>
  <si>
    <t>Haute-Marne</t>
  </si>
  <si>
    <t>FR-52</t>
  </si>
  <si>
    <t>Hautes-Alpes</t>
  </si>
  <si>
    <t>FR-05</t>
  </si>
  <si>
    <t>Haute-Saône</t>
  </si>
  <si>
    <t>FR-70</t>
  </si>
  <si>
    <t>Haute-Savoie</t>
  </si>
  <si>
    <t>FR-74</t>
  </si>
  <si>
    <t>Hautes-Pyrénées</t>
  </si>
  <si>
    <t>FR-65</t>
  </si>
  <si>
    <t>Haute-Vienne</t>
  </si>
  <si>
    <t>FR-87</t>
  </si>
  <si>
    <t>Haut-Rhin</t>
  </si>
  <si>
    <t>FR-68</t>
  </si>
  <si>
    <t>Hauts-de-France</t>
  </si>
  <si>
    <t>FR-HDF</t>
  </si>
  <si>
    <t>Hauts-de-Seine</t>
  </si>
  <si>
    <t>FR-92</t>
  </si>
  <si>
    <t>Hérault</t>
  </si>
  <si>
    <t>FR-34</t>
  </si>
  <si>
    <t>Île-de-France</t>
  </si>
  <si>
    <t>FR-IDF</t>
  </si>
  <si>
    <t>Ille-et-Vilaine</t>
  </si>
  <si>
    <t>FR-35</t>
  </si>
  <si>
    <t>Indre</t>
  </si>
  <si>
    <t>FR-36</t>
  </si>
  <si>
    <t>Indre-et-Loire</t>
  </si>
  <si>
    <t>FR-37</t>
  </si>
  <si>
    <t>Isère</t>
  </si>
  <si>
    <t>FR-38</t>
  </si>
  <si>
    <t>Jura</t>
  </si>
  <si>
    <t>FR-39</t>
  </si>
  <si>
    <t>Landes</t>
  </si>
  <si>
    <t>FR-40</t>
  </si>
  <si>
    <t>Loire</t>
  </si>
  <si>
    <t>FR-42</t>
  </si>
  <si>
    <t>Loire-Atlantique</t>
  </si>
  <si>
    <t>FR-44</t>
  </si>
  <si>
    <t>Loiret</t>
  </si>
  <si>
    <t>FR-45</t>
  </si>
  <si>
    <t>Loir-et-Cher</t>
  </si>
  <si>
    <t>FR-41</t>
  </si>
  <si>
    <t>Lot</t>
  </si>
  <si>
    <t>FR-46</t>
  </si>
  <si>
    <t>Lot-et-Garonne</t>
  </si>
  <si>
    <t>FR-47</t>
  </si>
  <si>
    <t>Lozère</t>
  </si>
  <si>
    <t>FR-48</t>
  </si>
  <si>
    <t>Maine-et-Loire</t>
  </si>
  <si>
    <t>FR-49</t>
  </si>
  <si>
    <t>Manche</t>
  </si>
  <si>
    <t>FR-50</t>
  </si>
  <si>
    <t>Marne</t>
  </si>
  <si>
    <t>FR-51</t>
  </si>
  <si>
    <t>Mayenne</t>
  </si>
  <si>
    <t>FR-53</t>
  </si>
  <si>
    <t>Meurthe-et-Moselle</t>
  </si>
  <si>
    <t>FR-54</t>
  </si>
  <si>
    <t>Meuse</t>
  </si>
  <si>
    <t>FR-55</t>
  </si>
  <si>
    <t>Morbihan</t>
  </si>
  <si>
    <t>FR-56</t>
  </si>
  <si>
    <t>Moselle</t>
  </si>
  <si>
    <t>FR-57</t>
  </si>
  <si>
    <t>Nièvre</t>
  </si>
  <si>
    <t>FR-58</t>
  </si>
  <si>
    <t>FR-59</t>
  </si>
  <si>
    <t>Normandie</t>
  </si>
  <si>
    <t>FR-NOR</t>
  </si>
  <si>
    <t>Nouvelle-Aquitaine</t>
  </si>
  <si>
    <t>FR-NAQ</t>
  </si>
  <si>
    <t>Occitanie</t>
  </si>
  <si>
    <t>FR-OCC</t>
  </si>
  <si>
    <t>Oise</t>
  </si>
  <si>
    <t>FR-60</t>
  </si>
  <si>
    <t>Orne</t>
  </si>
  <si>
    <t>FR-61</t>
  </si>
  <si>
    <t>Paris</t>
  </si>
  <si>
    <t>FR-75</t>
  </si>
  <si>
    <t>Pas-de-Calais</t>
  </si>
  <si>
    <t>FR-62</t>
  </si>
  <si>
    <t>Pays de la Loire</t>
  </si>
  <si>
    <t>FR-PDL</t>
  </si>
  <si>
    <t>Pays-de-la-Loire</t>
  </si>
  <si>
    <t>Provence-Alpes-Côte d’Azur</t>
  </si>
  <si>
    <t>FR-PAC</t>
  </si>
  <si>
    <t>Provence-Alpes-Côte-d’Azur</t>
  </si>
  <si>
    <t>Puy-de-Dôme</t>
  </si>
  <si>
    <t>FR-63</t>
  </si>
  <si>
    <t>Pyrénées-Atlantiques</t>
  </si>
  <si>
    <t>FR-64</t>
  </si>
  <si>
    <t>Pyrénées-Orientales</t>
  </si>
  <si>
    <t>FR-66</t>
  </si>
  <si>
    <t>Rhône</t>
  </si>
  <si>
    <t>FR-69</t>
  </si>
  <si>
    <t>Saône-et-Loire</t>
  </si>
  <si>
    <t>FR-71</t>
  </si>
  <si>
    <t>Sarthe</t>
  </si>
  <si>
    <t>FR-72</t>
  </si>
  <si>
    <t>Savoie</t>
  </si>
  <si>
    <t>FR-73</t>
  </si>
  <si>
    <t>Seine-et-Marne</t>
  </si>
  <si>
    <t>FR-77</t>
  </si>
  <si>
    <t>Seine-Maritime</t>
  </si>
  <si>
    <t>FR-76</t>
  </si>
  <si>
    <t>Seine-Saint-Denis</t>
  </si>
  <si>
    <t>FR-93</t>
  </si>
  <si>
    <t>Somme</t>
  </si>
  <si>
    <t>FR-80</t>
  </si>
  <si>
    <t>Tarn</t>
  </si>
  <si>
    <t>FR-81</t>
  </si>
  <si>
    <t>Tarn-et-Garonne</t>
  </si>
  <si>
    <t>FR-82</t>
  </si>
  <si>
    <t>Val-de-Marne</t>
  </si>
  <si>
    <t>FR-94</t>
  </si>
  <si>
    <t>Val-d’Oise</t>
  </si>
  <si>
    <t>FR-95</t>
  </si>
  <si>
    <t>Val-d'Oise</t>
  </si>
  <si>
    <t>Var</t>
  </si>
  <si>
    <t>FR-83</t>
  </si>
  <si>
    <t>Vaucluse</t>
  </si>
  <si>
    <t>FR-84</t>
  </si>
  <si>
    <t>Vendée</t>
  </si>
  <si>
    <t>FR-85</t>
  </si>
  <si>
    <t>Vienne</t>
  </si>
  <si>
    <t>FR-86</t>
  </si>
  <si>
    <t>Vosges</t>
  </si>
  <si>
    <t>FR-88</t>
  </si>
  <si>
    <t>Yonne</t>
  </si>
  <si>
    <t>FR-89</t>
  </si>
  <si>
    <t>Yvelines</t>
  </si>
  <si>
    <t>FR-78</t>
  </si>
  <si>
    <t>Îles Australes</t>
  </si>
  <si>
    <t>administrative subdivision</t>
  </si>
  <si>
    <t>PF-01</t>
  </si>
  <si>
    <t>Îles du Vent</t>
  </si>
  <si>
    <t>PF-02</t>
  </si>
  <si>
    <t>Îles Marquises</t>
  </si>
  <si>
    <t>PF-03</t>
  </si>
  <si>
    <t>Îles Sous-le-Vent</t>
  </si>
  <si>
    <t>PF-04</t>
  </si>
  <si>
    <t>Îles Tuamotu-Gambier</t>
  </si>
  <si>
    <t>PF-05</t>
  </si>
  <si>
    <t>Estuaire</t>
  </si>
  <si>
    <t>GA-1</t>
  </si>
  <si>
    <t>Haut-Ogooué</t>
  </si>
  <si>
    <t>GA-2</t>
  </si>
  <si>
    <t>Moyen-Ogooué</t>
  </si>
  <si>
    <t>GA-3</t>
  </si>
  <si>
    <t>Ngounié</t>
  </si>
  <si>
    <t>GA-4</t>
  </si>
  <si>
    <t>Nyanga</t>
  </si>
  <si>
    <t>GA-5</t>
  </si>
  <si>
    <t>Ogooué-Ivindo</t>
  </si>
  <si>
    <t>GA-6</t>
  </si>
  <si>
    <t>Ogooué-Lolo</t>
  </si>
  <si>
    <t>GA-7</t>
  </si>
  <si>
    <t>Ogooué-Maritime</t>
  </si>
  <si>
    <t>GA-8</t>
  </si>
  <si>
    <t>Woleu-Ntem</t>
  </si>
  <si>
    <t>GA-9</t>
  </si>
  <si>
    <t>Banjul</t>
  </si>
  <si>
    <t>GM-B</t>
  </si>
  <si>
    <t>Central River</t>
  </si>
  <si>
    <t>GM-M</t>
  </si>
  <si>
    <t>Kanifing</t>
  </si>
  <si>
    <t>GM-K</t>
  </si>
  <si>
    <t>Lower River</t>
  </si>
  <si>
    <t>GM-L</t>
  </si>
  <si>
    <t>North Bank</t>
  </si>
  <si>
    <t>GM-N</t>
  </si>
  <si>
    <t>Upper River</t>
  </si>
  <si>
    <t>GM-U</t>
  </si>
  <si>
    <t>West Coast</t>
  </si>
  <si>
    <t>GM-W</t>
  </si>
  <si>
    <t>Abkhazia</t>
  </si>
  <si>
    <t>GE-AB</t>
  </si>
  <si>
    <t>Ajaria</t>
  </si>
  <si>
    <t>GE-AJ</t>
  </si>
  <si>
    <t>Guria</t>
  </si>
  <si>
    <t>GE-GU</t>
  </si>
  <si>
    <t>Imereti</t>
  </si>
  <si>
    <t>GE-IM</t>
  </si>
  <si>
    <t>K’akheti</t>
  </si>
  <si>
    <t>GE-KA</t>
  </si>
  <si>
    <t>K'akheti</t>
  </si>
  <si>
    <t>Kvemo Kartli</t>
  </si>
  <si>
    <t>GE-KK</t>
  </si>
  <si>
    <t>Mtskheta Mtianeti</t>
  </si>
  <si>
    <t>GE-MM</t>
  </si>
  <si>
    <t>Mtskheta-Mtianeti</t>
  </si>
  <si>
    <t>Rach’a-Lechkhumi da Kvemo Svaneti</t>
  </si>
  <si>
    <t>GE-RL</t>
  </si>
  <si>
    <t>Rach'a-Lechkhumi-Kvemo Svaneti</t>
  </si>
  <si>
    <t>Samegrelo-Zemo Svaneti</t>
  </si>
  <si>
    <t>GE-SZ</t>
  </si>
  <si>
    <t>Samtskhe-Javakheti</t>
  </si>
  <si>
    <t>GE-SJ</t>
  </si>
  <si>
    <t>Shida Kartli</t>
  </si>
  <si>
    <t>GE-SK</t>
  </si>
  <si>
    <t>Tbilisi</t>
  </si>
  <si>
    <t>GE-TB</t>
  </si>
  <si>
    <t>T'bilisi</t>
  </si>
  <si>
    <t>Baden-Württemberg</t>
  </si>
  <si>
    <t>DE-BW</t>
  </si>
  <si>
    <t>Länder</t>
  </si>
  <si>
    <t>Bavaria</t>
  </si>
  <si>
    <t>DE-BY</t>
  </si>
  <si>
    <t>Bayern</t>
  </si>
  <si>
    <t>Berlin</t>
  </si>
  <si>
    <t>DE-BE</t>
  </si>
  <si>
    <t>Brandenburg</t>
  </si>
  <si>
    <t>DE-BB</t>
  </si>
  <si>
    <t>Bremen</t>
  </si>
  <si>
    <t>DE-HB</t>
  </si>
  <si>
    <t>Hamburg</t>
  </si>
  <si>
    <t>DE-HH</t>
  </si>
  <si>
    <t>Hesse</t>
  </si>
  <si>
    <t>DE-HE</t>
  </si>
  <si>
    <t>Hessen</t>
  </si>
  <si>
    <t>Lower Saxony</t>
  </si>
  <si>
    <t>DE-NI</t>
  </si>
  <si>
    <t>Niedersachsen</t>
  </si>
  <si>
    <t>Mecklenburg-Western Pomerania</t>
  </si>
  <si>
    <t>DE-MV</t>
  </si>
  <si>
    <t>Mecklenburg-Vorpommern</t>
  </si>
  <si>
    <t>North Rhine-Westphalia</t>
  </si>
  <si>
    <t>DE-NW</t>
  </si>
  <si>
    <t>Nordrhein-Westfalen</t>
  </si>
  <si>
    <t>Rhineland-Palatinate</t>
  </si>
  <si>
    <t>DE-RP</t>
  </si>
  <si>
    <t>Rheinland-Pfalz</t>
  </si>
  <si>
    <t>Saarland</t>
  </si>
  <si>
    <t>DE-SL</t>
  </si>
  <si>
    <t>Saxony</t>
  </si>
  <si>
    <t>DE-SN</t>
  </si>
  <si>
    <t>Sachsen</t>
  </si>
  <si>
    <t>Saxony-Anhalt</t>
  </si>
  <si>
    <t>DE-ST</t>
  </si>
  <si>
    <t>Sachsen-Anhalt</t>
  </si>
  <si>
    <t>Schleswig-Holstein</t>
  </si>
  <si>
    <t>DE-SH</t>
  </si>
  <si>
    <t>Thuringia</t>
  </si>
  <si>
    <t>DE-TH</t>
  </si>
  <si>
    <t>Thüringen</t>
  </si>
  <si>
    <t>Ashanti</t>
  </si>
  <si>
    <t>GH-AH</t>
  </si>
  <si>
    <t>Brong-Ahafo</t>
  </si>
  <si>
    <t>GH-BA</t>
  </si>
  <si>
    <t>GH-CP</t>
  </si>
  <si>
    <t>GH-EP</t>
  </si>
  <si>
    <t>Greater Accra</t>
  </si>
  <si>
    <t>GH-AA</t>
  </si>
  <si>
    <t>GH-NP</t>
  </si>
  <si>
    <t>Upper East</t>
  </si>
  <si>
    <t>GH-UE</t>
  </si>
  <si>
    <t>Upper West</t>
  </si>
  <si>
    <t>GH-UW</t>
  </si>
  <si>
    <t>Volta</t>
  </si>
  <si>
    <t>GH-TV</t>
  </si>
  <si>
    <t>GH-WP</t>
  </si>
  <si>
    <t>Ágion Óros</t>
  </si>
  <si>
    <t>autonomous monastic state</t>
  </si>
  <si>
    <t>GR-69</t>
  </si>
  <si>
    <t>self-governed part</t>
  </si>
  <si>
    <t>Anatolikí Makedonía kai Thráki</t>
  </si>
  <si>
    <t>GR-A</t>
  </si>
  <si>
    <t>administrative region</t>
  </si>
  <si>
    <t>Attikí</t>
  </si>
  <si>
    <t>GR-I</t>
  </si>
  <si>
    <t>Dytikí Elláda</t>
  </si>
  <si>
    <t>GR-G</t>
  </si>
  <si>
    <t>Dytikí Makedonía</t>
  </si>
  <si>
    <t>GR-C</t>
  </si>
  <si>
    <t>Ionía Nísia</t>
  </si>
  <si>
    <t>GR-F</t>
  </si>
  <si>
    <t>Ípeiros</t>
  </si>
  <si>
    <t>GR-D</t>
  </si>
  <si>
    <t>Kentrikí Makedonía</t>
  </si>
  <si>
    <t>GR-B</t>
  </si>
  <si>
    <t>Kríti</t>
  </si>
  <si>
    <t>GR-M</t>
  </si>
  <si>
    <t>Notío Aigaío</t>
  </si>
  <si>
    <t>GR-L</t>
  </si>
  <si>
    <t>Peloponnísos</t>
  </si>
  <si>
    <t>GR-J</t>
  </si>
  <si>
    <t>Stereá Elláda</t>
  </si>
  <si>
    <t>GR-H</t>
  </si>
  <si>
    <t>Thessalía</t>
  </si>
  <si>
    <t>GR-E</t>
  </si>
  <si>
    <t>Voreío Aigaío</t>
  </si>
  <si>
    <t>GR-K</t>
  </si>
  <si>
    <t>Kujalleq</t>
  </si>
  <si>
    <t>GL-KU</t>
  </si>
  <si>
    <t>Kommune Kujalleq</t>
  </si>
  <si>
    <t>Qaasuitsup</t>
  </si>
  <si>
    <t>GL-QA</t>
  </si>
  <si>
    <t>Qaasuitsup Kommunia</t>
  </si>
  <si>
    <t>Qeqqata</t>
  </si>
  <si>
    <t>GL-QE</t>
  </si>
  <si>
    <t>Qeqqata Kommunia</t>
  </si>
  <si>
    <t>Sermersooq</t>
  </si>
  <si>
    <t>GL-SM</t>
  </si>
  <si>
    <t>Kommuneqarfik Sermersooq</t>
  </si>
  <si>
    <t>GD-01</t>
  </si>
  <si>
    <t>GD-02</t>
  </si>
  <si>
    <t>GD-03</t>
  </si>
  <si>
    <t>GD-04</t>
  </si>
  <si>
    <t>GD-05</t>
  </si>
  <si>
    <t>GD-06</t>
  </si>
  <si>
    <t>Southern Grenadine Islands</t>
  </si>
  <si>
    <t>GD-10</t>
  </si>
  <si>
    <t>Alta Verapaz</t>
  </si>
  <si>
    <t>GT-AV</t>
  </si>
  <si>
    <t>Baja Verapaz</t>
  </si>
  <si>
    <t>GT-BV</t>
  </si>
  <si>
    <t>Chimaltenango</t>
  </si>
  <si>
    <t>GT-CM</t>
  </si>
  <si>
    <t>Chiquimula</t>
  </si>
  <si>
    <t>GT-CQ</t>
  </si>
  <si>
    <t>El Progreso</t>
  </si>
  <si>
    <t>GT-PR</t>
  </si>
  <si>
    <t>Escuintla</t>
  </si>
  <si>
    <t>GT-ES</t>
  </si>
  <si>
    <t>Guatemala</t>
  </si>
  <si>
    <t>GT-GU</t>
  </si>
  <si>
    <t>Huehuetenango</t>
  </si>
  <si>
    <t>GT-HU</t>
  </si>
  <si>
    <t>Izabal</t>
  </si>
  <si>
    <t>GT-IZ</t>
  </si>
  <si>
    <t>Jalapa</t>
  </si>
  <si>
    <t>GT-JA</t>
  </si>
  <si>
    <t>Jutiapa</t>
  </si>
  <si>
    <t>GT-JU</t>
  </si>
  <si>
    <t>Petén</t>
  </si>
  <si>
    <t>GT-PE</t>
  </si>
  <si>
    <t>Quetzaltenango</t>
  </si>
  <si>
    <t>GT-QZ</t>
  </si>
  <si>
    <t>Quiché</t>
  </si>
  <si>
    <t>GT-QC</t>
  </si>
  <si>
    <t>Retalhuleu</t>
  </si>
  <si>
    <t>GT-RE</t>
  </si>
  <si>
    <t>Sacatepéquez</t>
  </si>
  <si>
    <t>GT-SA</t>
  </si>
  <si>
    <t>San Marcos</t>
  </si>
  <si>
    <t>GT-SM</t>
  </si>
  <si>
    <t>Santa Rosa</t>
  </si>
  <si>
    <t>GT-SR</t>
  </si>
  <si>
    <t>Sololá</t>
  </si>
  <si>
    <t>GT-SO</t>
  </si>
  <si>
    <t>Suchitepéquez</t>
  </si>
  <si>
    <t>GT-SU</t>
  </si>
  <si>
    <t>Totonicapán</t>
  </si>
  <si>
    <t>GT-TO</t>
  </si>
  <si>
    <t>Zacapa</t>
  </si>
  <si>
    <t>GT-ZA</t>
  </si>
  <si>
    <t>Beyla</t>
  </si>
  <si>
    <t>GN-BE</t>
  </si>
  <si>
    <t>Boffa</t>
  </si>
  <si>
    <t>GN-BF</t>
  </si>
  <si>
    <t>Boké</t>
  </si>
  <si>
    <t>GN-B</t>
  </si>
  <si>
    <t>GN-BK</t>
  </si>
  <si>
    <t>Conakry</t>
  </si>
  <si>
    <t>GN-C</t>
  </si>
  <si>
    <t>Coyah</t>
  </si>
  <si>
    <t>GN-CO</t>
  </si>
  <si>
    <t>Dabola</t>
  </si>
  <si>
    <t>GN-DB</t>
  </si>
  <si>
    <t>Dalaba</t>
  </si>
  <si>
    <t>GN-DL</t>
  </si>
  <si>
    <t>Dinguiraye</t>
  </si>
  <si>
    <t>GN-DI</t>
  </si>
  <si>
    <t>Dubréka</t>
  </si>
  <si>
    <t>GN-DU</t>
  </si>
  <si>
    <t>Faranah</t>
  </si>
  <si>
    <t>GN-F</t>
  </si>
  <si>
    <t>GN-FA</t>
  </si>
  <si>
    <t>Forécariah</t>
  </si>
  <si>
    <t>GN-FO</t>
  </si>
  <si>
    <t>Fria</t>
  </si>
  <si>
    <t>GN-FR</t>
  </si>
  <si>
    <t>Gaoual</t>
  </si>
  <si>
    <t>GN-GA</t>
  </si>
  <si>
    <t>Guékédou</t>
  </si>
  <si>
    <t>GN-GU</t>
  </si>
  <si>
    <t>Kankan</t>
  </si>
  <si>
    <t>GN-K</t>
  </si>
  <si>
    <t>GN-KA</t>
  </si>
  <si>
    <t>Kérouané</t>
  </si>
  <si>
    <t>GN-KE</t>
  </si>
  <si>
    <t>Kindia</t>
  </si>
  <si>
    <t>GN-D</t>
  </si>
  <si>
    <t>GN-KD</t>
  </si>
  <si>
    <t>Kissidougou</t>
  </si>
  <si>
    <t>GN-KS</t>
  </si>
  <si>
    <t>Koubia</t>
  </si>
  <si>
    <t>GN-KB</t>
  </si>
  <si>
    <t>Koundara</t>
  </si>
  <si>
    <t>GN-KN</t>
  </si>
  <si>
    <t>Kouroussa</t>
  </si>
  <si>
    <t>GN-KO</t>
  </si>
  <si>
    <t>Labé</t>
  </si>
  <si>
    <t>GN-L</t>
  </si>
  <si>
    <t>GN-LA</t>
  </si>
  <si>
    <t>Lélouma</t>
  </si>
  <si>
    <t>GN-LE</t>
  </si>
  <si>
    <t>Lola</t>
  </si>
  <si>
    <t>GN-LO</t>
  </si>
  <si>
    <t>Macenta</t>
  </si>
  <si>
    <t>GN-MC</t>
  </si>
  <si>
    <t>Mali</t>
  </si>
  <si>
    <t>GN-ML</t>
  </si>
  <si>
    <t>Mamou</t>
  </si>
  <si>
    <t>GN-M</t>
  </si>
  <si>
    <t>GN-MM</t>
  </si>
  <si>
    <t>Mandiana</t>
  </si>
  <si>
    <t>GN-MD</t>
  </si>
  <si>
    <t>N’Zérékoré</t>
  </si>
  <si>
    <t>GN-N</t>
  </si>
  <si>
    <t>Nzérékoré</t>
  </si>
  <si>
    <t>GN-NZ</t>
  </si>
  <si>
    <t>Pita</t>
  </si>
  <si>
    <t>GN-PI</t>
  </si>
  <si>
    <t>Siguiri</t>
  </si>
  <si>
    <t>GN-SI</t>
  </si>
  <si>
    <t>Télimélé</t>
  </si>
  <si>
    <t>GN-TE</t>
  </si>
  <si>
    <t>Tougué</t>
  </si>
  <si>
    <t>GN-TO</t>
  </si>
  <si>
    <t>Yomou</t>
  </si>
  <si>
    <t>GN-YO</t>
  </si>
  <si>
    <t>Bafatá</t>
  </si>
  <si>
    <t>GW-BA</t>
  </si>
  <si>
    <t>Biombo</t>
  </si>
  <si>
    <t>GW-BM</t>
  </si>
  <si>
    <t>Bissau</t>
  </si>
  <si>
    <t>autonomous sector</t>
  </si>
  <si>
    <t>GW-BS</t>
  </si>
  <si>
    <t>Bolama/Bijagós</t>
  </si>
  <si>
    <t>GW-BL</t>
  </si>
  <si>
    <t>Bolama</t>
  </si>
  <si>
    <t>Cacheu</t>
  </si>
  <si>
    <t>GW-CA</t>
  </si>
  <si>
    <t>Gabú</t>
  </si>
  <si>
    <t>GW-GA</t>
  </si>
  <si>
    <t>Leste</t>
  </si>
  <si>
    <t>GW-L</t>
  </si>
  <si>
    <t>Norte</t>
  </si>
  <si>
    <t>GW-N</t>
  </si>
  <si>
    <t>Oio</t>
  </si>
  <si>
    <t>GW-OI</t>
  </si>
  <si>
    <t>Quinara</t>
  </si>
  <si>
    <t>GW-QU</t>
  </si>
  <si>
    <t>Sul</t>
  </si>
  <si>
    <t>GW-S</t>
  </si>
  <si>
    <t>Tombali</t>
  </si>
  <si>
    <t>GW-TO</t>
  </si>
  <si>
    <t>Barima-Waini</t>
  </si>
  <si>
    <t>GY-BA</t>
  </si>
  <si>
    <t>Cuyuni-Mazaruni</t>
  </si>
  <si>
    <t>GY-CU</t>
  </si>
  <si>
    <t>Demerara-Mahaica</t>
  </si>
  <si>
    <t>GY-DE</t>
  </si>
  <si>
    <t>East Berbice-Corentyne</t>
  </si>
  <si>
    <t>GY-EB</t>
  </si>
  <si>
    <t>Essequibo Islands-West Demerara</t>
  </si>
  <si>
    <t>GY-ES</t>
  </si>
  <si>
    <t>Mahaica-Berbice</t>
  </si>
  <si>
    <t>GY-MA</t>
  </si>
  <si>
    <t>Pomeroon-Supenaam</t>
  </si>
  <si>
    <t>GY-PM</t>
  </si>
  <si>
    <t>Potaro-Siparuni</t>
  </si>
  <si>
    <t>GY-PT</t>
  </si>
  <si>
    <t>Upper Demerara-Berbice</t>
  </si>
  <si>
    <t>GY-UD</t>
  </si>
  <si>
    <t>Upper Takutu-Upper Essequibo</t>
  </si>
  <si>
    <t>GY-UT</t>
  </si>
  <si>
    <t>Artibonite</t>
  </si>
  <si>
    <t>HT-AR</t>
  </si>
  <si>
    <t>HT-CE</t>
  </si>
  <si>
    <t>Grand’Anse</t>
  </si>
  <si>
    <t>HT-GA</t>
  </si>
  <si>
    <t>Grande’Anse</t>
  </si>
  <si>
    <t>Nippes</t>
  </si>
  <si>
    <t>HT-NI</t>
  </si>
  <si>
    <t>HT-ND</t>
  </si>
  <si>
    <t>Nord-Est</t>
  </si>
  <si>
    <t>HT-NE</t>
  </si>
  <si>
    <t>Nord-Ouest</t>
  </si>
  <si>
    <t>HT-NO</t>
  </si>
  <si>
    <t>HT-OU</t>
  </si>
  <si>
    <t>HT-SD</t>
  </si>
  <si>
    <t>Sud-Est</t>
  </si>
  <si>
    <t>HT-SE</t>
  </si>
  <si>
    <t>Atlántida</t>
  </si>
  <si>
    <t>HN-AT</t>
  </si>
  <si>
    <t>Choluteca</t>
  </si>
  <si>
    <t>HN-CH</t>
  </si>
  <si>
    <t>Colón</t>
  </si>
  <si>
    <t>HN-CL</t>
  </si>
  <si>
    <t>Comayagua</t>
  </si>
  <si>
    <t>HN-CM</t>
  </si>
  <si>
    <t>Copán</t>
  </si>
  <si>
    <t>HN-CP</t>
  </si>
  <si>
    <t>Cortés</t>
  </si>
  <si>
    <t>HN-CR</t>
  </si>
  <si>
    <t>El Paraíso</t>
  </si>
  <si>
    <t>HN-EP</t>
  </si>
  <si>
    <t>Francisco Morazán</t>
  </si>
  <si>
    <t>HN-FM</t>
  </si>
  <si>
    <t>Gracias a Dios</t>
  </si>
  <si>
    <t>HN-GD</t>
  </si>
  <si>
    <t>Intibucá</t>
  </si>
  <si>
    <t>HN-IN</t>
  </si>
  <si>
    <t>Islas de la Bahía</t>
  </si>
  <si>
    <t>HN-IB</t>
  </si>
  <si>
    <t>HN-LP</t>
  </si>
  <si>
    <t>Lempira</t>
  </si>
  <si>
    <t>HN-LE</t>
  </si>
  <si>
    <t>Ocotepeque</t>
  </si>
  <si>
    <t>HN-OC</t>
  </si>
  <si>
    <t>Olancho</t>
  </si>
  <si>
    <t>HN-OL</t>
  </si>
  <si>
    <t>Santa Bárbara</t>
  </si>
  <si>
    <t>HN-SB</t>
  </si>
  <si>
    <t>Valle</t>
  </si>
  <si>
    <t>HN-VA</t>
  </si>
  <si>
    <t>Yoro</t>
  </si>
  <si>
    <t>HN-YO</t>
  </si>
  <si>
    <t>Bács-Kiskun</t>
  </si>
  <si>
    <t>HU-BK</t>
  </si>
  <si>
    <t>Baranya</t>
  </si>
  <si>
    <t>HU-BA</t>
  </si>
  <si>
    <t>Békés</t>
  </si>
  <si>
    <t>HU-BE</t>
  </si>
  <si>
    <t>Békéscsaba</t>
  </si>
  <si>
    <t>urban county</t>
  </si>
  <si>
    <t>HU-BC</t>
  </si>
  <si>
    <t>city of county right</t>
  </si>
  <si>
    <t>Borsod-Abaúj-Zemplén</t>
  </si>
  <si>
    <t>HU-BZ</t>
  </si>
  <si>
    <t>Budapest</t>
  </si>
  <si>
    <t>HU-BU</t>
  </si>
  <si>
    <t>Csongrád</t>
  </si>
  <si>
    <t>HU-CS</t>
  </si>
  <si>
    <t>Debrecen</t>
  </si>
  <si>
    <t>HU-DE</t>
  </si>
  <si>
    <t>Dunaújváros</t>
  </si>
  <si>
    <t>HU-DU</t>
  </si>
  <si>
    <t>Eger</t>
  </si>
  <si>
    <t>HU-EG</t>
  </si>
  <si>
    <t>Érd</t>
  </si>
  <si>
    <t>HU-ER</t>
  </si>
  <si>
    <t>Fejér</t>
  </si>
  <si>
    <t>HU-FE</t>
  </si>
  <si>
    <t>Győr</t>
  </si>
  <si>
    <t>HU-GY</t>
  </si>
  <si>
    <t>Győr-Moson-Sopron</t>
  </si>
  <si>
    <t>HU-GS</t>
  </si>
  <si>
    <t>Hajdú-Bihar</t>
  </si>
  <si>
    <t>HU-HB</t>
  </si>
  <si>
    <t>Heves</t>
  </si>
  <si>
    <t>HU-HE</t>
  </si>
  <si>
    <t>Hódmezővásárhely</t>
  </si>
  <si>
    <t>HU-HV</t>
  </si>
  <si>
    <t>Jász-Nagykun-Szolnok</t>
  </si>
  <si>
    <t>HU-JN</t>
  </si>
  <si>
    <t>Kaposvár</t>
  </si>
  <si>
    <t>HU-KV</t>
  </si>
  <si>
    <t>Kecskemét</t>
  </si>
  <si>
    <t>HU-KM</t>
  </si>
  <si>
    <t>Komárom-Esztergom</t>
  </si>
  <si>
    <t>HU-KE</t>
  </si>
  <si>
    <t>Miskolc</t>
  </si>
  <si>
    <t>HU-MI</t>
  </si>
  <si>
    <t>Nagykanizsa</t>
  </si>
  <si>
    <t>HU-NK</t>
  </si>
  <si>
    <t>Nógrád</t>
  </si>
  <si>
    <t>HU-NO</t>
  </si>
  <si>
    <t>Nyíregyháza</t>
  </si>
  <si>
    <t>HU-NY</t>
  </si>
  <si>
    <t>Pécs</t>
  </si>
  <si>
    <t>HU-PS</t>
  </si>
  <si>
    <t>Pest</t>
  </si>
  <si>
    <t>HU-PE</t>
  </si>
  <si>
    <t>Salgótarján</t>
  </si>
  <si>
    <t>HU-ST</t>
  </si>
  <si>
    <t>Somogy</t>
  </si>
  <si>
    <t>HU-SO</t>
  </si>
  <si>
    <t>Sopron</t>
  </si>
  <si>
    <t>HU-SN</t>
  </si>
  <si>
    <t>Szabolcs-Szatmár-Bereg</t>
  </si>
  <si>
    <t>HU-SZ</t>
  </si>
  <si>
    <t>Szeged</t>
  </si>
  <si>
    <t>HU-SD</t>
  </si>
  <si>
    <t>Székesfehérvár</t>
  </si>
  <si>
    <t>HU-SF</t>
  </si>
  <si>
    <t>Szekszárd</t>
  </si>
  <si>
    <t>HU-SS</t>
  </si>
  <si>
    <t>Szolnok</t>
  </si>
  <si>
    <t>HU-SK</t>
  </si>
  <si>
    <t>Szombathely</t>
  </si>
  <si>
    <t>HU-SH</t>
  </si>
  <si>
    <t>Tatabánya</t>
  </si>
  <si>
    <t>HU-TB</t>
  </si>
  <si>
    <t>Tolna</t>
  </si>
  <si>
    <t>HU-TO</t>
  </si>
  <si>
    <t>Vas</t>
  </si>
  <si>
    <t>HU-VA</t>
  </si>
  <si>
    <t>Veszprém</t>
  </si>
  <si>
    <t>HU-VE</t>
  </si>
  <si>
    <t>HU-VM</t>
  </si>
  <si>
    <t>Zala</t>
  </si>
  <si>
    <t>HU-ZA</t>
  </si>
  <si>
    <t>Zalaegerszeg</t>
  </si>
  <si>
    <t>HU-ZE</t>
  </si>
  <si>
    <t>Austurland</t>
  </si>
  <si>
    <t>IS-7</t>
  </si>
  <si>
    <t>Höfuðborgarsvæði</t>
  </si>
  <si>
    <t>IS-1</t>
  </si>
  <si>
    <t>Höfuðborgarsvæði utan Reykjavíkur</t>
  </si>
  <si>
    <t>Norðurland Eystra</t>
  </si>
  <si>
    <t>IS-6</t>
  </si>
  <si>
    <t>Norðurland eystra</t>
  </si>
  <si>
    <t>Norðurland Vestra</t>
  </si>
  <si>
    <t>IS-5</t>
  </si>
  <si>
    <t>Norðurland vestra</t>
  </si>
  <si>
    <t>Suðurland</t>
  </si>
  <si>
    <t>IS-8</t>
  </si>
  <si>
    <t>Suðurnes</t>
  </si>
  <si>
    <t>IS-2</t>
  </si>
  <si>
    <t>Vestfirðir</t>
  </si>
  <si>
    <t>IS-4</t>
  </si>
  <si>
    <t>Vesturland</t>
  </si>
  <si>
    <t>IS-3</t>
  </si>
  <si>
    <t>Andaman and Nicobar Islands</t>
  </si>
  <si>
    <t>IN-AN</t>
  </si>
  <si>
    <t>Andhra Pradesh</t>
  </si>
  <si>
    <t>IN-AP</t>
  </si>
  <si>
    <t>Arunāchal Pradesh</t>
  </si>
  <si>
    <t>IN-AR</t>
  </si>
  <si>
    <t>Arunachal Pradesh</t>
  </si>
  <si>
    <t>Assam</t>
  </si>
  <si>
    <t>IN-AS</t>
  </si>
  <si>
    <t>Bihār</t>
  </si>
  <si>
    <t>IN-BR</t>
  </si>
  <si>
    <t>Bihar</t>
  </si>
  <si>
    <t>Chandīgarh</t>
  </si>
  <si>
    <t>IN-CH</t>
  </si>
  <si>
    <t>Chandigarh</t>
  </si>
  <si>
    <t>Chhattīsgarh</t>
  </si>
  <si>
    <t>IN-CT</t>
  </si>
  <si>
    <t>Chhattisgarh</t>
  </si>
  <si>
    <t>Dādra and Nagar Haveli</t>
  </si>
  <si>
    <t>IN-DN</t>
  </si>
  <si>
    <t>Dadra and Nagar Haveli</t>
  </si>
  <si>
    <t>Damān and Diu</t>
  </si>
  <si>
    <t>IN-DD</t>
  </si>
  <si>
    <t>Daman and Diu</t>
  </si>
  <si>
    <t>Delhi</t>
  </si>
  <si>
    <t>national capital territory</t>
  </si>
  <si>
    <t>IN-DL</t>
  </si>
  <si>
    <t>Goa</t>
  </si>
  <si>
    <t>IN-GA</t>
  </si>
  <si>
    <t>Gujarāt</t>
  </si>
  <si>
    <t>IN-GJ</t>
  </si>
  <si>
    <t>Gujarat</t>
  </si>
  <si>
    <t>Haryāna</t>
  </si>
  <si>
    <t>IN-HR</t>
  </si>
  <si>
    <t>Haryana</t>
  </si>
  <si>
    <t>Himāchal Pradesh</t>
  </si>
  <si>
    <t>IN-HP</t>
  </si>
  <si>
    <t>Himachal Pradesh</t>
  </si>
  <si>
    <t>Jammu and Kashmīr</t>
  </si>
  <si>
    <t>IN-JK</t>
  </si>
  <si>
    <t>Jammu and Kashmir</t>
  </si>
  <si>
    <t>Jharkhand</t>
  </si>
  <si>
    <t>IN-JH</t>
  </si>
  <si>
    <t>Karnātaka</t>
  </si>
  <si>
    <t>IN-KA</t>
  </si>
  <si>
    <t>Karnataka</t>
  </si>
  <si>
    <t>Kerala</t>
  </si>
  <si>
    <t>IN-KL</t>
  </si>
  <si>
    <t>Lakshadweep</t>
  </si>
  <si>
    <t>IN-LD</t>
  </si>
  <si>
    <t>Madhya Pradesh</t>
  </si>
  <si>
    <t>IN-MP</t>
  </si>
  <si>
    <t>Mahārāshtra</t>
  </si>
  <si>
    <t>IN-MH</t>
  </si>
  <si>
    <t>Maharashtra</t>
  </si>
  <si>
    <t>Manipur</t>
  </si>
  <si>
    <t>IN-MN</t>
  </si>
  <si>
    <t>Meghālaya</t>
  </si>
  <si>
    <t>IN-ML</t>
  </si>
  <si>
    <t>Meghalaya</t>
  </si>
  <si>
    <t>Mizoram</t>
  </si>
  <si>
    <t>IN-MZ</t>
  </si>
  <si>
    <t>Nāgāland</t>
  </si>
  <si>
    <t>IN-NL</t>
  </si>
  <si>
    <t>Nagaland</t>
  </si>
  <si>
    <t>Odisha</t>
  </si>
  <si>
    <t>IN-OR</t>
  </si>
  <si>
    <t>Puducherry</t>
  </si>
  <si>
    <t>IN-PY</t>
  </si>
  <si>
    <t>Punjab</t>
  </si>
  <si>
    <t>IN-PB</t>
  </si>
  <si>
    <t>Rājasthān</t>
  </si>
  <si>
    <t>IN-RJ</t>
  </si>
  <si>
    <t>Rajasthan</t>
  </si>
  <si>
    <t>Sikkim</t>
  </si>
  <si>
    <t>IN-SK</t>
  </si>
  <si>
    <t xml:space="preserve">Tamil Nādu </t>
  </si>
  <si>
    <t>IN-TN</t>
  </si>
  <si>
    <t>Tamil Nadu</t>
  </si>
  <si>
    <t>Telangana</t>
  </si>
  <si>
    <t>IN-TG</t>
  </si>
  <si>
    <t>Tripura</t>
  </si>
  <si>
    <t>IN-TR</t>
  </si>
  <si>
    <t>Uttarakhand</t>
  </si>
  <si>
    <t>IN-UT</t>
  </si>
  <si>
    <t>Uttar Pradesh</t>
  </si>
  <si>
    <t>IN-UP</t>
  </si>
  <si>
    <t>West Bengal</t>
  </si>
  <si>
    <t>IN-WB</t>
  </si>
  <si>
    <t>Aceh</t>
  </si>
  <si>
    <t>special region</t>
  </si>
  <si>
    <t>ID-AC</t>
  </si>
  <si>
    <t>autonomous province</t>
  </si>
  <si>
    <t>Bali</t>
  </si>
  <si>
    <t>ID-BA</t>
  </si>
  <si>
    <t>Banten</t>
  </si>
  <si>
    <t>ID-BT</t>
  </si>
  <si>
    <t>Bengkulu</t>
  </si>
  <si>
    <t>ID-BE</t>
  </si>
  <si>
    <t>Gorontalo</t>
  </si>
  <si>
    <t>ID-GO</t>
  </si>
  <si>
    <t>Jakarta</t>
  </si>
  <si>
    <t>special district</t>
  </si>
  <si>
    <t>ID-JK</t>
  </si>
  <si>
    <t>Jakarta Raya</t>
  </si>
  <si>
    <t>Jambi</t>
  </si>
  <si>
    <t>ID-JA</t>
  </si>
  <si>
    <t>Jawa</t>
  </si>
  <si>
    <t>geographical unit</t>
  </si>
  <si>
    <t>ID-JW</t>
  </si>
  <si>
    <t>Jawa Barat</t>
  </si>
  <si>
    <t>ID-JB</t>
  </si>
  <si>
    <t>Jawa Tengah</t>
  </si>
  <si>
    <t>ID-JT</t>
  </si>
  <si>
    <t>Jawa Timur</t>
  </si>
  <si>
    <t>ID-JI</t>
  </si>
  <si>
    <t>Kalimantan</t>
  </si>
  <si>
    <t>ID-KA</t>
  </si>
  <si>
    <t>Kalimantan Barat</t>
  </si>
  <si>
    <t>ID-KB</t>
  </si>
  <si>
    <t>Kalimantan Selatan</t>
  </si>
  <si>
    <t>ID-KS</t>
  </si>
  <si>
    <t>Kalimantan Tengah</t>
  </si>
  <si>
    <t>ID-KT</t>
  </si>
  <si>
    <t>Kalimantan Timur</t>
  </si>
  <si>
    <t>ID-KI</t>
  </si>
  <si>
    <t>Kalimantan Utara</t>
  </si>
  <si>
    <t>ID-KU</t>
  </si>
  <si>
    <t>Kepulauan Bangka Belitung</t>
  </si>
  <si>
    <t>ID-BB</t>
  </si>
  <si>
    <t>Kepulauan Riau</t>
  </si>
  <si>
    <t>ID-KR</t>
  </si>
  <si>
    <t>Lampung</t>
  </si>
  <si>
    <t>ID-LA</t>
  </si>
  <si>
    <t>Maluku</t>
  </si>
  <si>
    <t>ID-ML</t>
  </si>
  <si>
    <t>ID-MA</t>
  </si>
  <si>
    <t>Maluku Utara</t>
  </si>
  <si>
    <t>ID-MU</t>
  </si>
  <si>
    <t>Nusa Tenggara</t>
  </si>
  <si>
    <t>ID-NU</t>
  </si>
  <si>
    <t>Nusa Tenggara Barat</t>
  </si>
  <si>
    <t>ID-NB</t>
  </si>
  <si>
    <t>Nusa Tenggara Timur</t>
  </si>
  <si>
    <t>ID-NT</t>
  </si>
  <si>
    <t>Papua</t>
  </si>
  <si>
    <t>ID-PP</t>
  </si>
  <si>
    <t>ID-PA</t>
  </si>
  <si>
    <t>Papua Barat</t>
  </si>
  <si>
    <t>ID-PB</t>
  </si>
  <si>
    <t>Riau</t>
  </si>
  <si>
    <t>ID-RI</t>
  </si>
  <si>
    <t>Sulawesi</t>
  </si>
  <si>
    <t>ID-SL</t>
  </si>
  <si>
    <t>Sulawesi Barat</t>
  </si>
  <si>
    <t>ID-SR</t>
  </si>
  <si>
    <t>Sulawesi Selatan</t>
  </si>
  <si>
    <t>ID-SN</t>
  </si>
  <si>
    <t>Sulawesi Tengah</t>
  </si>
  <si>
    <t>ID-ST</t>
  </si>
  <si>
    <t>Sulawesi Tenggara</t>
  </si>
  <si>
    <t>ID-SG</t>
  </si>
  <si>
    <t>Sulawesi Utara</t>
  </si>
  <si>
    <t>ID-SA</t>
  </si>
  <si>
    <t>Sumatera</t>
  </si>
  <si>
    <t>ID-SM</t>
  </si>
  <si>
    <t>Sumatera Barat</t>
  </si>
  <si>
    <t>ID-SB</t>
  </si>
  <si>
    <t>Sumatera Selatan</t>
  </si>
  <si>
    <t>ID-SS</t>
  </si>
  <si>
    <t>Sumatera Utara</t>
  </si>
  <si>
    <t>ID-SU</t>
  </si>
  <si>
    <t>Yogyakarta</t>
  </si>
  <si>
    <t>ID-YO</t>
  </si>
  <si>
    <t>Alborz</t>
  </si>
  <si>
    <t>IR-32</t>
  </si>
  <si>
    <t>IRAN, ISLAMIC REPUBLIC OF</t>
  </si>
  <si>
    <t>Ardabīl</t>
  </si>
  <si>
    <t>IR-03</t>
  </si>
  <si>
    <t>Āz̄arbāyjān-e Gharbī</t>
  </si>
  <si>
    <t>IR-02</t>
  </si>
  <si>
    <t>Āz̄arbāyjān-e Sharqī</t>
  </si>
  <si>
    <t>IR-01</t>
  </si>
  <si>
    <t>Būshehr</t>
  </si>
  <si>
    <t>IR-06</t>
  </si>
  <si>
    <t>Chahār Maḩāl va Bakhtīārī</t>
  </si>
  <si>
    <t>IR-08</t>
  </si>
  <si>
    <t>Eşfahān</t>
  </si>
  <si>
    <t>IR-04</t>
  </si>
  <si>
    <t>Fārs</t>
  </si>
  <si>
    <t>IR-14</t>
  </si>
  <si>
    <t>Gīlān</t>
  </si>
  <si>
    <t>IR-19</t>
  </si>
  <si>
    <t>Golestān</t>
  </si>
  <si>
    <t>IR-27</t>
  </si>
  <si>
    <t>Hamadān</t>
  </si>
  <si>
    <t>IR-24</t>
  </si>
  <si>
    <t>Hormozgān</t>
  </si>
  <si>
    <t>IR-23</t>
  </si>
  <si>
    <t>Īlām</t>
  </si>
  <si>
    <t>IR-05</t>
  </si>
  <si>
    <t>Kermān</t>
  </si>
  <si>
    <t>IR-15</t>
  </si>
  <si>
    <t>Kermānshāh</t>
  </si>
  <si>
    <t>IR-17</t>
  </si>
  <si>
    <t>Khorāsān-e Jonūbī</t>
  </si>
  <si>
    <t>IR-29</t>
  </si>
  <si>
    <t>Khorāsān-e Raẕavī</t>
  </si>
  <si>
    <t>IR-30</t>
  </si>
  <si>
    <t>Khorāsān-e Shomālī</t>
  </si>
  <si>
    <t>IR-31</t>
  </si>
  <si>
    <t>Khūzestān</t>
  </si>
  <si>
    <t>IR-10</t>
  </si>
  <si>
    <t>Kohgīlūyeh va Bowyer Aḩmad</t>
  </si>
  <si>
    <t>IR-18</t>
  </si>
  <si>
    <t>Kordestān</t>
  </si>
  <si>
    <t>IR-16</t>
  </si>
  <si>
    <t>Lorestān</t>
  </si>
  <si>
    <t>IR-20</t>
  </si>
  <si>
    <t>Markazī</t>
  </si>
  <si>
    <t>IR-22</t>
  </si>
  <si>
    <t>Māzandarān</t>
  </si>
  <si>
    <t>IR-21</t>
  </si>
  <si>
    <t>Qazvīn</t>
  </si>
  <si>
    <t>IR-28</t>
  </si>
  <si>
    <t>Qom</t>
  </si>
  <si>
    <t>IR-26</t>
  </si>
  <si>
    <t>Semnān</t>
  </si>
  <si>
    <t>IR-12</t>
  </si>
  <si>
    <t>Sīstān va Balūchestān</t>
  </si>
  <si>
    <t>IR-13</t>
  </si>
  <si>
    <t>Tehrān</t>
  </si>
  <si>
    <t>IR-07</t>
  </si>
  <si>
    <t>Yazd</t>
  </si>
  <si>
    <t>IR-25</t>
  </si>
  <si>
    <t>Zanjān</t>
  </si>
  <si>
    <t>IR-11</t>
  </si>
  <si>
    <t>Al Anbār</t>
  </si>
  <si>
    <t>IQ-AN</t>
  </si>
  <si>
    <t>Al Başrah</t>
  </si>
  <si>
    <t>IQ-BA</t>
  </si>
  <si>
    <t>Al Muthanná</t>
  </si>
  <si>
    <t>IQ-MU</t>
  </si>
  <si>
    <t>Al Qādisīyah</t>
  </si>
  <si>
    <t>IQ-QA</t>
  </si>
  <si>
    <t>An Najaf</t>
  </si>
  <si>
    <t>IQ-NA</t>
  </si>
  <si>
    <t>Arbīl</t>
  </si>
  <si>
    <t>IQ-AR</t>
  </si>
  <si>
    <t>As Sulaymānīyah</t>
  </si>
  <si>
    <t>IQ-SU</t>
  </si>
  <si>
    <t>Bābil</t>
  </si>
  <si>
    <t>IQ-BB</t>
  </si>
  <si>
    <t>Baghdād</t>
  </si>
  <si>
    <t>IQ-BG</t>
  </si>
  <si>
    <t>Dahūk</t>
  </si>
  <si>
    <t>IQ-DA</t>
  </si>
  <si>
    <t>Dhī Qār</t>
  </si>
  <si>
    <t>IQ-DQ</t>
  </si>
  <si>
    <t>Diyālá</t>
  </si>
  <si>
    <t>IQ-DI</t>
  </si>
  <si>
    <t>Karbalā’</t>
  </si>
  <si>
    <t>IQ-KA</t>
  </si>
  <si>
    <t>Kirkūk</t>
  </si>
  <si>
    <t>IQ-KI</t>
  </si>
  <si>
    <t>Maysān</t>
  </si>
  <si>
    <t>IQ-MA</t>
  </si>
  <si>
    <t>Nīnawá</t>
  </si>
  <si>
    <t>IQ-NI</t>
  </si>
  <si>
    <t>Şalāḩ ad Dīn</t>
  </si>
  <si>
    <t>IQ-SD</t>
  </si>
  <si>
    <t>Wāsiţ</t>
  </si>
  <si>
    <t>IQ-WA</t>
  </si>
  <si>
    <t>Carlow</t>
  </si>
  <si>
    <t>IE-CW</t>
  </si>
  <si>
    <t>Cavan</t>
  </si>
  <si>
    <t>IE-CN</t>
  </si>
  <si>
    <t>Clare</t>
  </si>
  <si>
    <t>IE-CE</t>
  </si>
  <si>
    <t>Connaught</t>
  </si>
  <si>
    <t>IE-C</t>
  </si>
  <si>
    <t>Cork</t>
  </si>
  <si>
    <t>IE-CR</t>
  </si>
  <si>
    <t>IE-CO</t>
  </si>
  <si>
    <t>Donegal</t>
  </si>
  <si>
    <t>IE-DL</t>
  </si>
  <si>
    <t>Dublin</t>
  </si>
  <si>
    <t>IE-DU</t>
  </si>
  <si>
    <t>Dún Laoghaire-Rathdown</t>
  </si>
  <si>
    <t>IE-DR</t>
  </si>
  <si>
    <t>Fingal</t>
  </si>
  <si>
    <t>IE-FI</t>
  </si>
  <si>
    <t>Galway</t>
  </si>
  <si>
    <t>IE-GA</t>
  </si>
  <si>
    <t>IE-G</t>
  </si>
  <si>
    <t>Kerry</t>
  </si>
  <si>
    <t>IE-KY</t>
  </si>
  <si>
    <t>Kildare</t>
  </si>
  <si>
    <t>IE-KE</t>
  </si>
  <si>
    <t>Kilkenny</t>
  </si>
  <si>
    <t>IE-KK</t>
  </si>
  <si>
    <t>Laois</t>
  </si>
  <si>
    <t>IE-LS</t>
  </si>
  <si>
    <t>Leinster</t>
  </si>
  <si>
    <t>IE-L</t>
  </si>
  <si>
    <t>Leitrim</t>
  </si>
  <si>
    <t>IE-LM</t>
  </si>
  <si>
    <t>Limerick</t>
  </si>
  <si>
    <t>city and county</t>
  </si>
  <si>
    <t>IE-LC</t>
  </si>
  <si>
    <t>Longford</t>
  </si>
  <si>
    <t>IE-LD</t>
  </si>
  <si>
    <t>Louth</t>
  </si>
  <si>
    <t>IE-LH</t>
  </si>
  <si>
    <t>Mayo</t>
  </si>
  <si>
    <t>IE-MO</t>
  </si>
  <si>
    <t>Meath</t>
  </si>
  <si>
    <t>IE-MH</t>
  </si>
  <si>
    <t>Monaghan</t>
  </si>
  <si>
    <t>IE-MN</t>
  </si>
  <si>
    <t>Munster</t>
  </si>
  <si>
    <t>IE-M</t>
  </si>
  <si>
    <t>Offaly</t>
  </si>
  <si>
    <t>IE-OY</t>
  </si>
  <si>
    <t>Roscommon</t>
  </si>
  <si>
    <t>IE-RN</t>
  </si>
  <si>
    <t>Sligo</t>
  </si>
  <si>
    <t>IE-SO</t>
  </si>
  <si>
    <t>South Dublin</t>
  </si>
  <si>
    <t>IE-SD</t>
  </si>
  <si>
    <t>Tipperary</t>
  </si>
  <si>
    <t>IE-TA</t>
  </si>
  <si>
    <t>Ulster</t>
  </si>
  <si>
    <t>IE-U</t>
  </si>
  <si>
    <t>Waterford</t>
  </si>
  <si>
    <t>IE-WF</t>
  </si>
  <si>
    <t>Westmeath</t>
  </si>
  <si>
    <t>IE-WH</t>
  </si>
  <si>
    <t>Wexford</t>
  </si>
  <si>
    <t>IE-WX</t>
  </si>
  <si>
    <t>Wicklow</t>
  </si>
  <si>
    <t>IE-WW</t>
  </si>
  <si>
    <t>IL-M</t>
  </si>
  <si>
    <t>HaMerkaz</t>
  </si>
  <si>
    <t>Haifa</t>
  </si>
  <si>
    <t>IL-HA</t>
  </si>
  <si>
    <t>H̱efa</t>
  </si>
  <si>
    <t>Jerusalem</t>
  </si>
  <si>
    <t>IL-JM</t>
  </si>
  <si>
    <t>Yerushalayim</t>
  </si>
  <si>
    <t>IL-Z</t>
  </si>
  <si>
    <t>HaTsafon</t>
  </si>
  <si>
    <t>IL-D</t>
  </si>
  <si>
    <t>HaDarom</t>
  </si>
  <si>
    <t>Tel Aviv</t>
  </si>
  <si>
    <t>IL-TA</t>
  </si>
  <si>
    <t>Abruzzo</t>
  </si>
  <si>
    <t>IT-65</t>
  </si>
  <si>
    <t>Agrigento</t>
  </si>
  <si>
    <t>IT-AG</t>
  </si>
  <si>
    <t>Alessandria</t>
  </si>
  <si>
    <t>IT-AL</t>
  </si>
  <si>
    <t>Ancona</t>
  </si>
  <si>
    <t>IT-AN</t>
  </si>
  <si>
    <t>Aosta</t>
  </si>
  <si>
    <t>IT-AO</t>
  </si>
  <si>
    <t>Arezzo</t>
  </si>
  <si>
    <t>IT-AR</t>
  </si>
  <si>
    <t>Ascoli Piceno</t>
  </si>
  <si>
    <t>IT-AP</t>
  </si>
  <si>
    <t>Asti</t>
  </si>
  <si>
    <t>IT-AT</t>
  </si>
  <si>
    <t>Avellino</t>
  </si>
  <si>
    <t>IT-AV</t>
  </si>
  <si>
    <t>Bari</t>
  </si>
  <si>
    <t>IT-BA</t>
  </si>
  <si>
    <t>Barletta-Andria-Trani</t>
  </si>
  <si>
    <t>IT-BT</t>
  </si>
  <si>
    <t>Basilicata</t>
  </si>
  <si>
    <t>IT-77</t>
  </si>
  <si>
    <t>Belluno</t>
  </si>
  <si>
    <t>IT-BL</t>
  </si>
  <si>
    <t>Benevento</t>
  </si>
  <si>
    <t>IT-BN</t>
  </si>
  <si>
    <t>Bergamo</t>
  </si>
  <si>
    <t>IT-BG</t>
  </si>
  <si>
    <t>Biella</t>
  </si>
  <si>
    <t>IT-BI</t>
  </si>
  <si>
    <t>Bologna</t>
  </si>
  <si>
    <t>IT-BO</t>
  </si>
  <si>
    <t>Bolzano</t>
  </si>
  <si>
    <t>IT-BZ</t>
  </si>
  <si>
    <t>Brescia</t>
  </si>
  <si>
    <t>IT-BS</t>
  </si>
  <si>
    <t>Brindisi</t>
  </si>
  <si>
    <t>IT-BR</t>
  </si>
  <si>
    <t>Cagliari</t>
  </si>
  <si>
    <t>IT-CA</t>
  </si>
  <si>
    <t>Calabria</t>
  </si>
  <si>
    <t>IT-78</t>
  </si>
  <si>
    <t>Caltanissetta</t>
  </si>
  <si>
    <t>IT-CL</t>
  </si>
  <si>
    <t>Campania</t>
  </si>
  <si>
    <t>IT-72</t>
  </si>
  <si>
    <t>Campobasso</t>
  </si>
  <si>
    <t>IT-CB</t>
  </si>
  <si>
    <t>Carbonia-Iglesias</t>
  </si>
  <si>
    <t>IT-CI</t>
  </si>
  <si>
    <t>Caserta</t>
  </si>
  <si>
    <t>IT-CE</t>
  </si>
  <si>
    <t>Catania</t>
  </si>
  <si>
    <t>IT-CT</t>
  </si>
  <si>
    <t>Catanzaro</t>
  </si>
  <si>
    <t>IT-CZ</t>
  </si>
  <si>
    <t>Chieti</t>
  </si>
  <si>
    <t>IT-CH</t>
  </si>
  <si>
    <t>Como</t>
  </si>
  <si>
    <t>IT-CO</t>
  </si>
  <si>
    <t>Cosenza</t>
  </si>
  <si>
    <t>IT-CS</t>
  </si>
  <si>
    <t>Cremona</t>
  </si>
  <si>
    <t>IT-CR</t>
  </si>
  <si>
    <t>Crotone</t>
  </si>
  <si>
    <t>IT-KR</t>
  </si>
  <si>
    <t>Cuneo</t>
  </si>
  <si>
    <t>IT-CN</t>
  </si>
  <si>
    <t>Emilia-Romagna</t>
  </si>
  <si>
    <t>IT-45</t>
  </si>
  <si>
    <t>Enna</t>
  </si>
  <si>
    <t>IT-EN</t>
  </si>
  <si>
    <t>Fermo</t>
  </si>
  <si>
    <t>IT-FM</t>
  </si>
  <si>
    <t>Ferrara</t>
  </si>
  <si>
    <t>IT-FE</t>
  </si>
  <si>
    <t>Firenze</t>
  </si>
  <si>
    <t>IT-FI</t>
  </si>
  <si>
    <t>Foggia</t>
  </si>
  <si>
    <t>IT-FG</t>
  </si>
  <si>
    <t>Forli</t>
  </si>
  <si>
    <t>IT-FC</t>
  </si>
  <si>
    <t>Forlì-Cesena</t>
  </si>
  <si>
    <t>Friuli-Venezia Giulia</t>
  </si>
  <si>
    <t>IT-36</t>
  </si>
  <si>
    <t>Frosinone</t>
  </si>
  <si>
    <t>IT-FR</t>
  </si>
  <si>
    <t>Genova</t>
  </si>
  <si>
    <t>IT-GE</t>
  </si>
  <si>
    <t>Gorizia</t>
  </si>
  <si>
    <t>IT-GO</t>
  </si>
  <si>
    <t>Grosseto</t>
  </si>
  <si>
    <t>IT-GR</t>
  </si>
  <si>
    <t>Imperia</t>
  </si>
  <si>
    <t>IT-IM</t>
  </si>
  <si>
    <t>Isernia</t>
  </si>
  <si>
    <t>IT-IS</t>
  </si>
  <si>
    <t>L’Aquila</t>
  </si>
  <si>
    <t>IT-AQ</t>
  </si>
  <si>
    <t>L'Aquila</t>
  </si>
  <si>
    <t>La Spezia</t>
  </si>
  <si>
    <t>IT-SP</t>
  </si>
  <si>
    <t>Latina</t>
  </si>
  <si>
    <t>IT-LT</t>
  </si>
  <si>
    <t>Lazio</t>
  </si>
  <si>
    <t>IT-62</t>
  </si>
  <si>
    <t>Lecce</t>
  </si>
  <si>
    <t>IT-LE</t>
  </si>
  <si>
    <t>Lecco</t>
  </si>
  <si>
    <t>IT-LC</t>
  </si>
  <si>
    <t>Liguria</t>
  </si>
  <si>
    <t>IT-42</t>
  </si>
  <si>
    <t>Livorno</t>
  </si>
  <si>
    <t>IT-LI</t>
  </si>
  <si>
    <t>Lodi</t>
  </si>
  <si>
    <t>IT-LO</t>
  </si>
  <si>
    <t>Lombardy</t>
  </si>
  <si>
    <t>IT-25</t>
  </si>
  <si>
    <t>Lombardia</t>
  </si>
  <si>
    <t>Lucca</t>
  </si>
  <si>
    <t>IT-LU</t>
  </si>
  <si>
    <t>Macerata</t>
  </si>
  <si>
    <t>IT-MC</t>
  </si>
  <si>
    <t>Mantova</t>
  </si>
  <si>
    <t>IT-MN</t>
  </si>
  <si>
    <t>Marche</t>
  </si>
  <si>
    <t>IT-57</t>
  </si>
  <si>
    <t>Massa-Carrara</t>
  </si>
  <si>
    <t>IT-MS</t>
  </si>
  <si>
    <t>Matera</t>
  </si>
  <si>
    <t>IT-MT</t>
  </si>
  <si>
    <t>Medio Campidano</t>
  </si>
  <si>
    <t>IT-VS</t>
  </si>
  <si>
    <t>Messina</t>
  </si>
  <si>
    <t>IT-ME</t>
  </si>
  <si>
    <t>Milano</t>
  </si>
  <si>
    <t>IT-MI</t>
  </si>
  <si>
    <t>Modena</t>
  </si>
  <si>
    <t>IT-MO</t>
  </si>
  <si>
    <t>Molise</t>
  </si>
  <si>
    <t>IT-67</t>
  </si>
  <si>
    <t>Monza e Brianza</t>
  </si>
  <si>
    <t>IT-MB</t>
  </si>
  <si>
    <t>Napoli</t>
  </si>
  <si>
    <t>IT-NA</t>
  </si>
  <si>
    <t>Novara</t>
  </si>
  <si>
    <t>IT-NO</t>
  </si>
  <si>
    <t>Nuoro</t>
  </si>
  <si>
    <t>IT-NU</t>
  </si>
  <si>
    <t>Ogliastra</t>
  </si>
  <si>
    <t>IT-OG</t>
  </si>
  <si>
    <t>Olbia-Tempio</t>
  </si>
  <si>
    <t>IT-OT</t>
  </si>
  <si>
    <t>Oristano</t>
  </si>
  <si>
    <t>IT-OR</t>
  </si>
  <si>
    <t>Padova</t>
  </si>
  <si>
    <t>IT-PD</t>
  </si>
  <si>
    <t>Palermo</t>
  </si>
  <si>
    <t>IT-PA</t>
  </si>
  <si>
    <t>Parma</t>
  </si>
  <si>
    <t>IT-PR</t>
  </si>
  <si>
    <t>Pavia</t>
  </si>
  <si>
    <t>IT-PV</t>
  </si>
  <si>
    <t>Perugia</t>
  </si>
  <si>
    <t>IT-PG</t>
  </si>
  <si>
    <t>Pesaro e Urbino</t>
  </si>
  <si>
    <t>IT-PU</t>
  </si>
  <si>
    <t>Pescara</t>
  </si>
  <si>
    <t>IT-PE</t>
  </si>
  <si>
    <t>Piacenza</t>
  </si>
  <si>
    <t>IT-PC</t>
  </si>
  <si>
    <t>Piedmont</t>
  </si>
  <si>
    <t>IT-21</t>
  </si>
  <si>
    <t>Piemonte</t>
  </si>
  <si>
    <t>Pisa</t>
  </si>
  <si>
    <t>IT-PI</t>
  </si>
  <si>
    <t>Pistoia</t>
  </si>
  <si>
    <t>IT-PT</t>
  </si>
  <si>
    <t>Pordenone</t>
  </si>
  <si>
    <t>IT-PN</t>
  </si>
  <si>
    <t>Potenza</t>
  </si>
  <si>
    <t>IT-PZ</t>
  </si>
  <si>
    <t>Prato</t>
  </si>
  <si>
    <t>IT-PO</t>
  </si>
  <si>
    <t>Puglia</t>
  </si>
  <si>
    <t>IT-75</t>
  </si>
  <si>
    <t>Ragusa</t>
  </si>
  <si>
    <t>IT-RG</t>
  </si>
  <si>
    <t>Ravenna</t>
  </si>
  <si>
    <t>IT-RA</t>
  </si>
  <si>
    <t>Reggio di Calabria</t>
  </si>
  <si>
    <t>IT-RC</t>
  </si>
  <si>
    <t>Reggio Calabria</t>
  </si>
  <si>
    <t>Reggio Emilia</t>
  </si>
  <si>
    <t>IT-RE</t>
  </si>
  <si>
    <t>Rieti</t>
  </si>
  <si>
    <t>IT-RI</t>
  </si>
  <si>
    <t>Rimini</t>
  </si>
  <si>
    <t>IT-RN</t>
  </si>
  <si>
    <t>Roma</t>
  </si>
  <si>
    <t>IT-RM</t>
  </si>
  <si>
    <t>Rovigo</t>
  </si>
  <si>
    <t>IT-RO</t>
  </si>
  <si>
    <t>Salerno</t>
  </si>
  <si>
    <t>IT-SA</t>
  </si>
  <si>
    <t>Sardegna</t>
  </si>
  <si>
    <t>IT-88</t>
  </si>
  <si>
    <t>Sassari</t>
  </si>
  <si>
    <t>IT-SS</t>
  </si>
  <si>
    <t>Savona</t>
  </si>
  <si>
    <t>IT-SV</t>
  </si>
  <si>
    <t>Sicilia</t>
  </si>
  <si>
    <t>IT-82</t>
  </si>
  <si>
    <t>Siena</t>
  </si>
  <si>
    <t>IT-SI</t>
  </si>
  <si>
    <t>Siracusa</t>
  </si>
  <si>
    <t>IT-SR</t>
  </si>
  <si>
    <t>Sondrio</t>
  </si>
  <si>
    <t>IT-SO</t>
  </si>
  <si>
    <t>Taranto</t>
  </si>
  <si>
    <t>IT-TA</t>
  </si>
  <si>
    <t>Teramo</t>
  </si>
  <si>
    <t>IT-TE</t>
  </si>
  <si>
    <t>Terni</t>
  </si>
  <si>
    <t>IT-TR</t>
  </si>
  <si>
    <t>Torino</t>
  </si>
  <si>
    <t>IT-TO</t>
  </si>
  <si>
    <t>Trapani</t>
  </si>
  <si>
    <t>IT-TP</t>
  </si>
  <si>
    <t>Trentino-Alto Adige</t>
  </si>
  <si>
    <t>IT-32</t>
  </si>
  <si>
    <t>Trento</t>
  </si>
  <si>
    <t>IT-TN</t>
  </si>
  <si>
    <t>Treviso</t>
  </si>
  <si>
    <t>IT-TV</t>
  </si>
  <si>
    <t>Trieste</t>
  </si>
  <si>
    <t>IT-TS</t>
  </si>
  <si>
    <t>Tuscany</t>
  </si>
  <si>
    <t>IT-52</t>
  </si>
  <si>
    <t>Toscana</t>
  </si>
  <si>
    <t>Udine</t>
  </si>
  <si>
    <t>IT-UD</t>
  </si>
  <si>
    <t>Umbria</t>
  </si>
  <si>
    <t>IT-55</t>
  </si>
  <si>
    <t>Valle d’Aosta</t>
  </si>
  <si>
    <t>IT-23</t>
  </si>
  <si>
    <t>Valle d'Aosta</t>
  </si>
  <si>
    <t>Varese</t>
  </si>
  <si>
    <t>IT-VA</t>
  </si>
  <si>
    <t>Veneto</t>
  </si>
  <si>
    <t>IT-34</t>
  </si>
  <si>
    <t>Venezia</t>
  </si>
  <si>
    <t>IT-VE</t>
  </si>
  <si>
    <t>Verbano-Cusio-Ossola</t>
  </si>
  <si>
    <t>IT-VB</t>
  </si>
  <si>
    <t>Vercelli</t>
  </si>
  <si>
    <t>IT-VC</t>
  </si>
  <si>
    <t>Verona</t>
  </si>
  <si>
    <t>IT-VR</t>
  </si>
  <si>
    <t>Vibo Valentia</t>
  </si>
  <si>
    <t>IT-VV</t>
  </si>
  <si>
    <t>Vicenza</t>
  </si>
  <si>
    <t>IT-VI</t>
  </si>
  <si>
    <t>Viterbo</t>
  </si>
  <si>
    <t>IT-VT</t>
  </si>
  <si>
    <t>Clarendon</t>
  </si>
  <si>
    <t>JM-13</t>
  </si>
  <si>
    <t>Hanover</t>
  </si>
  <si>
    <t>JM-09</t>
  </si>
  <si>
    <t>Kingston</t>
  </si>
  <si>
    <t>JM-01</t>
  </si>
  <si>
    <t>Manchester</t>
  </si>
  <si>
    <t>JM-12</t>
  </si>
  <si>
    <t>Portland</t>
  </si>
  <si>
    <t>JM-04</t>
  </si>
  <si>
    <t>JM-02</t>
  </si>
  <si>
    <t>Saint Ann</t>
  </si>
  <si>
    <t>JM-06</t>
  </si>
  <si>
    <t>Saint Catherine</t>
  </si>
  <si>
    <t>JM-14</t>
  </si>
  <si>
    <t>Saint Elizabeth</t>
  </si>
  <si>
    <t>JM-11</t>
  </si>
  <si>
    <t>JM-08</t>
  </si>
  <si>
    <t>JM-05</t>
  </si>
  <si>
    <t>JM-03</t>
  </si>
  <si>
    <t>Trelawny</t>
  </si>
  <si>
    <t>JM-07</t>
  </si>
  <si>
    <t>Westmoreland</t>
  </si>
  <si>
    <t>JM-10</t>
  </si>
  <si>
    <t>Aichi</t>
  </si>
  <si>
    <t>JP-23</t>
  </si>
  <si>
    <t>Aiti</t>
  </si>
  <si>
    <t>Akita</t>
  </si>
  <si>
    <t>JP-05</t>
  </si>
  <si>
    <t>Aomori</t>
  </si>
  <si>
    <t>JP-02</t>
  </si>
  <si>
    <t>Chiba</t>
  </si>
  <si>
    <t>JP-12</t>
  </si>
  <si>
    <t>Tiba</t>
  </si>
  <si>
    <t>Ehime</t>
  </si>
  <si>
    <t>JP-38</t>
  </si>
  <si>
    <t>Fukui</t>
  </si>
  <si>
    <t>JP-18</t>
  </si>
  <si>
    <t>Hukui</t>
  </si>
  <si>
    <t>Fukuoka</t>
  </si>
  <si>
    <t>JP-40</t>
  </si>
  <si>
    <t>Hukuoka</t>
  </si>
  <si>
    <t>Fukushima</t>
  </si>
  <si>
    <t>JP-07</t>
  </si>
  <si>
    <t>Hukusima</t>
  </si>
  <si>
    <t>Gifu</t>
  </si>
  <si>
    <t>JP-21</t>
  </si>
  <si>
    <t>Gihu</t>
  </si>
  <si>
    <t>Gunma</t>
  </si>
  <si>
    <t>JP-10</t>
  </si>
  <si>
    <t>Hiroshima</t>
  </si>
  <si>
    <t>JP-34</t>
  </si>
  <si>
    <t>Hirosima</t>
  </si>
  <si>
    <t>Hokkaidō</t>
  </si>
  <si>
    <t>JP-01</t>
  </si>
  <si>
    <t>Hokkaidô</t>
  </si>
  <si>
    <t>Hyōgo</t>
  </si>
  <si>
    <t>JP-28</t>
  </si>
  <si>
    <t>Hyôgo</t>
  </si>
  <si>
    <t>Ibaraki</t>
  </si>
  <si>
    <t>JP-08</t>
  </si>
  <si>
    <t>Ishikawa</t>
  </si>
  <si>
    <t>JP-17</t>
  </si>
  <si>
    <t>Isikawa</t>
  </si>
  <si>
    <t>Iwate</t>
  </si>
  <si>
    <t>JP-03</t>
  </si>
  <si>
    <t>Kagawa</t>
  </si>
  <si>
    <t>JP-37</t>
  </si>
  <si>
    <t>Kagoshima</t>
  </si>
  <si>
    <t>JP-46</t>
  </si>
  <si>
    <t>Kagosima</t>
  </si>
  <si>
    <t>Kanagawa</t>
  </si>
  <si>
    <t>JP-14</t>
  </si>
  <si>
    <t>Kōchi</t>
  </si>
  <si>
    <t>JP-39</t>
  </si>
  <si>
    <t>Kôti</t>
  </si>
  <si>
    <t>Kumamoto</t>
  </si>
  <si>
    <t>JP-43</t>
  </si>
  <si>
    <t>Kyōto</t>
  </si>
  <si>
    <t>urban prefecture</t>
  </si>
  <si>
    <t>JP-26</t>
  </si>
  <si>
    <t>Kyôto</t>
  </si>
  <si>
    <t>Mie</t>
  </si>
  <si>
    <t>JP-24</t>
  </si>
  <si>
    <t>Miyagi</t>
  </si>
  <si>
    <t>JP-04</t>
  </si>
  <si>
    <t>Miyazaki</t>
  </si>
  <si>
    <t>JP-45</t>
  </si>
  <si>
    <t>Nagano</t>
  </si>
  <si>
    <t>JP-20</t>
  </si>
  <si>
    <t>Nagasaki</t>
  </si>
  <si>
    <t>JP-42</t>
  </si>
  <si>
    <t>Nara</t>
  </si>
  <si>
    <t>JP-29</t>
  </si>
  <si>
    <t>Niigata</t>
  </si>
  <si>
    <t>JP-15</t>
  </si>
  <si>
    <t>Ōita</t>
  </si>
  <si>
    <t>JP-44</t>
  </si>
  <si>
    <t>Ôita</t>
  </si>
  <si>
    <t>Okayama</t>
  </si>
  <si>
    <t>JP-33</t>
  </si>
  <si>
    <t>Okinawa</t>
  </si>
  <si>
    <t>JP-47</t>
  </si>
  <si>
    <t>Ōsaka</t>
  </si>
  <si>
    <t>JP-27</t>
  </si>
  <si>
    <t>Ôsaka</t>
  </si>
  <si>
    <t>Saga</t>
  </si>
  <si>
    <t>JP-41</t>
  </si>
  <si>
    <t>Saitama</t>
  </si>
  <si>
    <t>JP-11</t>
  </si>
  <si>
    <t>Shiga</t>
  </si>
  <si>
    <t>JP-25</t>
  </si>
  <si>
    <t>Siga</t>
  </si>
  <si>
    <t>Shimane</t>
  </si>
  <si>
    <t>JP-32</t>
  </si>
  <si>
    <t>Simane</t>
  </si>
  <si>
    <t>Shizuoka</t>
  </si>
  <si>
    <t>JP-22</t>
  </si>
  <si>
    <t>Sizuoka</t>
  </si>
  <si>
    <t>Tochigi</t>
  </si>
  <si>
    <t>JP-09</t>
  </si>
  <si>
    <t>Totigi</t>
  </si>
  <si>
    <t>Tokushima</t>
  </si>
  <si>
    <t>JP-36</t>
  </si>
  <si>
    <t>Tokusima</t>
  </si>
  <si>
    <t>Tōkyō</t>
  </si>
  <si>
    <t>JP-13</t>
  </si>
  <si>
    <t>Tôkyô</t>
  </si>
  <si>
    <t>Tottori</t>
  </si>
  <si>
    <t>JP-31</t>
  </si>
  <si>
    <t>Toyama</t>
  </si>
  <si>
    <t>JP-16</t>
  </si>
  <si>
    <t>Wakayama</t>
  </si>
  <si>
    <t>JP-30</t>
  </si>
  <si>
    <t>Yamagata</t>
  </si>
  <si>
    <t>JP-06</t>
  </si>
  <si>
    <t>Yamaguchi</t>
  </si>
  <si>
    <t>JP-35</t>
  </si>
  <si>
    <t>Yamaguti</t>
  </si>
  <si>
    <t>Yamanashi</t>
  </si>
  <si>
    <t>JP-19</t>
  </si>
  <si>
    <t>Yamanasi</t>
  </si>
  <si>
    <t>‘Ajlūn</t>
  </si>
  <si>
    <t>JO-AJ</t>
  </si>
  <si>
    <t>Al ‘Aqabah</t>
  </si>
  <si>
    <t>JO-AQ</t>
  </si>
  <si>
    <t>JO-AM</t>
  </si>
  <si>
    <t>Al ‘A̅şimah</t>
  </si>
  <si>
    <t>Al Balqā’</t>
  </si>
  <si>
    <t>JO-BA</t>
  </si>
  <si>
    <t>Al Karak</t>
  </si>
  <si>
    <t>JO-KA</t>
  </si>
  <si>
    <t>Al Mafraq</t>
  </si>
  <si>
    <t>JO-MA</t>
  </si>
  <si>
    <t>Aţ Ţafīlah</t>
  </si>
  <si>
    <t>JO-AT</t>
  </si>
  <si>
    <t>Az Zarqā’</t>
  </si>
  <si>
    <t>JO-AZ</t>
  </si>
  <si>
    <t>Irbid</t>
  </si>
  <si>
    <t>JO-IR</t>
  </si>
  <si>
    <t>Jarash</t>
  </si>
  <si>
    <t>JO-JA</t>
  </si>
  <si>
    <t>Ma‘ān</t>
  </si>
  <si>
    <t>JO-MN</t>
  </si>
  <si>
    <t>Ma’dabā</t>
  </si>
  <si>
    <t>JO-MD</t>
  </si>
  <si>
    <t>Mādabā</t>
  </si>
  <si>
    <t>Almaty</t>
  </si>
  <si>
    <t>KZ-ALA</t>
  </si>
  <si>
    <t>KAZAKSTAN</t>
  </si>
  <si>
    <t>KZ-ALM</t>
  </si>
  <si>
    <t>Almaty oblysy</t>
  </si>
  <si>
    <t>Aqmola</t>
  </si>
  <si>
    <t>KZ-AKM</t>
  </si>
  <si>
    <t>Aqmola oblysy</t>
  </si>
  <si>
    <t>Aqtöbe</t>
  </si>
  <si>
    <t>KZ-AKT</t>
  </si>
  <si>
    <t>Aqtöbe oblysy</t>
  </si>
  <si>
    <t>Astana</t>
  </si>
  <si>
    <t>KZ-AST</t>
  </si>
  <si>
    <t>Atyraū</t>
  </si>
  <si>
    <t>KZ-ATY</t>
  </si>
  <si>
    <t>Atyraū oblysy</t>
  </si>
  <si>
    <t>East Kazakhstan</t>
  </si>
  <si>
    <t>KZ-VOS</t>
  </si>
  <si>
    <t>Shyghys Qazaqstan oblysy</t>
  </si>
  <si>
    <t>Mangghystaū</t>
  </si>
  <si>
    <t>KZ-MAN</t>
  </si>
  <si>
    <t>Mangghystaū oblysy</t>
  </si>
  <si>
    <t>North Kazakhstan</t>
  </si>
  <si>
    <t>KZ-SEV</t>
  </si>
  <si>
    <t>Soltüstik Qazaqstan oblysy</t>
  </si>
  <si>
    <t>Pavlodar</t>
  </si>
  <si>
    <t>KZ-PAV</t>
  </si>
  <si>
    <t>Pavlodar oblysy</t>
  </si>
  <si>
    <t>Qaraghandy</t>
  </si>
  <si>
    <t>KZ-KAR</t>
  </si>
  <si>
    <t>Qaraghandy oblysy</t>
  </si>
  <si>
    <t>Qostanay</t>
  </si>
  <si>
    <t>KZ-KUS</t>
  </si>
  <si>
    <t>Qostanay oblysy</t>
  </si>
  <si>
    <t>Qyzylorda</t>
  </si>
  <si>
    <t>KZ-KZY</t>
  </si>
  <si>
    <t>Qyzylorda oblysy</t>
  </si>
  <si>
    <t>South Kazakhstan</t>
  </si>
  <si>
    <t>KZ-YUZ</t>
  </si>
  <si>
    <t>Ongtüstik Qazaqstan oblysy</t>
  </si>
  <si>
    <t>West Kazakhstan</t>
  </si>
  <si>
    <t>KZ-ZAP</t>
  </si>
  <si>
    <t>Batys Qazaqstan oblysy</t>
  </si>
  <si>
    <t>Zhambyl</t>
  </si>
  <si>
    <t>KZ-ZHA</t>
  </si>
  <si>
    <t>Zhambyl oblysy</t>
  </si>
  <si>
    <t>Baringo</t>
  </si>
  <si>
    <t>KE-01</t>
  </si>
  <si>
    <t>Bomet</t>
  </si>
  <si>
    <t>KE-02</t>
  </si>
  <si>
    <t>Bungoma</t>
  </si>
  <si>
    <t>KE-03</t>
  </si>
  <si>
    <t>Busia</t>
  </si>
  <si>
    <t>KE-04</t>
  </si>
  <si>
    <t>Elgeyo/Marakwet</t>
  </si>
  <si>
    <t>KE-05</t>
  </si>
  <si>
    <t>Embu</t>
  </si>
  <si>
    <t>KE-06</t>
  </si>
  <si>
    <t>Garissa</t>
  </si>
  <si>
    <t>KE-07</t>
  </si>
  <si>
    <t>Homa Bay</t>
  </si>
  <si>
    <t>KE-08</t>
  </si>
  <si>
    <t>Isiolo</t>
  </si>
  <si>
    <t>KE-09</t>
  </si>
  <si>
    <t>Kajiado</t>
  </si>
  <si>
    <t>KE-10</t>
  </si>
  <si>
    <t>Kakamega</t>
  </si>
  <si>
    <t>KE-11</t>
  </si>
  <si>
    <t>Kericho</t>
  </si>
  <si>
    <t>KE-12</t>
  </si>
  <si>
    <t>Kiambu</t>
  </si>
  <si>
    <t>KE-13</t>
  </si>
  <si>
    <t>Kilifi</t>
  </si>
  <si>
    <t>KE-14</t>
  </si>
  <si>
    <t>Kirinyaga</t>
  </si>
  <si>
    <t>KE-15</t>
  </si>
  <si>
    <t>Kisii</t>
  </si>
  <si>
    <t>KE-16</t>
  </si>
  <si>
    <t>Kisumu</t>
  </si>
  <si>
    <t>KE-17</t>
  </si>
  <si>
    <t>Kitui</t>
  </si>
  <si>
    <t>KE-18</t>
  </si>
  <si>
    <t>Kwale</t>
  </si>
  <si>
    <t>KE-19</t>
  </si>
  <si>
    <t>Laikipia</t>
  </si>
  <si>
    <t>KE-20</t>
  </si>
  <si>
    <t>Lamu</t>
  </si>
  <si>
    <t>KE-21</t>
  </si>
  <si>
    <t>Machakos</t>
  </si>
  <si>
    <t>KE-22</t>
  </si>
  <si>
    <t>Makueni</t>
  </si>
  <si>
    <t>KE-23</t>
  </si>
  <si>
    <t>Mandera</t>
  </si>
  <si>
    <t>KE-24</t>
  </si>
  <si>
    <t>Marsabit</t>
  </si>
  <si>
    <t>KE-25</t>
  </si>
  <si>
    <t>Meru</t>
  </si>
  <si>
    <t>KE-26</t>
  </si>
  <si>
    <t>Migori</t>
  </si>
  <si>
    <t>KE-27</t>
  </si>
  <si>
    <t>Mombasa</t>
  </si>
  <si>
    <t>KE-28</t>
  </si>
  <si>
    <t>Murang’a</t>
  </si>
  <si>
    <t>KE-29</t>
  </si>
  <si>
    <t>Murang'a</t>
  </si>
  <si>
    <t>Nairobi City</t>
  </si>
  <si>
    <t>KE-30</t>
  </si>
  <si>
    <t>Nakuru</t>
  </si>
  <si>
    <t>KE-31</t>
  </si>
  <si>
    <t>Nandi</t>
  </si>
  <si>
    <t>KE-32</t>
  </si>
  <si>
    <t>Narok</t>
  </si>
  <si>
    <t>KE-33</t>
  </si>
  <si>
    <t>Nyamira</t>
  </si>
  <si>
    <t>KE-34</t>
  </si>
  <si>
    <t>Nyandarua</t>
  </si>
  <si>
    <t>KE-35</t>
  </si>
  <si>
    <t>Nyeri</t>
  </si>
  <si>
    <t>KE-36</t>
  </si>
  <si>
    <t>Samburu</t>
  </si>
  <si>
    <t>KE-37</t>
  </si>
  <si>
    <t>Siaya</t>
  </si>
  <si>
    <t>KE-38</t>
  </si>
  <si>
    <t>Taita/Taveta</t>
  </si>
  <si>
    <t>KE-39</t>
  </si>
  <si>
    <t>Tana River</t>
  </si>
  <si>
    <t>KE-40</t>
  </si>
  <si>
    <t>Tharaka-Nithi</t>
  </si>
  <si>
    <t>KE-41</t>
  </si>
  <si>
    <t>Tharaka‐Nithi</t>
  </si>
  <si>
    <t>Trans Nzoia</t>
  </si>
  <si>
    <t>KE-42</t>
  </si>
  <si>
    <t>Turkana</t>
  </si>
  <si>
    <t>KE-43</t>
  </si>
  <si>
    <t>Uasin Gishu</t>
  </si>
  <si>
    <t>KE-44</t>
  </si>
  <si>
    <t>Vihiga</t>
  </si>
  <si>
    <t>KE-45</t>
  </si>
  <si>
    <t>Wajir</t>
  </si>
  <si>
    <t>KE-46</t>
  </si>
  <si>
    <t>West Pokot</t>
  </si>
  <si>
    <t>KE-47</t>
  </si>
  <si>
    <t>Chagang</t>
  </si>
  <si>
    <t>KP-04</t>
  </si>
  <si>
    <t>Chagang-do</t>
  </si>
  <si>
    <t>Hambuk</t>
  </si>
  <si>
    <t>KP-09</t>
  </si>
  <si>
    <t>Hamgyǒng-bukto</t>
  </si>
  <si>
    <t>Hamnam</t>
  </si>
  <si>
    <t>KP-08</t>
  </si>
  <si>
    <t>Hamgyǒng-namdo</t>
  </si>
  <si>
    <t>Hwangbuk</t>
  </si>
  <si>
    <t>KP-06</t>
  </si>
  <si>
    <t>Hwanghae-bukto</t>
  </si>
  <si>
    <t>Hwangnam</t>
  </si>
  <si>
    <t>KP-05</t>
  </si>
  <si>
    <t>Hwanghae-namdo</t>
  </si>
  <si>
    <t>Kangwŏn</t>
  </si>
  <si>
    <t>KP-07</t>
  </si>
  <si>
    <t>Kangwǒn-do</t>
  </si>
  <si>
    <t>P’yŏngbuk</t>
  </si>
  <si>
    <t>KP-03</t>
  </si>
  <si>
    <t>P'yǒngan-bukto</t>
  </si>
  <si>
    <t>P’yŏngnam</t>
  </si>
  <si>
    <t>KP-02</t>
  </si>
  <si>
    <t>P'yǒngan-namdo</t>
  </si>
  <si>
    <t>P’yŏngyang</t>
  </si>
  <si>
    <t>directly-controlled city</t>
  </si>
  <si>
    <t>KP-01</t>
  </si>
  <si>
    <t>P'yǒngyang</t>
  </si>
  <si>
    <t>Rasŏn</t>
  </si>
  <si>
    <t>KP-13</t>
  </si>
  <si>
    <t>Nasǒn (Najin Sǒnbong)</t>
  </si>
  <si>
    <t>special city</t>
  </si>
  <si>
    <t>Ryanggang</t>
  </si>
  <si>
    <t>KP-10</t>
  </si>
  <si>
    <t>Yanggang-do</t>
  </si>
  <si>
    <t>Busan</t>
  </si>
  <si>
    <t>metropolitan city</t>
  </si>
  <si>
    <t>KR-26</t>
  </si>
  <si>
    <t>Busan-gwangyeoksi</t>
  </si>
  <si>
    <t>Chungbuk</t>
  </si>
  <si>
    <t>KR-43</t>
  </si>
  <si>
    <t>Chungcheongbuk-do</t>
  </si>
  <si>
    <t>Chungnam</t>
  </si>
  <si>
    <t>KR-44</t>
  </si>
  <si>
    <t>Chungcheongnam-do</t>
  </si>
  <si>
    <t>Daegu</t>
  </si>
  <si>
    <t>KR-27</t>
  </si>
  <si>
    <t>Daegu-gwangyeoksi</t>
  </si>
  <si>
    <t>Daejeon</t>
  </si>
  <si>
    <t>KR-30</t>
  </si>
  <si>
    <t>Daejeon-gwangyeoksi</t>
  </si>
  <si>
    <t>Gangwon</t>
  </si>
  <si>
    <t>KR-42</t>
  </si>
  <si>
    <t>Gangwon-do</t>
  </si>
  <si>
    <t>Gwangju</t>
  </si>
  <si>
    <t>KR-29</t>
  </si>
  <si>
    <t>Gwangju-gwangyeoksi</t>
  </si>
  <si>
    <t>Gyeongbuk</t>
  </si>
  <si>
    <t>KR-47</t>
  </si>
  <si>
    <t>Gyeongsangbuk-do</t>
  </si>
  <si>
    <t>Gyeonggi</t>
  </si>
  <si>
    <t>KR-41</t>
  </si>
  <si>
    <t>Gyeonggi-do</t>
  </si>
  <si>
    <t>Gyeongnam</t>
  </si>
  <si>
    <t>KR-48</t>
  </si>
  <si>
    <t>Gyeongsangnam-do</t>
  </si>
  <si>
    <t>Incheon</t>
  </si>
  <si>
    <t>KR-28</t>
  </si>
  <si>
    <t>Incheon-gwangyeoksi</t>
  </si>
  <si>
    <t>Jeju</t>
  </si>
  <si>
    <t>KR-49</t>
  </si>
  <si>
    <t>Jeju-teukbyeoljachido</t>
  </si>
  <si>
    <t>special self-governing province</t>
  </si>
  <si>
    <t>Jeonbuk</t>
  </si>
  <si>
    <t>KR-45</t>
  </si>
  <si>
    <t>Jeollabuk-do</t>
  </si>
  <si>
    <t>Jeonnam</t>
  </si>
  <si>
    <t>KR-46</t>
  </si>
  <si>
    <t>Jeollanam-do</t>
  </si>
  <si>
    <t>Sejong</t>
  </si>
  <si>
    <t>special self-governing city</t>
  </si>
  <si>
    <t>KR-50</t>
  </si>
  <si>
    <t>Seoul</t>
  </si>
  <si>
    <t>KR-11</t>
  </si>
  <si>
    <t>Seoul-teukbyeolsi</t>
  </si>
  <si>
    <t>Ulsan</t>
  </si>
  <si>
    <t>KR-31</t>
  </si>
  <si>
    <t>Ulsan-gwangyeoksi</t>
  </si>
  <si>
    <t>Deçan</t>
  </si>
  <si>
    <t>XK-01</t>
  </si>
  <si>
    <t>Dragash</t>
  </si>
  <si>
    <t>XK-02</t>
  </si>
  <si>
    <t>Ferizaj</t>
  </si>
  <si>
    <t>XK-03</t>
  </si>
  <si>
    <t>Fushë Kosovë</t>
  </si>
  <si>
    <t>XK-04</t>
  </si>
  <si>
    <t>Gjakovë</t>
  </si>
  <si>
    <t>XK-05</t>
  </si>
  <si>
    <t>Gjilan</t>
  </si>
  <si>
    <t>XK-06</t>
  </si>
  <si>
    <t>Gllogovc</t>
  </si>
  <si>
    <t>XK-07</t>
  </si>
  <si>
    <t>Graçanicë</t>
  </si>
  <si>
    <t>XK-08</t>
  </si>
  <si>
    <t>Hani i Elezit</t>
  </si>
  <si>
    <t>XK-09</t>
  </si>
  <si>
    <t>Istog</t>
  </si>
  <si>
    <t>XK-10</t>
  </si>
  <si>
    <t>Junik</t>
  </si>
  <si>
    <t>XK-11</t>
  </si>
  <si>
    <t>Kaçanik</t>
  </si>
  <si>
    <t>XK-12</t>
  </si>
  <si>
    <t>Kamenicë</t>
  </si>
  <si>
    <t>XK-13</t>
  </si>
  <si>
    <t>Klinë</t>
  </si>
  <si>
    <t>XK-14</t>
  </si>
  <si>
    <t>Kllokot</t>
  </si>
  <si>
    <t>XK-15</t>
  </si>
  <si>
    <t>Leposaviq</t>
  </si>
  <si>
    <t>XK-16</t>
  </si>
  <si>
    <t>Lipjan</t>
  </si>
  <si>
    <t>XK-17</t>
  </si>
  <si>
    <t>Malishevë</t>
  </si>
  <si>
    <t>XK-18</t>
  </si>
  <si>
    <t>Mamushë</t>
  </si>
  <si>
    <t>XK-19</t>
  </si>
  <si>
    <t>Mitrovicë e Jug</t>
  </si>
  <si>
    <t>XK-38</t>
  </si>
  <si>
    <t>Mitrovicë e Veriut</t>
  </si>
  <si>
    <t>XK-39</t>
  </si>
  <si>
    <t>Novobërdë</t>
  </si>
  <si>
    <t>XK-21</t>
  </si>
  <si>
    <t>Obiliq</t>
  </si>
  <si>
    <t>XK-22</t>
  </si>
  <si>
    <t>Partesh</t>
  </si>
  <si>
    <t>XK-23</t>
  </si>
  <si>
    <t>Pejë</t>
  </si>
  <si>
    <t>XK-24</t>
  </si>
  <si>
    <t>Podujevë</t>
  </si>
  <si>
    <t>XK-25</t>
  </si>
  <si>
    <t>Prishtinë</t>
  </si>
  <si>
    <t>XK-26</t>
  </si>
  <si>
    <t>Prizren</t>
  </si>
  <si>
    <t>XK-27</t>
  </si>
  <si>
    <t>Rahovec</t>
  </si>
  <si>
    <t>XK-28</t>
  </si>
  <si>
    <t>Ranillug</t>
  </si>
  <si>
    <t>XK-29</t>
  </si>
  <si>
    <t>Shtërpcë</t>
  </si>
  <si>
    <t>XK-30</t>
  </si>
  <si>
    <t>Shtime</t>
  </si>
  <si>
    <t>XK-31</t>
  </si>
  <si>
    <t>Skenderaj </t>
  </si>
  <si>
    <t>XK-32</t>
  </si>
  <si>
    <t>Suharekë</t>
  </si>
  <si>
    <t>XK-33</t>
  </si>
  <si>
    <t>Viti</t>
  </si>
  <si>
    <t>XK-34</t>
  </si>
  <si>
    <t>Vushtrri</t>
  </si>
  <si>
    <t>XK-35</t>
  </si>
  <si>
    <t>Zubin Potok</t>
  </si>
  <si>
    <t>XK-36</t>
  </si>
  <si>
    <t>Zveçan</t>
  </si>
  <si>
    <t>XK-37</t>
  </si>
  <si>
    <t>Al Aḩmadī</t>
  </si>
  <si>
    <t>KW-AH</t>
  </si>
  <si>
    <t>KW-KU</t>
  </si>
  <si>
    <t>Al Farwānīyah</t>
  </si>
  <si>
    <t>KW-FA</t>
  </si>
  <si>
    <t>Al Jahrā’</t>
  </si>
  <si>
    <t>KW-JA</t>
  </si>
  <si>
    <t>Ḩawallī</t>
  </si>
  <si>
    <t>KW-HA</t>
  </si>
  <si>
    <t>Mubārak al Kabīr</t>
  </si>
  <si>
    <t>KW-MU</t>
  </si>
  <si>
    <t>Batken</t>
  </si>
  <si>
    <t>KG-B</t>
  </si>
  <si>
    <t>Bishkek</t>
  </si>
  <si>
    <t>KG-GB</t>
  </si>
  <si>
    <t>Chüy</t>
  </si>
  <si>
    <t>KG-C</t>
  </si>
  <si>
    <t>Jalal-Abad</t>
  </si>
  <si>
    <t>KG-J</t>
  </si>
  <si>
    <t>Naryn</t>
  </si>
  <si>
    <t>KG-N</t>
  </si>
  <si>
    <t>Osh</t>
  </si>
  <si>
    <t>KG-GO</t>
  </si>
  <si>
    <t>KG-O</t>
  </si>
  <si>
    <t>Talas</t>
  </si>
  <si>
    <t>KG-T</t>
  </si>
  <si>
    <t>Ysyk-Köl</t>
  </si>
  <si>
    <t>KG-Y</t>
  </si>
  <si>
    <t>Attapu</t>
  </si>
  <si>
    <t>LA-AT</t>
  </si>
  <si>
    <t>Bokèo</t>
  </si>
  <si>
    <t>LA-BK</t>
  </si>
  <si>
    <t>Bolikhamxai</t>
  </si>
  <si>
    <t>LA-BL</t>
  </si>
  <si>
    <t>Champasak</t>
  </si>
  <si>
    <t>LA-CH</t>
  </si>
  <si>
    <t>Houaphan</t>
  </si>
  <si>
    <t>LA-HO</t>
  </si>
  <si>
    <t>Khammouan</t>
  </si>
  <si>
    <t>LA-KH</t>
  </si>
  <si>
    <t>Louangnamtha</t>
  </si>
  <si>
    <t>LA-LM</t>
  </si>
  <si>
    <t>Louang Namtha</t>
  </si>
  <si>
    <t>Louangphabang</t>
  </si>
  <si>
    <t>LA-LP</t>
  </si>
  <si>
    <t>Oudômxai</t>
  </si>
  <si>
    <t>LA-OU</t>
  </si>
  <si>
    <t>Phôngsali</t>
  </si>
  <si>
    <t>LA-PH</t>
  </si>
  <si>
    <t>Salavan</t>
  </si>
  <si>
    <t>LA-SL</t>
  </si>
  <si>
    <t>Savannakhét</t>
  </si>
  <si>
    <t>LA-SV</t>
  </si>
  <si>
    <t>Viangchan</t>
  </si>
  <si>
    <t>LA-VT</t>
  </si>
  <si>
    <t>LA-VI</t>
  </si>
  <si>
    <t>Xaignabouli</t>
  </si>
  <si>
    <t>LA-XA</t>
  </si>
  <si>
    <t>Xaisômboun</t>
  </si>
  <si>
    <t>LA-XS</t>
  </si>
  <si>
    <t>Xékong</t>
  </si>
  <si>
    <t>LA-XE</t>
  </si>
  <si>
    <t>Xiangkhouang</t>
  </si>
  <si>
    <t>LA-XI</t>
  </si>
  <si>
    <t>Ādažu Novads</t>
  </si>
  <si>
    <t>LV-011</t>
  </si>
  <si>
    <t>Ādažu novads</t>
  </si>
  <si>
    <t>Aglonas Novads</t>
  </si>
  <si>
    <t>LV-001</t>
  </si>
  <si>
    <t>Aglonas novads</t>
  </si>
  <si>
    <t>Aizkraukles Novads</t>
  </si>
  <si>
    <t>LV-002</t>
  </si>
  <si>
    <t>Aizkraukles novads</t>
  </si>
  <si>
    <t>Aizputes Novads</t>
  </si>
  <si>
    <t>LV-003</t>
  </si>
  <si>
    <t>Aizputes novads</t>
  </si>
  <si>
    <t>Aknīstes Novads</t>
  </si>
  <si>
    <t>LV-004</t>
  </si>
  <si>
    <t>Aknīstes novads</t>
  </si>
  <si>
    <t>Alojas Novads</t>
  </si>
  <si>
    <t>LV-005</t>
  </si>
  <si>
    <t>Alojas novads</t>
  </si>
  <si>
    <t>Alsungas Novads</t>
  </si>
  <si>
    <t>LV-006</t>
  </si>
  <si>
    <t>Alsungas novads</t>
  </si>
  <si>
    <t>Alūksnes Novads</t>
  </si>
  <si>
    <t>LV-007</t>
  </si>
  <si>
    <t>Alūksnes novads</t>
  </si>
  <si>
    <t>Amatas Novads</t>
  </si>
  <si>
    <t>LV-008</t>
  </si>
  <si>
    <t>Amatas novads</t>
  </si>
  <si>
    <t>Apes Novads</t>
  </si>
  <si>
    <t>LV-009</t>
  </si>
  <si>
    <t>Apes novads</t>
  </si>
  <si>
    <t>Auces Novads</t>
  </si>
  <si>
    <t>LV-010</t>
  </si>
  <si>
    <t>Auces novads</t>
  </si>
  <si>
    <t>Babītes Novads</t>
  </si>
  <si>
    <t>LV-012</t>
  </si>
  <si>
    <t>Babītes novads</t>
  </si>
  <si>
    <t>Baldones Novads</t>
  </si>
  <si>
    <t>LV-013</t>
  </si>
  <si>
    <t>Baldones novads</t>
  </si>
  <si>
    <t>Baltinavas Novads</t>
  </si>
  <si>
    <t>LV-014</t>
  </si>
  <si>
    <t>Baltinavas novads</t>
  </si>
  <si>
    <t>Balvu Novads</t>
  </si>
  <si>
    <t>LV-015</t>
  </si>
  <si>
    <t>Balvu novads</t>
  </si>
  <si>
    <t>Bauskas Novads</t>
  </si>
  <si>
    <t>LV-016</t>
  </si>
  <si>
    <t>Bauskas novads</t>
  </si>
  <si>
    <t>Beverīnas Novads</t>
  </si>
  <si>
    <t>LV-017</t>
  </si>
  <si>
    <t>Beverīnas novads</t>
  </si>
  <si>
    <t>Brocēnu Novads</t>
  </si>
  <si>
    <t>LV-018</t>
  </si>
  <si>
    <t>Brocēnu novads</t>
  </si>
  <si>
    <t>Burtnieku Novads</t>
  </si>
  <si>
    <t>LV-019</t>
  </si>
  <si>
    <t>Burtnieku novads</t>
  </si>
  <si>
    <t>Carnikavas Novads</t>
  </si>
  <si>
    <t>LV-020</t>
  </si>
  <si>
    <t>Carnikavas novads</t>
  </si>
  <si>
    <t>Cēsu Novads</t>
  </si>
  <si>
    <t>LV-022</t>
  </si>
  <si>
    <t>Cēsu novads</t>
  </si>
  <si>
    <t>Cesvaines Novads</t>
  </si>
  <si>
    <t>LV-021</t>
  </si>
  <si>
    <t>Cesvaines novads</t>
  </si>
  <si>
    <t>Ciblas Novads</t>
  </si>
  <si>
    <t>LV-023</t>
  </si>
  <si>
    <t>Ciblas novads</t>
  </si>
  <si>
    <t>Dagdas Novads</t>
  </si>
  <si>
    <t>LV-024</t>
  </si>
  <si>
    <t>Dagdas novads</t>
  </si>
  <si>
    <t>Daugavpils</t>
  </si>
  <si>
    <t>republican city</t>
  </si>
  <si>
    <t>LV-DGV</t>
  </si>
  <si>
    <t>Daugavpils Novads</t>
  </si>
  <si>
    <t>LV-025</t>
  </si>
  <si>
    <t>Daugavpils novads</t>
  </si>
  <si>
    <t>Dobeles Novads</t>
  </si>
  <si>
    <t>LV-026</t>
  </si>
  <si>
    <t>Dobeles novads</t>
  </si>
  <si>
    <t>Dundagas Novads</t>
  </si>
  <si>
    <t>LV-027</t>
  </si>
  <si>
    <t>Dundagas novads</t>
  </si>
  <si>
    <t>Durbes Novads</t>
  </si>
  <si>
    <t>LV-028</t>
  </si>
  <si>
    <t>Durbes novads</t>
  </si>
  <si>
    <t>Engures Novads</t>
  </si>
  <si>
    <t>LV-029</t>
  </si>
  <si>
    <t>Engures novads</t>
  </si>
  <si>
    <t>Ērgļu Novads</t>
  </si>
  <si>
    <t>LV-030</t>
  </si>
  <si>
    <t>Ērgļu novads</t>
  </si>
  <si>
    <t>Garkalnes Novads</t>
  </si>
  <si>
    <t>LV-031</t>
  </si>
  <si>
    <t>Garkalnes novads</t>
  </si>
  <si>
    <t>Grobiņas Novads</t>
  </si>
  <si>
    <t>LV-032</t>
  </si>
  <si>
    <t>Grobiņas novads</t>
  </si>
  <si>
    <t>Gulbenes Novads</t>
  </si>
  <si>
    <t>LV-033</t>
  </si>
  <si>
    <t>Gulbenes novads</t>
  </si>
  <si>
    <t>Iecavas Novads</t>
  </si>
  <si>
    <t>LV-034</t>
  </si>
  <si>
    <t>Iecavas novads</t>
  </si>
  <si>
    <t>Ikšķiles Novads</t>
  </si>
  <si>
    <t>LV-035</t>
  </si>
  <si>
    <t>Ikšķiles novads</t>
  </si>
  <si>
    <t>Ilūkstes Novads</t>
  </si>
  <si>
    <t>LV-036</t>
  </si>
  <si>
    <t>Ilūkstes novads</t>
  </si>
  <si>
    <t>Inčukalna Novads</t>
  </si>
  <si>
    <t>LV-037</t>
  </si>
  <si>
    <t>Inčukalna novads</t>
  </si>
  <si>
    <t>Jaunjelgavas Novads</t>
  </si>
  <si>
    <t>LV-038</t>
  </si>
  <si>
    <t>Jaunjelgavas novads</t>
  </si>
  <si>
    <t>Jaunpiebalgas Novads</t>
  </si>
  <si>
    <t>LV-039</t>
  </si>
  <si>
    <t>Jaunpiebalgas novads</t>
  </si>
  <si>
    <t>Jaunpils Novads</t>
  </si>
  <si>
    <t>LV-040</t>
  </si>
  <si>
    <t>Jaunpils novads</t>
  </si>
  <si>
    <t>Jēkabpils</t>
  </si>
  <si>
    <t>LV-JKB</t>
  </si>
  <si>
    <t>Jēkabpils Novads</t>
  </si>
  <si>
    <t>LV-042</t>
  </si>
  <si>
    <t>Jēkabpils novads</t>
  </si>
  <si>
    <t>Jelgava</t>
  </si>
  <si>
    <t>LV-JEL</t>
  </si>
  <si>
    <t>Jelgavas Novads</t>
  </si>
  <si>
    <t>LV-041</t>
  </si>
  <si>
    <t>Jelgavas novads</t>
  </si>
  <si>
    <t>Jūrmala</t>
  </si>
  <si>
    <t>LV-JUR</t>
  </si>
  <si>
    <t>Kandavas Novads</t>
  </si>
  <si>
    <t>LV-043</t>
  </si>
  <si>
    <t>Kandavas novads</t>
  </si>
  <si>
    <t>Kārsavas Novads</t>
  </si>
  <si>
    <t>LV-044</t>
  </si>
  <si>
    <t>Kārsavas novads</t>
  </si>
  <si>
    <t>Ķeguma Novads</t>
  </si>
  <si>
    <t>LV-051</t>
  </si>
  <si>
    <t>Ķeguma novads</t>
  </si>
  <si>
    <t>Ķekavas Novads</t>
  </si>
  <si>
    <t>LV-052</t>
  </si>
  <si>
    <t>Ķekavas novads</t>
  </si>
  <si>
    <t>Kocēnu Novads</t>
  </si>
  <si>
    <t>LV-045</t>
  </si>
  <si>
    <t>Kocēnu novads</t>
  </si>
  <si>
    <t>Kokneses Novads</t>
  </si>
  <si>
    <t>LV-046</t>
  </si>
  <si>
    <t>Kokneses novads</t>
  </si>
  <si>
    <t>Krāslavas Novads</t>
  </si>
  <si>
    <t>LV-047</t>
  </si>
  <si>
    <t>Krāslavas novads</t>
  </si>
  <si>
    <t>Krimuldas Novads</t>
  </si>
  <si>
    <t>LV-048</t>
  </si>
  <si>
    <t>Krimuldas novads</t>
  </si>
  <si>
    <t>Krustpils Novads</t>
  </si>
  <si>
    <t>LV-049</t>
  </si>
  <si>
    <t>Krustpils novads</t>
  </si>
  <si>
    <t>Kuldīgas Novads</t>
  </si>
  <si>
    <t>LV-050</t>
  </si>
  <si>
    <t>Kuldīgas novads</t>
  </si>
  <si>
    <t>Lielvārdes Novads</t>
  </si>
  <si>
    <t>LV-053</t>
  </si>
  <si>
    <t>Lielvārdes novads</t>
  </si>
  <si>
    <t>Liepāja</t>
  </si>
  <si>
    <t>LV-LPX</t>
  </si>
  <si>
    <t>Līgatnes Novads</t>
  </si>
  <si>
    <t>LV-055</t>
  </si>
  <si>
    <t>Līgatnes novads</t>
  </si>
  <si>
    <t>Limbažu Novads</t>
  </si>
  <si>
    <t>LV-054</t>
  </si>
  <si>
    <t>Limbažu novads</t>
  </si>
  <si>
    <t>Līvānu Novads</t>
  </si>
  <si>
    <t>LV-056</t>
  </si>
  <si>
    <t>Līvānu novads</t>
  </si>
  <si>
    <t>Lubānas Novads</t>
  </si>
  <si>
    <t>LV-057</t>
  </si>
  <si>
    <t>Lubānas novads</t>
  </si>
  <si>
    <t>Ludzas Novads</t>
  </si>
  <si>
    <t>LV-058</t>
  </si>
  <si>
    <t>Ludzas novads</t>
  </si>
  <si>
    <t>Madonas Novads</t>
  </si>
  <si>
    <t>LV-059</t>
  </si>
  <si>
    <t>Madonas novads</t>
  </si>
  <si>
    <t>Mālpils Novads</t>
  </si>
  <si>
    <t>LV-061</t>
  </si>
  <si>
    <t>Mālpils novads</t>
  </si>
  <si>
    <t>Mārupes Novads</t>
  </si>
  <si>
    <t>LV-062</t>
  </si>
  <si>
    <t>Mārupes novads</t>
  </si>
  <si>
    <t>Mazsalacas Novads</t>
  </si>
  <si>
    <t>LV-060</t>
  </si>
  <si>
    <t>Mazsalacas novads</t>
  </si>
  <si>
    <t>Mērsraga Novads</t>
  </si>
  <si>
    <t>LV-063</t>
  </si>
  <si>
    <t>Mērsraga novads</t>
  </si>
  <si>
    <t>Naukšēnu Novads</t>
  </si>
  <si>
    <t>LV-064</t>
  </si>
  <si>
    <t>Naukšēnu novads</t>
  </si>
  <si>
    <t>Neretas Novads</t>
  </si>
  <si>
    <t>LV-065</t>
  </si>
  <si>
    <t>Neretas novads</t>
  </si>
  <si>
    <t>Nīcas Novads</t>
  </si>
  <si>
    <t>LV-066</t>
  </si>
  <si>
    <t>Nīcas novads</t>
  </si>
  <si>
    <t>Ogres Novads</t>
  </si>
  <si>
    <t>LV-067</t>
  </si>
  <si>
    <t>Ogres novads</t>
  </si>
  <si>
    <t>Olaines Novads</t>
  </si>
  <si>
    <t>LV-068</t>
  </si>
  <si>
    <t>Olaines novads</t>
  </si>
  <si>
    <t>Ozolnieku Novads</t>
  </si>
  <si>
    <t>LV-069</t>
  </si>
  <si>
    <t>Ozolnieku novads</t>
  </si>
  <si>
    <t>Pārgaujas Novads</t>
  </si>
  <si>
    <t>LV-070</t>
  </si>
  <si>
    <t>Pārgaujas novads</t>
  </si>
  <si>
    <t>Pāvilostas Novads</t>
  </si>
  <si>
    <t>LV-071</t>
  </si>
  <si>
    <t>Pāvilostas novads</t>
  </si>
  <si>
    <t>Pļaviņu Novads</t>
  </si>
  <si>
    <t>LV-072</t>
  </si>
  <si>
    <t>Pļaviņu novads</t>
  </si>
  <si>
    <t>Preiļu Novads</t>
  </si>
  <si>
    <t>LV-073</t>
  </si>
  <si>
    <t>Preiļu novads</t>
  </si>
  <si>
    <t>Priekules Novads</t>
  </si>
  <si>
    <t>LV-074</t>
  </si>
  <si>
    <t>Priekules novads</t>
  </si>
  <si>
    <t>Priekuļu Novads</t>
  </si>
  <si>
    <t>LV-075</t>
  </si>
  <si>
    <t>Priekuļu novads</t>
  </si>
  <si>
    <t>Raunas Novads</t>
  </si>
  <si>
    <t>LV-076</t>
  </si>
  <si>
    <t>Raunas novads</t>
  </si>
  <si>
    <t>Rēzekne</t>
  </si>
  <si>
    <t>LV-REZ</t>
  </si>
  <si>
    <t>Rēzeknes Novads</t>
  </si>
  <si>
    <t>LV-077</t>
  </si>
  <si>
    <t>Rēzeknes novads</t>
  </si>
  <si>
    <t>Riebiņu Novads</t>
  </si>
  <si>
    <t>LV-078</t>
  </si>
  <si>
    <t>Riebiņu novads</t>
  </si>
  <si>
    <t>Rīga</t>
  </si>
  <si>
    <t>LV-RIX</t>
  </si>
  <si>
    <t>Rojas Novads</t>
  </si>
  <si>
    <t>LV-079</t>
  </si>
  <si>
    <t>Rojas novads</t>
  </si>
  <si>
    <t>Ropažu Novads</t>
  </si>
  <si>
    <t>LV-080</t>
  </si>
  <si>
    <t>Ropažu novads</t>
  </si>
  <si>
    <t>Rucavas Novads</t>
  </si>
  <si>
    <t>LV-081</t>
  </si>
  <si>
    <t>Rucavas novads</t>
  </si>
  <si>
    <t>Rugāju Novads</t>
  </si>
  <si>
    <t>LV-082</t>
  </si>
  <si>
    <t>Rugāju novads</t>
  </si>
  <si>
    <t>Rūjienas Novads</t>
  </si>
  <si>
    <t>LV-084</t>
  </si>
  <si>
    <t>Rūjienas novads</t>
  </si>
  <si>
    <t>Rundāles Novads</t>
  </si>
  <si>
    <t>LV-083</t>
  </si>
  <si>
    <t>Rundāles novads</t>
  </si>
  <si>
    <t>Salacgrīvas Novads</t>
  </si>
  <si>
    <t>LV-086</t>
  </si>
  <si>
    <t>Salacgrīvas novads</t>
  </si>
  <si>
    <t>Salas Novads</t>
  </si>
  <si>
    <t>LV-085</t>
  </si>
  <si>
    <t>Salas novads</t>
  </si>
  <si>
    <t>Salaspils Novads</t>
  </si>
  <si>
    <t>LV-087</t>
  </si>
  <si>
    <t>Salaspils novads</t>
  </si>
  <si>
    <t>Saldus Novads</t>
  </si>
  <si>
    <t>LV-088</t>
  </si>
  <si>
    <t>Saldus novads</t>
  </si>
  <si>
    <t>Saulkrastu Novads</t>
  </si>
  <si>
    <t>LV-089</t>
  </si>
  <si>
    <t>Saulkrastu novads</t>
  </si>
  <si>
    <t>Sējas Novads</t>
  </si>
  <si>
    <t>LV-090</t>
  </si>
  <si>
    <t>Sējas novads</t>
  </si>
  <si>
    <t>Siguldas Novads</t>
  </si>
  <si>
    <t>LV-091</t>
  </si>
  <si>
    <t>Siguldas novads</t>
  </si>
  <si>
    <t>Skrīveru Novads</t>
  </si>
  <si>
    <t>LV-092</t>
  </si>
  <si>
    <t>Skrīveru novads</t>
  </si>
  <si>
    <t>Skrundas Novads</t>
  </si>
  <si>
    <t>LV-093</t>
  </si>
  <si>
    <t>Skrundas novads</t>
  </si>
  <si>
    <t>Smiltenes Novads</t>
  </si>
  <si>
    <t>LV-094</t>
  </si>
  <si>
    <t>Smiltenes novads</t>
  </si>
  <si>
    <t>Stopiņu Novads</t>
  </si>
  <si>
    <t>LV-095</t>
  </si>
  <si>
    <t>Stopiņu novads</t>
  </si>
  <si>
    <t>Strenču Novads</t>
  </si>
  <si>
    <t>LV-096</t>
  </si>
  <si>
    <t>Strenču novads</t>
  </si>
  <si>
    <t>Talsu Novads</t>
  </si>
  <si>
    <t>LV-097</t>
  </si>
  <si>
    <t>Talsu novads</t>
  </si>
  <si>
    <t>Tērvetes Novads</t>
  </si>
  <si>
    <t>LV-098</t>
  </si>
  <si>
    <t>Tērvetes novads</t>
  </si>
  <si>
    <t>Tukuma Novads</t>
  </si>
  <si>
    <t>LV-099</t>
  </si>
  <si>
    <t>Tukuma novads</t>
  </si>
  <si>
    <t>Vaiņodes Novads</t>
  </si>
  <si>
    <t>LV-100</t>
  </si>
  <si>
    <t>Vaiņodes novads</t>
  </si>
  <si>
    <t>Valkas Novads</t>
  </si>
  <si>
    <t>LV-101</t>
  </si>
  <si>
    <t>Valkas novads</t>
  </si>
  <si>
    <t>Valmiera</t>
  </si>
  <si>
    <t>LV-VMR</t>
  </si>
  <si>
    <t>Varakļānu Novads</t>
  </si>
  <si>
    <t>LV-102</t>
  </si>
  <si>
    <t>Varakļānu novads</t>
  </si>
  <si>
    <t>Vārkavas Novads</t>
  </si>
  <si>
    <t>LV-103</t>
  </si>
  <si>
    <t>Vārkavas novads</t>
  </si>
  <si>
    <t>Vecpiebalgas Novads</t>
  </si>
  <si>
    <t>LV-104</t>
  </si>
  <si>
    <t>Vecpiebalgas novads</t>
  </si>
  <si>
    <t>Vecumnieku Novads</t>
  </si>
  <si>
    <t>LV-105</t>
  </si>
  <si>
    <t>Vecumnieku novads</t>
  </si>
  <si>
    <t>Ventspils</t>
  </si>
  <si>
    <t>LV-VEN</t>
  </si>
  <si>
    <t>Ventspils Novads</t>
  </si>
  <si>
    <t>LV-106</t>
  </si>
  <si>
    <t>Ventspils novads</t>
  </si>
  <si>
    <t>Viesītes Novads</t>
  </si>
  <si>
    <t>LV-107</t>
  </si>
  <si>
    <t>Viesītes novads</t>
  </si>
  <si>
    <t>Viļakas Novads</t>
  </si>
  <si>
    <t>LV-108</t>
  </si>
  <si>
    <t>Viļakas novads</t>
  </si>
  <si>
    <t>Viļānu Novads</t>
  </si>
  <si>
    <t>LV-109</t>
  </si>
  <si>
    <t>Viļānu novads</t>
  </si>
  <si>
    <t>Zilupes Novads</t>
  </si>
  <si>
    <t>LV-110</t>
  </si>
  <si>
    <t>Zilupes novads</t>
  </si>
  <si>
    <t>Aakkâr</t>
  </si>
  <si>
    <t>LB-AK</t>
  </si>
  <si>
    <t>Baalbek-Hermel</t>
  </si>
  <si>
    <t>LB-BH</t>
  </si>
  <si>
    <t>Béqaa</t>
  </si>
  <si>
    <t>LB-BI</t>
  </si>
  <si>
    <t>Beyrouth</t>
  </si>
  <si>
    <t>LB-BA</t>
  </si>
  <si>
    <t>Liban-Nord</t>
  </si>
  <si>
    <t>LB-AS</t>
  </si>
  <si>
    <t>Liban-Sud</t>
  </si>
  <si>
    <t>LB-JA</t>
  </si>
  <si>
    <t>Mont-Liban</t>
  </si>
  <si>
    <t>LB-JL</t>
  </si>
  <si>
    <t>Nabatîyé</t>
  </si>
  <si>
    <t>LB-NA</t>
  </si>
  <si>
    <t>Berea</t>
  </si>
  <si>
    <t>LS-D</t>
  </si>
  <si>
    <t>Butha-Buthe</t>
  </si>
  <si>
    <t>LS-B</t>
  </si>
  <si>
    <t>Leribe</t>
  </si>
  <si>
    <t>LS-C</t>
  </si>
  <si>
    <t>Mafeteng</t>
  </si>
  <si>
    <t>LS-E</t>
  </si>
  <si>
    <t>Maseru</t>
  </si>
  <si>
    <t>LS-A</t>
  </si>
  <si>
    <t>Mohale’s Hoek</t>
  </si>
  <si>
    <t>LS-F</t>
  </si>
  <si>
    <t>Mohale's Hoek</t>
  </si>
  <si>
    <t>Mokhotlong</t>
  </si>
  <si>
    <t>LS-J</t>
  </si>
  <si>
    <t>Qacha’s Nek</t>
  </si>
  <si>
    <t>LS-H</t>
  </si>
  <si>
    <t>Qacha's Nek</t>
  </si>
  <si>
    <t>Quthing</t>
  </si>
  <si>
    <t>LS-G</t>
  </si>
  <si>
    <t>Thaba-Tseka</t>
  </si>
  <si>
    <t>LS-K</t>
  </si>
  <si>
    <t>Bomi</t>
  </si>
  <si>
    <t>LR-BM</t>
  </si>
  <si>
    <t>Bong</t>
  </si>
  <si>
    <t>LR-BG</t>
  </si>
  <si>
    <t>Gbarpolu</t>
  </si>
  <si>
    <t>LR-GP</t>
  </si>
  <si>
    <t>Grand Bassa</t>
  </si>
  <si>
    <t>LR-GB</t>
  </si>
  <si>
    <t>Grand Cape Mount</t>
  </si>
  <si>
    <t>LR-CM</t>
  </si>
  <si>
    <t>Grand Gedeh</t>
  </si>
  <si>
    <t>LR-GG</t>
  </si>
  <si>
    <t>Grand Kru</t>
  </si>
  <si>
    <t>LR-GK</t>
  </si>
  <si>
    <t>Lofa</t>
  </si>
  <si>
    <t>LR-LO</t>
  </si>
  <si>
    <t>Margibi</t>
  </si>
  <si>
    <t>LR-MG</t>
  </si>
  <si>
    <t>Maryland</t>
  </si>
  <si>
    <t>LR-MY</t>
  </si>
  <si>
    <t>Montserrado</t>
  </si>
  <si>
    <t>LR-MO</t>
  </si>
  <si>
    <t>Nimba</t>
  </si>
  <si>
    <t>LR-NI</t>
  </si>
  <si>
    <t>River Cess</t>
  </si>
  <si>
    <t>LR-RI</t>
  </si>
  <si>
    <t>River Gee</t>
  </si>
  <si>
    <t>LR-RG</t>
  </si>
  <si>
    <t>Sinoe</t>
  </si>
  <si>
    <t>LR-SI</t>
  </si>
  <si>
    <t>Al Buţnān</t>
  </si>
  <si>
    <t>popularate</t>
  </si>
  <si>
    <t>LY-BU</t>
  </si>
  <si>
    <t>LIBYAN ARAB JAMAHIRIYA</t>
  </si>
  <si>
    <t>Al Jabal al Akhḑar</t>
  </si>
  <si>
    <t>LY-JA</t>
  </si>
  <si>
    <t>Al Jabal al Gharbī</t>
  </si>
  <si>
    <t>LY-JG</t>
  </si>
  <si>
    <t>Al Jafārah</t>
  </si>
  <si>
    <t>LY-JI</t>
  </si>
  <si>
    <t>Al Jufrah</t>
  </si>
  <si>
    <t>LY-JU</t>
  </si>
  <si>
    <t>Al Kufrah</t>
  </si>
  <si>
    <t>LY-KF</t>
  </si>
  <si>
    <t>Al Marj</t>
  </si>
  <si>
    <t>LY-MJ</t>
  </si>
  <si>
    <t>Al Marqab</t>
  </si>
  <si>
    <t>LY-MB</t>
  </si>
  <si>
    <t>Al Wāḩāt</t>
  </si>
  <si>
    <t>LY-WA</t>
  </si>
  <si>
    <t>An Nuqāţ al Khams</t>
  </si>
  <si>
    <t>LY-NQ</t>
  </si>
  <si>
    <t>Az Zāwiyah</t>
  </si>
  <si>
    <t>LY-ZA</t>
  </si>
  <si>
    <t>Banghāzī</t>
  </si>
  <si>
    <t>LY-BA</t>
  </si>
  <si>
    <t>Darnah</t>
  </si>
  <si>
    <t>LY-DR</t>
  </si>
  <si>
    <t>Ghāt</t>
  </si>
  <si>
    <t>LY-GT</t>
  </si>
  <si>
    <t>Mişrātah</t>
  </si>
  <si>
    <t>LY-MI</t>
  </si>
  <si>
    <t>Murzuq</t>
  </si>
  <si>
    <t>LY-MQ</t>
  </si>
  <si>
    <t>Nālūt</t>
  </si>
  <si>
    <t>LY-NL</t>
  </si>
  <si>
    <t>Sabhā</t>
  </si>
  <si>
    <t>LY-SB</t>
  </si>
  <si>
    <t>Surt</t>
  </si>
  <si>
    <t>LY-SR</t>
  </si>
  <si>
    <t>Ţarābulus</t>
  </si>
  <si>
    <t>LY-TB</t>
  </si>
  <si>
    <t>Wādī al Ḩayāt</t>
  </si>
  <si>
    <t>LY-WD</t>
  </si>
  <si>
    <t>Wādī ash Shāţi’</t>
  </si>
  <si>
    <t>LY-WS</t>
  </si>
  <si>
    <t>Balzers</t>
  </si>
  <si>
    <t>LI-01</t>
  </si>
  <si>
    <t>Eschen</t>
  </si>
  <si>
    <t>LI-02</t>
  </si>
  <si>
    <t>Gamprin</t>
  </si>
  <si>
    <t>LI-03</t>
  </si>
  <si>
    <t>Mauren</t>
  </si>
  <si>
    <t>LI-04</t>
  </si>
  <si>
    <t>Planken</t>
  </si>
  <si>
    <t>LI-05</t>
  </si>
  <si>
    <t>Ruggell</t>
  </si>
  <si>
    <t>LI-06</t>
  </si>
  <si>
    <t>Schaan</t>
  </si>
  <si>
    <t>LI-07</t>
  </si>
  <si>
    <t>Schellenberg</t>
  </si>
  <si>
    <t>LI-08</t>
  </si>
  <si>
    <t>Triesen</t>
  </si>
  <si>
    <t>LI-09</t>
  </si>
  <si>
    <t>Triesenberg</t>
  </si>
  <si>
    <t>LI-10</t>
  </si>
  <si>
    <t>Vaduz</t>
  </si>
  <si>
    <t>LI-11</t>
  </si>
  <si>
    <t>Akmenė</t>
  </si>
  <si>
    <t>district municipality</t>
  </si>
  <si>
    <t>LT-01</t>
  </si>
  <si>
    <t>Alytaus Apskritis</t>
  </si>
  <si>
    <t>LT-AL</t>
  </si>
  <si>
    <t>Alytaus apskritis</t>
  </si>
  <si>
    <t>Alytaus Miestas</t>
  </si>
  <si>
    <t>city municipality</t>
  </si>
  <si>
    <t>LT-02</t>
  </si>
  <si>
    <t>Alytaus miestas</t>
  </si>
  <si>
    <t>Alytus</t>
  </si>
  <si>
    <t>LT-03</t>
  </si>
  <si>
    <t>Anykščiai</t>
  </si>
  <si>
    <t>LT-04</t>
  </si>
  <si>
    <t>Birštono</t>
  </si>
  <si>
    <t>LT-05</t>
  </si>
  <si>
    <t>Biržai</t>
  </si>
  <si>
    <t>LT-06</t>
  </si>
  <si>
    <t>Druskininkai</t>
  </si>
  <si>
    <t>LT-07</t>
  </si>
  <si>
    <t>Elektrénai</t>
  </si>
  <si>
    <t>LT-08</t>
  </si>
  <si>
    <t>Ignalina</t>
  </si>
  <si>
    <t>LT-09</t>
  </si>
  <si>
    <t>Jonava</t>
  </si>
  <si>
    <t>LT-10</t>
  </si>
  <si>
    <t>Joniškis</t>
  </si>
  <si>
    <t>LT-11</t>
  </si>
  <si>
    <t>Jurbarkas</t>
  </si>
  <si>
    <t>LT-12</t>
  </si>
  <si>
    <t>Kaišiadorys</t>
  </si>
  <si>
    <t>LT-13</t>
  </si>
  <si>
    <t>Kalvarijos</t>
  </si>
  <si>
    <t>LT-14</t>
  </si>
  <si>
    <t>Kaunas</t>
  </si>
  <si>
    <t>LT-16</t>
  </si>
  <si>
    <t>Kauno Apskritis</t>
  </si>
  <si>
    <t>LT-KU</t>
  </si>
  <si>
    <t>Kauno apskritis</t>
  </si>
  <si>
    <t>Kauno Miestas</t>
  </si>
  <si>
    <t>LT-15</t>
  </si>
  <si>
    <t>Kauno miestas</t>
  </si>
  <si>
    <t>Kazlų Rūdos</t>
  </si>
  <si>
    <t>LT-17</t>
  </si>
  <si>
    <t>Kėdainiai</t>
  </si>
  <si>
    <t>LT-18</t>
  </si>
  <si>
    <t>Kelmė</t>
  </si>
  <si>
    <t>LT-19</t>
  </si>
  <si>
    <t>Klaipėda</t>
  </si>
  <si>
    <t>LT-21</t>
  </si>
  <si>
    <t>Klaipėdos Apskritis</t>
  </si>
  <si>
    <t>LT-KL</t>
  </si>
  <si>
    <t>Klaipėdos apskritis</t>
  </si>
  <si>
    <t>Klaipėdos Miestas</t>
  </si>
  <si>
    <t>LT-20</t>
  </si>
  <si>
    <t>Klaipėdos miestas</t>
  </si>
  <si>
    <t>Kretinga</t>
  </si>
  <si>
    <t>LT-22</t>
  </si>
  <si>
    <t>Kupiškis</t>
  </si>
  <si>
    <t>LT-23</t>
  </si>
  <si>
    <t>Lazdijai</t>
  </si>
  <si>
    <t>LT-24</t>
  </si>
  <si>
    <t>Marijampolė</t>
  </si>
  <si>
    <t>LT-25</t>
  </si>
  <si>
    <t>Marijampolės Apskritis</t>
  </si>
  <si>
    <t>LT-MR</t>
  </si>
  <si>
    <t>Marijampolės apskritis</t>
  </si>
  <si>
    <t>Mažeikiai</t>
  </si>
  <si>
    <t>LT-26</t>
  </si>
  <si>
    <t>Molėtai</t>
  </si>
  <si>
    <t>LT-27</t>
  </si>
  <si>
    <t>Neringa</t>
  </si>
  <si>
    <t>LT-28</t>
  </si>
  <si>
    <t>Pagégiai</t>
  </si>
  <si>
    <t>LT-29</t>
  </si>
  <si>
    <t>Pakruojis</t>
  </si>
  <si>
    <t>LT-30</t>
  </si>
  <si>
    <t>Palangos Miestas</t>
  </si>
  <si>
    <t>LT-31</t>
  </si>
  <si>
    <t>Palangos miestas</t>
  </si>
  <si>
    <t>Panevėžio Apskritis</t>
  </si>
  <si>
    <t>LT-PN</t>
  </si>
  <si>
    <t>Panevėžio apskritis</t>
  </si>
  <si>
    <t>Panevėžio Miestas</t>
  </si>
  <si>
    <t>LT-32</t>
  </si>
  <si>
    <t>Panevėžio miestas</t>
  </si>
  <si>
    <t>Panevėžys</t>
  </si>
  <si>
    <t>LT-33</t>
  </si>
  <si>
    <t>Pasvalys</t>
  </si>
  <si>
    <t>LT-34</t>
  </si>
  <si>
    <t>Plungė</t>
  </si>
  <si>
    <t>LT-35</t>
  </si>
  <si>
    <t>Prienai</t>
  </si>
  <si>
    <t>LT-36</t>
  </si>
  <si>
    <t>Radviliškis</t>
  </si>
  <si>
    <t>LT-37</t>
  </si>
  <si>
    <t>Raseiniai</t>
  </si>
  <si>
    <t>LT-38</t>
  </si>
  <si>
    <t>Rietavo</t>
  </si>
  <si>
    <t>LT-39</t>
  </si>
  <si>
    <t>Rokiškis</t>
  </si>
  <si>
    <t>LT-40</t>
  </si>
  <si>
    <t>Šakiai</t>
  </si>
  <si>
    <t>LT-41</t>
  </si>
  <si>
    <t>Šalčininkai</t>
  </si>
  <si>
    <t>LT-42</t>
  </si>
  <si>
    <t>Šiauliai</t>
  </si>
  <si>
    <t>LT-44</t>
  </si>
  <si>
    <t>Šiaulių Apskritis</t>
  </si>
  <si>
    <t>LT-SA</t>
  </si>
  <si>
    <t>Šiaulių apskritis</t>
  </si>
  <si>
    <t>Šiaulių Miestas</t>
  </si>
  <si>
    <t>LT-43</t>
  </si>
  <si>
    <t>Šiaulių miestas</t>
  </si>
  <si>
    <t>Šilalė</t>
  </si>
  <si>
    <t>LT-45</t>
  </si>
  <si>
    <t>Šilutė</t>
  </si>
  <si>
    <t>LT-46</t>
  </si>
  <si>
    <t>Širvintos</t>
  </si>
  <si>
    <t>LT-47</t>
  </si>
  <si>
    <t>Skuodas</t>
  </si>
  <si>
    <t>LT-48</t>
  </si>
  <si>
    <t>Švenčionys</t>
  </si>
  <si>
    <t>LT-49</t>
  </si>
  <si>
    <t>Tauragė</t>
  </si>
  <si>
    <t>LT-50</t>
  </si>
  <si>
    <t>Tauragės Apskritis</t>
  </si>
  <si>
    <t>LT-TA</t>
  </si>
  <si>
    <t>Tauragės apskritis</t>
  </si>
  <si>
    <t>Telšiai</t>
  </si>
  <si>
    <t>LT-51</t>
  </si>
  <si>
    <t>Telšių Apskritis</t>
  </si>
  <si>
    <t>LT-TE</t>
  </si>
  <si>
    <t>Telšių apskritis</t>
  </si>
  <si>
    <t>Trakai</t>
  </si>
  <si>
    <t>LT-52</t>
  </si>
  <si>
    <t>Ukmergė</t>
  </si>
  <si>
    <t>LT-53</t>
  </si>
  <si>
    <t>Utena</t>
  </si>
  <si>
    <t>LT-54</t>
  </si>
  <si>
    <t>Utenos Apskritis</t>
  </si>
  <si>
    <t>LT-UT</t>
  </si>
  <si>
    <t>Utenos apskritis</t>
  </si>
  <si>
    <t>Varėna</t>
  </si>
  <si>
    <t>LT-55</t>
  </si>
  <si>
    <t>Vilkaviškis</t>
  </si>
  <si>
    <t>LT-56</t>
  </si>
  <si>
    <t>Vilniaus Apskritis</t>
  </si>
  <si>
    <t>LT-VL</t>
  </si>
  <si>
    <t>Vilniaus apskritis</t>
  </si>
  <si>
    <t>Vilniaus Miestas</t>
  </si>
  <si>
    <t>LT-57</t>
  </si>
  <si>
    <t>Vilniaus miestas</t>
  </si>
  <si>
    <t>Vilnius</t>
  </si>
  <si>
    <t>LT-58</t>
  </si>
  <si>
    <t>Visaginas</t>
  </si>
  <si>
    <t>LT-59</t>
  </si>
  <si>
    <t>Zarasai</t>
  </si>
  <si>
    <t>LT-60</t>
  </si>
  <si>
    <t>Capellen</t>
  </si>
  <si>
    <t>canton</t>
  </si>
  <si>
    <t>LU-CA</t>
  </si>
  <si>
    <t>Clervaux</t>
  </si>
  <si>
    <t>LU-CL</t>
  </si>
  <si>
    <t>Diekirch</t>
  </si>
  <si>
    <t>LU-DI</t>
  </si>
  <si>
    <t>Echternach</t>
  </si>
  <si>
    <t>LU-EC</t>
  </si>
  <si>
    <t>Esch-sur-Alzette</t>
  </si>
  <si>
    <t>LU-ES</t>
  </si>
  <si>
    <t>Grevenmacher</t>
  </si>
  <si>
    <t>LU-GR</t>
  </si>
  <si>
    <t>LU-LU</t>
  </si>
  <si>
    <t>Mersch</t>
  </si>
  <si>
    <t>LU-ME</t>
  </si>
  <si>
    <t>Redange</t>
  </si>
  <si>
    <t>LU-RD</t>
  </si>
  <si>
    <t>Remich</t>
  </si>
  <si>
    <t>LU-RM</t>
  </si>
  <si>
    <t>Vianden</t>
  </si>
  <si>
    <t>LU-VD</t>
  </si>
  <si>
    <t>Wiltz</t>
  </si>
  <si>
    <t>LU-WI</t>
  </si>
  <si>
    <t>Aračinovo</t>
  </si>
  <si>
    <t>MK-02</t>
  </si>
  <si>
    <t>Berovo</t>
  </si>
  <si>
    <t>MK-03</t>
  </si>
  <si>
    <t>Bitola</t>
  </si>
  <si>
    <t>MK-04</t>
  </si>
  <si>
    <t>Bogdanci</t>
  </si>
  <si>
    <t>MK-05</t>
  </si>
  <si>
    <t>Bogovinje</t>
  </si>
  <si>
    <t>MK-06</t>
  </si>
  <si>
    <t>Bosilovo</t>
  </si>
  <si>
    <t>MK-07</t>
  </si>
  <si>
    <t>Brvenica</t>
  </si>
  <si>
    <t>MK-08</t>
  </si>
  <si>
    <t>Čaška</t>
  </si>
  <si>
    <t>MK-80</t>
  </si>
  <si>
    <t>Centar Župa</t>
  </si>
  <si>
    <t>MK-78</t>
  </si>
  <si>
    <t>Češinovo-Obleševo</t>
  </si>
  <si>
    <t>MK-81</t>
  </si>
  <si>
    <t>Čučer-Sandevo</t>
  </si>
  <si>
    <t>MK-82</t>
  </si>
  <si>
    <t>Čučer Sandevo</t>
  </si>
  <si>
    <t>Debar</t>
  </si>
  <si>
    <t>MK-21</t>
  </si>
  <si>
    <t>Debarca</t>
  </si>
  <si>
    <t>MK-22</t>
  </si>
  <si>
    <t>Delčevo</t>
  </si>
  <si>
    <t>MK-23</t>
  </si>
  <si>
    <t>Demir Hisar</t>
  </si>
  <si>
    <t>MK-25</t>
  </si>
  <si>
    <t>Demir Kapija</t>
  </si>
  <si>
    <t>MK-24</t>
  </si>
  <si>
    <t>Dojran</t>
  </si>
  <si>
    <t>MK-26</t>
  </si>
  <si>
    <t>Dolneni</t>
  </si>
  <si>
    <t>MK-27</t>
  </si>
  <si>
    <t>Gevgelija</t>
  </si>
  <si>
    <t>MK-18</t>
  </si>
  <si>
    <t>Gostivar</t>
  </si>
  <si>
    <t>MK-19</t>
  </si>
  <si>
    <t>Gradsko</t>
  </si>
  <si>
    <t>MK-20</t>
  </si>
  <si>
    <t>Ilinden</t>
  </si>
  <si>
    <t>MK-34</t>
  </si>
  <si>
    <t>Jegunovce</t>
  </si>
  <si>
    <t>MK-35</t>
  </si>
  <si>
    <t>Karbinci</t>
  </si>
  <si>
    <t>MK-37</t>
  </si>
  <si>
    <t>Kavadarci</t>
  </si>
  <si>
    <t>MK-36</t>
  </si>
  <si>
    <t>Kičevo</t>
  </si>
  <si>
    <t>MK-40</t>
  </si>
  <si>
    <t>Kočani</t>
  </si>
  <si>
    <t>MK-42</t>
  </si>
  <si>
    <t>Konče</t>
  </si>
  <si>
    <t>MK-41</t>
  </si>
  <si>
    <t>Kratovo</t>
  </si>
  <si>
    <t>MK-43</t>
  </si>
  <si>
    <t>Kriva Palanka</t>
  </si>
  <si>
    <t>MK-44</t>
  </si>
  <si>
    <t>Krivogaštani</t>
  </si>
  <si>
    <t>MK-45</t>
  </si>
  <si>
    <t>Kruševo</t>
  </si>
  <si>
    <t>MK-46</t>
  </si>
  <si>
    <t>Kumanovo</t>
  </si>
  <si>
    <t>MK-47</t>
  </si>
  <si>
    <t>Lipkovo</t>
  </si>
  <si>
    <t>MK-48</t>
  </si>
  <si>
    <t>Lozovo</t>
  </si>
  <si>
    <t>MK-49</t>
  </si>
  <si>
    <t>Makedonska Kamenica</t>
  </si>
  <si>
    <t>MK-51</t>
  </si>
  <si>
    <t>Makedonski Brod</t>
  </si>
  <si>
    <t>MK-52</t>
  </si>
  <si>
    <t>Mavrovo i Rostuša</t>
  </si>
  <si>
    <t>MK-50</t>
  </si>
  <si>
    <t>Mogila</t>
  </si>
  <si>
    <t>MK-53</t>
  </si>
  <si>
    <t>Negotino</t>
  </si>
  <si>
    <t>MK-54</t>
  </si>
  <si>
    <t>Novaci</t>
  </si>
  <si>
    <t>MK-55</t>
  </si>
  <si>
    <t>Novo Selo</t>
  </si>
  <si>
    <t>MK-56</t>
  </si>
  <si>
    <t>Ohrid</t>
  </si>
  <si>
    <t>MK-58</t>
  </si>
  <si>
    <t>Pehčevo</t>
  </si>
  <si>
    <t>MK-60</t>
  </si>
  <si>
    <t>Petrovec</t>
  </si>
  <si>
    <t>MK-59</t>
  </si>
  <si>
    <t>Plasnica</t>
  </si>
  <si>
    <t>MK-61</t>
  </si>
  <si>
    <t>Prilep</t>
  </si>
  <si>
    <t>MK-62</t>
  </si>
  <si>
    <t>Probištip</t>
  </si>
  <si>
    <t>MK-63</t>
  </si>
  <si>
    <t>Radoviš</t>
  </si>
  <si>
    <t>MK-64</t>
  </si>
  <si>
    <t>Rankovce</t>
  </si>
  <si>
    <t>MK-65</t>
  </si>
  <si>
    <t>Resen</t>
  </si>
  <si>
    <t>MK-66</t>
  </si>
  <si>
    <t>Rosoman</t>
  </si>
  <si>
    <t>MK-67</t>
  </si>
  <si>
    <t>Skopje</t>
  </si>
  <si>
    <t>MK-85</t>
  </si>
  <si>
    <t>Sopište</t>
  </si>
  <si>
    <t>MK-70</t>
  </si>
  <si>
    <t>Staro Nagoričane</t>
  </si>
  <si>
    <t>MK-71</t>
  </si>
  <si>
    <t>Štip</t>
  </si>
  <si>
    <t>MK-83</t>
  </si>
  <si>
    <t>Struga</t>
  </si>
  <si>
    <t>MK-72</t>
  </si>
  <si>
    <t>Strumica</t>
  </si>
  <si>
    <t>MK-73</t>
  </si>
  <si>
    <t>Studeničani</t>
  </si>
  <si>
    <t>MK-74</t>
  </si>
  <si>
    <t>Sveti Nikole</t>
  </si>
  <si>
    <t>MK-69</t>
  </si>
  <si>
    <t>Tearce</t>
  </si>
  <si>
    <t>MK-75</t>
  </si>
  <si>
    <t>Tetovo</t>
  </si>
  <si>
    <t>MK-76</t>
  </si>
  <si>
    <t>Valandovo</t>
  </si>
  <si>
    <t>MK-10</t>
  </si>
  <si>
    <t>Vasilevo</t>
  </si>
  <si>
    <t>MK-11</t>
  </si>
  <si>
    <t>Veles</t>
  </si>
  <si>
    <t>MK-13</t>
  </si>
  <si>
    <t>Vevčani</t>
  </si>
  <si>
    <t>MK-12</t>
  </si>
  <si>
    <t>Vinica</t>
  </si>
  <si>
    <t>MK-14</t>
  </si>
  <si>
    <t>Vrapčište</t>
  </si>
  <si>
    <t>MK-16</t>
  </si>
  <si>
    <t>Zelenikovo</t>
  </si>
  <si>
    <t>MK-32</t>
  </si>
  <si>
    <t>Želino</t>
  </si>
  <si>
    <t>MK-30</t>
  </si>
  <si>
    <t>Zrnovci</t>
  </si>
  <si>
    <t>MK-33</t>
  </si>
  <si>
    <t>Antananarivo</t>
  </si>
  <si>
    <t>MG-T</t>
  </si>
  <si>
    <t>Antsiranana</t>
  </si>
  <si>
    <t>MG-D</t>
  </si>
  <si>
    <t>Fianarantsoa</t>
  </si>
  <si>
    <t>MG-F</t>
  </si>
  <si>
    <t>Mahajanga</t>
  </si>
  <si>
    <t>MG-M</t>
  </si>
  <si>
    <t>Toamasina</t>
  </si>
  <si>
    <t>MG-A</t>
  </si>
  <si>
    <t>Toliara</t>
  </si>
  <si>
    <t>MG-U</t>
  </si>
  <si>
    <t>Balaka</t>
  </si>
  <si>
    <t>MW-BA</t>
  </si>
  <si>
    <t>Blantyre</t>
  </si>
  <si>
    <t>MW-BL</t>
  </si>
  <si>
    <t>Central Region</t>
  </si>
  <si>
    <t>MW-C</t>
  </si>
  <si>
    <t>Chikwawa</t>
  </si>
  <si>
    <t>MW-CK</t>
  </si>
  <si>
    <t>Chiradzulu</t>
  </si>
  <si>
    <t>MW-CR</t>
  </si>
  <si>
    <t>Chitipa</t>
  </si>
  <si>
    <t>MW-CT</t>
  </si>
  <si>
    <t>Dedza</t>
  </si>
  <si>
    <t>MW-DE</t>
  </si>
  <si>
    <t>Dowa</t>
  </si>
  <si>
    <t>MW-DO</t>
  </si>
  <si>
    <t>Karonga</t>
  </si>
  <si>
    <t>MW-KR</t>
  </si>
  <si>
    <t>Kasungu</t>
  </si>
  <si>
    <t>MW-KS</t>
  </si>
  <si>
    <t>Likoma</t>
  </si>
  <si>
    <t>MW-LK</t>
  </si>
  <si>
    <t>Lilongwe</t>
  </si>
  <si>
    <t>MW-LI</t>
  </si>
  <si>
    <t>Machinga</t>
  </si>
  <si>
    <t>MW-MH</t>
  </si>
  <si>
    <t>Mangochi</t>
  </si>
  <si>
    <t>MW-MG</t>
  </si>
  <si>
    <t>Mchinji</t>
  </si>
  <si>
    <t>MW-MC</t>
  </si>
  <si>
    <t>Mulanje</t>
  </si>
  <si>
    <t>MW-MU</t>
  </si>
  <si>
    <t>Mwanza</t>
  </si>
  <si>
    <t>MW-MW</t>
  </si>
  <si>
    <t>Mzimba</t>
  </si>
  <si>
    <t>MW-MZ</t>
  </si>
  <si>
    <t>Neno</t>
  </si>
  <si>
    <t>MW-NE</t>
  </si>
  <si>
    <t>Nkhata Bay</t>
  </si>
  <si>
    <t>MW-NB</t>
  </si>
  <si>
    <t>Nkhotakota</t>
  </si>
  <si>
    <t>MW-NK</t>
  </si>
  <si>
    <t>Northern Region</t>
  </si>
  <si>
    <t>MW-N</t>
  </si>
  <si>
    <t>Nsanje</t>
  </si>
  <si>
    <t>MW-NS</t>
  </si>
  <si>
    <t>Ntcheu</t>
  </si>
  <si>
    <t>MW-NU</t>
  </si>
  <si>
    <t>Ntchisi</t>
  </si>
  <si>
    <t>MW-NI</t>
  </si>
  <si>
    <t>Phalombe</t>
  </si>
  <si>
    <t>MW-PH</t>
  </si>
  <si>
    <t>Rumphi</t>
  </si>
  <si>
    <t>MW-RU</t>
  </si>
  <si>
    <t>Salima</t>
  </si>
  <si>
    <t>MW-SA</t>
  </si>
  <si>
    <t>Southern Region</t>
  </si>
  <si>
    <t>MW-S</t>
  </si>
  <si>
    <t>Thyolo</t>
  </si>
  <si>
    <t>MW-TH</t>
  </si>
  <si>
    <t>Zomba</t>
  </si>
  <si>
    <t>MW-ZO</t>
  </si>
  <si>
    <t>Johor</t>
  </si>
  <si>
    <t>MY-01</t>
  </si>
  <si>
    <t>Kedah</t>
  </si>
  <si>
    <t>MY-02</t>
  </si>
  <si>
    <t>Kelantan</t>
  </si>
  <si>
    <t>MY-03</t>
  </si>
  <si>
    <t xml:space="preserve">Kuala Lumpur </t>
  </si>
  <si>
    <t>federal territory</t>
  </si>
  <si>
    <t>MY-14</t>
  </si>
  <si>
    <t>Wilayah Persekutuan Kuala Lumpur</t>
  </si>
  <si>
    <t>Labuan</t>
  </si>
  <si>
    <t>MY-15</t>
  </si>
  <si>
    <t>Wilayah Persekutuan Labuan</t>
  </si>
  <si>
    <t>Melaka</t>
  </si>
  <si>
    <t>MY-04</t>
  </si>
  <si>
    <t>Negeri Sembilan</t>
  </si>
  <si>
    <t>MY-05</t>
  </si>
  <si>
    <t>Pahang</t>
  </si>
  <si>
    <t>MY-06</t>
  </si>
  <si>
    <t>Perak</t>
  </si>
  <si>
    <t>MY-08</t>
  </si>
  <si>
    <t>Perlis</t>
  </si>
  <si>
    <t>MY-09</t>
  </si>
  <si>
    <t>Pulau Pinang</t>
  </si>
  <si>
    <t>MY-07</t>
  </si>
  <si>
    <t>Putrajaya</t>
  </si>
  <si>
    <t>MY-16</t>
  </si>
  <si>
    <t>Wilayah Persekutuan Putrajaya</t>
  </si>
  <si>
    <t>Sabah</t>
  </si>
  <si>
    <t>MY-12</t>
  </si>
  <si>
    <t>Sarawak</t>
  </si>
  <si>
    <t>MY-13</t>
  </si>
  <si>
    <t>Selangor</t>
  </si>
  <si>
    <t>MY-10</t>
  </si>
  <si>
    <t>Terengganu</t>
  </si>
  <si>
    <t>MY-11</t>
  </si>
  <si>
    <t>Addu Atholhu</t>
  </si>
  <si>
    <t>administrative atoll</t>
  </si>
  <si>
    <t>MV-01</t>
  </si>
  <si>
    <t>Seenu</t>
  </si>
  <si>
    <t>Ari Atholhu Dhekunuburi</t>
  </si>
  <si>
    <t>MV-00</t>
  </si>
  <si>
    <t>Alifu Dhaalu</t>
  </si>
  <si>
    <t>Ari Atholhu Uthuruburi</t>
  </si>
  <si>
    <t>MV-02</t>
  </si>
  <si>
    <t>Alifu Alifu</t>
  </si>
  <si>
    <t>Dhekunu</t>
  </si>
  <si>
    <t>MV-SU</t>
  </si>
  <si>
    <t>Faadhippolhu</t>
  </si>
  <si>
    <t>MV-03</t>
  </si>
  <si>
    <t>Lhaviyani</t>
  </si>
  <si>
    <t>Felidhu Atholhu</t>
  </si>
  <si>
    <t>MV-04</t>
  </si>
  <si>
    <t>Vaavu</t>
  </si>
  <si>
    <t>Fuvammulah</t>
  </si>
  <si>
    <t>MV-29</t>
  </si>
  <si>
    <t>Gnaviyani</t>
  </si>
  <si>
    <t>Hadhdhunmathi</t>
  </si>
  <si>
    <t>MV-05</t>
  </si>
  <si>
    <t>Laamu</t>
  </si>
  <si>
    <t>Huvadhu Atholhu Dhekunuburi</t>
  </si>
  <si>
    <t>MV-28</t>
  </si>
  <si>
    <t>Gaafu Dhaalu</t>
  </si>
  <si>
    <t>Huvadhu Atholhu Uthuruburi</t>
  </si>
  <si>
    <t>MV-27</t>
  </si>
  <si>
    <t>Gaafu Alifu</t>
  </si>
  <si>
    <t>Kolhumadulu</t>
  </si>
  <si>
    <t>MV-08</t>
  </si>
  <si>
    <t>Thaa</t>
  </si>
  <si>
    <t>Maale</t>
  </si>
  <si>
    <t>MV-MLE</t>
  </si>
  <si>
    <t>Male</t>
  </si>
  <si>
    <t>capital</t>
  </si>
  <si>
    <t>Maale Atholhu</t>
  </si>
  <si>
    <t>MV-26</t>
  </si>
  <si>
    <t>Kaafu</t>
  </si>
  <si>
    <t>Maalhosmadulu Dhekunuburi</t>
  </si>
  <si>
    <t>MV-20</t>
  </si>
  <si>
    <t>Baa</t>
  </si>
  <si>
    <t>Maalhosmadulu Uthuruburi</t>
  </si>
  <si>
    <t>MV-13</t>
  </si>
  <si>
    <t>Raa</t>
  </si>
  <si>
    <t>Mathi Dhekunu</t>
  </si>
  <si>
    <t>MV-US</t>
  </si>
  <si>
    <t>Upper South</t>
  </si>
  <si>
    <t>Mathi Uthuru</t>
  </si>
  <si>
    <t>MV-UN</t>
  </si>
  <si>
    <t>Upper North</t>
  </si>
  <si>
    <t>Medhu</t>
  </si>
  <si>
    <t>MV-CE</t>
  </si>
  <si>
    <t>Medhu Dhekunu</t>
  </si>
  <si>
    <t>MV-SC</t>
  </si>
  <si>
    <t>South Central</t>
  </si>
  <si>
    <t>Medhu Uthuru</t>
  </si>
  <si>
    <t>MV-NC</t>
  </si>
  <si>
    <t>North Central</t>
  </si>
  <si>
    <t>Miladhunmadulu Dhekunuburi</t>
  </si>
  <si>
    <t>MV-25</t>
  </si>
  <si>
    <t>Noonu</t>
  </si>
  <si>
    <t>Miladhunmadulu Uthuruburi</t>
  </si>
  <si>
    <t>MV-24</t>
  </si>
  <si>
    <t>Shaviyani</t>
  </si>
  <si>
    <t>Mulakatholhu</t>
  </si>
  <si>
    <t>MV-12</t>
  </si>
  <si>
    <t>Meemu</t>
  </si>
  <si>
    <t>Nilandhe Atholhu Dhekunuburi</t>
  </si>
  <si>
    <t>MV-17</t>
  </si>
  <si>
    <t>Dhaalu</t>
  </si>
  <si>
    <t>Nilandhe Atholhu Uthuruburi</t>
  </si>
  <si>
    <t>MV-14</t>
  </si>
  <si>
    <t>Faafu</t>
  </si>
  <si>
    <t>Thiladhunmathee Dhekunuburi</t>
  </si>
  <si>
    <t>MV-23</t>
  </si>
  <si>
    <t>Haa Dhaalu</t>
  </si>
  <si>
    <t>Thiladhunmathee Uthuruburi</t>
  </si>
  <si>
    <t>MV-07</t>
  </si>
  <si>
    <t>Haa Alifu</t>
  </si>
  <si>
    <t>Uthuru</t>
  </si>
  <si>
    <t>MV-NO</t>
  </si>
  <si>
    <t>Bamako</t>
  </si>
  <si>
    <t>ML-BKO</t>
  </si>
  <si>
    <t>Gao</t>
  </si>
  <si>
    <t>ML-7</t>
  </si>
  <si>
    <t>Kayes</t>
  </si>
  <si>
    <t>ML-1</t>
  </si>
  <si>
    <t>Kidal</t>
  </si>
  <si>
    <t>ML-8</t>
  </si>
  <si>
    <t>Koulikoro</t>
  </si>
  <si>
    <t>ML-2</t>
  </si>
  <si>
    <t>Mopti</t>
  </si>
  <si>
    <t>ML-5</t>
  </si>
  <si>
    <t>Ségou</t>
  </si>
  <si>
    <t>ML-4</t>
  </si>
  <si>
    <t>Sikasso</t>
  </si>
  <si>
    <t>ML-3</t>
  </si>
  <si>
    <t>Tombouctou</t>
  </si>
  <si>
    <t>ML-6</t>
  </si>
  <si>
    <t>Attard</t>
  </si>
  <si>
    <t>locality</t>
  </si>
  <si>
    <t>MT-01</t>
  </si>
  <si>
    <t>local council</t>
  </si>
  <si>
    <t>Balzan</t>
  </si>
  <si>
    <t>MT-02</t>
  </si>
  <si>
    <t>Birgu</t>
  </si>
  <si>
    <t>MT-03</t>
  </si>
  <si>
    <t>Birkirkara</t>
  </si>
  <si>
    <t>MT-04</t>
  </si>
  <si>
    <t>Birżebbuġa</t>
  </si>
  <si>
    <t>MT-05</t>
  </si>
  <si>
    <t>Bormla</t>
  </si>
  <si>
    <t>MT-06</t>
  </si>
  <si>
    <t>Dingli</t>
  </si>
  <si>
    <t>MT-07</t>
  </si>
  <si>
    <t>Fgura</t>
  </si>
  <si>
    <t>MT-08</t>
  </si>
  <si>
    <t>Floriana</t>
  </si>
  <si>
    <t>MT-09</t>
  </si>
  <si>
    <t>Fontana</t>
  </si>
  <si>
    <t>MT-10</t>
  </si>
  <si>
    <t>Għajnsielem</t>
  </si>
  <si>
    <t>MT-13</t>
  </si>
  <si>
    <t>Għarb</t>
  </si>
  <si>
    <t>MT-14</t>
  </si>
  <si>
    <t>Għargħur</t>
  </si>
  <si>
    <t>MT-15</t>
  </si>
  <si>
    <t>Għasri</t>
  </si>
  <si>
    <t>MT-16</t>
  </si>
  <si>
    <t>Għaxaq</t>
  </si>
  <si>
    <t>MT-17</t>
  </si>
  <si>
    <t>Gudja</t>
  </si>
  <si>
    <t>MT-11</t>
  </si>
  <si>
    <t>Gżira</t>
  </si>
  <si>
    <t>MT-12</t>
  </si>
  <si>
    <t>Ħamrun</t>
  </si>
  <si>
    <t>MT-18</t>
  </si>
  <si>
    <t>Iklin</t>
  </si>
  <si>
    <t>MT-19</t>
  </si>
  <si>
    <t>Imdina</t>
  </si>
  <si>
    <t>MT-29</t>
  </si>
  <si>
    <t>Mdina</t>
  </si>
  <si>
    <t>Imġarr</t>
  </si>
  <si>
    <t>MT-31</t>
  </si>
  <si>
    <t>Mġarr</t>
  </si>
  <si>
    <t>Imqabba</t>
  </si>
  <si>
    <t>MT-33</t>
  </si>
  <si>
    <t>Mqabba</t>
  </si>
  <si>
    <t>Imsida</t>
  </si>
  <si>
    <t>MT-34</t>
  </si>
  <si>
    <t>Msida</t>
  </si>
  <si>
    <t>Imtarfa</t>
  </si>
  <si>
    <t>MT-35</t>
  </si>
  <si>
    <t>Mtarfa</t>
  </si>
  <si>
    <t>Isla</t>
  </si>
  <si>
    <t>MT-20</t>
  </si>
  <si>
    <t>Kalkara</t>
  </si>
  <si>
    <t>MT-21</t>
  </si>
  <si>
    <t>Kerċem</t>
  </si>
  <si>
    <t>MT-22</t>
  </si>
  <si>
    <t>Kirkop</t>
  </si>
  <si>
    <t>MT-23</t>
  </si>
  <si>
    <t>Lija</t>
  </si>
  <si>
    <t>MT-24</t>
  </si>
  <si>
    <t>Luqa</t>
  </si>
  <si>
    <t>MT-25</t>
  </si>
  <si>
    <t>Marsa</t>
  </si>
  <si>
    <t>MT-26</t>
  </si>
  <si>
    <t>Marsaskala</t>
  </si>
  <si>
    <t>MT-27</t>
  </si>
  <si>
    <t>Marsaxlokk</t>
  </si>
  <si>
    <t>MT-28</t>
  </si>
  <si>
    <t>Mellieħa</t>
  </si>
  <si>
    <t>MT-30</t>
  </si>
  <si>
    <t>Mosta</t>
  </si>
  <si>
    <t>MT-32</t>
  </si>
  <si>
    <t>Munxar</t>
  </si>
  <si>
    <t>MT-36</t>
  </si>
  <si>
    <t>Nadur</t>
  </si>
  <si>
    <t>MT-37</t>
  </si>
  <si>
    <t>Naxxar</t>
  </si>
  <si>
    <t>MT-38</t>
  </si>
  <si>
    <t>Paola</t>
  </si>
  <si>
    <t>MT-39</t>
  </si>
  <si>
    <t>MT-40</t>
  </si>
  <si>
    <t>Pietà</t>
  </si>
  <si>
    <t>MT-41</t>
  </si>
  <si>
    <t>Qala</t>
  </si>
  <si>
    <t>MT-42</t>
  </si>
  <si>
    <t>Qormi</t>
  </si>
  <si>
    <t>MT-43</t>
  </si>
  <si>
    <t>Qrendi</t>
  </si>
  <si>
    <t>MT-44</t>
  </si>
  <si>
    <t>Rabat</t>
  </si>
  <si>
    <t>MT-46</t>
  </si>
  <si>
    <t>Rabat Malta</t>
  </si>
  <si>
    <t>Rabat (Ghawdex)</t>
  </si>
  <si>
    <t>MT-45</t>
  </si>
  <si>
    <t>Rabat Għawdex</t>
  </si>
  <si>
    <t>Safi</t>
  </si>
  <si>
    <t>MT-47</t>
  </si>
  <si>
    <t>San Ġiljan</t>
  </si>
  <si>
    <t>MT-48</t>
  </si>
  <si>
    <t>San Ġwann</t>
  </si>
  <si>
    <t>MT-49</t>
  </si>
  <si>
    <t>San Lawrenz</t>
  </si>
  <si>
    <t>MT-50</t>
  </si>
  <si>
    <t>Sannat</t>
  </si>
  <si>
    <t>MT-52</t>
  </si>
  <si>
    <t>San Pawl il-Baħar</t>
  </si>
  <si>
    <t>MT-51</t>
  </si>
  <si>
    <t>Santa Luċija</t>
  </si>
  <si>
    <t>MT-53</t>
  </si>
  <si>
    <t>Santa Venera</t>
  </si>
  <si>
    <t>MT-54</t>
  </si>
  <si>
    <t>Siġġiewi</t>
  </si>
  <si>
    <t>MT-55</t>
  </si>
  <si>
    <t>Sliema</t>
  </si>
  <si>
    <t>MT-56</t>
  </si>
  <si>
    <t>Swieqi</t>
  </si>
  <si>
    <t>MT-57</t>
  </si>
  <si>
    <t>Tarxien</t>
  </si>
  <si>
    <t>MT-59</t>
  </si>
  <si>
    <t>Ta’ Xbiex</t>
  </si>
  <si>
    <t>MT-58</t>
  </si>
  <si>
    <t>Valletta</t>
  </si>
  <si>
    <t>MT-60</t>
  </si>
  <si>
    <t>Xagħra</t>
  </si>
  <si>
    <t>MT-61</t>
  </si>
  <si>
    <t>Xewkija</t>
  </si>
  <si>
    <t>MT-62</t>
  </si>
  <si>
    <t>Xgħajra</t>
  </si>
  <si>
    <t>MT-63</t>
  </si>
  <si>
    <t>Żabbar</t>
  </si>
  <si>
    <t>MT-64</t>
  </si>
  <si>
    <t>Żebbuġ</t>
  </si>
  <si>
    <t>MT-66</t>
  </si>
  <si>
    <t>Żebbuġ Malta</t>
  </si>
  <si>
    <t>Żebbuġ (Ghawdex)</t>
  </si>
  <si>
    <t>MT-65</t>
  </si>
  <si>
    <t>Żebbuġ Għawdex</t>
  </si>
  <si>
    <t>Żejtun</t>
  </si>
  <si>
    <t>MT-67</t>
  </si>
  <si>
    <t>Żurrieq</t>
  </si>
  <si>
    <t>MT-68</t>
  </si>
  <si>
    <t>Ailinglaplap</t>
  </si>
  <si>
    <t>MH-ALL</t>
  </si>
  <si>
    <t>Ailuk</t>
  </si>
  <si>
    <t>MH-ALK</t>
  </si>
  <si>
    <t>Arno</t>
  </si>
  <si>
    <t>MH-ARN</t>
  </si>
  <si>
    <t>Aur</t>
  </si>
  <si>
    <t>MH-AUR</t>
  </si>
  <si>
    <t>Bikini &amp; Kili</t>
  </si>
  <si>
    <t>MH-KIL</t>
  </si>
  <si>
    <t>Bikini and Kili</t>
  </si>
  <si>
    <t>Ebon</t>
  </si>
  <si>
    <t>MH-EBO</t>
  </si>
  <si>
    <t>Enewtak &amp; Ujelang</t>
  </si>
  <si>
    <t>MH-ENI</t>
  </si>
  <si>
    <t>Enewetak and Ujelang</t>
  </si>
  <si>
    <t>Jabat</t>
  </si>
  <si>
    <t>MH-JAB</t>
  </si>
  <si>
    <t>Jaluit</t>
  </si>
  <si>
    <t>MH-JAL</t>
  </si>
  <si>
    <t>Kwajalein</t>
  </si>
  <si>
    <t>MH-KWA</t>
  </si>
  <si>
    <t>Lae</t>
  </si>
  <si>
    <t>MH-LAE</t>
  </si>
  <si>
    <t>Lib</t>
  </si>
  <si>
    <t>MH-LIB</t>
  </si>
  <si>
    <t>Likiep</t>
  </si>
  <si>
    <t>MH-LIK</t>
  </si>
  <si>
    <t>Majuro</t>
  </si>
  <si>
    <t>MH-MAJ</t>
  </si>
  <si>
    <t>Maloelap</t>
  </si>
  <si>
    <t>MH-MAL</t>
  </si>
  <si>
    <t>Mejit</t>
  </si>
  <si>
    <t>MH-MEJ</t>
  </si>
  <si>
    <t>Mili</t>
  </si>
  <si>
    <t>MH-MIL</t>
  </si>
  <si>
    <t>Namdrik</t>
  </si>
  <si>
    <t>MH-NMK</t>
  </si>
  <si>
    <t>Namu</t>
  </si>
  <si>
    <t>MH-NMU</t>
  </si>
  <si>
    <t>Ralik Chain</t>
  </si>
  <si>
    <t>chain (of islands)</t>
  </si>
  <si>
    <t>MH-L</t>
  </si>
  <si>
    <t>Ralik chain</t>
  </si>
  <si>
    <t>Ratak Chain</t>
  </si>
  <si>
    <t>MH-T</t>
  </si>
  <si>
    <t>Ratak chain</t>
  </si>
  <si>
    <t>Rongelap</t>
  </si>
  <si>
    <t>MH-RON</t>
  </si>
  <si>
    <t>Ujae</t>
  </si>
  <si>
    <t>MH-UJA</t>
  </si>
  <si>
    <t>Utrik</t>
  </si>
  <si>
    <t>MH-UTI</t>
  </si>
  <si>
    <t>Wotho</t>
  </si>
  <si>
    <t>MH-WTH</t>
  </si>
  <si>
    <t>Wotje</t>
  </si>
  <si>
    <t>MH-WTJ</t>
  </si>
  <si>
    <t>MR-07</t>
  </si>
  <si>
    <t>Assaba</t>
  </si>
  <si>
    <t>MR-03</t>
  </si>
  <si>
    <t>Brakna</t>
  </si>
  <si>
    <t>MR-05</t>
  </si>
  <si>
    <t>Dakhlet Nouadhibou</t>
  </si>
  <si>
    <t>MR-08</t>
  </si>
  <si>
    <t>Dakhlet Nouâdhibou</t>
  </si>
  <si>
    <t>Gorgol</t>
  </si>
  <si>
    <t>MR-04</t>
  </si>
  <si>
    <t>Guidimaka</t>
  </si>
  <si>
    <t>MR-10</t>
  </si>
  <si>
    <t>Hodh ech Chargui</t>
  </si>
  <si>
    <t>MR-01</t>
  </si>
  <si>
    <t>Hodh el Gharbi</t>
  </si>
  <si>
    <t>MR-02</t>
  </si>
  <si>
    <t>Inchiri</t>
  </si>
  <si>
    <t>MR-12</t>
  </si>
  <si>
    <t>Nouakchott Nord</t>
  </si>
  <si>
    <t>MR-14</t>
  </si>
  <si>
    <t>Nuwākshūţ ash Shamālīyah</t>
  </si>
  <si>
    <t>Nouakchott Ouest</t>
  </si>
  <si>
    <t>MR-13</t>
  </si>
  <si>
    <t>Nuwākshūţ al Gharbīyah</t>
  </si>
  <si>
    <t>Nouakchott Sud</t>
  </si>
  <si>
    <t>MR-15</t>
  </si>
  <si>
    <t>Nuwākshūţ al Janūbīyah</t>
  </si>
  <si>
    <t>Tagant</t>
  </si>
  <si>
    <t>MR-09</t>
  </si>
  <si>
    <t>Tiris Zemmour</t>
  </si>
  <si>
    <t>MR-11</t>
  </si>
  <si>
    <t>Trarza</t>
  </si>
  <si>
    <t>MR-06</t>
  </si>
  <si>
    <t>Agalega Islands</t>
  </si>
  <si>
    <t>MU-AG</t>
  </si>
  <si>
    <t>Beau Bassin-Rose Hill</t>
  </si>
  <si>
    <t>MU-BR</t>
  </si>
  <si>
    <t>Black River</t>
  </si>
  <si>
    <t>MU-BL</t>
  </si>
  <si>
    <t>Cargados Carajos</t>
  </si>
  <si>
    <t>MU-CC</t>
  </si>
  <si>
    <t>Cargados Carajos Shoals</t>
  </si>
  <si>
    <t>Curepipe</t>
  </si>
  <si>
    <t>MU-CU</t>
  </si>
  <si>
    <t>Flacq</t>
  </si>
  <si>
    <t>MU-FL</t>
  </si>
  <si>
    <t>Grand Port</t>
  </si>
  <si>
    <t>MU-GP</t>
  </si>
  <si>
    <t>Moka</t>
  </si>
  <si>
    <t>MU-MO</t>
  </si>
  <si>
    <t>Pamplemousses</t>
  </si>
  <si>
    <t>MU-PA</t>
  </si>
  <si>
    <t>Plaines Wilhems</t>
  </si>
  <si>
    <t>MU-PW</t>
  </si>
  <si>
    <t>Port Louis</t>
  </si>
  <si>
    <t>MU-PU</t>
  </si>
  <si>
    <t>MU-PL</t>
  </si>
  <si>
    <t>Quatre Bornes</t>
  </si>
  <si>
    <t>MU-QB</t>
  </si>
  <si>
    <t>Rivière du Rempart</t>
  </si>
  <si>
    <t>MU-RR</t>
  </si>
  <si>
    <t>Rodrigues</t>
  </si>
  <si>
    <t>MU-RO</t>
  </si>
  <si>
    <t>Rodrigues Island</t>
  </si>
  <si>
    <t>Savanne</t>
  </si>
  <si>
    <t>MU-SA</t>
  </si>
  <si>
    <t>Vacoas-Phoenix</t>
  </si>
  <si>
    <t>MU-VP</t>
  </si>
  <si>
    <t>Aguascalientes</t>
  </si>
  <si>
    <t>MX-AGU</t>
  </si>
  <si>
    <t>Baja California</t>
  </si>
  <si>
    <t>MX-BCN</t>
  </si>
  <si>
    <t>Baja California Sur</t>
  </si>
  <si>
    <t>MX-BCS</t>
  </si>
  <si>
    <t>Campeche</t>
  </si>
  <si>
    <t>MX-CAM</t>
  </si>
  <si>
    <t>Chiapas</t>
  </si>
  <si>
    <t>MX-CHP</t>
  </si>
  <si>
    <t>Chihuahua</t>
  </si>
  <si>
    <t>MX-CHH</t>
  </si>
  <si>
    <t>Ciudad de México</t>
  </si>
  <si>
    <t>MX-CMX</t>
  </si>
  <si>
    <t>Ciudad de Mexico</t>
  </si>
  <si>
    <t>Coahuila de Zaragoza</t>
  </si>
  <si>
    <t>MX-COA</t>
  </si>
  <si>
    <t>Colima</t>
  </si>
  <si>
    <t>MX-COL</t>
  </si>
  <si>
    <t>Durango</t>
  </si>
  <si>
    <t>MX-DUR</t>
  </si>
  <si>
    <t>Guanajuato</t>
  </si>
  <si>
    <t>MX-GUA</t>
  </si>
  <si>
    <t>Guerrero</t>
  </si>
  <si>
    <t>MX-GRO</t>
  </si>
  <si>
    <t>Hidalgo</t>
  </si>
  <si>
    <t>MX-HID</t>
  </si>
  <si>
    <t>Jalisco</t>
  </si>
  <si>
    <t>MX-JAL</t>
  </si>
  <si>
    <t>México</t>
  </si>
  <si>
    <t>MX-MEX</t>
  </si>
  <si>
    <t>Michoacán de Ocampo</t>
  </si>
  <si>
    <t>MX-MIC</t>
  </si>
  <si>
    <t>Morelos</t>
  </si>
  <si>
    <t>MX-MOR</t>
  </si>
  <si>
    <t>Nayarit</t>
  </si>
  <si>
    <t>MX-NAY</t>
  </si>
  <si>
    <t>Nuevo León</t>
  </si>
  <si>
    <t>MX-NLE</t>
  </si>
  <si>
    <t>Oaxaca</t>
  </si>
  <si>
    <t>MX-OAX</t>
  </si>
  <si>
    <t>Puebla</t>
  </si>
  <si>
    <t>MX-PUE</t>
  </si>
  <si>
    <t>Querétaro</t>
  </si>
  <si>
    <t>MX-QUE</t>
  </si>
  <si>
    <t>Quintana Roo</t>
  </si>
  <si>
    <t>MX-ROO</t>
  </si>
  <si>
    <t>San Luis Potosí</t>
  </si>
  <si>
    <t>MX-SLP</t>
  </si>
  <si>
    <t>Sinaloa</t>
  </si>
  <si>
    <t>MX-SIN</t>
  </si>
  <si>
    <t>Sonora</t>
  </si>
  <si>
    <t>MX-SON</t>
  </si>
  <si>
    <t>Tabasco</t>
  </si>
  <si>
    <t>MX-TAB</t>
  </si>
  <si>
    <t>Tamaulipas</t>
  </si>
  <si>
    <t>MX-TAM</t>
  </si>
  <si>
    <t>Tlaxcala</t>
  </si>
  <si>
    <t>MX-TLA</t>
  </si>
  <si>
    <t>Veracruz</t>
  </si>
  <si>
    <t>MX-VER</t>
  </si>
  <si>
    <t>Veracruz de Ignacio de la Llave</t>
  </si>
  <si>
    <t>Yucatán</t>
  </si>
  <si>
    <t>MX-YUC</t>
  </si>
  <si>
    <t>Zacatecas</t>
  </si>
  <si>
    <t>MX-ZAC</t>
  </si>
  <si>
    <t>Chuuk</t>
  </si>
  <si>
    <t>FM-TRK</t>
  </si>
  <si>
    <t>Kosrae</t>
  </si>
  <si>
    <t>FM-KSA</t>
  </si>
  <si>
    <t>Pohnpei</t>
  </si>
  <si>
    <t>FM-PNI</t>
  </si>
  <si>
    <t>Yap</t>
  </si>
  <si>
    <t>FM-YAP</t>
  </si>
  <si>
    <t>Anenii Noi</t>
  </si>
  <si>
    <t>MD-AN</t>
  </si>
  <si>
    <t>Bălţi</t>
  </si>
  <si>
    <t>MD-BA</t>
  </si>
  <si>
    <t>Basarabeasca</t>
  </si>
  <si>
    <t>MD-BS</t>
  </si>
  <si>
    <t>Bender</t>
  </si>
  <si>
    <t>MD-BD</t>
  </si>
  <si>
    <t>Briceni</t>
  </si>
  <si>
    <t>MD-BR</t>
  </si>
  <si>
    <t>Cahul</t>
  </si>
  <si>
    <t>MD-CA</t>
  </si>
  <si>
    <t>Călăraşi</t>
  </si>
  <si>
    <t>MD-CL</t>
  </si>
  <si>
    <t>Cantemir</t>
  </si>
  <si>
    <t>MD-CT</t>
  </si>
  <si>
    <t>Căuşeni</t>
  </si>
  <si>
    <t>MD-CS</t>
  </si>
  <si>
    <t>Chişinău</t>
  </si>
  <si>
    <t>MD-CU</t>
  </si>
  <si>
    <t>Cimişlia</t>
  </si>
  <si>
    <t>MD-CM</t>
  </si>
  <si>
    <t>Criuleni</t>
  </si>
  <si>
    <t>MD-CR</t>
  </si>
  <si>
    <t>Donduşeni</t>
  </si>
  <si>
    <t>MD-DO</t>
  </si>
  <si>
    <t>Drochia</t>
  </si>
  <si>
    <t>MD-DR</t>
  </si>
  <si>
    <t>Dubăsari</t>
  </si>
  <si>
    <t>MD-DU</t>
  </si>
  <si>
    <t>Edineţ</t>
  </si>
  <si>
    <t>MD-ED</t>
  </si>
  <si>
    <t>Făleşti</t>
  </si>
  <si>
    <t>MD-FA</t>
  </si>
  <si>
    <t>Floreşti</t>
  </si>
  <si>
    <t>MD-FL</t>
  </si>
  <si>
    <t>Găgăuzia</t>
  </si>
  <si>
    <t>autonomous territorial unit</t>
  </si>
  <si>
    <t>MD-GA</t>
  </si>
  <si>
    <t>Găgăuzia, Unitatea teritorială autonomă (UTAG)</t>
  </si>
  <si>
    <t>Glodeni</t>
  </si>
  <si>
    <t>MD-GL</t>
  </si>
  <si>
    <t>Hînceşti</t>
  </si>
  <si>
    <t>MD-HI</t>
  </si>
  <si>
    <t>Ialoveni</t>
  </si>
  <si>
    <t>MD-IA</t>
  </si>
  <si>
    <t>Leova</t>
  </si>
  <si>
    <t>MD-LE</t>
  </si>
  <si>
    <t>Nisporeni</t>
  </si>
  <si>
    <t>MD-NI</t>
  </si>
  <si>
    <t>Ocniţa</t>
  </si>
  <si>
    <t>MD-OC</t>
  </si>
  <si>
    <t>Orhei</t>
  </si>
  <si>
    <t>MD-OR</t>
  </si>
  <si>
    <t>Rezina</t>
  </si>
  <si>
    <t>MD-RE</t>
  </si>
  <si>
    <t>Rîşcani</t>
  </si>
  <si>
    <t>MD-RI</t>
  </si>
  <si>
    <t>Sîngerei</t>
  </si>
  <si>
    <t>MD-SI</t>
  </si>
  <si>
    <t>Şoldăneşti</t>
  </si>
  <si>
    <t>MD-SD</t>
  </si>
  <si>
    <t>Soroca</t>
  </si>
  <si>
    <t>MD-SO</t>
  </si>
  <si>
    <t>Ştefan-Vodă</t>
  </si>
  <si>
    <t>MD-SV</t>
  </si>
  <si>
    <t>Ştefan Vodă</t>
  </si>
  <si>
    <t>Stînga Nistrului</t>
  </si>
  <si>
    <t>territorial unit</t>
  </si>
  <si>
    <t>MD-SN</t>
  </si>
  <si>
    <t>Stînga Nistrului, unitatea teritorială din</t>
  </si>
  <si>
    <t>Străşeni</t>
  </si>
  <si>
    <t>MD-ST</t>
  </si>
  <si>
    <t>Taraclia</t>
  </si>
  <si>
    <t>MD-TA</t>
  </si>
  <si>
    <t>Teleneşti</t>
  </si>
  <si>
    <t>MD-TE</t>
  </si>
  <si>
    <t>Ungheni</t>
  </si>
  <si>
    <t>MD-UN</t>
  </si>
  <si>
    <t>Fontvieille</t>
  </si>
  <si>
    <t>quarter</t>
  </si>
  <si>
    <t>MC-FO</t>
  </si>
  <si>
    <t>Jardin Exotique</t>
  </si>
  <si>
    <t>MC-JE</t>
  </si>
  <si>
    <t>La Colle</t>
  </si>
  <si>
    <t>MC-CL</t>
  </si>
  <si>
    <t>La Condamine</t>
  </si>
  <si>
    <t>MC-CO</t>
  </si>
  <si>
    <t>La Gare</t>
  </si>
  <si>
    <t>MC-GA</t>
  </si>
  <si>
    <t>Larvotto</t>
  </si>
  <si>
    <t>MC-LA</t>
  </si>
  <si>
    <t>La Source</t>
  </si>
  <si>
    <t>MC-SO</t>
  </si>
  <si>
    <t>Malbousquet</t>
  </si>
  <si>
    <t>MC-MA</t>
  </si>
  <si>
    <t>Monaco-Ville</t>
  </si>
  <si>
    <t>MC-MO</t>
  </si>
  <si>
    <t>Moneghetti</t>
  </si>
  <si>
    <t>MC-MG</t>
  </si>
  <si>
    <t>Monte-Carlo</t>
  </si>
  <si>
    <t>MC-MC</t>
  </si>
  <si>
    <t>Moulins</t>
  </si>
  <si>
    <t>MC-MU</t>
  </si>
  <si>
    <t>Port-Hercule</t>
  </si>
  <si>
    <t>MC-PH</t>
  </si>
  <si>
    <t>Sainte-Dévote</t>
  </si>
  <si>
    <t>MC-SD</t>
  </si>
  <si>
    <t>Saint-Roman</t>
  </si>
  <si>
    <t>MC-SR</t>
  </si>
  <si>
    <t>Spélugues</t>
  </si>
  <si>
    <t>MC-SP</t>
  </si>
  <si>
    <t>Vallon de la Rousse</t>
  </si>
  <si>
    <t>MC-VR</t>
  </si>
  <si>
    <t>Arhangay</t>
  </si>
  <si>
    <t>MN-073</t>
  </si>
  <si>
    <t>Bayanhongor</t>
  </si>
  <si>
    <t>MN-069</t>
  </si>
  <si>
    <t>Bayan-Ölgiy</t>
  </si>
  <si>
    <t>MN-071</t>
  </si>
  <si>
    <t>Bulgan</t>
  </si>
  <si>
    <t>MN-067</t>
  </si>
  <si>
    <t>Darhan-Uul</t>
  </si>
  <si>
    <t>MN-037</t>
  </si>
  <si>
    <t>Darhan uul</t>
  </si>
  <si>
    <t>Dornod</t>
  </si>
  <si>
    <t>MN-061</t>
  </si>
  <si>
    <t>Dornogovĭ</t>
  </si>
  <si>
    <t>MN-063</t>
  </si>
  <si>
    <t>Dundgovĭ</t>
  </si>
  <si>
    <t>MN-059</t>
  </si>
  <si>
    <t>Dzavhan</t>
  </si>
  <si>
    <t>MN-057</t>
  </si>
  <si>
    <t>Govĭ-Altay</t>
  </si>
  <si>
    <t>MN-065</t>
  </si>
  <si>
    <t>Govĭsümber</t>
  </si>
  <si>
    <t>MN-064</t>
  </si>
  <si>
    <t>Govĭ-Sümber</t>
  </si>
  <si>
    <t>Hentiy</t>
  </si>
  <si>
    <t>MN-039</t>
  </si>
  <si>
    <t>Hovd</t>
  </si>
  <si>
    <t>MN-043</t>
  </si>
  <si>
    <t>Hövsgöl</t>
  </si>
  <si>
    <t>MN-041</t>
  </si>
  <si>
    <t>Ömnögovĭ</t>
  </si>
  <si>
    <t>MN-053</t>
  </si>
  <si>
    <t>Orhon</t>
  </si>
  <si>
    <t>MN-035</t>
  </si>
  <si>
    <t>Övörhangay</t>
  </si>
  <si>
    <t>MN-055</t>
  </si>
  <si>
    <t>Selenge</t>
  </si>
  <si>
    <t>MN-049</t>
  </si>
  <si>
    <t>Sühbaatar</t>
  </si>
  <si>
    <t>MN-051</t>
  </si>
  <si>
    <t>Töv</t>
  </si>
  <si>
    <t>MN-047</t>
  </si>
  <si>
    <t>Ulaanbaatar</t>
  </si>
  <si>
    <t>MN-1</t>
  </si>
  <si>
    <t>Uvs</t>
  </si>
  <si>
    <t>MN-046</t>
  </si>
  <si>
    <t>Andrijevica</t>
  </si>
  <si>
    <t>ME-01</t>
  </si>
  <si>
    <t>Bar</t>
  </si>
  <si>
    <t>ME-02</t>
  </si>
  <si>
    <t>Berane</t>
  </si>
  <si>
    <t>ME-03</t>
  </si>
  <si>
    <t>Bijelo Polje</t>
  </si>
  <si>
    <t>ME-04</t>
  </si>
  <si>
    <t>Budva</t>
  </si>
  <si>
    <t>ME-05</t>
  </si>
  <si>
    <t>Cetinje</t>
  </si>
  <si>
    <t>ME-06</t>
  </si>
  <si>
    <t>Danilovgrad</t>
  </si>
  <si>
    <t>ME-07</t>
  </si>
  <si>
    <t>Gusinje</t>
  </si>
  <si>
    <t>ME-22</t>
  </si>
  <si>
    <t>Herceg Novi</t>
  </si>
  <si>
    <t>ME-08</t>
  </si>
  <si>
    <t>Herceg-Novi</t>
  </si>
  <si>
    <t>Kolašin</t>
  </si>
  <si>
    <t>ME-09</t>
  </si>
  <si>
    <t>Kotor</t>
  </si>
  <si>
    <t>ME-10</t>
  </si>
  <si>
    <t>Mojkovac</t>
  </si>
  <si>
    <t>ME-11</t>
  </si>
  <si>
    <t>Nikšić</t>
  </si>
  <si>
    <t>ME-12</t>
  </si>
  <si>
    <t>Petnjica</t>
  </si>
  <si>
    <t>ME-23</t>
  </si>
  <si>
    <t>Plav</t>
  </si>
  <si>
    <t>ME-13</t>
  </si>
  <si>
    <t>Pljevlja</t>
  </si>
  <si>
    <t>ME-14</t>
  </si>
  <si>
    <t>Plužine</t>
  </si>
  <si>
    <t>ME-15</t>
  </si>
  <si>
    <t>Podgorica</t>
  </si>
  <si>
    <t>ME-16</t>
  </si>
  <si>
    <t>Rožaje</t>
  </si>
  <si>
    <t>ME-17</t>
  </si>
  <si>
    <t>Šavnik</t>
  </si>
  <si>
    <t>ME-18</t>
  </si>
  <si>
    <t>Tivat</t>
  </si>
  <si>
    <t>ME-19</t>
  </si>
  <si>
    <t>Ulcinj</t>
  </si>
  <si>
    <t>ME-20</t>
  </si>
  <si>
    <t>Žabljak</t>
  </si>
  <si>
    <t>ME-21</t>
  </si>
  <si>
    <t>Saint Anthony</t>
  </si>
  <si>
    <t>MS-01</t>
  </si>
  <si>
    <t>Saint Georges</t>
  </si>
  <si>
    <t>MS-02</t>
  </si>
  <si>
    <t>MS-03</t>
  </si>
  <si>
    <t>Béni Mellal-Khénifra</t>
  </si>
  <si>
    <t>MA-17</t>
  </si>
  <si>
    <t>Casablanca-Settat</t>
  </si>
  <si>
    <t>MA-18</t>
  </si>
  <si>
    <t>Drâa-Tafilalet</t>
  </si>
  <si>
    <t>MA-19</t>
  </si>
  <si>
    <t>Fès-Meknès</t>
  </si>
  <si>
    <t>MA-20</t>
  </si>
  <si>
    <t>Guelmim-Oued Noun</t>
  </si>
  <si>
    <t>MA-21</t>
  </si>
  <si>
    <t>Laâyoune-Sakia El Hamra</t>
  </si>
  <si>
    <t>MA-22</t>
  </si>
  <si>
    <t>Marrakech-Safi</t>
  </si>
  <si>
    <t>MA-23</t>
  </si>
  <si>
    <t>Oriental</t>
  </si>
  <si>
    <t>MA-24</t>
  </si>
  <si>
    <t>Rabat-Salé-Kénitra</t>
  </si>
  <si>
    <t>MA-25</t>
  </si>
  <si>
    <t>Souss-Massa</t>
  </si>
  <si>
    <t>MA-26</t>
  </si>
  <si>
    <t>Tanger-Tétouan-Al Hoceïma</t>
  </si>
  <si>
    <t>MA-27</t>
  </si>
  <si>
    <t>Cabo Delgado</t>
  </si>
  <si>
    <t>MZ-P</t>
  </si>
  <si>
    <t>Gaza</t>
  </si>
  <si>
    <t>MZ-G</t>
  </si>
  <si>
    <t>Inhambane</t>
  </si>
  <si>
    <t>MZ-I</t>
  </si>
  <si>
    <t>Manica</t>
  </si>
  <si>
    <t>MZ-B</t>
  </si>
  <si>
    <t>Maputo</t>
  </si>
  <si>
    <t>MZ-MPM</t>
  </si>
  <si>
    <t>MZ-L</t>
  </si>
  <si>
    <t>Nampula</t>
  </si>
  <si>
    <t>MZ-N</t>
  </si>
  <si>
    <t>Niassa</t>
  </si>
  <si>
    <t>MZ-A</t>
  </si>
  <si>
    <t>Sofala</t>
  </si>
  <si>
    <t>MZ-S</t>
  </si>
  <si>
    <t>Tete</t>
  </si>
  <si>
    <t>MZ-T</t>
  </si>
  <si>
    <t>Zambézia</t>
  </si>
  <si>
    <t>MZ-Q</t>
  </si>
  <si>
    <t>Erongo</t>
  </si>
  <si>
    <t>NA-ER</t>
  </si>
  <si>
    <t>Hardap</t>
  </si>
  <si>
    <t>NA-HA</t>
  </si>
  <si>
    <t>//Karas</t>
  </si>
  <si>
    <t>NA-KA</t>
  </si>
  <si>
    <t>Karas</t>
  </si>
  <si>
    <t>Kavango East</t>
  </si>
  <si>
    <t>NA-KE</t>
  </si>
  <si>
    <t>Kavango West</t>
  </si>
  <si>
    <t>NA-KW</t>
  </si>
  <si>
    <t>Khomas</t>
  </si>
  <si>
    <t>NA-KH</t>
  </si>
  <si>
    <t>Kunene</t>
  </si>
  <si>
    <t>NA-KU</t>
  </si>
  <si>
    <t>Ohangwena</t>
  </si>
  <si>
    <t>NA-OW</t>
  </si>
  <si>
    <t>Omaheke</t>
  </si>
  <si>
    <t>NA-OH</t>
  </si>
  <si>
    <t>Omusati</t>
  </si>
  <si>
    <t>NA-OS</t>
  </si>
  <si>
    <t>Oshana</t>
  </si>
  <si>
    <t>NA-ON</t>
  </si>
  <si>
    <t>Oshikoto</t>
  </si>
  <si>
    <t>NA-OT</t>
  </si>
  <si>
    <t>Otjozondjupa</t>
  </si>
  <si>
    <t>NA-OD</t>
  </si>
  <si>
    <t>Zambezi</t>
  </si>
  <si>
    <t>NA-CA</t>
  </si>
  <si>
    <t>Aiwo</t>
  </si>
  <si>
    <t>NR-01</t>
  </si>
  <si>
    <t>Anabar</t>
  </si>
  <si>
    <t>NR-02</t>
  </si>
  <si>
    <t>Anetan</t>
  </si>
  <si>
    <t>NR-03</t>
  </si>
  <si>
    <t>Anibare</t>
  </si>
  <si>
    <t>NR-04</t>
  </si>
  <si>
    <t>Baiti</t>
  </si>
  <si>
    <t>NR-05</t>
  </si>
  <si>
    <t>Boe</t>
  </si>
  <si>
    <t>NR-06</t>
  </si>
  <si>
    <t>Buada</t>
  </si>
  <si>
    <t>NR-07</t>
  </si>
  <si>
    <t>Denigomodu</t>
  </si>
  <si>
    <t>NR-08</t>
  </si>
  <si>
    <t>Ewa</t>
  </si>
  <si>
    <t>NR-09</t>
  </si>
  <si>
    <t>Ijuw</t>
  </si>
  <si>
    <t>NR-10</t>
  </si>
  <si>
    <t>Meneng</t>
  </si>
  <si>
    <t>NR-11</t>
  </si>
  <si>
    <t>Nibok</t>
  </si>
  <si>
    <t>NR-12</t>
  </si>
  <si>
    <t>Uaboe</t>
  </si>
  <si>
    <t>NR-13</t>
  </si>
  <si>
    <t>Yaren</t>
  </si>
  <si>
    <t>NR-14</t>
  </si>
  <si>
    <t>Bāgmatī</t>
  </si>
  <si>
    <t>zone</t>
  </si>
  <si>
    <t>NP-BA</t>
  </si>
  <si>
    <t>Bagmati</t>
  </si>
  <si>
    <t>Bherī</t>
  </si>
  <si>
    <t>NP-BH</t>
  </si>
  <si>
    <t>Bheri</t>
  </si>
  <si>
    <t>Dhawalāgiri</t>
  </si>
  <si>
    <t>NP-DH</t>
  </si>
  <si>
    <t>Dhawalagiri</t>
  </si>
  <si>
    <t>Gandakī</t>
  </si>
  <si>
    <t>NP-GA</t>
  </si>
  <si>
    <t>Gandaki</t>
  </si>
  <si>
    <t>Janakpur</t>
  </si>
  <si>
    <t>NP-JA</t>
  </si>
  <si>
    <t>Karnālī</t>
  </si>
  <si>
    <t>NP-KA</t>
  </si>
  <si>
    <t>Karnali</t>
  </si>
  <si>
    <t>Kosī</t>
  </si>
  <si>
    <t>NP-KO</t>
  </si>
  <si>
    <t>Kosi</t>
  </si>
  <si>
    <t>Lumbinī</t>
  </si>
  <si>
    <t>NP-LU</t>
  </si>
  <si>
    <t>Lumbini</t>
  </si>
  <si>
    <t>Madhyamanchal</t>
  </si>
  <si>
    <t>development region</t>
  </si>
  <si>
    <t>NP-1</t>
  </si>
  <si>
    <t>Madhya Pashchimanchal</t>
  </si>
  <si>
    <t>NP-2</t>
  </si>
  <si>
    <t>Mahākālī</t>
  </si>
  <si>
    <t>NP-MA</t>
  </si>
  <si>
    <t>Mahakali</t>
  </si>
  <si>
    <t>Mechī</t>
  </si>
  <si>
    <t>NP-ME</t>
  </si>
  <si>
    <t>Mechi</t>
  </si>
  <si>
    <t>Nārāyanī</t>
  </si>
  <si>
    <t>NP-NA</t>
  </si>
  <si>
    <t>Narayani</t>
  </si>
  <si>
    <t>Pashchimanchal</t>
  </si>
  <si>
    <t>NP-3</t>
  </si>
  <si>
    <t>Purwanchal</t>
  </si>
  <si>
    <t>NP-4</t>
  </si>
  <si>
    <t>Rāptī</t>
  </si>
  <si>
    <t>NP-RA</t>
  </si>
  <si>
    <t>Rapti</t>
  </si>
  <si>
    <t>Sagarmāthā</t>
  </si>
  <si>
    <t>NP-SA</t>
  </si>
  <si>
    <t>Sagarmatha</t>
  </si>
  <si>
    <t>Setī</t>
  </si>
  <si>
    <t>NP-SE</t>
  </si>
  <si>
    <t>Seti</t>
  </si>
  <si>
    <t>Sudur Pashchimanchal</t>
  </si>
  <si>
    <t>NP-5</t>
  </si>
  <si>
    <t>Drenthe</t>
  </si>
  <si>
    <t>NL-DR</t>
  </si>
  <si>
    <t>Flevoland</t>
  </si>
  <si>
    <t>NL-FL</t>
  </si>
  <si>
    <t>Fryslân</t>
  </si>
  <si>
    <t>NL-FR</t>
  </si>
  <si>
    <t>Gelderland</t>
  </si>
  <si>
    <t>NL-GE</t>
  </si>
  <si>
    <t>Groningen</t>
  </si>
  <si>
    <t>NL-GR</t>
  </si>
  <si>
    <t>NL-LI</t>
  </si>
  <si>
    <t>Noord-Brabant</t>
  </si>
  <si>
    <t>NL-NB</t>
  </si>
  <si>
    <t>Noord-Holland</t>
  </si>
  <si>
    <t>NL-NH</t>
  </si>
  <si>
    <t>Overijssel</t>
  </si>
  <si>
    <t>NL-OV</t>
  </si>
  <si>
    <t>Utrecht</t>
  </si>
  <si>
    <t>NL-UT</t>
  </si>
  <si>
    <t>Zeeland</t>
  </si>
  <si>
    <t>NL-ZE</t>
  </si>
  <si>
    <t>Zuid-Holland</t>
  </si>
  <si>
    <t>NL-ZH</t>
  </si>
  <si>
    <t>Province Îles</t>
  </si>
  <si>
    <t>NC-01</t>
  </si>
  <si>
    <t>Province Nord</t>
  </si>
  <si>
    <t>NC-02</t>
  </si>
  <si>
    <t>Province Sud</t>
  </si>
  <si>
    <t>NC-03</t>
  </si>
  <si>
    <t>Auckland</t>
  </si>
  <si>
    <t>NZ-AUK</t>
  </si>
  <si>
    <t>Bay of Plenty</t>
  </si>
  <si>
    <t>NZ-BOP</t>
  </si>
  <si>
    <t>Canterbury</t>
  </si>
  <si>
    <t>NZ-CAN</t>
  </si>
  <si>
    <t>Chatham Islands</t>
  </si>
  <si>
    <t>NZ-CIT</t>
  </si>
  <si>
    <t>Chatham Islands Territory</t>
  </si>
  <si>
    <t>special island authority</t>
  </si>
  <si>
    <t>Gisborne</t>
  </si>
  <si>
    <t>NZ-GIS</t>
  </si>
  <si>
    <t>Hawke’s Bay</t>
  </si>
  <si>
    <t>NZ-HKB</t>
  </si>
  <si>
    <t>Hawke's Bay</t>
  </si>
  <si>
    <t>Manawatu-Wanganui</t>
  </si>
  <si>
    <t>NZ-MWT</t>
  </si>
  <si>
    <t>Marlborough</t>
  </si>
  <si>
    <t>NZ-MBH</t>
  </si>
  <si>
    <t>Marlborough District</t>
  </si>
  <si>
    <t>Nelson</t>
  </si>
  <si>
    <t>NZ-NSN</t>
  </si>
  <si>
    <t>Northland</t>
  </si>
  <si>
    <t>NZ-NTL</t>
  </si>
  <si>
    <t>Otago</t>
  </si>
  <si>
    <t>NZ-OTA</t>
  </si>
  <si>
    <t>Southland</t>
  </si>
  <si>
    <t>NZ-STL</t>
  </si>
  <si>
    <t>Taranaki</t>
  </si>
  <si>
    <t>NZ-TKI</t>
  </si>
  <si>
    <t>Tasman</t>
  </si>
  <si>
    <t>NZ-TAS</t>
  </si>
  <si>
    <t>Waikato</t>
  </si>
  <si>
    <t>NZ-WKO</t>
  </si>
  <si>
    <t>Wellington</t>
  </si>
  <si>
    <t>NZ-WGN</t>
  </si>
  <si>
    <t>NZ-WTC</t>
  </si>
  <si>
    <t>Boaco</t>
  </si>
  <si>
    <t>NI-BO</t>
  </si>
  <si>
    <t>Carazo</t>
  </si>
  <si>
    <t>NI-CA</t>
  </si>
  <si>
    <t>Caribe Norte</t>
  </si>
  <si>
    <t>NI-AN</t>
  </si>
  <si>
    <t>Atlántico Norte</t>
  </si>
  <si>
    <t>Caribe Sur</t>
  </si>
  <si>
    <t>NI-AS</t>
  </si>
  <si>
    <t>Atlántico Sur</t>
  </si>
  <si>
    <t>Chinandega</t>
  </si>
  <si>
    <t>NI-CI</t>
  </si>
  <si>
    <t>Chontales</t>
  </si>
  <si>
    <t>NI-CO</t>
  </si>
  <si>
    <t>Estelí</t>
  </si>
  <si>
    <t>NI-ES</t>
  </si>
  <si>
    <t>Granada</t>
  </si>
  <si>
    <t>NI-GR</t>
  </si>
  <si>
    <t>Jinotega</t>
  </si>
  <si>
    <t>NI-JI</t>
  </si>
  <si>
    <t>León</t>
  </si>
  <si>
    <t>NI-LE</t>
  </si>
  <si>
    <t>Madriz</t>
  </si>
  <si>
    <t>NI-MD</t>
  </si>
  <si>
    <t>Managua</t>
  </si>
  <si>
    <t>NI-MN</t>
  </si>
  <si>
    <t>Masaya</t>
  </si>
  <si>
    <t>NI-MS</t>
  </si>
  <si>
    <t>Matagalpa</t>
  </si>
  <si>
    <t>NI-MT</t>
  </si>
  <si>
    <t>Nueva Segovia</t>
  </si>
  <si>
    <t>NI-NS</t>
  </si>
  <si>
    <t>Río San Juan</t>
  </si>
  <si>
    <t>NI-SJ</t>
  </si>
  <si>
    <t>Rivas</t>
  </si>
  <si>
    <t>NI-RI</t>
  </si>
  <si>
    <t>Agadez</t>
  </si>
  <si>
    <t>NE-1</t>
  </si>
  <si>
    <t>Diffa</t>
  </si>
  <si>
    <t>NE-2</t>
  </si>
  <si>
    <t>Dosso</t>
  </si>
  <si>
    <t>NE-3</t>
  </si>
  <si>
    <t>Maradi</t>
  </si>
  <si>
    <t>NE-4</t>
  </si>
  <si>
    <t>Niamey</t>
  </si>
  <si>
    <t>NE-8</t>
  </si>
  <si>
    <t>urban community</t>
  </si>
  <si>
    <t>Tahoua</t>
  </si>
  <si>
    <t>NE-5</t>
  </si>
  <si>
    <t>Tillabéri</t>
  </si>
  <si>
    <t>NE-6</t>
  </si>
  <si>
    <t>Zinder</t>
  </si>
  <si>
    <t>NE-7</t>
  </si>
  <si>
    <t>Abia</t>
  </si>
  <si>
    <t>NG-AB</t>
  </si>
  <si>
    <t>Adamawa</t>
  </si>
  <si>
    <t>NG-AD</t>
  </si>
  <si>
    <t>Akwa Ibom</t>
  </si>
  <si>
    <t>NG-AK</t>
  </si>
  <si>
    <t>Anambra</t>
  </si>
  <si>
    <t>NG-AN</t>
  </si>
  <si>
    <t>Bauchi</t>
  </si>
  <si>
    <t>NG-BA</t>
  </si>
  <si>
    <t>Bayelsa</t>
  </si>
  <si>
    <t>NG-BY</t>
  </si>
  <si>
    <t>Benue</t>
  </si>
  <si>
    <t>NG-BE</t>
  </si>
  <si>
    <t>Borno</t>
  </si>
  <si>
    <t>NG-BO</t>
  </si>
  <si>
    <t>Cross River</t>
  </si>
  <si>
    <t>NG-CR</t>
  </si>
  <si>
    <t>Delta</t>
  </si>
  <si>
    <t>NG-DE</t>
  </si>
  <si>
    <t>Ebonyi</t>
  </si>
  <si>
    <t>NG-EB</t>
  </si>
  <si>
    <t>Edo</t>
  </si>
  <si>
    <t>NG-ED</t>
  </si>
  <si>
    <t>Ekiti</t>
  </si>
  <si>
    <t>NG-EK</t>
  </si>
  <si>
    <t>Enugu</t>
  </si>
  <si>
    <t>NG-EN</t>
  </si>
  <si>
    <t>Federal Capital Territory</t>
  </si>
  <si>
    <t>capital territory</t>
  </si>
  <si>
    <t>NG-FC</t>
  </si>
  <si>
    <t>Abuja Federal Capital Territory</t>
  </si>
  <si>
    <t>Gombe</t>
  </si>
  <si>
    <t>NG-GO</t>
  </si>
  <si>
    <t>Imo</t>
  </si>
  <si>
    <t>NG-IM</t>
  </si>
  <si>
    <t>Jigawa</t>
  </si>
  <si>
    <t>NG-JI</t>
  </si>
  <si>
    <t>Kaduna</t>
  </si>
  <si>
    <t>NG-KD</t>
  </si>
  <si>
    <t>Kano</t>
  </si>
  <si>
    <t>NG-KN</t>
  </si>
  <si>
    <t>Katsina</t>
  </si>
  <si>
    <t>NG-KT</t>
  </si>
  <si>
    <t>Kebbi</t>
  </si>
  <si>
    <t>NG-KE</t>
  </si>
  <si>
    <t>Kogi</t>
  </si>
  <si>
    <t>NG-KO</t>
  </si>
  <si>
    <t>Kwara</t>
  </si>
  <si>
    <t>NG-KW</t>
  </si>
  <si>
    <t>Lagos</t>
  </si>
  <si>
    <t>NG-LA</t>
  </si>
  <si>
    <t>Nasarawa</t>
  </si>
  <si>
    <t>NG-NA</t>
  </si>
  <si>
    <t>Niger</t>
  </si>
  <si>
    <t>NG-NI</t>
  </si>
  <si>
    <t>Ogun</t>
  </si>
  <si>
    <t>NG-OG</t>
  </si>
  <si>
    <t>Ondo</t>
  </si>
  <si>
    <t>NG-ON</t>
  </si>
  <si>
    <t>Osun</t>
  </si>
  <si>
    <t>NG-OS</t>
  </si>
  <si>
    <t>Oyo</t>
  </si>
  <si>
    <t>NG-OY</t>
  </si>
  <si>
    <t>NG-PL</t>
  </si>
  <si>
    <t>Rivers</t>
  </si>
  <si>
    <t>NG-RI</t>
  </si>
  <si>
    <t>Sokoto</t>
  </si>
  <si>
    <t>NG-SO</t>
  </si>
  <si>
    <t>Taraba</t>
  </si>
  <si>
    <t>NG-TA</t>
  </si>
  <si>
    <t>Yobe</t>
  </si>
  <si>
    <t>NG-YO</t>
  </si>
  <si>
    <t>Zamfara</t>
  </si>
  <si>
    <t>NG-ZA</t>
  </si>
  <si>
    <t>Akershus</t>
  </si>
  <si>
    <t>NO-02</t>
  </si>
  <si>
    <t>Aust-Agder</t>
  </si>
  <si>
    <t>NO-09</t>
  </si>
  <si>
    <t>Buskerud</t>
  </si>
  <si>
    <t>NO-06</t>
  </si>
  <si>
    <t>Finnmark</t>
  </si>
  <si>
    <t>NO-20</t>
  </si>
  <si>
    <t>Hedmark</t>
  </si>
  <si>
    <t>NO-04</t>
  </si>
  <si>
    <t>Hordaland</t>
  </si>
  <si>
    <t>NO-12</t>
  </si>
  <si>
    <t>Møre og Romsdal</t>
  </si>
  <si>
    <t>NO-15</t>
  </si>
  <si>
    <t>Nordland</t>
  </si>
  <si>
    <t>NO-18</t>
  </si>
  <si>
    <t>Nord-Trøndelag</t>
  </si>
  <si>
    <t>NO-17</t>
  </si>
  <si>
    <t>Oppland</t>
  </si>
  <si>
    <t>NO-05</t>
  </si>
  <si>
    <t>Oslo</t>
  </si>
  <si>
    <t>NO-03</t>
  </si>
  <si>
    <t>Østfold</t>
  </si>
  <si>
    <t>NO-01</t>
  </si>
  <si>
    <t>Rogaland</t>
  </si>
  <si>
    <t>NO-11</t>
  </si>
  <si>
    <t>Sogn og Fjordane</t>
  </si>
  <si>
    <t>NO-14</t>
  </si>
  <si>
    <t>Sør-Trøndelag</t>
  </si>
  <si>
    <t>NO-16</t>
  </si>
  <si>
    <t>Telemark</t>
  </si>
  <si>
    <t>NO-08</t>
  </si>
  <si>
    <t>Troms</t>
  </si>
  <si>
    <t>NO-19</t>
  </si>
  <si>
    <t>Vest-Agder</t>
  </si>
  <si>
    <t>NO-10</t>
  </si>
  <si>
    <t>Vestfold</t>
  </si>
  <si>
    <t>NO-07</t>
  </si>
  <si>
    <t>Ad Dākhilīyah</t>
  </si>
  <si>
    <t>OM-DA</t>
  </si>
  <si>
    <t>Al Buraymī</t>
  </si>
  <si>
    <t>OM-BU</t>
  </si>
  <si>
    <t>Al Wusţá</t>
  </si>
  <si>
    <t>OM-WU</t>
  </si>
  <si>
    <t>Az̧ Z̧āhirah</t>
  </si>
  <si>
    <t>OM-ZA</t>
  </si>
  <si>
    <t>Janūb al Bāţinah</t>
  </si>
  <si>
    <t>OM-BJ</t>
  </si>
  <si>
    <t>Janūb ash Sharqīyah</t>
  </si>
  <si>
    <t>OM-SJ</t>
  </si>
  <si>
    <t>Masqaţ</t>
  </si>
  <si>
    <t>OM-MA</t>
  </si>
  <si>
    <t>Musandam</t>
  </si>
  <si>
    <t>OM-MU</t>
  </si>
  <si>
    <t>Shamāl al Bāţinah</t>
  </si>
  <si>
    <t>OM-BS</t>
  </si>
  <si>
    <t>Shamāl ash Sharqīyah</t>
  </si>
  <si>
    <t>OM-SS</t>
  </si>
  <si>
    <t>Z̧ufār</t>
  </si>
  <si>
    <t>OM-ZU</t>
  </si>
  <si>
    <t>Azad Kashmir</t>
  </si>
  <si>
    <t>Pakistan administered area</t>
  </si>
  <si>
    <t>PK-JK</t>
  </si>
  <si>
    <t>Balochistān</t>
  </si>
  <si>
    <t>PK-BA</t>
  </si>
  <si>
    <t>Balochistan</t>
  </si>
  <si>
    <t>Federally Administered Tribal Areas</t>
  </si>
  <si>
    <t>PK-TA</t>
  </si>
  <si>
    <t>Gilgit-Baltistan</t>
  </si>
  <si>
    <t>PK-GB</t>
  </si>
  <si>
    <t>Islāmābād</t>
  </si>
  <si>
    <t>PK-IS</t>
  </si>
  <si>
    <t>Islamabad</t>
  </si>
  <si>
    <t>federal capital territory</t>
  </si>
  <si>
    <t>Khyber Pakhtunkhwa</t>
  </si>
  <si>
    <t>PK-KP</t>
  </si>
  <si>
    <t>PK-PB</t>
  </si>
  <si>
    <t>Sindh</t>
  </si>
  <si>
    <t>PK-SD</t>
  </si>
  <si>
    <t>Aimeliik</t>
  </si>
  <si>
    <t>PW-002</t>
  </si>
  <si>
    <t>Airai</t>
  </si>
  <si>
    <t>PW-004</t>
  </si>
  <si>
    <t>Angaur</t>
  </si>
  <si>
    <t>PW-010</t>
  </si>
  <si>
    <t>Hatohobei</t>
  </si>
  <si>
    <t>PW-050</t>
  </si>
  <si>
    <t>Kayangel</t>
  </si>
  <si>
    <t>PW-100</t>
  </si>
  <si>
    <t>Koror</t>
  </si>
  <si>
    <t>PW-150</t>
  </si>
  <si>
    <t>Melekeok</t>
  </si>
  <si>
    <t>PW-212</t>
  </si>
  <si>
    <t>Ngaraard</t>
  </si>
  <si>
    <t>PW-214</t>
  </si>
  <si>
    <t>Ngarchelong</t>
  </si>
  <si>
    <t>PW-218</t>
  </si>
  <si>
    <t>Ngardmau</t>
  </si>
  <si>
    <t>PW-222</t>
  </si>
  <si>
    <t>Ngatpang</t>
  </si>
  <si>
    <t>PW-224</t>
  </si>
  <si>
    <t>Ngchesar</t>
  </si>
  <si>
    <t>PW-226</t>
  </si>
  <si>
    <t>Ngeremlengui</t>
  </si>
  <si>
    <t>PW-227</t>
  </si>
  <si>
    <t>Ngiwal</t>
  </si>
  <si>
    <t>PW-228</t>
  </si>
  <si>
    <t>Peleliu</t>
  </si>
  <si>
    <t>PW-350</t>
  </si>
  <si>
    <t>Sonsorol</t>
  </si>
  <si>
    <t>PW-370</t>
  </si>
  <si>
    <t>Bocas del Toro</t>
  </si>
  <si>
    <t>PA-1</t>
  </si>
  <si>
    <t>Chiriquí</t>
  </si>
  <si>
    <t>PA-4</t>
  </si>
  <si>
    <t>Coclé</t>
  </si>
  <si>
    <t>PA-2</t>
  </si>
  <si>
    <t>PA-3</t>
  </si>
  <si>
    <t>Darién</t>
  </si>
  <si>
    <t>PA-5</t>
  </si>
  <si>
    <t>Emberá-Wounaan</t>
  </si>
  <si>
    <t>indigenous region</t>
  </si>
  <si>
    <t>PA-EM</t>
  </si>
  <si>
    <t>Emberá</t>
  </si>
  <si>
    <t>Herrera</t>
  </si>
  <si>
    <t>PA-6</t>
  </si>
  <si>
    <t>Kuna Yala</t>
  </si>
  <si>
    <t>PA-KY</t>
  </si>
  <si>
    <t>Los Santos</t>
  </si>
  <si>
    <t>PA-7</t>
  </si>
  <si>
    <t>Ngöbe-Buglé</t>
  </si>
  <si>
    <t>PA-NB</t>
  </si>
  <si>
    <t>Panamá</t>
  </si>
  <si>
    <t>PA-8</t>
  </si>
  <si>
    <t>Panamá Oeste</t>
  </si>
  <si>
    <t>PA-10</t>
  </si>
  <si>
    <t>Veraguas</t>
  </si>
  <si>
    <t>PA-9</t>
  </si>
  <si>
    <t>Bougainville</t>
  </si>
  <si>
    <t>PG-NSB</t>
  </si>
  <si>
    <t>PG-CPM</t>
  </si>
  <si>
    <t>Chimbu</t>
  </si>
  <si>
    <t>PG-CPK</t>
  </si>
  <si>
    <t>Eastern Highlands</t>
  </si>
  <si>
    <t>PG-EHG</t>
  </si>
  <si>
    <t>East New Britain</t>
  </si>
  <si>
    <t>PG-EBR</t>
  </si>
  <si>
    <t>East Sepik</t>
  </si>
  <si>
    <t>PG-ESW</t>
  </si>
  <si>
    <t>Enga</t>
  </si>
  <si>
    <t>PG-EPW</t>
  </si>
  <si>
    <t>Gulf</t>
  </si>
  <si>
    <t>PG-GPK</t>
  </si>
  <si>
    <t>Hela</t>
  </si>
  <si>
    <t>PG-HLA</t>
  </si>
  <si>
    <t>Jiwaka</t>
  </si>
  <si>
    <t>PG-JWK</t>
  </si>
  <si>
    <t>Madang</t>
  </si>
  <si>
    <t>PG-MPM</t>
  </si>
  <si>
    <t>Manus</t>
  </si>
  <si>
    <t>PG-MRL</t>
  </si>
  <si>
    <t>Milne Bay</t>
  </si>
  <si>
    <t>PG-MBA</t>
  </si>
  <si>
    <t>Morobe</t>
  </si>
  <si>
    <t>PG-MPL</t>
  </si>
  <si>
    <t>National Capital</t>
  </si>
  <si>
    <t>PG-NCD</t>
  </si>
  <si>
    <t>National Capital District</t>
  </si>
  <si>
    <t>New Ireland</t>
  </si>
  <si>
    <t>PG-NIK</t>
  </si>
  <si>
    <t>PG-NPP</t>
  </si>
  <si>
    <t>Southern Highlands</t>
  </si>
  <si>
    <t>PG-SHM</t>
  </si>
  <si>
    <t>PG-WPD</t>
  </si>
  <si>
    <t>Western Highlands</t>
  </si>
  <si>
    <t>PG-WHM</t>
  </si>
  <si>
    <t>West New Britain</t>
  </si>
  <si>
    <t>PG-WBK</t>
  </si>
  <si>
    <t>West Sepik</t>
  </si>
  <si>
    <t>PG-SAN</t>
  </si>
  <si>
    <t>Alto Paraguay</t>
  </si>
  <si>
    <t>PY-16</t>
  </si>
  <si>
    <t>Alto Paraná</t>
  </si>
  <si>
    <t>PY-10</t>
  </si>
  <si>
    <t>Amambay</t>
  </si>
  <si>
    <t>PY-13</t>
  </si>
  <si>
    <t>Asunción</t>
  </si>
  <si>
    <t>PY-ASU</t>
  </si>
  <si>
    <t>Boquerón</t>
  </si>
  <si>
    <t>PY-19</t>
  </si>
  <si>
    <t>Caaguazú</t>
  </si>
  <si>
    <t>PY-5</t>
  </si>
  <si>
    <t>Caazapá</t>
  </si>
  <si>
    <t>PY-6</t>
  </si>
  <si>
    <t>Canindeyú</t>
  </si>
  <si>
    <t>PY-14</t>
  </si>
  <si>
    <t>PY-11</t>
  </si>
  <si>
    <t>Concepción</t>
  </si>
  <si>
    <t>PY-1</t>
  </si>
  <si>
    <t>Cordillera</t>
  </si>
  <si>
    <t>PY-3</t>
  </si>
  <si>
    <t>Guairá</t>
  </si>
  <si>
    <t>PY-4</t>
  </si>
  <si>
    <t>Itapúa</t>
  </si>
  <si>
    <t>PY-7</t>
  </si>
  <si>
    <t>PY-8</t>
  </si>
  <si>
    <t>Ñeembucú</t>
  </si>
  <si>
    <t>PY-12</t>
  </si>
  <si>
    <t>Paraguarí</t>
  </si>
  <si>
    <t>PY-9</t>
  </si>
  <si>
    <t>Presidente Hayes</t>
  </si>
  <si>
    <t>PY-15</t>
  </si>
  <si>
    <t>San Pedro</t>
  </si>
  <si>
    <t>PY-2</t>
  </si>
  <si>
    <t>PE-AMA</t>
  </si>
  <si>
    <t>Ancash</t>
  </si>
  <si>
    <t>PE-ANC</t>
  </si>
  <si>
    <t>Apurímac</t>
  </si>
  <si>
    <t>PE-APU</t>
  </si>
  <si>
    <t>Arequipa</t>
  </si>
  <si>
    <t>PE-ARE</t>
  </si>
  <si>
    <t>Ayacucho</t>
  </si>
  <si>
    <t>PE-AYA</t>
  </si>
  <si>
    <t>Cajamarca</t>
  </si>
  <si>
    <t>PE-CAJ</t>
  </si>
  <si>
    <t>Callao</t>
  </si>
  <si>
    <t>PE-CAL</t>
  </si>
  <si>
    <t>El Callao</t>
  </si>
  <si>
    <t>Cusco</t>
  </si>
  <si>
    <t>PE-CUS</t>
  </si>
  <si>
    <t>Kusku</t>
  </si>
  <si>
    <t>Huancavelica</t>
  </si>
  <si>
    <t>PE-HUV</t>
  </si>
  <si>
    <t>Huánuco</t>
  </si>
  <si>
    <t>PE-HUC</t>
  </si>
  <si>
    <t>Ica</t>
  </si>
  <si>
    <t>PE-ICA</t>
  </si>
  <si>
    <t>Junín</t>
  </si>
  <si>
    <t>PE-JUN</t>
  </si>
  <si>
    <t>PE-LAL</t>
  </si>
  <si>
    <t>Lambayeque</t>
  </si>
  <si>
    <t>PE-LAM</t>
  </si>
  <si>
    <t>Lima</t>
  </si>
  <si>
    <t>PE-LMA</t>
  </si>
  <si>
    <t>Municipalidad Metropolitana de Lima</t>
  </si>
  <si>
    <t>PE-LIM</t>
  </si>
  <si>
    <t>Loreto</t>
  </si>
  <si>
    <t>PE-LOR</t>
  </si>
  <si>
    <t>Madre de Dios</t>
  </si>
  <si>
    <t>PE-MDD</t>
  </si>
  <si>
    <t>Moquegua</t>
  </si>
  <si>
    <t>PE-MOQ</t>
  </si>
  <si>
    <t>Pasco</t>
  </si>
  <si>
    <t>PE-PAS</t>
  </si>
  <si>
    <t>Piura</t>
  </si>
  <si>
    <t>PE-PIU</t>
  </si>
  <si>
    <t>Puno</t>
  </si>
  <si>
    <t>PE-PUN</t>
  </si>
  <si>
    <t>San Martín</t>
  </si>
  <si>
    <t>PE-SAM</t>
  </si>
  <si>
    <t>Tacna</t>
  </si>
  <si>
    <t>PE-TAC</t>
  </si>
  <si>
    <t>Tumbes</t>
  </si>
  <si>
    <t>PE-TUM</t>
  </si>
  <si>
    <t>Ucayali</t>
  </si>
  <si>
    <t>PE-UCA</t>
  </si>
  <si>
    <t>Abra</t>
  </si>
  <si>
    <t>PH-ABR</t>
  </si>
  <si>
    <t>Agusan del Norte</t>
  </si>
  <si>
    <t>PH-AGN</t>
  </si>
  <si>
    <t>Agusan del Sur</t>
  </si>
  <si>
    <t>PH-AGS</t>
  </si>
  <si>
    <t>Aklan</t>
  </si>
  <si>
    <t>PH-AKL</t>
  </si>
  <si>
    <t>Albay</t>
  </si>
  <si>
    <t>PH-ALB</t>
  </si>
  <si>
    <t>Angeles</t>
  </si>
  <si>
    <t>highly urbanized city</t>
  </si>
  <si>
    <t>PH-ANG</t>
  </si>
  <si>
    <t>Antique</t>
  </si>
  <si>
    <t>PH-ANT</t>
  </si>
  <si>
    <t>Apayao</t>
  </si>
  <si>
    <t>PH-APA</t>
  </si>
  <si>
    <t>Aurora</t>
  </si>
  <si>
    <t>PH-AUR</t>
  </si>
  <si>
    <t>Autonomous Region in Muslim Mindanao (ARMM)</t>
  </si>
  <si>
    <t>PH-14</t>
  </si>
  <si>
    <t>Bacolod</t>
  </si>
  <si>
    <t>PH-BAC</t>
  </si>
  <si>
    <t>Baguio</t>
  </si>
  <si>
    <t>PH-BAG</t>
  </si>
  <si>
    <t>Basilan</t>
  </si>
  <si>
    <t>PH-BAS</t>
  </si>
  <si>
    <t>Bataan</t>
  </si>
  <si>
    <t>PH-BAN</t>
  </si>
  <si>
    <t>Batanes</t>
  </si>
  <si>
    <t>PH-BTN</t>
  </si>
  <si>
    <t>Batangas</t>
  </si>
  <si>
    <t>PH-BTG</t>
  </si>
  <si>
    <t>Benguet</t>
  </si>
  <si>
    <t>PH-BEN</t>
  </si>
  <si>
    <t>Bicol Region</t>
  </si>
  <si>
    <t>PH-05</t>
  </si>
  <si>
    <t>Bicol</t>
  </si>
  <si>
    <t>Biliran</t>
  </si>
  <si>
    <t>PH-BIL</t>
  </si>
  <si>
    <t>Bohol</t>
  </si>
  <si>
    <t>PH-BOH</t>
  </si>
  <si>
    <t>Bukidnon</t>
  </si>
  <si>
    <t>PH-BUK</t>
  </si>
  <si>
    <t>Bulacan</t>
  </si>
  <si>
    <t>PH-BUL</t>
  </si>
  <si>
    <t>Butuan</t>
  </si>
  <si>
    <t>PH-BUT</t>
  </si>
  <si>
    <t>Cagayan</t>
  </si>
  <si>
    <t>PH-CAG</t>
  </si>
  <si>
    <t>Cagayan de Oro</t>
  </si>
  <si>
    <t>PH-CGO</t>
  </si>
  <si>
    <t>Cagayan Valley</t>
  </si>
  <si>
    <t>PH-02</t>
  </si>
  <si>
    <t>CALABARZON</t>
  </si>
  <si>
    <t>PH-40</t>
  </si>
  <si>
    <t>Calabarzon</t>
  </si>
  <si>
    <t>Caloocan</t>
  </si>
  <si>
    <t>PH-CAL</t>
  </si>
  <si>
    <t>Camarines Norte</t>
  </si>
  <si>
    <t>PH-CAN</t>
  </si>
  <si>
    <t>Camarines Sur</t>
  </si>
  <si>
    <t>PH-CAS</t>
  </si>
  <si>
    <t>Camiguin</t>
  </si>
  <si>
    <t>PH-CAM</t>
  </si>
  <si>
    <t>Capiz</t>
  </si>
  <si>
    <t>PH-CAP</t>
  </si>
  <si>
    <t>CARAGA Region</t>
  </si>
  <si>
    <t>PH-13</t>
  </si>
  <si>
    <t>Caraga</t>
  </si>
  <si>
    <t>Catanduanes</t>
  </si>
  <si>
    <t>PH-CAT</t>
  </si>
  <si>
    <t>Cavite</t>
  </si>
  <si>
    <t>PH-CAV</t>
  </si>
  <si>
    <t>Cebu</t>
  </si>
  <si>
    <t>PH-CBU</t>
  </si>
  <si>
    <t>PH-CEB</t>
  </si>
  <si>
    <t>Central Luzon</t>
  </si>
  <si>
    <t>PH-03</t>
  </si>
  <si>
    <t>Central Visayas</t>
  </si>
  <si>
    <t>PH-07</t>
  </si>
  <si>
    <t>Compostela Valley</t>
  </si>
  <si>
    <t>PH-COM</t>
  </si>
  <si>
    <t>Cordillera Administrative Region</t>
  </si>
  <si>
    <t>PH-15</t>
  </si>
  <si>
    <t>Cordillera Administrative Region (CAR)</t>
  </si>
  <si>
    <t>Cotabato</t>
  </si>
  <si>
    <t>independent component city</t>
  </si>
  <si>
    <t>PH-COT</t>
  </si>
  <si>
    <t>PH-NCO</t>
  </si>
  <si>
    <t>Dagupan</t>
  </si>
  <si>
    <t>PH-DAG</t>
  </si>
  <si>
    <t>Davao</t>
  </si>
  <si>
    <t>PH-DVC</t>
  </si>
  <si>
    <t>PH-11</t>
  </si>
  <si>
    <t>Davao del Norte</t>
  </si>
  <si>
    <t>PH-DAV</t>
  </si>
  <si>
    <t>Davao del Sur</t>
  </si>
  <si>
    <t>PH-DAS</t>
  </si>
  <si>
    <t>Davao Occidental</t>
  </si>
  <si>
    <t>PH-DVO</t>
  </si>
  <si>
    <t>Davao Oriental</t>
  </si>
  <si>
    <t>PH-DAO</t>
  </si>
  <si>
    <t>Dinagat Islands</t>
  </si>
  <si>
    <t>PH-DIN</t>
  </si>
  <si>
    <t>Eastern Samar</t>
  </si>
  <si>
    <t>PH-EAS</t>
  </si>
  <si>
    <t>Eastern Visayas</t>
  </si>
  <si>
    <t>PH-08</t>
  </si>
  <si>
    <t>General Santos</t>
  </si>
  <si>
    <t>PH-GNS</t>
  </si>
  <si>
    <t>Guimaras</t>
  </si>
  <si>
    <t>PH-GUI</t>
  </si>
  <si>
    <t>Ifugao</t>
  </si>
  <si>
    <t>PH-IFU</t>
  </si>
  <si>
    <t>Iligan</t>
  </si>
  <si>
    <t>PH-ILG</t>
  </si>
  <si>
    <t>Ilocos</t>
  </si>
  <si>
    <t>PH-01</t>
  </si>
  <si>
    <t>Ilocos Norte</t>
  </si>
  <si>
    <t>PH-ILN</t>
  </si>
  <si>
    <t>Ilocos Sur</t>
  </si>
  <si>
    <t>PH-ILS</t>
  </si>
  <si>
    <t>Iloilo</t>
  </si>
  <si>
    <t>PH-ILO</t>
  </si>
  <si>
    <t>PH-ILI</t>
  </si>
  <si>
    <t>Isabela</t>
  </si>
  <si>
    <t>PH-ISA</t>
  </si>
  <si>
    <t>Kalinga</t>
  </si>
  <si>
    <t>PH-KAL</t>
  </si>
  <si>
    <t>Laguna</t>
  </si>
  <si>
    <t>PH-LAG</t>
  </si>
  <si>
    <t>Lanao del Norte</t>
  </si>
  <si>
    <t>PH-LAN</t>
  </si>
  <si>
    <t>Lanao del Sur</t>
  </si>
  <si>
    <t>PH-LAS</t>
  </si>
  <si>
    <t>Lapu-Lapu</t>
  </si>
  <si>
    <t>PH-LAP</t>
  </si>
  <si>
    <t>Las Piñas</t>
  </si>
  <si>
    <t>PH-ILP</t>
  </si>
  <si>
    <t>La Union</t>
  </si>
  <si>
    <t>PH-LUN</t>
  </si>
  <si>
    <t>Leyte</t>
  </si>
  <si>
    <t>PH-LEY</t>
  </si>
  <si>
    <t>Lucena</t>
  </si>
  <si>
    <t>PH-LUC</t>
  </si>
  <si>
    <t>Maguindanao</t>
  </si>
  <si>
    <t>PH-MAG</t>
  </si>
  <si>
    <t>Makati</t>
  </si>
  <si>
    <t>PH-MAK</t>
  </si>
  <si>
    <t>Malabon</t>
  </si>
  <si>
    <t>PH-MAL</t>
  </si>
  <si>
    <t>Mandaluyong</t>
  </si>
  <si>
    <t>PH-MDY</t>
  </si>
  <si>
    <t>Mandaue</t>
  </si>
  <si>
    <t>PH-MDU</t>
  </si>
  <si>
    <t>Manila</t>
  </si>
  <si>
    <t>PH-MAN</t>
  </si>
  <si>
    <t>Marikina</t>
  </si>
  <si>
    <t>PH-MAR</t>
  </si>
  <si>
    <t>Marinduque</t>
  </si>
  <si>
    <t>PH-MAD</t>
  </si>
  <si>
    <t>Masbate</t>
  </si>
  <si>
    <t>PH-MAS</t>
  </si>
  <si>
    <t>MIMAROPA</t>
  </si>
  <si>
    <t>PH-41</t>
  </si>
  <si>
    <t>Mimaropa</t>
  </si>
  <si>
    <t>Misamis Occidental</t>
  </si>
  <si>
    <t>PH-MSC</t>
  </si>
  <si>
    <t>Misamis Oriental</t>
  </si>
  <si>
    <t>PH-MSR</t>
  </si>
  <si>
    <t>Mountain</t>
  </si>
  <si>
    <t>PH-MOU</t>
  </si>
  <si>
    <t>Mountain Province</t>
  </si>
  <si>
    <t>Muntinlupa</t>
  </si>
  <si>
    <t>PH-MUN</t>
  </si>
  <si>
    <t>Naga</t>
  </si>
  <si>
    <t>PH-NAG</t>
  </si>
  <si>
    <t>National Capital Region</t>
  </si>
  <si>
    <t>PH-00</t>
  </si>
  <si>
    <t>Navotas</t>
  </si>
  <si>
    <t>PH-NAV</t>
  </si>
  <si>
    <t>Negros Occidental</t>
  </si>
  <si>
    <t>PH-NEC</t>
  </si>
  <si>
    <t>Negros Oriental</t>
  </si>
  <si>
    <t>PH-NER</t>
  </si>
  <si>
    <t>Northern Mindanao</t>
  </si>
  <si>
    <t>PH-10</t>
  </si>
  <si>
    <t>Northern Samar</t>
  </si>
  <si>
    <t>PH-NSA</t>
  </si>
  <si>
    <t>Nueva Ecija</t>
  </si>
  <si>
    <t>PH-NUE</t>
  </si>
  <si>
    <t>Nueva Vizcaya</t>
  </si>
  <si>
    <t>PH-NUV</t>
  </si>
  <si>
    <t>Occidental Mindoro</t>
  </si>
  <si>
    <t>PH-MDC</t>
  </si>
  <si>
    <t>Mindoro Occidental</t>
  </si>
  <si>
    <t>Olongapo</t>
  </si>
  <si>
    <t>PH-OLG</t>
  </si>
  <si>
    <t>Oriental Mindoro</t>
  </si>
  <si>
    <t>PH-MDR</t>
  </si>
  <si>
    <t>Mindoro Oriental</t>
  </si>
  <si>
    <t>Ormoc</t>
  </si>
  <si>
    <t>PH-ORM</t>
  </si>
  <si>
    <t>Palawan</t>
  </si>
  <si>
    <t>PH-PLW</t>
  </si>
  <si>
    <t>Pampanga</t>
  </si>
  <si>
    <t>PH-PAM</t>
  </si>
  <si>
    <t>Pangasinan</t>
  </si>
  <si>
    <t>PH-PAN</t>
  </si>
  <si>
    <t>Parañaque</t>
  </si>
  <si>
    <t>PH-PAR</t>
  </si>
  <si>
    <t>Pasay</t>
  </si>
  <si>
    <t>PH-PAS</t>
  </si>
  <si>
    <t>Pasig</t>
  </si>
  <si>
    <t>PH-PSG</t>
  </si>
  <si>
    <t>Puerto Princesa</t>
  </si>
  <si>
    <t>PH-PPR</t>
  </si>
  <si>
    <t>Quezon</t>
  </si>
  <si>
    <t>PH-QZN</t>
  </si>
  <si>
    <t>PH-QUE</t>
  </si>
  <si>
    <t>Quirino</t>
  </si>
  <si>
    <t>PH-QUI</t>
  </si>
  <si>
    <t>Rizal</t>
  </si>
  <si>
    <t>PH-RIZ</t>
  </si>
  <si>
    <t>Romblon</t>
  </si>
  <si>
    <t>PH-ROM</t>
  </si>
  <si>
    <t>Samar</t>
  </si>
  <si>
    <t>PH-WSA</t>
  </si>
  <si>
    <t>PH-SNJ</t>
  </si>
  <si>
    <t>PH-SAN</t>
  </si>
  <si>
    <t>Sarangani</t>
  </si>
  <si>
    <t>PH-SAR</t>
  </si>
  <si>
    <t>Siquijor</t>
  </si>
  <si>
    <t>PH-SIG</t>
  </si>
  <si>
    <t>SOCCSKSARGEN Region</t>
  </si>
  <si>
    <t>PH-12</t>
  </si>
  <si>
    <t>Soccsksargen</t>
  </si>
  <si>
    <t>Sorsogon</t>
  </si>
  <si>
    <t>PH-SOR</t>
  </si>
  <si>
    <t>South Cotabato</t>
  </si>
  <si>
    <t>PH-SCO</t>
  </si>
  <si>
    <t>Southern Leyte</t>
  </si>
  <si>
    <t>PH-SLE</t>
  </si>
  <si>
    <t>Sultan Kudarat</t>
  </si>
  <si>
    <t>PH-SUK</t>
  </si>
  <si>
    <t>Sulu</t>
  </si>
  <si>
    <t>PH-SLU</t>
  </si>
  <si>
    <t>Surigao del Norte</t>
  </si>
  <si>
    <t>PH-SUN</t>
  </si>
  <si>
    <t>Surigao del Sur</t>
  </si>
  <si>
    <t>PH-SUR</t>
  </si>
  <si>
    <t>Tacloban</t>
  </si>
  <si>
    <t>PH-TAC</t>
  </si>
  <si>
    <t>Taguig</t>
  </si>
  <si>
    <t>PH-TAG</t>
  </si>
  <si>
    <t>Tarlac</t>
  </si>
  <si>
    <t>PH-TAR</t>
  </si>
  <si>
    <t>Tawi-Tawi</t>
  </si>
  <si>
    <t>PH-TAW</t>
  </si>
  <si>
    <t>Valenzuela</t>
  </si>
  <si>
    <t>PH-VAL</t>
  </si>
  <si>
    <t>Western Visayas</t>
  </si>
  <si>
    <t>PH-06</t>
  </si>
  <si>
    <t>Zambales</t>
  </si>
  <si>
    <t>PH-ZMB</t>
  </si>
  <si>
    <t>Zamboanga</t>
  </si>
  <si>
    <t>PH-ZAM</t>
  </si>
  <si>
    <t>Zamboanga del Norte</t>
  </si>
  <si>
    <t>PH-ZAN</t>
  </si>
  <si>
    <t>Zamboanga del Sur</t>
  </si>
  <si>
    <t>PH-ZAS</t>
  </si>
  <si>
    <t>Zamboanga Peninsula</t>
  </si>
  <si>
    <t>PH-09</t>
  </si>
  <si>
    <t>Zamboanga Sibugay</t>
  </si>
  <si>
    <t>PH-ZSI</t>
  </si>
  <si>
    <t>Dolnośląskie</t>
  </si>
  <si>
    <t>PL-DS</t>
  </si>
  <si>
    <t>Kujawsko-Pomorskie</t>
  </si>
  <si>
    <t>PL-KP</t>
  </si>
  <si>
    <t>Kujawsko-pomorskie</t>
  </si>
  <si>
    <t>Łódzkie</t>
  </si>
  <si>
    <t>PL-LD</t>
  </si>
  <si>
    <t>Lubelskie</t>
  </si>
  <si>
    <t>PL-LU</t>
  </si>
  <si>
    <t>Lubuskie</t>
  </si>
  <si>
    <t>PL-LB</t>
  </si>
  <si>
    <t>Małopolskie</t>
  </si>
  <si>
    <t>PL-MA</t>
  </si>
  <si>
    <t>Mazowieckie</t>
  </si>
  <si>
    <t>PL-MZ</t>
  </si>
  <si>
    <t>Opolskie</t>
  </si>
  <si>
    <t>PL-OP</t>
  </si>
  <si>
    <t>Podkarpackie</t>
  </si>
  <si>
    <t>PL-PK</t>
  </si>
  <si>
    <t>Podlaskie</t>
  </si>
  <si>
    <t>PL-PD</t>
  </si>
  <si>
    <t>Pomorskie</t>
  </si>
  <si>
    <t>PL-PM</t>
  </si>
  <si>
    <t>Śląskie</t>
  </si>
  <si>
    <t>PL-SL</t>
  </si>
  <si>
    <t>Świętokrzyskie</t>
  </si>
  <si>
    <t>PL-SK</t>
  </si>
  <si>
    <t>Warmińsko-Mazurskie</t>
  </si>
  <si>
    <t>PL-WN</t>
  </si>
  <si>
    <t>Warmińsko-mazurskie</t>
  </si>
  <si>
    <t>Wielkopolskie</t>
  </si>
  <si>
    <t>PL-WP</t>
  </si>
  <si>
    <t>Zachodniopomorskie</t>
  </si>
  <si>
    <t>PL-ZP</t>
  </si>
  <si>
    <t>Aveiro</t>
  </si>
  <si>
    <t>PT-01</t>
  </si>
  <si>
    <t>Azores</t>
  </si>
  <si>
    <t>PT-20</t>
  </si>
  <si>
    <t>Região Autónoma dos Açores</t>
  </si>
  <si>
    <t>Beja</t>
  </si>
  <si>
    <t>PT-02</t>
  </si>
  <si>
    <t>Braga</t>
  </si>
  <si>
    <t>PT-03</t>
  </si>
  <si>
    <t>Bragança</t>
  </si>
  <si>
    <t>PT-04</t>
  </si>
  <si>
    <t>Castelo Branco</t>
  </si>
  <si>
    <t>PT-05</t>
  </si>
  <si>
    <t>Coimbra</t>
  </si>
  <si>
    <t>PT-06</t>
  </si>
  <si>
    <t>Évora</t>
  </si>
  <si>
    <t>PT-07</t>
  </si>
  <si>
    <t>Faro</t>
  </si>
  <si>
    <t>PT-08</t>
  </si>
  <si>
    <t>Guarda</t>
  </si>
  <si>
    <t>PT-09</t>
  </si>
  <si>
    <t>Leiria</t>
  </si>
  <si>
    <t>PT-10</t>
  </si>
  <si>
    <t>Lisboa</t>
  </si>
  <si>
    <t>PT-11</t>
  </si>
  <si>
    <t>Madeira</t>
  </si>
  <si>
    <t>PT-30</t>
  </si>
  <si>
    <t>Região Autónoma da Madeira</t>
  </si>
  <si>
    <t>Portalegre</t>
  </si>
  <si>
    <t>PT-12</t>
  </si>
  <si>
    <t>Porto</t>
  </si>
  <si>
    <t>PT-13</t>
  </si>
  <si>
    <t>Santarém</t>
  </si>
  <si>
    <t>PT-14</t>
  </si>
  <si>
    <t>Setúbal</t>
  </si>
  <si>
    <t>PT-15</t>
  </si>
  <si>
    <t>Viana do Castelo</t>
  </si>
  <si>
    <t>PT-16</t>
  </si>
  <si>
    <t>Vila Real</t>
  </si>
  <si>
    <t>PT-17</t>
  </si>
  <si>
    <t>Viseu</t>
  </si>
  <si>
    <t>PT-18</t>
  </si>
  <si>
    <t>Ad Dawḩah</t>
  </si>
  <si>
    <t>QA-DA</t>
  </si>
  <si>
    <t>Al Khawr wa adh Dhakhīrah</t>
  </si>
  <si>
    <t>QA-KH</t>
  </si>
  <si>
    <t>Al Wakrah</t>
  </si>
  <si>
    <t>QA-WA</t>
  </si>
  <si>
    <t>Ar Rayyān</t>
  </si>
  <si>
    <t>QA-RA</t>
  </si>
  <si>
    <t>Ash Shamāl</t>
  </si>
  <si>
    <t>QA-MS</t>
  </si>
  <si>
    <t>Ash Shīḩānīyah</t>
  </si>
  <si>
    <t>QA-SH</t>
  </si>
  <si>
    <t>Az̧ Z̧a‘āyin</t>
  </si>
  <si>
    <t>QA-ZA</t>
  </si>
  <si>
    <t>Umm Şalāl</t>
  </si>
  <si>
    <t>QA-US</t>
  </si>
  <si>
    <t>Alba</t>
  </si>
  <si>
    <t>RO-AB</t>
  </si>
  <si>
    <t>Arad</t>
  </si>
  <si>
    <t>RO-AR</t>
  </si>
  <si>
    <t>Argeş</t>
  </si>
  <si>
    <t>RO-AG</t>
  </si>
  <si>
    <t>Bacău</t>
  </si>
  <si>
    <t>RO-BC</t>
  </si>
  <si>
    <t>Bihor</t>
  </si>
  <si>
    <t>RO-BH</t>
  </si>
  <si>
    <t>Bistriţa-Năsăud</t>
  </si>
  <si>
    <t>RO-BN</t>
  </si>
  <si>
    <t>Botoşani</t>
  </si>
  <si>
    <t>RO-BT</t>
  </si>
  <si>
    <t>Brăila</t>
  </si>
  <si>
    <t>RO-BR</t>
  </si>
  <si>
    <t>Braşov</t>
  </si>
  <si>
    <t>RO-BV</t>
  </si>
  <si>
    <t>Bucureşti</t>
  </si>
  <si>
    <t>RO-B</t>
  </si>
  <si>
    <t>Buzău</t>
  </si>
  <si>
    <t>RO-BZ</t>
  </si>
  <si>
    <t>RO-CL</t>
  </si>
  <si>
    <t>Caraş-Severin</t>
  </si>
  <si>
    <t>RO-CS</t>
  </si>
  <si>
    <t>Cluj</t>
  </si>
  <si>
    <t>RO-CJ</t>
  </si>
  <si>
    <t>Constanţa</t>
  </si>
  <si>
    <t>RO-CT</t>
  </si>
  <si>
    <t>Covasna</t>
  </si>
  <si>
    <t>RO-CV</t>
  </si>
  <si>
    <t>Dâmboviţa</t>
  </si>
  <si>
    <t>RO-DB</t>
  </si>
  <si>
    <t>Dolj</t>
  </si>
  <si>
    <t>RO-DJ</t>
  </si>
  <si>
    <t>Galaţi</t>
  </si>
  <si>
    <t>RO-GL</t>
  </si>
  <si>
    <t>Giurgiu</t>
  </si>
  <si>
    <t>RO-GR</t>
  </si>
  <si>
    <t>Gorj</t>
  </si>
  <si>
    <t>RO-GJ</t>
  </si>
  <si>
    <t>Harghita</t>
  </si>
  <si>
    <t>RO-HR</t>
  </si>
  <si>
    <t>Hunedoara</t>
  </si>
  <si>
    <t>RO-HD</t>
  </si>
  <si>
    <t>Ialomiţa</t>
  </si>
  <si>
    <t>RO-IL</t>
  </si>
  <si>
    <t>Iaşi</t>
  </si>
  <si>
    <t>RO-IS</t>
  </si>
  <si>
    <t>Ilfov</t>
  </si>
  <si>
    <t>RO-IF</t>
  </si>
  <si>
    <t>Maramureş</t>
  </si>
  <si>
    <t>RO-MM</t>
  </si>
  <si>
    <t>Mehedinţi</t>
  </si>
  <si>
    <t>RO-MH</t>
  </si>
  <si>
    <t>Mureş</t>
  </si>
  <si>
    <t>RO-MS</t>
  </si>
  <si>
    <t>Neamţ</t>
  </si>
  <si>
    <t>RO-NT</t>
  </si>
  <si>
    <t>Olt</t>
  </si>
  <si>
    <t>RO-OT</t>
  </si>
  <si>
    <t>Prahova</t>
  </si>
  <si>
    <t>RO-PH</t>
  </si>
  <si>
    <t>Sălaj</t>
  </si>
  <si>
    <t>RO-SJ</t>
  </si>
  <si>
    <t>Satu Mare</t>
  </si>
  <si>
    <t>RO-SM</t>
  </si>
  <si>
    <t>Sibiu</t>
  </si>
  <si>
    <t>RO-SB</t>
  </si>
  <si>
    <t>Suceava</t>
  </si>
  <si>
    <t>RO-SV</t>
  </si>
  <si>
    <t>Teleorman</t>
  </si>
  <si>
    <t>RO-TR</t>
  </si>
  <si>
    <t>Timiş</t>
  </si>
  <si>
    <t>RO-TM</t>
  </si>
  <si>
    <t>Tulcea</t>
  </si>
  <si>
    <t>RO-TL</t>
  </si>
  <si>
    <t>Vâlcea</t>
  </si>
  <si>
    <t>RO-VL</t>
  </si>
  <si>
    <t>Vaslui</t>
  </si>
  <si>
    <t>RO-VS</t>
  </si>
  <si>
    <t>Vrancea</t>
  </si>
  <si>
    <t>RO-VN</t>
  </si>
  <si>
    <t>Adygeya</t>
  </si>
  <si>
    <t>RU-AD</t>
  </si>
  <si>
    <t>Adygeya, Respublika</t>
  </si>
  <si>
    <t>Altay</t>
  </si>
  <si>
    <t>RU-AL</t>
  </si>
  <si>
    <t>Altay, Respublika</t>
  </si>
  <si>
    <t>Altayskiy Kray</t>
  </si>
  <si>
    <t>RU-ALT</t>
  </si>
  <si>
    <t>Altayskiy kray</t>
  </si>
  <si>
    <t>administrative territory</t>
  </si>
  <si>
    <t>Amurskaya Oblast’</t>
  </si>
  <si>
    <t>RU-AMU</t>
  </si>
  <si>
    <t>Amurskaya oblast'</t>
  </si>
  <si>
    <t>Arkhangel’skaya Oblast’</t>
  </si>
  <si>
    <t>RU-ARK</t>
  </si>
  <si>
    <t>Arkhangel'skaya oblast'</t>
  </si>
  <si>
    <t>Astrakhanskaya Oblast’</t>
  </si>
  <si>
    <t>RU-AST</t>
  </si>
  <si>
    <t>Astrakhanskaya oblast'</t>
  </si>
  <si>
    <t>Bashkortostan</t>
  </si>
  <si>
    <t>RU-BA</t>
  </si>
  <si>
    <t>Bashkortostan, Respublika</t>
  </si>
  <si>
    <t>Belgorodskaya Oblast’</t>
  </si>
  <si>
    <t>RU-BEL</t>
  </si>
  <si>
    <t>Belgorodskaya oblast'</t>
  </si>
  <si>
    <t>Bryanskaya Oblast’</t>
  </si>
  <si>
    <t>RU-BRY</t>
  </si>
  <si>
    <t>Bryanskaya oblast'</t>
  </si>
  <si>
    <t>Buryatiya</t>
  </si>
  <si>
    <t>RU-BU</t>
  </si>
  <si>
    <t>Buryatiya, Respublika</t>
  </si>
  <si>
    <t>Chechnya</t>
  </si>
  <si>
    <t>RU-CE</t>
  </si>
  <si>
    <t>Chechenskaya Respublika</t>
  </si>
  <si>
    <t>Chelyabinskaya Oblast’</t>
  </si>
  <si>
    <t>RU-CHE</t>
  </si>
  <si>
    <t>Chelyabinskaya oblast'</t>
  </si>
  <si>
    <t>Chukotskiy Avtonomnyy Okrug</t>
  </si>
  <si>
    <t>RU-CHU</t>
  </si>
  <si>
    <t>Chukotskiy avtonomnyy okrug</t>
  </si>
  <si>
    <t>Chuvashiya</t>
  </si>
  <si>
    <t>RU-CU</t>
  </si>
  <si>
    <t>Chuvashskaya Respublika</t>
  </si>
  <si>
    <t>Dagestan</t>
  </si>
  <si>
    <t>RU-DA</t>
  </si>
  <si>
    <t>Dagestan, Respublika</t>
  </si>
  <si>
    <t>Ingushetiya</t>
  </si>
  <si>
    <t>RU-IN</t>
  </si>
  <si>
    <t>Ingushskaya Respublika</t>
  </si>
  <si>
    <t>Irkutskaya Oblast’</t>
  </si>
  <si>
    <t>RU-IRK</t>
  </si>
  <si>
    <t>Irkutskaya oblast'</t>
  </si>
  <si>
    <t>Ivanovskaya Oblast’</t>
  </si>
  <si>
    <t>RU-IVA</t>
  </si>
  <si>
    <t>Ivanovskaya oblast'</t>
  </si>
  <si>
    <t>Kabardino-Balkariya</t>
  </si>
  <si>
    <t>RU-KB</t>
  </si>
  <si>
    <t>Kabardino-Balkarskaya Respublika</t>
  </si>
  <si>
    <t>Kaliningradskaya Oblast’</t>
  </si>
  <si>
    <t>RU-KGD</t>
  </si>
  <si>
    <t>Kaliningradskaya oblast'</t>
  </si>
  <si>
    <t>Kalmykiya</t>
  </si>
  <si>
    <t>RU-KL</t>
  </si>
  <si>
    <t>Kalmykiya, Respublika</t>
  </si>
  <si>
    <t>Kaluzhskaya Oblast’</t>
  </si>
  <si>
    <t>RU-KLU</t>
  </si>
  <si>
    <t>Kaluzhskaya oblast'</t>
  </si>
  <si>
    <t>Kamchatskiy Kray</t>
  </si>
  <si>
    <t>RU-KAM</t>
  </si>
  <si>
    <t>Kamchatskiy kray</t>
  </si>
  <si>
    <t>Karachayevo-Cherkesiya</t>
  </si>
  <si>
    <t>RU-KC</t>
  </si>
  <si>
    <t>Karachayevo-Cherkesskaya Respublika</t>
  </si>
  <si>
    <t>Kareliya</t>
  </si>
  <si>
    <t>RU-KR</t>
  </si>
  <si>
    <t>Kareliya, Respublika</t>
  </si>
  <si>
    <t>Kemerovskaya Oblast’</t>
  </si>
  <si>
    <t>RU-KEM</t>
  </si>
  <si>
    <t>Kemerovskaya oblast'</t>
  </si>
  <si>
    <t>Khabarovskiy Kray</t>
  </si>
  <si>
    <t>RU-KHA</t>
  </si>
  <si>
    <t>Khabarovskiy kray</t>
  </si>
  <si>
    <t>Khakasiya</t>
  </si>
  <si>
    <t>RU-KK</t>
  </si>
  <si>
    <t>Khakasiya, Respublika</t>
  </si>
  <si>
    <t>Khanty-Mansiyskiy Avtonomnyy Okrug-Yugra</t>
  </si>
  <si>
    <t>RU-KHM</t>
  </si>
  <si>
    <t>Khanty-Mansiyskiy avtonomnyy okrug</t>
  </si>
  <si>
    <t>Kirovskaya Oblast’</t>
  </si>
  <si>
    <t>RU-KIR</t>
  </si>
  <si>
    <t>Kirovskaya oblast'</t>
  </si>
  <si>
    <t>Komi</t>
  </si>
  <si>
    <t>RU-KO</t>
  </si>
  <si>
    <t>Komi, Respublika</t>
  </si>
  <si>
    <t>Kostromskaya Oblast’</t>
  </si>
  <si>
    <t>RU-KOS</t>
  </si>
  <si>
    <t>Kostromskaya oblast'</t>
  </si>
  <si>
    <t>Krasnodarskiy Kray</t>
  </si>
  <si>
    <t>RU-KDA</t>
  </si>
  <si>
    <t>Krasnodarskiy kray</t>
  </si>
  <si>
    <t>Krasnoyarskiy Kray</t>
  </si>
  <si>
    <t>RU-KYA</t>
  </si>
  <si>
    <t>Krasnoyarskiy kray</t>
  </si>
  <si>
    <t>Kurganskaya Oblast’</t>
  </si>
  <si>
    <t>RU-KGN</t>
  </si>
  <si>
    <t>Kurganskaya oblast'</t>
  </si>
  <si>
    <t>Kurskaya Oblast’</t>
  </si>
  <si>
    <t>RU-KRS</t>
  </si>
  <si>
    <t>Kurskaya oblast'</t>
  </si>
  <si>
    <t>Leningradskaya Oblast’</t>
  </si>
  <si>
    <t>RU-LEN</t>
  </si>
  <si>
    <t>Leningradskaya oblast'</t>
  </si>
  <si>
    <t>Lipetskaya Oblast’</t>
  </si>
  <si>
    <t>RU-LIP</t>
  </si>
  <si>
    <t>Lipetskaya oblast'</t>
  </si>
  <si>
    <t>Magadanskaya Oblast’</t>
  </si>
  <si>
    <t>RU-MAG</t>
  </si>
  <si>
    <t>Magadanskaya oblast'</t>
  </si>
  <si>
    <t>Mariy-El</t>
  </si>
  <si>
    <t>RU-ME</t>
  </si>
  <si>
    <t>Mariy El, Respublika</t>
  </si>
  <si>
    <t>Mordoviya</t>
  </si>
  <si>
    <t>RU-MO</t>
  </si>
  <si>
    <t>Mordoviya, Respublika</t>
  </si>
  <si>
    <t>Moskovskaya Oblast’</t>
  </si>
  <si>
    <t>RU-MOS</t>
  </si>
  <si>
    <t>Moskovskaya oblast'</t>
  </si>
  <si>
    <t>Moskva</t>
  </si>
  <si>
    <t>RU-MOW</t>
  </si>
  <si>
    <t>Murmanskaya Oblast’</t>
  </si>
  <si>
    <t>RU-MUR</t>
  </si>
  <si>
    <t>Murmanskaya oblast'</t>
  </si>
  <si>
    <t>Nenetskiy Avtonomnyy Okrug</t>
  </si>
  <si>
    <t>RU-NEN</t>
  </si>
  <si>
    <t>Nenetskiy avtonomnyy okrug</t>
  </si>
  <si>
    <t>Nizhegorodskaya Oblast’</t>
  </si>
  <si>
    <t>RU-NIZ</t>
  </si>
  <si>
    <t>Nizhegorodskaya oblast'</t>
  </si>
  <si>
    <t>North Ossetia</t>
  </si>
  <si>
    <t>RU-SE</t>
  </si>
  <si>
    <t>Severnaya Osetiya, Respublika</t>
  </si>
  <si>
    <t>Novgorodskaya Oblast’</t>
  </si>
  <si>
    <t>RU-NGR</t>
  </si>
  <si>
    <t>Novgorodskaya oblast'</t>
  </si>
  <si>
    <t>Novosibirskaya Oblast’</t>
  </si>
  <si>
    <t>RU-NVS</t>
  </si>
  <si>
    <t>Novosibirskaya oblast'</t>
  </si>
  <si>
    <t>Omskaya Oblast’</t>
  </si>
  <si>
    <t>RU-OMS</t>
  </si>
  <si>
    <t>Omskaya oblast'</t>
  </si>
  <si>
    <t>Orenburgskaya Oblast’</t>
  </si>
  <si>
    <t>RU-ORE</t>
  </si>
  <si>
    <t>Orenburgskaya oblast'</t>
  </si>
  <si>
    <t>Orlovskaya Oblast’</t>
  </si>
  <si>
    <t>RU-ORL</t>
  </si>
  <si>
    <t>Orlovskaya oblast'</t>
  </si>
  <si>
    <t>Penzenskaya Oblast’</t>
  </si>
  <si>
    <t>RU-PNZ</t>
  </si>
  <si>
    <t>Penzenskaya oblast'</t>
  </si>
  <si>
    <t>Permskiy Kray</t>
  </si>
  <si>
    <t>RU-PER</t>
  </si>
  <si>
    <t>Permskiy kray</t>
  </si>
  <si>
    <t>Primorskiy Kray</t>
  </si>
  <si>
    <t>RU-PRI</t>
  </si>
  <si>
    <t>Primorskiy kray</t>
  </si>
  <si>
    <t>Pskovskaya Oblast’</t>
  </si>
  <si>
    <t>RU-PSK</t>
  </si>
  <si>
    <t>Pskovskaya oblast'</t>
  </si>
  <si>
    <t>Rostovskaya Oblast’</t>
  </si>
  <si>
    <t>RU-ROS</t>
  </si>
  <si>
    <t>Rostovskaya oblast'</t>
  </si>
  <si>
    <t>Ryazanskaya Oblast’</t>
  </si>
  <si>
    <t>RU-RYA</t>
  </si>
  <si>
    <t>Ryazanskaya oblast'</t>
  </si>
  <si>
    <t>Sakha (Yakutiya)</t>
  </si>
  <si>
    <t>RU-SA</t>
  </si>
  <si>
    <t>Sakha, Respublika</t>
  </si>
  <si>
    <t>Sakhalinskaya Oblast’</t>
  </si>
  <si>
    <t>RU-SAK</t>
  </si>
  <si>
    <t>Sakhalinskaya oblast'</t>
  </si>
  <si>
    <t>Samarskaya Oblast’</t>
  </si>
  <si>
    <t>RU-SAM</t>
  </si>
  <si>
    <t>Samarskaya oblast'</t>
  </si>
  <si>
    <t>Sankt-Peterburg</t>
  </si>
  <si>
    <t>RU-SPE</t>
  </si>
  <si>
    <t>Saratovskaya Oblast’</t>
  </si>
  <si>
    <t>RU-SAR</t>
  </si>
  <si>
    <t>Saratovskaya oblast'</t>
  </si>
  <si>
    <t>Smolenskaya Oblast’</t>
  </si>
  <si>
    <t>RU-SMO</t>
  </si>
  <si>
    <t>Smolenskaya oblast'</t>
  </si>
  <si>
    <t>Stavropol’skiy Kray</t>
  </si>
  <si>
    <t>RU-STA</t>
  </si>
  <si>
    <t>Stavropol'skiy kray</t>
  </si>
  <si>
    <t>Sverdlovskaya Oblast’</t>
  </si>
  <si>
    <t>RU-SVE</t>
  </si>
  <si>
    <t>Sverdlovskaya oblast'</t>
  </si>
  <si>
    <t>Tambovskaya Oblast’</t>
  </si>
  <si>
    <t>RU-TAM</t>
  </si>
  <si>
    <t>Tambovskaya oblast'</t>
  </si>
  <si>
    <t>Tatarstan</t>
  </si>
  <si>
    <t>RU-TA</t>
  </si>
  <si>
    <t>Tatarstan, Respublika</t>
  </si>
  <si>
    <t>Tomskaya Oblast’</t>
  </si>
  <si>
    <t>RU-TOM</t>
  </si>
  <si>
    <t>Tomskaya oblast'</t>
  </si>
  <si>
    <t>Tul’skaya Oblast’</t>
  </si>
  <si>
    <t>RU-TUL</t>
  </si>
  <si>
    <t>Tul'skaya oblast'</t>
  </si>
  <si>
    <t>Tverskaya Oblast’</t>
  </si>
  <si>
    <t>RU-TVE</t>
  </si>
  <si>
    <t>Tverskaya oblast'</t>
  </si>
  <si>
    <t>Tyumenskaya Oblast’</t>
  </si>
  <si>
    <t>RU-TYU</t>
  </si>
  <si>
    <t>Tyumenskaya oblast'</t>
  </si>
  <si>
    <t>Tyva</t>
  </si>
  <si>
    <t>RU-TY</t>
  </si>
  <si>
    <t>Tyva, Respublika</t>
  </si>
  <si>
    <t>Udmurtiya</t>
  </si>
  <si>
    <t>RU-UD</t>
  </si>
  <si>
    <t>Udmurtskaya Respublika</t>
  </si>
  <si>
    <t>Ul’yanovskaya Oblast’</t>
  </si>
  <si>
    <t>RU-ULY</t>
  </si>
  <si>
    <t>Ul'yanovskaya oblast'</t>
  </si>
  <si>
    <t>Vladimirskaya Oblast’</t>
  </si>
  <si>
    <t>RU-VLA</t>
  </si>
  <si>
    <t>Vladimirskaya oblast'</t>
  </si>
  <si>
    <t>Volgogradskaya Oblast’</t>
  </si>
  <si>
    <t>RU-VGG</t>
  </si>
  <si>
    <t>Volgogradskaya oblast'</t>
  </si>
  <si>
    <t>Vologodskaya Oblast’</t>
  </si>
  <si>
    <t>RU-VLG</t>
  </si>
  <si>
    <t>Vologodskaya oblast'</t>
  </si>
  <si>
    <t>Voronezhskaya Oblast’</t>
  </si>
  <si>
    <t>RU-VOR</t>
  </si>
  <si>
    <t>Voronezhskaya oblast'</t>
  </si>
  <si>
    <t>Yamalo-Nenetskiy Avtonomnyy Okrug</t>
  </si>
  <si>
    <t>RU-YAN</t>
  </si>
  <si>
    <t>Yamalo-Nenetskiy avtonomnyy okrug</t>
  </si>
  <si>
    <t>Yaroslavskaya Oblast’</t>
  </si>
  <si>
    <t>RU-YAR</t>
  </si>
  <si>
    <t>Yaroslavskaya oblast'</t>
  </si>
  <si>
    <t>Yevreyskaya Avtonomnaya Oblast’</t>
  </si>
  <si>
    <t>RU-YEV</t>
  </si>
  <si>
    <t>Yevreyskaya avtonomnaya oblast'</t>
  </si>
  <si>
    <t>Zabaykal’skiy Kray</t>
  </si>
  <si>
    <t>RU-ZAB</t>
  </si>
  <si>
    <t>Zabaykal'skiy kray</t>
  </si>
  <si>
    <t>Eastern Province</t>
  </si>
  <si>
    <t>RW-02</t>
  </si>
  <si>
    <t>Kigali</t>
  </si>
  <si>
    <t>RW-01</t>
  </si>
  <si>
    <t>City of Kigali</t>
  </si>
  <si>
    <t>Northern Province</t>
  </si>
  <si>
    <t>RW-03</t>
  </si>
  <si>
    <t>Southern Province</t>
  </si>
  <si>
    <t>RW-05</t>
  </si>
  <si>
    <t>Western Province</t>
  </si>
  <si>
    <t>RW-04</t>
  </si>
  <si>
    <t>Ascension</t>
  </si>
  <si>
    <t>administrative area</t>
  </si>
  <si>
    <t>SH-AC</t>
  </si>
  <si>
    <t>SAINT HELENA</t>
  </si>
  <si>
    <t>geographical entity</t>
  </si>
  <si>
    <t>Saint Helena</t>
  </si>
  <si>
    <t>SH-HL</t>
  </si>
  <si>
    <t>Tristan da Cunha</t>
  </si>
  <si>
    <t>SH-TA</t>
  </si>
  <si>
    <t>Christ Church Nichola Town</t>
  </si>
  <si>
    <t>KN-01</t>
  </si>
  <si>
    <t>Nevis</t>
  </si>
  <si>
    <t>KN-N</t>
  </si>
  <si>
    <t>Saint Anne Sandy Point</t>
  </si>
  <si>
    <t>KN-02</t>
  </si>
  <si>
    <t>Saint George Basseterre</t>
  </si>
  <si>
    <t>KN-03</t>
  </si>
  <si>
    <t>Saint George Gingerland</t>
  </si>
  <si>
    <t>KN-04</t>
  </si>
  <si>
    <t>Saint James Windward</t>
  </si>
  <si>
    <t>KN-05</t>
  </si>
  <si>
    <t>Saint John Capesterre</t>
  </si>
  <si>
    <t>KN-06</t>
  </si>
  <si>
    <t>Saint John Capisterre</t>
  </si>
  <si>
    <t>Saint John Figtree</t>
  </si>
  <si>
    <t>KN-07</t>
  </si>
  <si>
    <t>Saint Kitts</t>
  </si>
  <si>
    <t>KN-K</t>
  </si>
  <si>
    <t>Saint Mary Cayon</t>
  </si>
  <si>
    <t>KN-08</t>
  </si>
  <si>
    <t>Saint Paul Capesterre</t>
  </si>
  <si>
    <t>KN-09</t>
  </si>
  <si>
    <t>Saint Paul Capisterre</t>
  </si>
  <si>
    <t>Saint Paul Charlestown</t>
  </si>
  <si>
    <t>KN-10</t>
  </si>
  <si>
    <t>Saint Peter Basseterre</t>
  </si>
  <si>
    <t>KN-11</t>
  </si>
  <si>
    <t>Saint Thomas Lowland</t>
  </si>
  <si>
    <t>KN-12</t>
  </si>
  <si>
    <t>Saint Thomas Middle Island</t>
  </si>
  <si>
    <t>KN-13</t>
  </si>
  <si>
    <t>Trinity Palmetto Point</t>
  </si>
  <si>
    <t>KN-15</t>
  </si>
  <si>
    <t>Anse-la-Raye</t>
  </si>
  <si>
    <t>LC-01</t>
  </si>
  <si>
    <t>Anse la Raye</t>
  </si>
  <si>
    <t>Canaries</t>
  </si>
  <si>
    <t>LC-12</t>
  </si>
  <si>
    <t>Castries</t>
  </si>
  <si>
    <t>LC-02</t>
  </si>
  <si>
    <t>Choiseul</t>
  </si>
  <si>
    <t>LC-03</t>
  </si>
  <si>
    <t>Dennery</t>
  </si>
  <si>
    <t>LC-05</t>
  </si>
  <si>
    <t>Gros-Islet</t>
  </si>
  <si>
    <t>LC-06</t>
  </si>
  <si>
    <t>Gros Islet</t>
  </si>
  <si>
    <t>Laborie</t>
  </si>
  <si>
    <t>LC-07</t>
  </si>
  <si>
    <t>Micoud</t>
  </si>
  <si>
    <t>LC-08</t>
  </si>
  <si>
    <t>Soufrière</t>
  </si>
  <si>
    <t>LC-10</t>
  </si>
  <si>
    <t>Vieux-Fort</t>
  </si>
  <si>
    <t>LC-11</t>
  </si>
  <si>
    <t>Vieux Fort</t>
  </si>
  <si>
    <t>Charlotte</t>
  </si>
  <si>
    <t>VC-01</t>
  </si>
  <si>
    <t>Grenadines</t>
  </si>
  <si>
    <t>VC-06</t>
  </si>
  <si>
    <t>VC-02</t>
  </si>
  <si>
    <t>VC-03</t>
  </si>
  <si>
    <t>VC-04</t>
  </si>
  <si>
    <t>VC-05</t>
  </si>
  <si>
    <t>A‘ana</t>
  </si>
  <si>
    <t>WS-AA</t>
  </si>
  <si>
    <t>A'ana</t>
  </si>
  <si>
    <t>Aiga-i-le-Tai</t>
  </si>
  <si>
    <t>WS-AL</t>
  </si>
  <si>
    <t>Atua</t>
  </si>
  <si>
    <t>WS-AT</t>
  </si>
  <si>
    <t>Fa‘asaleleaga</t>
  </si>
  <si>
    <t>WS-FA</t>
  </si>
  <si>
    <t>Fa'asaleleaga</t>
  </si>
  <si>
    <t>Gaga‘emauga</t>
  </si>
  <si>
    <t>WS-GE</t>
  </si>
  <si>
    <t>Gaga'emauga</t>
  </si>
  <si>
    <t>Gagaifomauga</t>
  </si>
  <si>
    <t>WS-GI</t>
  </si>
  <si>
    <t>Palauli</t>
  </si>
  <si>
    <t>WS-PA</t>
  </si>
  <si>
    <t>Satupa‘itea</t>
  </si>
  <si>
    <t>WS-SA</t>
  </si>
  <si>
    <t>Satupa'itea</t>
  </si>
  <si>
    <t>Tuamasaga</t>
  </si>
  <si>
    <t>WS-TU</t>
  </si>
  <si>
    <t>Va‘a-o-Fonoti</t>
  </si>
  <si>
    <t>WS-VF</t>
  </si>
  <si>
    <t>Va'a-o-Fonoti</t>
  </si>
  <si>
    <t>Vaisigano</t>
  </si>
  <si>
    <t>WS-VS</t>
  </si>
  <si>
    <t>Acquaviva</t>
  </si>
  <si>
    <t>SM-01</t>
  </si>
  <si>
    <t>Borgo Maggiore</t>
  </si>
  <si>
    <t>SM-06</t>
  </si>
  <si>
    <t>Chiesanuova</t>
  </si>
  <si>
    <t>SM-02</t>
  </si>
  <si>
    <t>Domagnano</t>
  </si>
  <si>
    <t>SM-03</t>
  </si>
  <si>
    <t>Faetano</t>
  </si>
  <si>
    <t>SM-04</t>
  </si>
  <si>
    <t>Fiorentino</t>
  </si>
  <si>
    <t>SM-05</t>
  </si>
  <si>
    <t>Montegiardino</t>
  </si>
  <si>
    <t>SM-08</t>
  </si>
  <si>
    <t>San Marino Città</t>
  </si>
  <si>
    <t>SM-07</t>
  </si>
  <si>
    <t>San Marino</t>
  </si>
  <si>
    <t>Serravalle</t>
  </si>
  <si>
    <t>SM-09</t>
  </si>
  <si>
    <t>Príncipe</t>
  </si>
  <si>
    <t>ST-P</t>
  </si>
  <si>
    <t>São Tomé</t>
  </si>
  <si>
    <t>ST-S</t>
  </si>
  <si>
    <t>Al Bāḩah</t>
  </si>
  <si>
    <t>SA-11</t>
  </si>
  <si>
    <t>Al Ḩudūd ash Shamālīyah</t>
  </si>
  <si>
    <t>SA-08</t>
  </si>
  <si>
    <t>Al Jawf</t>
  </si>
  <si>
    <t>SA-12</t>
  </si>
  <si>
    <t>Al Madīnah al Munawwarah</t>
  </si>
  <si>
    <t>SA-03</t>
  </si>
  <si>
    <t>Al Qaşīm</t>
  </si>
  <si>
    <t>SA-05</t>
  </si>
  <si>
    <t>Ar Riyāḑ</t>
  </si>
  <si>
    <t>SA-01</t>
  </si>
  <si>
    <t>SA-04</t>
  </si>
  <si>
    <t>‘Asīr</t>
  </si>
  <si>
    <t>SA-14</t>
  </si>
  <si>
    <t>Ḩā’il</t>
  </si>
  <si>
    <t>SA-06</t>
  </si>
  <si>
    <t>Jāzān</t>
  </si>
  <si>
    <t>SA-09</t>
  </si>
  <si>
    <t>Makkah al Mukarramah</t>
  </si>
  <si>
    <t>SA-02</t>
  </si>
  <si>
    <t>Najrān</t>
  </si>
  <si>
    <t>SA-10</t>
  </si>
  <si>
    <t>Tabūk</t>
  </si>
  <si>
    <t>SA-07</t>
  </si>
  <si>
    <t>Dakar</t>
  </si>
  <si>
    <t>SN-DK</t>
  </si>
  <si>
    <t>Diourbel</t>
  </si>
  <si>
    <t>SN-DB</t>
  </si>
  <si>
    <t>Fatick</t>
  </si>
  <si>
    <t>SN-FK</t>
  </si>
  <si>
    <t>Kaffrine</t>
  </si>
  <si>
    <t>SN-KA</t>
  </si>
  <si>
    <t>Kaolack</t>
  </si>
  <si>
    <t>SN-KL</t>
  </si>
  <si>
    <t>Kédougou</t>
  </si>
  <si>
    <t>SN-KE</t>
  </si>
  <si>
    <t>Kolda</t>
  </si>
  <si>
    <t>SN-KD</t>
  </si>
  <si>
    <t>Louga</t>
  </si>
  <si>
    <t>SN-LG</t>
  </si>
  <si>
    <t>Matam</t>
  </si>
  <si>
    <t>SN-MT</t>
  </si>
  <si>
    <t>Saint-Louis</t>
  </si>
  <si>
    <t>SN-SL</t>
  </si>
  <si>
    <t>Sédhiou</t>
  </si>
  <si>
    <t>SN-SE</t>
  </si>
  <si>
    <t>Tambacounda</t>
  </si>
  <si>
    <t>SN-TC</t>
  </si>
  <si>
    <t>Thiès</t>
  </si>
  <si>
    <t>SN-TH</t>
  </si>
  <si>
    <t>Ziguinchor</t>
  </si>
  <si>
    <t>SN-ZG</t>
  </si>
  <si>
    <t>Ada</t>
  </si>
  <si>
    <t>RS-30</t>
  </si>
  <si>
    <t>Aleksandrovac</t>
  </si>
  <si>
    <t>RS-31</t>
  </si>
  <si>
    <t>Aleksinac</t>
  </si>
  <si>
    <t>RS-32</t>
  </si>
  <si>
    <t>Alibunar</t>
  </si>
  <si>
    <t>RS-33</t>
  </si>
  <si>
    <t>Apatin</t>
  </si>
  <si>
    <t>RS-34</t>
  </si>
  <si>
    <t>Aranđelovac</t>
  </si>
  <si>
    <t>RS-35</t>
  </si>
  <si>
    <t>Arilje</t>
  </si>
  <si>
    <t>RS-36</t>
  </si>
  <si>
    <t>Babušnica</t>
  </si>
  <si>
    <t>RS-37</t>
  </si>
  <si>
    <t>Bač</t>
  </si>
  <si>
    <t>RS-38</t>
  </si>
  <si>
    <t>Bačka Palanka</t>
  </si>
  <si>
    <t>RS-39</t>
  </si>
  <si>
    <t>Bačka Topola</t>
  </si>
  <si>
    <t>RS-40</t>
  </si>
  <si>
    <t>Bački Petrovac</t>
  </si>
  <si>
    <t>RS-41</t>
  </si>
  <si>
    <t>Bajina Bašta</t>
  </si>
  <si>
    <t>RS-42</t>
  </si>
  <si>
    <t>Batočina</t>
  </si>
  <si>
    <t>RS-43</t>
  </si>
  <si>
    <t>Bečej</t>
  </si>
  <si>
    <t>RS-44</t>
  </si>
  <si>
    <t>Bela Crkva</t>
  </si>
  <si>
    <t>RS-45</t>
  </si>
  <si>
    <t>Bela Palanka</t>
  </si>
  <si>
    <t>RS-46</t>
  </si>
  <si>
    <t xml:space="preserve">Beočin </t>
  </si>
  <si>
    <t>RS-47</t>
  </si>
  <si>
    <t>Beograd</t>
  </si>
  <si>
    <t>RS-00</t>
  </si>
  <si>
    <t>Blace</t>
  </si>
  <si>
    <t>RS-48</t>
  </si>
  <si>
    <t>Bogatić</t>
  </si>
  <si>
    <t>RS-49</t>
  </si>
  <si>
    <t>Bojnik</t>
  </si>
  <si>
    <t>RS-50</t>
  </si>
  <si>
    <t>Boljevac</t>
  </si>
  <si>
    <t>RS-51</t>
  </si>
  <si>
    <t>Bor</t>
  </si>
  <si>
    <t>RS-52</t>
  </si>
  <si>
    <t>Borski Okrug</t>
  </si>
  <si>
    <t>RS-14</t>
  </si>
  <si>
    <t>Borski okrug</t>
  </si>
  <si>
    <t>Bosilegrad</t>
  </si>
  <si>
    <t>RS-53</t>
  </si>
  <si>
    <t>Braničevski Okrug</t>
  </si>
  <si>
    <t>RS-11</t>
  </si>
  <si>
    <t>Braničevski okrug</t>
  </si>
  <si>
    <t>Brus</t>
  </si>
  <si>
    <t>RS-54</t>
  </si>
  <si>
    <t>Bujanovac</t>
  </si>
  <si>
    <t>RS-55</t>
  </si>
  <si>
    <t>Čačak</t>
  </si>
  <si>
    <t>RS-56</t>
  </si>
  <si>
    <t>Čajetina</t>
  </si>
  <si>
    <t>RS-57</t>
  </si>
  <si>
    <t>Ćićevac</t>
  </si>
  <si>
    <t>RS-58</t>
  </si>
  <si>
    <t>Čoka</t>
  </si>
  <si>
    <t>RS-59</t>
  </si>
  <si>
    <t>Crna Trava</t>
  </si>
  <si>
    <t>RS-60</t>
  </si>
  <si>
    <t>Ćuprija</t>
  </si>
  <si>
    <t>RS-61</t>
  </si>
  <si>
    <t>Despotovac</t>
  </si>
  <si>
    <t>RS-62</t>
  </si>
  <si>
    <t>Dimitrovgrad</t>
  </si>
  <si>
    <t>RS-63</t>
  </si>
  <si>
    <t>Doljevac</t>
  </si>
  <si>
    <t>RS-64</t>
  </si>
  <si>
    <t>Gadžin Han</t>
  </si>
  <si>
    <t>RS-65</t>
  </si>
  <si>
    <t>Golubac</t>
  </si>
  <si>
    <t>RS-66</t>
  </si>
  <si>
    <t>Gornji Milanovac</t>
  </si>
  <si>
    <t>RS-67</t>
  </si>
  <si>
    <t>Inđija</t>
  </si>
  <si>
    <t>RS-68</t>
  </si>
  <si>
    <t>Irig</t>
  </si>
  <si>
    <t>RS-69</t>
  </si>
  <si>
    <t>Ivanjica</t>
  </si>
  <si>
    <t>RS-70</t>
  </si>
  <si>
    <t>Jablanički Okrug</t>
  </si>
  <si>
    <t>RS-23</t>
  </si>
  <si>
    <t>Jablanički okrug</t>
  </si>
  <si>
    <t>Jagodina</t>
  </si>
  <si>
    <t>RS-71</t>
  </si>
  <si>
    <t>Južno Bački Okrug</t>
  </si>
  <si>
    <t>RS-06</t>
  </si>
  <si>
    <t>Južnobački okrug</t>
  </si>
  <si>
    <t>Južno Banatski Okrug</t>
  </si>
  <si>
    <t>RS-04</t>
  </si>
  <si>
    <t>Južnobanatski okrug</t>
  </si>
  <si>
    <t>Kanjiža</t>
  </si>
  <si>
    <t>RS-72</t>
  </si>
  <si>
    <t>Kikinda</t>
  </si>
  <si>
    <t>RS-73</t>
  </si>
  <si>
    <t>Kladovo</t>
  </si>
  <si>
    <t>RS-74</t>
  </si>
  <si>
    <t>Knić</t>
  </si>
  <si>
    <t>RS-75</t>
  </si>
  <si>
    <t>Knjaževac</t>
  </si>
  <si>
    <t>RS-76</t>
  </si>
  <si>
    <t>Koceljeva</t>
  </si>
  <si>
    <t>RS-77</t>
  </si>
  <si>
    <t>Kolubarski Okrug</t>
  </si>
  <si>
    <t>RS-09</t>
  </si>
  <si>
    <t>Kolubarski okrug</t>
  </si>
  <si>
    <t>Kosjerić</t>
  </si>
  <si>
    <t>RS-78</t>
  </si>
  <si>
    <t>Kovačica</t>
  </si>
  <si>
    <t>RS-79</t>
  </si>
  <si>
    <t>Kovin</t>
  </si>
  <si>
    <t>RS-80</t>
  </si>
  <si>
    <t>Kragujevac</t>
  </si>
  <si>
    <t>RS-81</t>
  </si>
  <si>
    <t>Kraljevo</t>
  </si>
  <si>
    <t>RS-82</t>
  </si>
  <si>
    <t>Krupanj</t>
  </si>
  <si>
    <t>RS-83</t>
  </si>
  <si>
    <t>Kruševac</t>
  </si>
  <si>
    <t>RS-84</t>
  </si>
  <si>
    <t>Kučevo</t>
  </si>
  <si>
    <t>RS-85</t>
  </si>
  <si>
    <t>Kula</t>
  </si>
  <si>
    <t>RS-86</t>
  </si>
  <si>
    <t>Kuršumlija</t>
  </si>
  <si>
    <t>RS-87</t>
  </si>
  <si>
    <t>Lajkovac</t>
  </si>
  <si>
    <t>RS-88</t>
  </si>
  <si>
    <t>Lapovo</t>
  </si>
  <si>
    <t>RS-89</t>
  </si>
  <si>
    <t>Lebane</t>
  </si>
  <si>
    <t>RS-90</t>
  </si>
  <si>
    <t>Leskovac</t>
  </si>
  <si>
    <t>RS-91</t>
  </si>
  <si>
    <t>Ljig</t>
  </si>
  <si>
    <t>RS-92</t>
  </si>
  <si>
    <t>Ljubovija</t>
  </si>
  <si>
    <t>RS-93</t>
  </si>
  <si>
    <t>Loznica</t>
  </si>
  <si>
    <t>RS-94</t>
  </si>
  <si>
    <t>Lučani</t>
  </si>
  <si>
    <t>RS-95</t>
  </si>
  <si>
    <t>Mačvanski Okrug</t>
  </si>
  <si>
    <t>RS-08</t>
  </si>
  <si>
    <t>Mačvanski okrug</t>
  </si>
  <si>
    <t>Majdanpek</t>
  </si>
  <si>
    <t>RS-96</t>
  </si>
  <si>
    <t>Mali Iđoš</t>
  </si>
  <si>
    <t>RS-97</t>
  </si>
  <si>
    <t>Mali Zvornik</t>
  </si>
  <si>
    <t>RS-98</t>
  </si>
  <si>
    <t>Malo Crniće</t>
  </si>
  <si>
    <t>RS-99</t>
  </si>
  <si>
    <t>Medveđa</t>
  </si>
  <si>
    <t>RS-100</t>
  </si>
  <si>
    <t>Merošina</t>
  </si>
  <si>
    <t>RS-101</t>
  </si>
  <si>
    <t>Mionica</t>
  </si>
  <si>
    <t>RS-102</t>
  </si>
  <si>
    <t>Moravički Okrug</t>
  </si>
  <si>
    <t>RS-17</t>
  </si>
  <si>
    <t>Moravički okrug</t>
  </si>
  <si>
    <t>Negotin</t>
  </si>
  <si>
    <t>RS-103</t>
  </si>
  <si>
    <t>Niš</t>
  </si>
  <si>
    <t>RS-104</t>
  </si>
  <si>
    <t>Nišavski Okrug</t>
  </si>
  <si>
    <t>RS-20</t>
  </si>
  <si>
    <t>Nišavski okrug</t>
  </si>
  <si>
    <t>Nova Crnja</t>
  </si>
  <si>
    <t>RS-105</t>
  </si>
  <si>
    <t>Nova Varoš</t>
  </si>
  <si>
    <t>RS-106</t>
  </si>
  <si>
    <t>Novi Bečej</t>
  </si>
  <si>
    <t>RS-107</t>
  </si>
  <si>
    <t>Novi Kneževac</t>
  </si>
  <si>
    <t>RS-108</t>
  </si>
  <si>
    <t>Novi Pazar</t>
  </si>
  <si>
    <t>RS-109</t>
  </si>
  <si>
    <t>Novi Sad</t>
  </si>
  <si>
    <t>RS-110</t>
  </si>
  <si>
    <t>Odžaci</t>
  </si>
  <si>
    <t>RS-111</t>
  </si>
  <si>
    <t>Opovo</t>
  </si>
  <si>
    <t>RS-112</t>
  </si>
  <si>
    <t>Osečina</t>
  </si>
  <si>
    <t>RS-113</t>
  </si>
  <si>
    <t>Pančevo</t>
  </si>
  <si>
    <t>RS-114</t>
  </si>
  <si>
    <t>Paraćin</t>
  </si>
  <si>
    <t>RS-115</t>
  </si>
  <si>
    <t>Pčinjski Okrug</t>
  </si>
  <si>
    <t>RS-24</t>
  </si>
  <si>
    <t>Pčinjski okrug</t>
  </si>
  <si>
    <t>Pećinci</t>
  </si>
  <si>
    <t>RS-116</t>
  </si>
  <si>
    <t>Petrovac na Mlavi</t>
  </si>
  <si>
    <t>RS-117</t>
  </si>
  <si>
    <t>Pirot</t>
  </si>
  <si>
    <t>RS-118</t>
  </si>
  <si>
    <t>Pirotski Okrug</t>
  </si>
  <si>
    <t>RS-22</t>
  </si>
  <si>
    <t>Pirotski okrug</t>
  </si>
  <si>
    <t>Plandište</t>
  </si>
  <si>
    <t>RS-119</t>
  </si>
  <si>
    <t>Podunavski Okrug</t>
  </si>
  <si>
    <t>RS-10</t>
  </si>
  <si>
    <t>Podunavski okrug</t>
  </si>
  <si>
    <t>Pomoravski Okrug</t>
  </si>
  <si>
    <t>RS-13</t>
  </si>
  <si>
    <t>Pomoravski okrug</t>
  </si>
  <si>
    <t>Požarevac</t>
  </si>
  <si>
    <t>RS-120</t>
  </si>
  <si>
    <t>Požega</t>
  </si>
  <si>
    <t>RS-121</t>
  </si>
  <si>
    <t>Preševo</t>
  </si>
  <si>
    <t>RS-122</t>
  </si>
  <si>
    <t>Priboj</t>
  </si>
  <si>
    <t>RS-123</t>
  </si>
  <si>
    <t>Prijepolje</t>
  </si>
  <si>
    <t>RS-124</t>
  </si>
  <si>
    <t>Prokuplje</t>
  </si>
  <si>
    <t>RS-125</t>
  </si>
  <si>
    <t>Rača</t>
  </si>
  <si>
    <t>RS-126</t>
  </si>
  <si>
    <t>Rasinski Okrug</t>
  </si>
  <si>
    <t>RS-19</t>
  </si>
  <si>
    <t>Rasinski okrug</t>
  </si>
  <si>
    <t>Raška</t>
  </si>
  <si>
    <t>RS-127</t>
  </si>
  <si>
    <t>Raški Okrug</t>
  </si>
  <si>
    <t>RS-18</t>
  </si>
  <si>
    <t>Raški okrug</t>
  </si>
  <si>
    <t>Ražanj</t>
  </si>
  <si>
    <t>RS-128</t>
  </si>
  <si>
    <t>Rekovac</t>
  </si>
  <si>
    <t>RS-129</t>
  </si>
  <si>
    <t>Ruma</t>
  </si>
  <si>
    <t>RS-130</t>
  </si>
  <si>
    <t>Šabac</t>
  </si>
  <si>
    <t>RS-131</t>
  </si>
  <si>
    <t>Sečanj</t>
  </si>
  <si>
    <t>RS-132</t>
  </si>
  <si>
    <t>Senta</t>
  </si>
  <si>
    <t>RS-133</t>
  </si>
  <si>
    <t>Severno Bački Okrug</t>
  </si>
  <si>
    <t>RS-01</t>
  </si>
  <si>
    <t>Severnobački okrug</t>
  </si>
  <si>
    <t>Severno Banatski Okrug</t>
  </si>
  <si>
    <t>RS-03</t>
  </si>
  <si>
    <t>Severnobanatski okrug</t>
  </si>
  <si>
    <t>Šid</t>
  </si>
  <si>
    <t>RS-134</t>
  </si>
  <si>
    <t>Sjenica</t>
  </si>
  <si>
    <t>RS-135</t>
  </si>
  <si>
    <t>Smederevo</t>
  </si>
  <si>
    <t>RS-136</t>
  </si>
  <si>
    <t>Smederevska Palanka</t>
  </si>
  <si>
    <t>RS-137</t>
  </si>
  <si>
    <t>Sokobanja</t>
  </si>
  <si>
    <t>RS-138</t>
  </si>
  <si>
    <t>Sombor</t>
  </si>
  <si>
    <t>RS-139</t>
  </si>
  <si>
    <t>Srbobran</t>
  </si>
  <si>
    <t>RS-140</t>
  </si>
  <si>
    <t>Srednje Banatski Okrug</t>
  </si>
  <si>
    <t>RS-02</t>
  </si>
  <si>
    <t>Srednjebanatski okrug</t>
  </si>
  <si>
    <t>Sremska Mitrovica</t>
  </si>
  <si>
    <t>RS-141</t>
  </si>
  <si>
    <t>Sremski Karlovci</t>
  </si>
  <si>
    <t>RS-142</t>
  </si>
  <si>
    <t>Sremski Okrug</t>
  </si>
  <si>
    <t>RS-07</t>
  </si>
  <si>
    <t>Sremski okrug</t>
  </si>
  <si>
    <t>Stara Pazova</t>
  </si>
  <si>
    <t>RS-143</t>
  </si>
  <si>
    <t>Subotica</t>
  </si>
  <si>
    <t>RS-144</t>
  </si>
  <si>
    <t>Šumadijski Okrug</t>
  </si>
  <si>
    <t>RS-12</t>
  </si>
  <si>
    <t>Šumadijski okrug</t>
  </si>
  <si>
    <t>Surdulica</t>
  </si>
  <si>
    <t>RS-145</t>
  </si>
  <si>
    <t>Svilajnac</t>
  </si>
  <si>
    <t>RS-146</t>
  </si>
  <si>
    <t>Svrljig</t>
  </si>
  <si>
    <t>RS-147</t>
  </si>
  <si>
    <t>Temerin</t>
  </si>
  <si>
    <t>RS-148</t>
  </si>
  <si>
    <t>Titel</t>
  </si>
  <si>
    <t>RS-149</t>
  </si>
  <si>
    <t>Toplički Okrug</t>
  </si>
  <si>
    <t>RS-21</t>
  </si>
  <si>
    <t>Toplički okrug</t>
  </si>
  <si>
    <t>Topola</t>
  </si>
  <si>
    <t>RS-150</t>
  </si>
  <si>
    <t>Trgovište</t>
  </si>
  <si>
    <t>RS-151</t>
  </si>
  <si>
    <t>Trstenik</t>
  </si>
  <si>
    <t>RS-152</t>
  </si>
  <si>
    <t>Tutin</t>
  </si>
  <si>
    <t>RS-153</t>
  </si>
  <si>
    <t>Ub</t>
  </si>
  <si>
    <t>RS-154</t>
  </si>
  <si>
    <t>Užice</t>
  </si>
  <si>
    <t>RS-155</t>
  </si>
  <si>
    <t>Valjevo</t>
  </si>
  <si>
    <t>RS-156</t>
  </si>
  <si>
    <t>Varvarin</t>
  </si>
  <si>
    <t>RS-157</t>
  </si>
  <si>
    <t>Velika Plana</t>
  </si>
  <si>
    <t>RS-158</t>
  </si>
  <si>
    <t>Veliko Gradište</t>
  </si>
  <si>
    <t>RS-159</t>
  </si>
  <si>
    <t>Vladičin Han</t>
  </si>
  <si>
    <t>RS-160</t>
  </si>
  <si>
    <t>Vladimirci</t>
  </si>
  <si>
    <t>RS-161</t>
  </si>
  <si>
    <t>Vlasotince</t>
  </si>
  <si>
    <t>RS-162</t>
  </si>
  <si>
    <t>Vojvodina</t>
  </si>
  <si>
    <t>RS-VO</t>
  </si>
  <si>
    <t>Vranje</t>
  </si>
  <si>
    <t>RS-163</t>
  </si>
  <si>
    <t>Vrbas</t>
  </si>
  <si>
    <t>RS-164</t>
  </si>
  <si>
    <t>Vrnjačka Banja</t>
  </si>
  <si>
    <t>RS-165</t>
  </si>
  <si>
    <t>Vršac</t>
  </si>
  <si>
    <t>RS-166</t>
  </si>
  <si>
    <t>Žabalj</t>
  </si>
  <si>
    <t>RS-167</t>
  </si>
  <si>
    <t>Žabari</t>
  </si>
  <si>
    <t>RS-168</t>
  </si>
  <si>
    <t>Žagubica</t>
  </si>
  <si>
    <t>RS-169</t>
  </si>
  <si>
    <t>Zaječar</t>
  </si>
  <si>
    <t>RS-170</t>
  </si>
  <si>
    <t>Zaječarski Okrug</t>
  </si>
  <si>
    <t>RS-15</t>
  </si>
  <si>
    <t>Zaječarski okrug</t>
  </si>
  <si>
    <t>Zapadno Bački Okrug</t>
  </si>
  <si>
    <t>RS-05</t>
  </si>
  <si>
    <t>Zapadnobački okrug</t>
  </si>
  <si>
    <t>Žitište</t>
  </si>
  <si>
    <t>RS-171</t>
  </si>
  <si>
    <t>Žitorađa</t>
  </si>
  <si>
    <t>RS-172</t>
  </si>
  <si>
    <t>Zlatiborski Okrug</t>
  </si>
  <si>
    <t>RS-16</t>
  </si>
  <si>
    <t>Zlatiborski okrug</t>
  </si>
  <si>
    <t>Zrenjanin</t>
  </si>
  <si>
    <t>RS-173</t>
  </si>
  <si>
    <t>Anse aux Pins</t>
  </si>
  <si>
    <t>SC-01</t>
  </si>
  <si>
    <t>Anse Boileau</t>
  </si>
  <si>
    <t>SC-02</t>
  </si>
  <si>
    <t>Anse Etoile</t>
  </si>
  <si>
    <t>SC-03</t>
  </si>
  <si>
    <t>Anse Royale</t>
  </si>
  <si>
    <t>SC-05</t>
  </si>
  <si>
    <t>Au Cap</t>
  </si>
  <si>
    <t>SC-04</t>
  </si>
  <si>
    <t>Baie Lazare</t>
  </si>
  <si>
    <t>SC-06</t>
  </si>
  <si>
    <t>Baie Sainte Anne</t>
  </si>
  <si>
    <t>SC-07</t>
  </si>
  <si>
    <t>Beau Vallon</t>
  </si>
  <si>
    <t>SC-08</t>
  </si>
  <si>
    <t>Bel Air</t>
  </si>
  <si>
    <t>SC-09</t>
  </si>
  <si>
    <t>Bel Ombre</t>
  </si>
  <si>
    <t>SC-10</t>
  </si>
  <si>
    <t>Cascade</t>
  </si>
  <si>
    <t>SC-11</t>
  </si>
  <si>
    <t>English River</t>
  </si>
  <si>
    <t>SC-16</t>
  </si>
  <si>
    <t>Glacis</t>
  </si>
  <si>
    <t>SC-12</t>
  </si>
  <si>
    <t>Grand Anse Mahe</t>
  </si>
  <si>
    <t>SC-13</t>
  </si>
  <si>
    <t>Grand Anse Praslin</t>
  </si>
  <si>
    <t>SC-14</t>
  </si>
  <si>
    <t>Inner Islands</t>
  </si>
  <si>
    <t>SC-15</t>
  </si>
  <si>
    <t>La Digue</t>
  </si>
  <si>
    <t>Les Mamelles</t>
  </si>
  <si>
    <t>SC-24</t>
  </si>
  <si>
    <t>Mont Buxton</t>
  </si>
  <si>
    <t>SC-17</t>
  </si>
  <si>
    <t>Mont Fleuri</t>
  </si>
  <si>
    <t>SC-18</t>
  </si>
  <si>
    <t>Plaisance</t>
  </si>
  <si>
    <t>SC-19</t>
  </si>
  <si>
    <t>Pointe Larue</t>
  </si>
  <si>
    <t>SC-20</t>
  </si>
  <si>
    <t>Port Glaud</t>
  </si>
  <si>
    <t>SC-21</t>
  </si>
  <si>
    <t>Roche Caiman</t>
  </si>
  <si>
    <t>SC-25</t>
  </si>
  <si>
    <t>Saint Louis</t>
  </si>
  <si>
    <t>SC-22</t>
  </si>
  <si>
    <t>Takamaka</t>
  </si>
  <si>
    <t>SC-23</t>
  </si>
  <si>
    <t>SL-E</t>
  </si>
  <si>
    <t>SL-N</t>
  </si>
  <si>
    <t>SL-S</t>
  </si>
  <si>
    <t>Western Area</t>
  </si>
  <si>
    <t>SL-W</t>
  </si>
  <si>
    <t>area</t>
  </si>
  <si>
    <t>Central Singapore</t>
  </si>
  <si>
    <t>SG-01</t>
  </si>
  <si>
    <t>SG-02</t>
  </si>
  <si>
    <t>SG-03</t>
  </si>
  <si>
    <t>SG-04</t>
  </si>
  <si>
    <t>South West</t>
  </si>
  <si>
    <t>SG-05</t>
  </si>
  <si>
    <t>Banskobystrický</t>
  </si>
  <si>
    <t>SK-BC</t>
  </si>
  <si>
    <t>Banskobystrický kraj</t>
  </si>
  <si>
    <t>Bratislavský</t>
  </si>
  <si>
    <t>SK-BL</t>
  </si>
  <si>
    <t>Bratislavský kraj</t>
  </si>
  <si>
    <t>Košický</t>
  </si>
  <si>
    <t>SK-KI</t>
  </si>
  <si>
    <t>Košický kraj</t>
  </si>
  <si>
    <t>Nitriansky</t>
  </si>
  <si>
    <t>SK-NI</t>
  </si>
  <si>
    <t>Nitriansky kraj</t>
  </si>
  <si>
    <t>Prešovský</t>
  </si>
  <si>
    <t>SK-PV</t>
  </si>
  <si>
    <t>Prešovský kraj</t>
  </si>
  <si>
    <t>Trenčiansky</t>
  </si>
  <si>
    <t>SK-TC</t>
  </si>
  <si>
    <t>Trenčiansky kraj</t>
  </si>
  <si>
    <t>Trnavský</t>
  </si>
  <si>
    <t>SK-TA</t>
  </si>
  <si>
    <t>Trnavský kraj</t>
  </si>
  <si>
    <t>Žilinský</t>
  </si>
  <si>
    <t>SK-ZI</t>
  </si>
  <si>
    <t>Žilinský kraj</t>
  </si>
  <si>
    <t>Ajdovščina</t>
  </si>
  <si>
    <t>SI-001</t>
  </si>
  <si>
    <t>Ankaran</t>
  </si>
  <si>
    <t>SI-213</t>
  </si>
  <si>
    <t>Apače</t>
  </si>
  <si>
    <t>SI-195</t>
  </si>
  <si>
    <t>Beltinci</t>
  </si>
  <si>
    <t>SI-002</t>
  </si>
  <si>
    <t>Benedikt</t>
  </si>
  <si>
    <t>SI-148</t>
  </si>
  <si>
    <t>Bistrica ob Sotli</t>
  </si>
  <si>
    <t>SI-149</t>
  </si>
  <si>
    <t>Bled</t>
  </si>
  <si>
    <t>SI-003</t>
  </si>
  <si>
    <t>Bloke</t>
  </si>
  <si>
    <t>SI-150</t>
  </si>
  <si>
    <t>Bohinj</t>
  </si>
  <si>
    <t>SI-004</t>
  </si>
  <si>
    <t>Borovnica</t>
  </si>
  <si>
    <t>SI-005</t>
  </si>
  <si>
    <t>Bovec</t>
  </si>
  <si>
    <t>SI-006</t>
  </si>
  <si>
    <t>Braslovče</t>
  </si>
  <si>
    <t>SI-151</t>
  </si>
  <si>
    <t>Brda</t>
  </si>
  <si>
    <t>SI-007</t>
  </si>
  <si>
    <t>Brežice</t>
  </si>
  <si>
    <t>SI-009</t>
  </si>
  <si>
    <t>Brezovica</t>
  </si>
  <si>
    <t>SI-008</t>
  </si>
  <si>
    <t>Cankova</t>
  </si>
  <si>
    <t>SI-152</t>
  </si>
  <si>
    <t>Celje</t>
  </si>
  <si>
    <t>SI-011</t>
  </si>
  <si>
    <t>Cerklje na Gorenjskem</t>
  </si>
  <si>
    <t>SI-012</t>
  </si>
  <si>
    <t>Cerknica</t>
  </si>
  <si>
    <t>SI-013</t>
  </si>
  <si>
    <t>Cerkno</t>
  </si>
  <si>
    <t>SI-014</t>
  </si>
  <si>
    <t>Cerkvenjak</t>
  </si>
  <si>
    <t>SI-153</t>
  </si>
  <si>
    <t>Cirkulane</t>
  </si>
  <si>
    <t>SI-196</t>
  </si>
  <si>
    <t>Črenšovci</t>
  </si>
  <si>
    <t>SI-015</t>
  </si>
  <si>
    <t>Črna na Koroškem</t>
  </si>
  <si>
    <t>SI-016</t>
  </si>
  <si>
    <t>Črnomelj</t>
  </si>
  <si>
    <t>SI-017</t>
  </si>
  <si>
    <t>Destrnik</t>
  </si>
  <si>
    <t>SI-018</t>
  </si>
  <si>
    <t>Divača</t>
  </si>
  <si>
    <t>SI-019</t>
  </si>
  <si>
    <t>Dobje</t>
  </si>
  <si>
    <t>SI-154</t>
  </si>
  <si>
    <t>Dobrepolje</t>
  </si>
  <si>
    <t>SI-020</t>
  </si>
  <si>
    <t>Dobrna</t>
  </si>
  <si>
    <t>SI-155</t>
  </si>
  <si>
    <t>Dobrova-Polhov Gradec</t>
  </si>
  <si>
    <t>SI-021</t>
  </si>
  <si>
    <t>Dobrova - Polhov Gradec</t>
  </si>
  <si>
    <t>Dobrovnik</t>
  </si>
  <si>
    <t>SI-156</t>
  </si>
  <si>
    <t>Dolenjske Toplice</t>
  </si>
  <si>
    <t>SI-157</t>
  </si>
  <si>
    <t>Dol pri Ljubljani</t>
  </si>
  <si>
    <t>SI-022</t>
  </si>
  <si>
    <t>Domžale</t>
  </si>
  <si>
    <t>SI-023</t>
  </si>
  <si>
    <t>Dornava</t>
  </si>
  <si>
    <t>SI-024</t>
  </si>
  <si>
    <t>Dravograd</t>
  </si>
  <si>
    <t>SI-025</t>
  </si>
  <si>
    <t>Duplek</t>
  </si>
  <si>
    <t>SI-026</t>
  </si>
  <si>
    <t>Gorenja Vas-Poljane</t>
  </si>
  <si>
    <t>SI-027</t>
  </si>
  <si>
    <t>Gorišnica</t>
  </si>
  <si>
    <t>SI-028</t>
  </si>
  <si>
    <t>Gorje</t>
  </si>
  <si>
    <t>SI-207</t>
  </si>
  <si>
    <t>Gornja Radgona</t>
  </si>
  <si>
    <t>SI-029</t>
  </si>
  <si>
    <t>Gornji Grad</t>
  </si>
  <si>
    <t>SI-030</t>
  </si>
  <si>
    <t>Gornji Petrovci</t>
  </si>
  <si>
    <t>SI-031</t>
  </si>
  <si>
    <t>Grad</t>
  </si>
  <si>
    <t>SI-158</t>
  </si>
  <si>
    <t>Grosuplje</t>
  </si>
  <si>
    <t>SI-032</t>
  </si>
  <si>
    <t>Hajdina</t>
  </si>
  <si>
    <t>SI-159</t>
  </si>
  <si>
    <t>Hoče-Slivnica</t>
  </si>
  <si>
    <t>SI-160</t>
  </si>
  <si>
    <t>Hodoš</t>
  </si>
  <si>
    <t>SI-161</t>
  </si>
  <si>
    <t>Horjul</t>
  </si>
  <si>
    <t>SI-162</t>
  </si>
  <si>
    <t>Hrastnik</t>
  </si>
  <si>
    <t>SI-034</t>
  </si>
  <si>
    <t>Hrpelje-Kozina</t>
  </si>
  <si>
    <t>SI-035</t>
  </si>
  <si>
    <t>Idrija</t>
  </si>
  <si>
    <t>SI-036</t>
  </si>
  <si>
    <t>Ig</t>
  </si>
  <si>
    <t>SI-037</t>
  </si>
  <si>
    <t>Ilirska Bistrica</t>
  </si>
  <si>
    <t>SI-038</t>
  </si>
  <si>
    <t>Ivančna Gorica</t>
  </si>
  <si>
    <t>SI-039</t>
  </si>
  <si>
    <t>Izola</t>
  </si>
  <si>
    <t>SI-040</t>
  </si>
  <si>
    <t>Jesenice</t>
  </si>
  <si>
    <t>SI-041</t>
  </si>
  <si>
    <t>Jezersko</t>
  </si>
  <si>
    <t>SI-163</t>
  </si>
  <si>
    <t>Juršinci</t>
  </si>
  <si>
    <t>SI-042</t>
  </si>
  <si>
    <t>Kamnik</t>
  </si>
  <si>
    <t>SI-043</t>
  </si>
  <si>
    <t>Kanal</t>
  </si>
  <si>
    <t>SI-044</t>
  </si>
  <si>
    <t>Kidričevo</t>
  </si>
  <si>
    <t>SI-045</t>
  </si>
  <si>
    <t>Kobarid</t>
  </si>
  <si>
    <t>SI-046</t>
  </si>
  <si>
    <t>Kobilje</t>
  </si>
  <si>
    <t>SI-047</t>
  </si>
  <si>
    <t>Kočevje</t>
  </si>
  <si>
    <t>SI-048</t>
  </si>
  <si>
    <t>Komen</t>
  </si>
  <si>
    <t>SI-049</t>
  </si>
  <si>
    <t>Komenda</t>
  </si>
  <si>
    <t>SI-164</t>
  </si>
  <si>
    <t>Koper</t>
  </si>
  <si>
    <t>urban municipality</t>
  </si>
  <si>
    <t>SI-050</t>
  </si>
  <si>
    <t>Kostanjevica na Krki</t>
  </si>
  <si>
    <t>SI-197</t>
  </si>
  <si>
    <t>Kosanjevica na Krki</t>
  </si>
  <si>
    <t>Kostel</t>
  </si>
  <si>
    <t>SI-165</t>
  </si>
  <si>
    <t>Kozje</t>
  </si>
  <si>
    <t>SI-051</t>
  </si>
  <si>
    <t>Kranj</t>
  </si>
  <si>
    <t>SI-052</t>
  </si>
  <si>
    <t>Kranjska Gora</t>
  </si>
  <si>
    <t>SI-053</t>
  </si>
  <si>
    <t>Križevci</t>
  </si>
  <si>
    <t>SI-166</t>
  </si>
  <si>
    <t>Krško</t>
  </si>
  <si>
    <t>SI-054</t>
  </si>
  <si>
    <t>Kungota</t>
  </si>
  <si>
    <t>SI-055</t>
  </si>
  <si>
    <t>Kuzma</t>
  </si>
  <si>
    <t>SI-056</t>
  </si>
  <si>
    <t>Laško</t>
  </si>
  <si>
    <t>SI-057</t>
  </si>
  <si>
    <t>Lenart</t>
  </si>
  <si>
    <t>SI-058</t>
  </si>
  <si>
    <t>Lendava</t>
  </si>
  <si>
    <t>SI-059</t>
  </si>
  <si>
    <t>Litija</t>
  </si>
  <si>
    <t>SI-060</t>
  </si>
  <si>
    <t>Ljubljana</t>
  </si>
  <si>
    <t>SI-061</t>
  </si>
  <si>
    <t>Ljubno</t>
  </si>
  <si>
    <t>SI-062</t>
  </si>
  <si>
    <t>Ljutomer</t>
  </si>
  <si>
    <t>SI-063</t>
  </si>
  <si>
    <t>Logatec</t>
  </si>
  <si>
    <t>SI-064</t>
  </si>
  <si>
    <t>Log-Dragomer</t>
  </si>
  <si>
    <t>SI-208</t>
  </si>
  <si>
    <t>Loška Dolina</t>
  </si>
  <si>
    <t>SI-065</t>
  </si>
  <si>
    <t>Loški Potok</t>
  </si>
  <si>
    <t>SI-066</t>
  </si>
  <si>
    <t>Lovrenc na Pohorju</t>
  </si>
  <si>
    <t>SI-167</t>
  </si>
  <si>
    <t>Luče</t>
  </si>
  <si>
    <t>SI-067</t>
  </si>
  <si>
    <t>Lukovica</t>
  </si>
  <si>
    <t>SI-068</t>
  </si>
  <si>
    <t>Majšperk</t>
  </si>
  <si>
    <t>SI-069</t>
  </si>
  <si>
    <t>Makole</t>
  </si>
  <si>
    <t>SI-198</t>
  </si>
  <si>
    <t>Maribor</t>
  </si>
  <si>
    <t>SI-070</t>
  </si>
  <si>
    <t>Markovci</t>
  </si>
  <si>
    <t>SI-168</t>
  </si>
  <si>
    <t>Medvode</t>
  </si>
  <si>
    <t>SI-071</t>
  </si>
  <si>
    <t>Mengeš</t>
  </si>
  <si>
    <t>SI-072</t>
  </si>
  <si>
    <t>Metlika</t>
  </si>
  <si>
    <t>SI-073</t>
  </si>
  <si>
    <t>Mežica</t>
  </si>
  <si>
    <t>SI-074</t>
  </si>
  <si>
    <t>Miklavž na Dravskem Polju</t>
  </si>
  <si>
    <t>SI-169</t>
  </si>
  <si>
    <t>Miren-Kostanjevica</t>
  </si>
  <si>
    <t>SI-075</t>
  </si>
  <si>
    <t>Mirna</t>
  </si>
  <si>
    <t>SI-212</t>
  </si>
  <si>
    <t>Mirna Peč</t>
  </si>
  <si>
    <t>SI-170</t>
  </si>
  <si>
    <t>Mislinja</t>
  </si>
  <si>
    <t>SI-076</t>
  </si>
  <si>
    <t>Mokronog-Trebelno</t>
  </si>
  <si>
    <t>SI-199</t>
  </si>
  <si>
    <t>Moravče</t>
  </si>
  <si>
    <t>SI-077</t>
  </si>
  <si>
    <t>Moravske Toplice</t>
  </si>
  <si>
    <t>SI-078</t>
  </si>
  <si>
    <t>Mozirje</t>
  </si>
  <si>
    <t>SI-079</t>
  </si>
  <si>
    <t>Murska Sobota</t>
  </si>
  <si>
    <t>SI-080</t>
  </si>
  <si>
    <t>Muta</t>
  </si>
  <si>
    <t>SI-081</t>
  </si>
  <si>
    <t>Naklo</t>
  </si>
  <si>
    <t>SI-082</t>
  </si>
  <si>
    <t>Nazarje</t>
  </si>
  <si>
    <t>SI-083</t>
  </si>
  <si>
    <t>Nova Gorica</t>
  </si>
  <si>
    <t>SI-084</t>
  </si>
  <si>
    <t>Novo Mesto</t>
  </si>
  <si>
    <t>SI-085</t>
  </si>
  <si>
    <t>Odranci</t>
  </si>
  <si>
    <t>SI-086</t>
  </si>
  <si>
    <t>Oplotnica</t>
  </si>
  <si>
    <t>SI-171</t>
  </si>
  <si>
    <t>Ormož</t>
  </si>
  <si>
    <t>SI-087</t>
  </si>
  <si>
    <t>Osilnica</t>
  </si>
  <si>
    <t>SI-088</t>
  </si>
  <si>
    <t>Pesnica</t>
  </si>
  <si>
    <t>SI-089</t>
  </si>
  <si>
    <t>Piran</t>
  </si>
  <si>
    <t>SI-090</t>
  </si>
  <si>
    <t>Pivka</t>
  </si>
  <si>
    <t>SI-091</t>
  </si>
  <si>
    <t>Podčetrtek</t>
  </si>
  <si>
    <t>SI-092</t>
  </si>
  <si>
    <t>Podlehnik</t>
  </si>
  <si>
    <t>SI-172</t>
  </si>
  <si>
    <t>Podvelka</t>
  </si>
  <si>
    <t>SI-093</t>
  </si>
  <si>
    <t>Poljčane</t>
  </si>
  <si>
    <t>SI-200</t>
  </si>
  <si>
    <t>Polzela</t>
  </si>
  <si>
    <t>SI-173</t>
  </si>
  <si>
    <t>Postojna</t>
  </si>
  <si>
    <t>SI-094</t>
  </si>
  <si>
    <t>Prebold</t>
  </si>
  <si>
    <t>SI-174</t>
  </si>
  <si>
    <t>Preddvor</t>
  </si>
  <si>
    <t>SI-095</t>
  </si>
  <si>
    <t>Prevalje</t>
  </si>
  <si>
    <t>SI-175</t>
  </si>
  <si>
    <t>Ptuj</t>
  </si>
  <si>
    <t>SI-096</t>
  </si>
  <si>
    <t>Puconci</t>
  </si>
  <si>
    <t>SI-097</t>
  </si>
  <si>
    <t>Rače-Fram</t>
  </si>
  <si>
    <t>SI-098</t>
  </si>
  <si>
    <t>Radeče</t>
  </si>
  <si>
    <t>SI-099</t>
  </si>
  <si>
    <t>Radenci</t>
  </si>
  <si>
    <t>SI-100</t>
  </si>
  <si>
    <t>Radlje ob Dravi</t>
  </si>
  <si>
    <t>SI-101</t>
  </si>
  <si>
    <t>Radovljica</t>
  </si>
  <si>
    <t>SI-102</t>
  </si>
  <si>
    <t>Ravne na Koroškem</t>
  </si>
  <si>
    <t>SI-103</t>
  </si>
  <si>
    <t>Razkrižje</t>
  </si>
  <si>
    <t>SI-176</t>
  </si>
  <si>
    <t>Rečica ob Savinji</t>
  </si>
  <si>
    <t>SI-209</t>
  </si>
  <si>
    <t>Renče-Vogrsko</t>
  </si>
  <si>
    <t>SI-201</t>
  </si>
  <si>
    <t>Ribnica</t>
  </si>
  <si>
    <t>SI-104</t>
  </si>
  <si>
    <t>Ribnica na Pohorju</t>
  </si>
  <si>
    <t>SI-177</t>
  </si>
  <si>
    <t>Rogaška Slatina</t>
  </si>
  <si>
    <t>SI-106</t>
  </si>
  <si>
    <t>Rogašovci</t>
  </si>
  <si>
    <t>SI-105</t>
  </si>
  <si>
    <t>Rogatec</t>
  </si>
  <si>
    <t>SI-107</t>
  </si>
  <si>
    <t>Ruše</t>
  </si>
  <si>
    <t>SI-108</t>
  </si>
  <si>
    <t>Šalovci</t>
  </si>
  <si>
    <t>SI-033</t>
  </si>
  <si>
    <t>Selnica ob Dravi</t>
  </si>
  <si>
    <t>SI-178</t>
  </si>
  <si>
    <t>Semič</t>
  </si>
  <si>
    <t>SI-109</t>
  </si>
  <si>
    <t>Šempeter-Vrtojba</t>
  </si>
  <si>
    <t>SI-183</t>
  </si>
  <si>
    <t>Šenčur</t>
  </si>
  <si>
    <t>SI-117</t>
  </si>
  <si>
    <t>Šentilj</t>
  </si>
  <si>
    <t>SI-118</t>
  </si>
  <si>
    <t>Šentjernej</t>
  </si>
  <si>
    <t>SI-119</t>
  </si>
  <si>
    <t>Šentjur</t>
  </si>
  <si>
    <t>SI-120</t>
  </si>
  <si>
    <t>Šentrupert</t>
  </si>
  <si>
    <t>SI-211</t>
  </si>
  <si>
    <t>Sevnica</t>
  </si>
  <si>
    <t>SI-110</t>
  </si>
  <si>
    <t>Sežana</t>
  </si>
  <si>
    <t>SI-111</t>
  </si>
  <si>
    <t>Škocjan</t>
  </si>
  <si>
    <t>SI-121</t>
  </si>
  <si>
    <t>Škofja Loka</t>
  </si>
  <si>
    <t>SI-122</t>
  </si>
  <si>
    <t>Škofljica</t>
  </si>
  <si>
    <t>SI-123</t>
  </si>
  <si>
    <t>Slovenj Gradec</t>
  </si>
  <si>
    <t>SI-112</t>
  </si>
  <si>
    <t>Slovenska Bistrica</t>
  </si>
  <si>
    <t>SI-113</t>
  </si>
  <si>
    <t>Slovenske Konjice</t>
  </si>
  <si>
    <t>SI-114</t>
  </si>
  <si>
    <t>Šmarje pri Jelšah</t>
  </si>
  <si>
    <t>SI-124</t>
  </si>
  <si>
    <t>Šmarješke Toplice</t>
  </si>
  <si>
    <t>SI-206</t>
  </si>
  <si>
    <t>Šmartno ob Paki</t>
  </si>
  <si>
    <t>SI-125</t>
  </si>
  <si>
    <t>Šmartno pri Litiji</t>
  </si>
  <si>
    <t>SI-194</t>
  </si>
  <si>
    <t>Sodražica</t>
  </si>
  <si>
    <t>SI-179</t>
  </si>
  <si>
    <t>Solčava</t>
  </si>
  <si>
    <t>SI-180</t>
  </si>
  <si>
    <t>Šoštanj</t>
  </si>
  <si>
    <t>SI-126</t>
  </si>
  <si>
    <t>Središče ob Dravi</t>
  </si>
  <si>
    <t>SI-202</t>
  </si>
  <si>
    <t>Starše</t>
  </si>
  <si>
    <t>SI-115</t>
  </si>
  <si>
    <t>Štore</t>
  </si>
  <si>
    <t>SI-127</t>
  </si>
  <si>
    <t>Straža</t>
  </si>
  <si>
    <t>SI-203</t>
  </si>
  <si>
    <t>Sveta Ana</t>
  </si>
  <si>
    <t>SI-181</t>
  </si>
  <si>
    <t>Sveta Trojica v Slovenskih Goricah</t>
  </si>
  <si>
    <t>SI-204</t>
  </si>
  <si>
    <t>Sveti Andraž v Slovenskih Goricah</t>
  </si>
  <si>
    <t>SI-182</t>
  </si>
  <si>
    <t>Sveti Jurij ob Ščavnici</t>
  </si>
  <si>
    <t>SI-116</t>
  </si>
  <si>
    <t>Sveti Jurij</t>
  </si>
  <si>
    <t>Sveti Jurij v Slovenskih Goricah</t>
  </si>
  <si>
    <t>SI-210</t>
  </si>
  <si>
    <t>Sveti Tomaž</t>
  </si>
  <si>
    <t>SI-205</t>
  </si>
  <si>
    <t>Tabor</t>
  </si>
  <si>
    <t>SI-184</t>
  </si>
  <si>
    <t>Tišina</t>
  </si>
  <si>
    <t>SI-010</t>
  </si>
  <si>
    <t>Tolmin</t>
  </si>
  <si>
    <t>SI-128</t>
  </si>
  <si>
    <t>Trbovlje</t>
  </si>
  <si>
    <t>SI-129</t>
  </si>
  <si>
    <t>Trebnje</t>
  </si>
  <si>
    <t>SI-130</t>
  </si>
  <si>
    <t>Trnovska Vas</t>
  </si>
  <si>
    <t>SI-185</t>
  </si>
  <si>
    <t>Tržič</t>
  </si>
  <si>
    <t>SI-131</t>
  </si>
  <si>
    <t>Trzin</t>
  </si>
  <si>
    <t>SI-186</t>
  </si>
  <si>
    <t>Turnišče</t>
  </si>
  <si>
    <t>SI-132</t>
  </si>
  <si>
    <t>Velenje</t>
  </si>
  <si>
    <t>SI-133</t>
  </si>
  <si>
    <t>Velika Polana</t>
  </si>
  <si>
    <t>SI-187</t>
  </si>
  <si>
    <t>Velike Lašče</t>
  </si>
  <si>
    <t>SI-134</t>
  </si>
  <si>
    <t>Veržej</t>
  </si>
  <si>
    <t>SI-188</t>
  </si>
  <si>
    <t>Videm</t>
  </si>
  <si>
    <t>SI-135</t>
  </si>
  <si>
    <t>Vipava</t>
  </si>
  <si>
    <t>SI-136</t>
  </si>
  <si>
    <t>Vitanje</t>
  </si>
  <si>
    <t>SI-137</t>
  </si>
  <si>
    <t>Vodice</t>
  </si>
  <si>
    <t>SI-138</t>
  </si>
  <si>
    <t>Vojnik</t>
  </si>
  <si>
    <t>SI-139</t>
  </si>
  <si>
    <t>Vransko</t>
  </si>
  <si>
    <t>SI-189</t>
  </si>
  <si>
    <t>Vrhnika</t>
  </si>
  <si>
    <t>SI-140</t>
  </si>
  <si>
    <t>Vuzenica</t>
  </si>
  <si>
    <t>SI-141</t>
  </si>
  <si>
    <t>Zagorje ob Savi</t>
  </si>
  <si>
    <t>SI-142</t>
  </si>
  <si>
    <t>Žalec</t>
  </si>
  <si>
    <t>SI-190</t>
  </si>
  <si>
    <t>Zavrč</t>
  </si>
  <si>
    <t>SI-143</t>
  </si>
  <si>
    <t>Železniki</t>
  </si>
  <si>
    <t>SI-146</t>
  </si>
  <si>
    <t>Žetale</t>
  </si>
  <si>
    <t>SI-191</t>
  </si>
  <si>
    <t>Žiri</t>
  </si>
  <si>
    <t>SI-147</t>
  </si>
  <si>
    <t>Žirovnica</t>
  </si>
  <si>
    <t>SI-192</t>
  </si>
  <si>
    <t>Zreče</t>
  </si>
  <si>
    <t>SI-144</t>
  </si>
  <si>
    <t>Žužemberk</t>
  </si>
  <si>
    <t>SI-193</t>
  </si>
  <si>
    <t>SB-CE</t>
  </si>
  <si>
    <t>SB-CH</t>
  </si>
  <si>
    <t>Guadalcanal</t>
  </si>
  <si>
    <t>SB-GU</t>
  </si>
  <si>
    <t>Honiara</t>
  </si>
  <si>
    <t>SB-CT</t>
  </si>
  <si>
    <t>Capital Territory</t>
  </si>
  <si>
    <t>Isabel</t>
  </si>
  <si>
    <t>SB-IS</t>
  </si>
  <si>
    <t>Makira and Ulawa</t>
  </si>
  <si>
    <t>SB-MK</t>
  </si>
  <si>
    <t>Makira-Ulawa</t>
  </si>
  <si>
    <t>Malaita</t>
  </si>
  <si>
    <t>SB-ML</t>
  </si>
  <si>
    <t>Rennell and Bellona</t>
  </si>
  <si>
    <t>SB-RB</t>
  </si>
  <si>
    <t>Temotu</t>
  </si>
  <si>
    <t>SB-TE</t>
  </si>
  <si>
    <t>SB-WE</t>
  </si>
  <si>
    <t>Awdal</t>
  </si>
  <si>
    <t>SO-AW</t>
  </si>
  <si>
    <t>Bakool</t>
  </si>
  <si>
    <t>SO-BK</t>
  </si>
  <si>
    <t>Banaadir</t>
  </si>
  <si>
    <t>SO-BN</t>
  </si>
  <si>
    <t>SO-BR</t>
  </si>
  <si>
    <t>Bay</t>
  </si>
  <si>
    <t>SO-BY</t>
  </si>
  <si>
    <t>Galguduud</t>
  </si>
  <si>
    <t>SO-GA</t>
  </si>
  <si>
    <t>Gedo</t>
  </si>
  <si>
    <t>SO-GE</t>
  </si>
  <si>
    <t>Hiiraan</t>
  </si>
  <si>
    <t>SO-HI</t>
  </si>
  <si>
    <t>Jubbada Dhexe</t>
  </si>
  <si>
    <t>SO-JD</t>
  </si>
  <si>
    <t>Jubbada Hoose</t>
  </si>
  <si>
    <t>SO-JH</t>
  </si>
  <si>
    <t>Mudug</t>
  </si>
  <si>
    <t>SO-MU</t>
  </si>
  <si>
    <t>Nugaal</t>
  </si>
  <si>
    <t>SO-NU</t>
  </si>
  <si>
    <t>Sanaag</t>
  </si>
  <si>
    <t>SO-SA</t>
  </si>
  <si>
    <t>Shabeellaha Dhexe</t>
  </si>
  <si>
    <t>SO-SD</t>
  </si>
  <si>
    <t>Shabeellaha Hoose</t>
  </si>
  <si>
    <t>SO-SH</t>
  </si>
  <si>
    <t>Sool</t>
  </si>
  <si>
    <t>SO-SO</t>
  </si>
  <si>
    <t>Togdheer</t>
  </si>
  <si>
    <t>SO-TO</t>
  </si>
  <si>
    <t>Woqooyi Galbeed</t>
  </si>
  <si>
    <t>SO-WO</t>
  </si>
  <si>
    <t>Eastern Cape</t>
  </si>
  <si>
    <t>ZA-EC</t>
  </si>
  <si>
    <t>Free State</t>
  </si>
  <si>
    <t>ZA-FS</t>
  </si>
  <si>
    <t>Gauteng</t>
  </si>
  <si>
    <t>ZA-GT</t>
  </si>
  <si>
    <t>KwaZulu-Natal</t>
  </si>
  <si>
    <t>ZA-NL</t>
  </si>
  <si>
    <t>Kwazulu-Natal</t>
  </si>
  <si>
    <t>Limpopo</t>
  </si>
  <si>
    <t>ZA-LP</t>
  </si>
  <si>
    <t>Mpumalanga</t>
  </si>
  <si>
    <t>ZA-MP</t>
  </si>
  <si>
    <t>Northern Cape</t>
  </si>
  <si>
    <t>ZA-NC</t>
  </si>
  <si>
    <t>ZA-NW</t>
  </si>
  <si>
    <t>Western Cape</t>
  </si>
  <si>
    <t>ZA-WC</t>
  </si>
  <si>
    <t>Central Equatoria</t>
  </si>
  <si>
    <t>SS-EC</t>
  </si>
  <si>
    <t>Eastern Equatoria</t>
  </si>
  <si>
    <t>SS-EE</t>
  </si>
  <si>
    <t>Jonglei</t>
  </si>
  <si>
    <t>SS-JG</t>
  </si>
  <si>
    <t>Lakes</t>
  </si>
  <si>
    <t>SS-LK</t>
  </si>
  <si>
    <t>Northern Bahr el Ghazal</t>
  </si>
  <si>
    <t>SS-BN</t>
  </si>
  <si>
    <t>Unity</t>
  </si>
  <si>
    <t>SS-UY</t>
  </si>
  <si>
    <t>Upper Nile</t>
  </si>
  <si>
    <t>SS-NU</t>
  </si>
  <si>
    <t>Warrap</t>
  </si>
  <si>
    <t>SS-WR</t>
  </si>
  <si>
    <t>Western Bahr el Ghazal</t>
  </si>
  <si>
    <t>SS-BW</t>
  </si>
  <si>
    <t>Western Equatoria</t>
  </si>
  <si>
    <t>SS-EW</t>
  </si>
  <si>
    <t>A Coruña</t>
  </si>
  <si>
    <t>ES-C</t>
  </si>
  <si>
    <t>Álava</t>
  </si>
  <si>
    <t>ES-VI</t>
  </si>
  <si>
    <t>Albacete</t>
  </si>
  <si>
    <t>ES-AB</t>
  </si>
  <si>
    <t>Alicante</t>
  </si>
  <si>
    <t>ES-A</t>
  </si>
  <si>
    <t>Almería</t>
  </si>
  <si>
    <t>ES-AL</t>
  </si>
  <si>
    <t>Andalusia</t>
  </si>
  <si>
    <t>autonomous community</t>
  </si>
  <si>
    <t>ES-AN</t>
  </si>
  <si>
    <t>Andalucía</t>
  </si>
  <si>
    <t>Aragon</t>
  </si>
  <si>
    <t>ES-AR</t>
  </si>
  <si>
    <t>Aragón</t>
  </si>
  <si>
    <t>Asturias</t>
  </si>
  <si>
    <t>ES-AS</t>
  </si>
  <si>
    <t>Asturias, Principado de</t>
  </si>
  <si>
    <t>ES-O</t>
  </si>
  <si>
    <t>Ávila</t>
  </si>
  <si>
    <t>ES-AV</t>
  </si>
  <si>
    <t>Badajoz</t>
  </si>
  <si>
    <t>ES-BA</t>
  </si>
  <si>
    <t>Baleares</t>
  </si>
  <si>
    <t>ES-PM</t>
  </si>
  <si>
    <t>Balears</t>
  </si>
  <si>
    <t>Balearic Islands</t>
  </si>
  <si>
    <t>ES-IB</t>
  </si>
  <si>
    <t>Illes Balears</t>
  </si>
  <si>
    <t>Barcelona</t>
  </si>
  <si>
    <t>ES-B</t>
  </si>
  <si>
    <t>Basque Country</t>
  </si>
  <si>
    <t>ES-PV</t>
  </si>
  <si>
    <t>País Vasco</t>
  </si>
  <si>
    <t>Burgos</t>
  </si>
  <si>
    <t>ES-BU</t>
  </si>
  <si>
    <t>Cáceres</t>
  </si>
  <si>
    <t>ES-CC</t>
  </si>
  <si>
    <t>Cádiz</t>
  </si>
  <si>
    <t>ES-CA</t>
  </si>
  <si>
    <t>Canary Islands</t>
  </si>
  <si>
    <t>ES-CN</t>
  </si>
  <si>
    <t>Canarias</t>
  </si>
  <si>
    <t>Cantabria</t>
  </si>
  <si>
    <t>ES-CB</t>
  </si>
  <si>
    <t>ES-S</t>
  </si>
  <si>
    <t>Castellón</t>
  </si>
  <si>
    <t>ES-CS</t>
  </si>
  <si>
    <t>Castille-La Mancha</t>
  </si>
  <si>
    <t>ES-CM</t>
  </si>
  <si>
    <t>Castilla-La Mancha</t>
  </si>
  <si>
    <t>Castille-Leon</t>
  </si>
  <si>
    <t>ES-CL</t>
  </si>
  <si>
    <t>Castilla y León</t>
  </si>
  <si>
    <t>Catalonia</t>
  </si>
  <si>
    <t>ES-CT</t>
  </si>
  <si>
    <t>Catalunya</t>
  </si>
  <si>
    <t>Ceuta</t>
  </si>
  <si>
    <t>ES-CE</t>
  </si>
  <si>
    <t>autonomous city in North Africa</t>
  </si>
  <si>
    <t>Ciudad Real</t>
  </si>
  <si>
    <t>ES-CR</t>
  </si>
  <si>
    <t>ES-CO</t>
  </si>
  <si>
    <t>Cuenca</t>
  </si>
  <si>
    <t>ES-CU</t>
  </si>
  <si>
    <t>Extremadura</t>
  </si>
  <si>
    <t>ES-EX</t>
  </si>
  <si>
    <t>Galicia</t>
  </si>
  <si>
    <t>ES-GA</t>
  </si>
  <si>
    <t>Gerona</t>
  </si>
  <si>
    <t>ES-GI</t>
  </si>
  <si>
    <t>Girona</t>
  </si>
  <si>
    <t>ES-GR</t>
  </si>
  <si>
    <t>Guadalajara</t>
  </si>
  <si>
    <t>ES-GU</t>
  </si>
  <si>
    <t>Guipúzcoa</t>
  </si>
  <si>
    <t>ES-SS</t>
  </si>
  <si>
    <t>Gipuzkoa</t>
  </si>
  <si>
    <t>Huelva</t>
  </si>
  <si>
    <t>ES-H</t>
  </si>
  <si>
    <t>Huesca</t>
  </si>
  <si>
    <t>ES-HU</t>
  </si>
  <si>
    <t>Jaén</t>
  </si>
  <si>
    <t>ES-J</t>
  </si>
  <si>
    <t>ES-RI</t>
  </si>
  <si>
    <t>ES-LO</t>
  </si>
  <si>
    <t>Las Palmas</t>
  </si>
  <si>
    <t>ES-GC</t>
  </si>
  <si>
    <t>ES-LE</t>
  </si>
  <si>
    <t>Lérida</t>
  </si>
  <si>
    <t>ES-L</t>
  </si>
  <si>
    <t>Lleida</t>
  </si>
  <si>
    <t>Lugo</t>
  </si>
  <si>
    <t>ES-LU</t>
  </si>
  <si>
    <t>Madrid</t>
  </si>
  <si>
    <t>ES-MD</t>
  </si>
  <si>
    <t>Madrid, Comunidad de</t>
  </si>
  <si>
    <t>ES-M</t>
  </si>
  <si>
    <t>Málaga</t>
  </si>
  <si>
    <t>ES-MA</t>
  </si>
  <si>
    <t>Melilla</t>
  </si>
  <si>
    <t>ES-ML</t>
  </si>
  <si>
    <t>Murcia</t>
  </si>
  <si>
    <t>ES-MC</t>
  </si>
  <si>
    <t>Murcia, Región de</t>
  </si>
  <si>
    <t>ES-MU</t>
  </si>
  <si>
    <t>Navarra</t>
  </si>
  <si>
    <t>ES-NA</t>
  </si>
  <si>
    <t>Navarre</t>
  </si>
  <si>
    <t>ES-NC</t>
  </si>
  <si>
    <t>Navarra, Comunidad Foral de</t>
  </si>
  <si>
    <t>Ourense</t>
  </si>
  <si>
    <t>ES-OR</t>
  </si>
  <si>
    <t>Palencia</t>
  </si>
  <si>
    <t>ES-P</t>
  </si>
  <si>
    <t>Pontevedra</t>
  </si>
  <si>
    <t>ES-PO</t>
  </si>
  <si>
    <t>Salamanca</t>
  </si>
  <si>
    <t>ES-SA</t>
  </si>
  <si>
    <t>Santa Cruz de Tenerife</t>
  </si>
  <si>
    <t>ES-TF</t>
  </si>
  <si>
    <t>Segovia</t>
  </si>
  <si>
    <t>ES-SG</t>
  </si>
  <si>
    <t>Sevilla</t>
  </si>
  <si>
    <t>ES-SE</t>
  </si>
  <si>
    <t>Soria</t>
  </si>
  <si>
    <t>ES-SO</t>
  </si>
  <si>
    <t>Tarragona</t>
  </si>
  <si>
    <t>ES-T</t>
  </si>
  <si>
    <t>Teruel</t>
  </si>
  <si>
    <t>ES-TE</t>
  </si>
  <si>
    <t>ES-TO</t>
  </si>
  <si>
    <t>Valencia</t>
  </si>
  <si>
    <t>ES-VC</t>
  </si>
  <si>
    <t>Valenciana, Comunidad</t>
  </si>
  <si>
    <t>ES-V</t>
  </si>
  <si>
    <t>Valladolid</t>
  </si>
  <si>
    <t>ES-VA</t>
  </si>
  <si>
    <t>Vizcaya</t>
  </si>
  <si>
    <t>ES-BI</t>
  </si>
  <si>
    <t>Bizkaia</t>
  </si>
  <si>
    <t>Zamora</t>
  </si>
  <si>
    <t>ES-ZA</t>
  </si>
  <si>
    <t>Zaragoza</t>
  </si>
  <si>
    <t>ES-Z</t>
  </si>
  <si>
    <t>Ampara</t>
  </si>
  <si>
    <t>LK-52</t>
  </si>
  <si>
    <t>Anuradhapura</t>
  </si>
  <si>
    <t>LK-71</t>
  </si>
  <si>
    <t>Badulla</t>
  </si>
  <si>
    <t>LK-81</t>
  </si>
  <si>
    <t>Batticaloa</t>
  </si>
  <si>
    <t>LK-51</t>
  </si>
  <si>
    <t>LK-2</t>
  </si>
  <si>
    <t>Central Province</t>
  </si>
  <si>
    <t>Colombo</t>
  </si>
  <si>
    <t>LK-11</t>
  </si>
  <si>
    <t>LK-5</t>
  </si>
  <si>
    <t>Galle</t>
  </si>
  <si>
    <t>LK-31</t>
  </si>
  <si>
    <t>Gampaha</t>
  </si>
  <si>
    <t>LK-12</t>
  </si>
  <si>
    <t>Hambantota</t>
  </si>
  <si>
    <t>LK-33</t>
  </si>
  <si>
    <t>Jaffna</t>
  </si>
  <si>
    <t>LK-41</t>
  </si>
  <si>
    <t>Kalutara</t>
  </si>
  <si>
    <t>LK-13</t>
  </si>
  <si>
    <t>Kandy</t>
  </si>
  <si>
    <t>LK-21</t>
  </si>
  <si>
    <t>Kegalla</t>
  </si>
  <si>
    <t>LK-92</t>
  </si>
  <si>
    <t>Kilinochchi</t>
  </si>
  <si>
    <t>LK-42</t>
  </si>
  <si>
    <t>Kurunegala</t>
  </si>
  <si>
    <t>LK-61</t>
  </si>
  <si>
    <t>Mannar</t>
  </si>
  <si>
    <t>LK-43</t>
  </si>
  <si>
    <t>Matale</t>
  </si>
  <si>
    <t>LK-22</t>
  </si>
  <si>
    <t>Matara</t>
  </si>
  <si>
    <t>LK-32</t>
  </si>
  <si>
    <t>Monaragala</t>
  </si>
  <si>
    <t>LK-82</t>
  </si>
  <si>
    <t>Mullaittivu</t>
  </si>
  <si>
    <t>LK-45</t>
  </si>
  <si>
    <t>LK-4</t>
  </si>
  <si>
    <t>North Central Province</t>
  </si>
  <si>
    <t>LK-7</t>
  </si>
  <si>
    <t>North Western</t>
  </si>
  <si>
    <t>LK-6</t>
  </si>
  <si>
    <t>North Western Province</t>
  </si>
  <si>
    <t>Nuwara Eliya</t>
  </si>
  <si>
    <t>LK-23</t>
  </si>
  <si>
    <t>Polonnaruwa</t>
  </si>
  <si>
    <t>LK-72</t>
  </si>
  <si>
    <t>Puttalam</t>
  </si>
  <si>
    <t>LK-62</t>
  </si>
  <si>
    <t>Ratnapura</t>
  </si>
  <si>
    <t>LK-91</t>
  </si>
  <si>
    <t>Sabaragamuwa</t>
  </si>
  <si>
    <t>LK-9</t>
  </si>
  <si>
    <t>Sabaragamuwa Province</t>
  </si>
  <si>
    <t>LK-3</t>
  </si>
  <si>
    <t>Trincomalee</t>
  </si>
  <si>
    <t>LK-53</t>
  </si>
  <si>
    <t>Uva</t>
  </si>
  <si>
    <t>LK-8</t>
  </si>
  <si>
    <t>Uva Province</t>
  </si>
  <si>
    <t>Vavuniya</t>
  </si>
  <si>
    <t>LK-44</t>
  </si>
  <si>
    <t>LK-1</t>
  </si>
  <si>
    <t>Blue Nile</t>
  </si>
  <si>
    <t>SD-NB</t>
  </si>
  <si>
    <t>An Nīl al Azraq</t>
  </si>
  <si>
    <t>Central Darfur</t>
  </si>
  <si>
    <t>SD-DC</t>
  </si>
  <si>
    <t>Wasaţ Dārfūr Zālinjay</t>
  </si>
  <si>
    <t>East Darfur</t>
  </si>
  <si>
    <t>SD-DE</t>
  </si>
  <si>
    <t>Sharq Dārfūr</t>
  </si>
  <si>
    <t>Gedaref</t>
  </si>
  <si>
    <t>SD-GD</t>
  </si>
  <si>
    <t>Al Qaḑārif</t>
  </si>
  <si>
    <t>Gezira</t>
  </si>
  <si>
    <t>SD-GZ</t>
  </si>
  <si>
    <t>Al Jazīrah</t>
  </si>
  <si>
    <t>Kassala</t>
  </si>
  <si>
    <t>SD-KA</t>
  </si>
  <si>
    <t>Kassalā</t>
  </si>
  <si>
    <t>Khartoum</t>
  </si>
  <si>
    <t>SD-KH</t>
  </si>
  <si>
    <t>Al Kharţūm</t>
  </si>
  <si>
    <t>North Darfur</t>
  </si>
  <si>
    <t>SD-DN</t>
  </si>
  <si>
    <t>Shamāl Dārfūr</t>
  </si>
  <si>
    <t>SD-NO</t>
  </si>
  <si>
    <t>North Kordofan</t>
  </si>
  <si>
    <t>SD-KN</t>
  </si>
  <si>
    <t>Shamāl Kurdufān</t>
  </si>
  <si>
    <t>Red Sea</t>
  </si>
  <si>
    <t>SD-RS</t>
  </si>
  <si>
    <t>River Nile</t>
  </si>
  <si>
    <t>SD-NR</t>
  </si>
  <si>
    <t>Nahr an Nīl</t>
  </si>
  <si>
    <t>Sennar</t>
  </si>
  <si>
    <t>SD-SI</t>
  </si>
  <si>
    <t>Sinnār</t>
  </si>
  <si>
    <t>South Darfur</t>
  </si>
  <si>
    <t>SD-DS</t>
  </si>
  <si>
    <t>Janūb Dārfūr</t>
  </si>
  <si>
    <t>South Kordofan</t>
  </si>
  <si>
    <t>SD-KS</t>
  </si>
  <si>
    <t>Janūb Kurdufān</t>
  </si>
  <si>
    <t>West Kordofan</t>
  </si>
  <si>
    <t>SD-GK</t>
  </si>
  <si>
    <t>Gharb Kurdufān</t>
  </si>
  <si>
    <t>West Darfur</t>
  </si>
  <si>
    <t>SD-DW</t>
  </si>
  <si>
    <t>Gharb Dārfūr</t>
  </si>
  <si>
    <t>White Nile</t>
  </si>
  <si>
    <t>SD-NW</t>
  </si>
  <si>
    <t>An Nīl al Abyaḑ</t>
  </si>
  <si>
    <t>Brokopondo</t>
  </si>
  <si>
    <t>SR-BR</t>
  </si>
  <si>
    <t>Commewijne</t>
  </si>
  <si>
    <t>SR-CM</t>
  </si>
  <si>
    <t>Coronie</t>
  </si>
  <si>
    <t>SR-CR</t>
  </si>
  <si>
    <t>Marowijne</t>
  </si>
  <si>
    <t>SR-MA</t>
  </si>
  <si>
    <t>Nickerie</t>
  </si>
  <si>
    <t>SR-NI</t>
  </si>
  <si>
    <t>Para</t>
  </si>
  <si>
    <t>SR-PR</t>
  </si>
  <si>
    <t>Paramaribo</t>
  </si>
  <si>
    <t>SR-PM</t>
  </si>
  <si>
    <t>Saramacca</t>
  </si>
  <si>
    <t>SR-SA</t>
  </si>
  <si>
    <t>Sipaliwini</t>
  </si>
  <si>
    <t>SR-SI</t>
  </si>
  <si>
    <t>Wanica</t>
  </si>
  <si>
    <t>SR-WA</t>
  </si>
  <si>
    <t>Hhohho</t>
  </si>
  <si>
    <t>SZ-HH</t>
  </si>
  <si>
    <t>Lubombo</t>
  </si>
  <si>
    <t>SZ-LU</t>
  </si>
  <si>
    <t>Manzini</t>
  </si>
  <si>
    <t>SZ-MA</t>
  </si>
  <si>
    <t>Shiselweni</t>
  </si>
  <si>
    <t>SZ-SH</t>
  </si>
  <si>
    <t>Blekinge</t>
  </si>
  <si>
    <t>SE-K</t>
  </si>
  <si>
    <t>Blekinge län</t>
  </si>
  <si>
    <t>Dalarna</t>
  </si>
  <si>
    <t>SE-W</t>
  </si>
  <si>
    <t>Dalarnas län</t>
  </si>
  <si>
    <t>Gävleborg</t>
  </si>
  <si>
    <t>SE-X</t>
  </si>
  <si>
    <t>Gävleborgs län</t>
  </si>
  <si>
    <t>Gotland</t>
  </si>
  <si>
    <t>SE-I</t>
  </si>
  <si>
    <t>Gotlands län</t>
  </si>
  <si>
    <t>Halland</t>
  </si>
  <si>
    <t>SE-N</t>
  </si>
  <si>
    <t>Hallands län</t>
  </si>
  <si>
    <t>Jämtland</t>
  </si>
  <si>
    <t>SE-Z</t>
  </si>
  <si>
    <t>Jämtlands län</t>
  </si>
  <si>
    <t>Jönköping</t>
  </si>
  <si>
    <t>SE-F</t>
  </si>
  <si>
    <t>Jönköpings län</t>
  </si>
  <si>
    <t>Kalmar</t>
  </si>
  <si>
    <t>SE-H</t>
  </si>
  <si>
    <t>Kalmar län</t>
  </si>
  <si>
    <t>Kronoberg</t>
  </si>
  <si>
    <t>SE-G</t>
  </si>
  <si>
    <t>Kronobergs län</t>
  </si>
  <si>
    <t>Norrbotten</t>
  </si>
  <si>
    <t>SE-BD</t>
  </si>
  <si>
    <t>Norrbottens län</t>
  </si>
  <si>
    <t>Örebro</t>
  </si>
  <si>
    <t>SE-T</t>
  </si>
  <si>
    <t>Örebro län</t>
  </si>
  <si>
    <t>Östergötland</t>
  </si>
  <si>
    <t>SE-E</t>
  </si>
  <si>
    <t>Östergötlands län</t>
  </si>
  <si>
    <t>Skåne</t>
  </si>
  <si>
    <t>SE-M</t>
  </si>
  <si>
    <t>Skåne län</t>
  </si>
  <si>
    <t>Södermanland</t>
  </si>
  <si>
    <t>SE-D</t>
  </si>
  <si>
    <t>Södermanlands län</t>
  </si>
  <si>
    <t>Stockholm</t>
  </si>
  <si>
    <t>SE-AB</t>
  </si>
  <si>
    <t>Stockholms län</t>
  </si>
  <si>
    <t>Uppsala</t>
  </si>
  <si>
    <t>SE-C</t>
  </si>
  <si>
    <t>Uppsala län</t>
  </si>
  <si>
    <t>Värmland</t>
  </si>
  <si>
    <t>SE-S</t>
  </si>
  <si>
    <t>Värmlands län</t>
  </si>
  <si>
    <t>Västerbotten</t>
  </si>
  <si>
    <t>SE-AC</t>
  </si>
  <si>
    <t>Västerbottens län</t>
  </si>
  <si>
    <t>Västernorrland</t>
  </si>
  <si>
    <t>SE-Y</t>
  </si>
  <si>
    <t>Västernorrlands län</t>
  </si>
  <si>
    <t>Västmanland</t>
  </si>
  <si>
    <t>SE-U</t>
  </si>
  <si>
    <t>Västmanlands län</t>
  </si>
  <si>
    <t>Västra Götaland</t>
  </si>
  <si>
    <t>SE-O</t>
  </si>
  <si>
    <t>Västra Götalands län</t>
  </si>
  <si>
    <t>Aargau</t>
  </si>
  <si>
    <t>CH-AG</t>
  </si>
  <si>
    <t>Appenzell Ausserrhoden</t>
  </si>
  <si>
    <t>CH-AR</t>
  </si>
  <si>
    <t>Appenzell Innerrhoden</t>
  </si>
  <si>
    <t>CH-AI</t>
  </si>
  <si>
    <t>Basel-Landschaft</t>
  </si>
  <si>
    <t>CH-BL</t>
  </si>
  <si>
    <t>Basel-Stadt</t>
  </si>
  <si>
    <t>CH-BS</t>
  </si>
  <si>
    <t>Bern</t>
  </si>
  <si>
    <t>CH-BE</t>
  </si>
  <si>
    <t>Fribourg</t>
  </si>
  <si>
    <t>CH-FR</t>
  </si>
  <si>
    <t>Genève</t>
  </si>
  <si>
    <t>CH-GE</t>
  </si>
  <si>
    <t>Glarus</t>
  </si>
  <si>
    <t>CH-GL</t>
  </si>
  <si>
    <t>Graubünden</t>
  </si>
  <si>
    <t>CH-GR</t>
  </si>
  <si>
    <t>CH-JU</t>
  </si>
  <si>
    <t>Luzern</t>
  </si>
  <si>
    <t>CH-LU</t>
  </si>
  <si>
    <t>Neuchâtel</t>
  </si>
  <si>
    <t>CH-NE</t>
  </si>
  <si>
    <t>Nidwalden</t>
  </si>
  <si>
    <t>CH-NW</t>
  </si>
  <si>
    <t>Obwalden</t>
  </si>
  <si>
    <t>CH-OW</t>
  </si>
  <si>
    <t>Sankt Gallen</t>
  </si>
  <si>
    <t>CH-SG</t>
  </si>
  <si>
    <t>Schaffhausen</t>
  </si>
  <si>
    <t>CH-SH</t>
  </si>
  <si>
    <t>Schwyz</t>
  </si>
  <si>
    <t>CH-SZ</t>
  </si>
  <si>
    <t>Solothurn</t>
  </si>
  <si>
    <t>CH-SO</t>
  </si>
  <si>
    <t>Thurgau</t>
  </si>
  <si>
    <t>CH-TG</t>
  </si>
  <si>
    <t>Ticino</t>
  </si>
  <si>
    <t>CH-TI</t>
  </si>
  <si>
    <t>Uri</t>
  </si>
  <si>
    <t>CH-UR</t>
  </si>
  <si>
    <t>Valais</t>
  </si>
  <si>
    <t>CH-VS</t>
  </si>
  <si>
    <t>Vaud</t>
  </si>
  <si>
    <t>CH-VD</t>
  </si>
  <si>
    <t>Zug</t>
  </si>
  <si>
    <t>CH-ZG</t>
  </si>
  <si>
    <t>Zürich</t>
  </si>
  <si>
    <t>CH-ZH</t>
  </si>
  <si>
    <t>Al Ḩasakah</t>
  </si>
  <si>
    <t>SY-HA</t>
  </si>
  <si>
    <t>Al Lādhiqīyah</t>
  </si>
  <si>
    <t>SY-LA</t>
  </si>
  <si>
    <t>Al Qunayţirah</t>
  </si>
  <si>
    <t>SY-QU</t>
  </si>
  <si>
    <t>Ar Raqqah</t>
  </si>
  <si>
    <t>SY-RA</t>
  </si>
  <si>
    <t>As Suwaydā’</t>
  </si>
  <si>
    <t>SY-SU</t>
  </si>
  <si>
    <t>Dar‘ā</t>
  </si>
  <si>
    <t>SY-DR</t>
  </si>
  <si>
    <t>Dayr az Zawr</t>
  </si>
  <si>
    <t>SY-DY</t>
  </si>
  <si>
    <t>Dimashq</t>
  </si>
  <si>
    <t>SY-DI</t>
  </si>
  <si>
    <t>Ḩalab</t>
  </si>
  <si>
    <t>SY-HL</t>
  </si>
  <si>
    <t>Ḩamāh</t>
  </si>
  <si>
    <t>SY-HM</t>
  </si>
  <si>
    <t>Ḩimş</t>
  </si>
  <si>
    <t>SY-HI</t>
  </si>
  <si>
    <t>Idlib</t>
  </si>
  <si>
    <t>SY-ID</t>
  </si>
  <si>
    <t>Rīf Dimashq</t>
  </si>
  <si>
    <t>SY-RD</t>
  </si>
  <si>
    <t>Ţarţūs</t>
  </si>
  <si>
    <t>SY-TA</t>
  </si>
  <si>
    <t>Changhua</t>
  </si>
  <si>
    <t>TW-CHA</t>
  </si>
  <si>
    <t>Chiayi</t>
  </si>
  <si>
    <t>TW-CYI</t>
  </si>
  <si>
    <t>TW-CYQ</t>
  </si>
  <si>
    <t>Hsinchu</t>
  </si>
  <si>
    <t>TW-HSZ</t>
  </si>
  <si>
    <t>TW-HSQ</t>
  </si>
  <si>
    <t>Hualien</t>
  </si>
  <si>
    <t>TW-HUA</t>
  </si>
  <si>
    <t>Kaohsiung</t>
  </si>
  <si>
    <t>TW-KHH</t>
  </si>
  <si>
    <t>Keelung</t>
  </si>
  <si>
    <t>TW-KEE</t>
  </si>
  <si>
    <t>Kinmen</t>
  </si>
  <si>
    <t>TW-KIN</t>
  </si>
  <si>
    <t>Lienchiang</t>
  </si>
  <si>
    <t>TW-LIE</t>
  </si>
  <si>
    <t>Miaoli</t>
  </si>
  <si>
    <t>TW-MIA</t>
  </si>
  <si>
    <t>Nantou</t>
  </si>
  <si>
    <t>TW-NAN</t>
  </si>
  <si>
    <t>New Taipei</t>
  </si>
  <si>
    <t>TW-NWT</t>
  </si>
  <si>
    <t>Penghu</t>
  </si>
  <si>
    <t>TW-PEN</t>
  </si>
  <si>
    <t>Pingtung</t>
  </si>
  <si>
    <t>TW-PIF</t>
  </si>
  <si>
    <t>Taichung</t>
  </si>
  <si>
    <t>TW-TXG</t>
  </si>
  <si>
    <t>Tainan</t>
  </si>
  <si>
    <t>TW-TNN</t>
  </si>
  <si>
    <t>Taipei</t>
  </si>
  <si>
    <t>TW-TPE</t>
  </si>
  <si>
    <t>Taitung</t>
  </si>
  <si>
    <t>TW-TTT</t>
  </si>
  <si>
    <t>Taoyuan</t>
  </si>
  <si>
    <t>TW-TAO</t>
  </si>
  <si>
    <t>Yilan</t>
  </si>
  <si>
    <t>TW-ILA</t>
  </si>
  <si>
    <t>Yunlin</t>
  </si>
  <si>
    <t>TW-YUN</t>
  </si>
  <si>
    <t>Dushanbe</t>
  </si>
  <si>
    <t>capital region</t>
  </si>
  <si>
    <t>TJ-DU</t>
  </si>
  <si>
    <t>Khatlon</t>
  </si>
  <si>
    <t>TJ-KT</t>
  </si>
  <si>
    <t>Kŭhistoni Badakhshon</t>
  </si>
  <si>
    <t>TJ-GB</t>
  </si>
  <si>
    <t>Nohiyahoi Tobei Jumhurí</t>
  </si>
  <si>
    <t>TJ-RA</t>
  </si>
  <si>
    <t>Districts Under Republic Administration</t>
  </si>
  <si>
    <t>Sughd</t>
  </si>
  <si>
    <t>TJ-SU</t>
  </si>
  <si>
    <t>Arusha</t>
  </si>
  <si>
    <t>TZ-01</t>
  </si>
  <si>
    <t>Coast</t>
  </si>
  <si>
    <t>TZ-19</t>
  </si>
  <si>
    <t>Pwani</t>
  </si>
  <si>
    <t>Dar es Salaam</t>
  </si>
  <si>
    <t>TZ-02</t>
  </si>
  <si>
    <t>Dodoma</t>
  </si>
  <si>
    <t>TZ-03</t>
  </si>
  <si>
    <t>Geita</t>
  </si>
  <si>
    <t>TZ-27</t>
  </si>
  <si>
    <t>Iringa</t>
  </si>
  <si>
    <t>TZ-04</t>
  </si>
  <si>
    <t>Kagera</t>
  </si>
  <si>
    <t>TZ-05</t>
  </si>
  <si>
    <t>Katavi</t>
  </si>
  <si>
    <t>TZ-28</t>
  </si>
  <si>
    <t>Kigoma</t>
  </si>
  <si>
    <t>TZ-08</t>
  </si>
  <si>
    <t>Kilimanjaro</t>
  </si>
  <si>
    <t>TZ-09</t>
  </si>
  <si>
    <t>Lindi</t>
  </si>
  <si>
    <t>TZ-12</t>
  </si>
  <si>
    <t>Manyara</t>
  </si>
  <si>
    <t>TZ-26</t>
  </si>
  <si>
    <t>Mara</t>
  </si>
  <si>
    <t>TZ-13</t>
  </si>
  <si>
    <t>Mbeya</t>
  </si>
  <si>
    <t>TZ-14</t>
  </si>
  <si>
    <t>Morogoro</t>
  </si>
  <si>
    <t>TZ-16</t>
  </si>
  <si>
    <t>Mtwara</t>
  </si>
  <si>
    <t>TZ-17</t>
  </si>
  <si>
    <t>TZ-18</t>
  </si>
  <si>
    <t>Njombe</t>
  </si>
  <si>
    <t>TZ-29</t>
  </si>
  <si>
    <t>Pemba North</t>
  </si>
  <si>
    <t>TZ-06</t>
  </si>
  <si>
    <t>Kaskazini Pemba</t>
  </si>
  <si>
    <t>Pemba South</t>
  </si>
  <si>
    <t>TZ-10</t>
  </si>
  <si>
    <t>Kusini Pemba</t>
  </si>
  <si>
    <t>Rukwa</t>
  </si>
  <si>
    <t>TZ-20</t>
  </si>
  <si>
    <t>Ruvuma</t>
  </si>
  <si>
    <t>TZ-21</t>
  </si>
  <si>
    <t>Shinyanga</t>
  </si>
  <si>
    <t>TZ-22</t>
  </si>
  <si>
    <t>Simiyu</t>
  </si>
  <si>
    <t>TZ-30</t>
  </si>
  <si>
    <t>Singida</t>
  </si>
  <si>
    <t>TZ-23</t>
  </si>
  <si>
    <t>Tabora</t>
  </si>
  <si>
    <t>TZ-24</t>
  </si>
  <si>
    <t>Tanga</t>
  </si>
  <si>
    <t>TZ-25</t>
  </si>
  <si>
    <t>Zanzibar Central/South</t>
  </si>
  <si>
    <t>TZ-11</t>
  </si>
  <si>
    <t>Kusini Unguja</t>
  </si>
  <si>
    <t>Zanzibar North</t>
  </si>
  <si>
    <t>TZ-07</t>
  </si>
  <si>
    <t>Kaskazini Unguja</t>
  </si>
  <si>
    <t>Zanzibar Urban/West</t>
  </si>
  <si>
    <t>TZ-15</t>
  </si>
  <si>
    <t>Mjini Magharibi</t>
  </si>
  <si>
    <t>Amnat Charoen</t>
  </si>
  <si>
    <t>TH-37</t>
  </si>
  <si>
    <t>Ang Thong</t>
  </si>
  <si>
    <t>TH-15</t>
  </si>
  <si>
    <t>Bueng Kan</t>
  </si>
  <si>
    <t>TH-38</t>
  </si>
  <si>
    <t>Buriram</t>
  </si>
  <si>
    <t>TH-31</t>
  </si>
  <si>
    <t>Buri Ram</t>
  </si>
  <si>
    <t>Chachoengsao</t>
  </si>
  <si>
    <t>TH-24</t>
  </si>
  <si>
    <t>Chai Nat</t>
  </si>
  <si>
    <t>TH-18</t>
  </si>
  <si>
    <t>Chaiyaphum</t>
  </si>
  <si>
    <t>TH-36</t>
  </si>
  <si>
    <t>Chanthaburi</t>
  </si>
  <si>
    <t>TH-22</t>
  </si>
  <si>
    <t>Chiang Mai</t>
  </si>
  <si>
    <t>TH-50</t>
  </si>
  <si>
    <t>Chiang Rai</t>
  </si>
  <si>
    <t>TH-57</t>
  </si>
  <si>
    <t>Chon Buri</t>
  </si>
  <si>
    <t>TH-20</t>
  </si>
  <si>
    <t>Chumphon</t>
  </si>
  <si>
    <t>TH-86</t>
  </si>
  <si>
    <t>Kalasin</t>
  </si>
  <si>
    <t>TH-46</t>
  </si>
  <si>
    <t>Kamphaeng Phet</t>
  </si>
  <si>
    <t>TH-62</t>
  </si>
  <si>
    <t>Kanchanaburi</t>
  </si>
  <si>
    <t>TH-71</t>
  </si>
  <si>
    <t>Khon Kaen</t>
  </si>
  <si>
    <t>TH-40</t>
  </si>
  <si>
    <t>Krabi</t>
  </si>
  <si>
    <t>TH-81</t>
  </si>
  <si>
    <t>Krung Thep Maha Nakhon</t>
  </si>
  <si>
    <t>metropolitan administration</t>
  </si>
  <si>
    <t>TH-10</t>
  </si>
  <si>
    <t>Lampang</t>
  </si>
  <si>
    <t>TH-52</t>
  </si>
  <si>
    <t>Lamphun</t>
  </si>
  <si>
    <t>TH-51</t>
  </si>
  <si>
    <t>Loei</t>
  </si>
  <si>
    <t>TH-42</t>
  </si>
  <si>
    <t>Lop Buri</t>
  </si>
  <si>
    <t>TH-16</t>
  </si>
  <si>
    <t>Mae Hong Son</t>
  </si>
  <si>
    <t>TH-58</t>
  </si>
  <si>
    <t>Maha Sarakham</t>
  </si>
  <si>
    <t>TH-44</t>
  </si>
  <si>
    <t>Mukdahan</t>
  </si>
  <si>
    <t>TH-49</t>
  </si>
  <si>
    <t>Nakhon Nayok</t>
  </si>
  <si>
    <t>TH-26</t>
  </si>
  <si>
    <t>Nakhon Pathom</t>
  </si>
  <si>
    <t>TH-73</t>
  </si>
  <si>
    <t>Nakhon Phanom</t>
  </si>
  <si>
    <t>TH-48</t>
  </si>
  <si>
    <t>Nakhon Ratchasima</t>
  </si>
  <si>
    <t>TH-30</t>
  </si>
  <si>
    <t>Nakhon Sawan</t>
  </si>
  <si>
    <t>TH-60</t>
  </si>
  <si>
    <t>Nakhon Si Thammarat</t>
  </si>
  <si>
    <t>TH-80</t>
  </si>
  <si>
    <t>Nan</t>
  </si>
  <si>
    <t>TH-55</t>
  </si>
  <si>
    <t>Narathiwat</t>
  </si>
  <si>
    <t>TH-96</t>
  </si>
  <si>
    <t>Nong Bua Lamphu</t>
  </si>
  <si>
    <t>TH-39</t>
  </si>
  <si>
    <t>Nong Bua Lam Phu</t>
  </si>
  <si>
    <t>Nong Khai</t>
  </si>
  <si>
    <t>TH-43</t>
  </si>
  <si>
    <t>Nonthaburi</t>
  </si>
  <si>
    <t>TH-12</t>
  </si>
  <si>
    <t>Pathum Thani</t>
  </si>
  <si>
    <t>TH-13</t>
  </si>
  <si>
    <t>Pattani</t>
  </si>
  <si>
    <t>TH-94</t>
  </si>
  <si>
    <t>Phangnga</t>
  </si>
  <si>
    <t>TH-82</t>
  </si>
  <si>
    <t>Phatthalung</t>
  </si>
  <si>
    <t>TH-93</t>
  </si>
  <si>
    <t>Phayao</t>
  </si>
  <si>
    <t>TH-56</t>
  </si>
  <si>
    <t>Phetchabun</t>
  </si>
  <si>
    <t>TH-67</t>
  </si>
  <si>
    <t>Phetchaburi</t>
  </si>
  <si>
    <t>TH-76</t>
  </si>
  <si>
    <t>Phichit</t>
  </si>
  <si>
    <t>TH-66</t>
  </si>
  <si>
    <t>Phitsanulok</t>
  </si>
  <si>
    <t>TH-65</t>
  </si>
  <si>
    <t>Phrae</t>
  </si>
  <si>
    <t>TH-54</t>
  </si>
  <si>
    <t>Phra Nakhon Si Ayutthaya</t>
  </si>
  <si>
    <t>TH-14</t>
  </si>
  <si>
    <t>Phuket</t>
  </si>
  <si>
    <t>TH-83</t>
  </si>
  <si>
    <t>Prachin Buri</t>
  </si>
  <si>
    <t>TH-25</t>
  </si>
  <si>
    <t>Prachuap Khiri Khan</t>
  </si>
  <si>
    <t>TH-77</t>
  </si>
  <si>
    <t>Ranong</t>
  </si>
  <si>
    <t>TH-85</t>
  </si>
  <si>
    <t>Ratchaburi</t>
  </si>
  <si>
    <t>TH-70</t>
  </si>
  <si>
    <t>Rayong</t>
  </si>
  <si>
    <t>TH-21</t>
  </si>
  <si>
    <t>Roi Et</t>
  </si>
  <si>
    <t>TH-45</t>
  </si>
  <si>
    <t>Sa Kaeo</t>
  </si>
  <si>
    <t>TH-27</t>
  </si>
  <si>
    <t>Sakon Nakhon</t>
  </si>
  <si>
    <t>TH-47</t>
  </si>
  <si>
    <t>Samut Prakan</t>
  </si>
  <si>
    <t>TH-11</t>
  </si>
  <si>
    <t>Samut Sakhon</t>
  </si>
  <si>
    <t>TH-74</t>
  </si>
  <si>
    <t>Samut Songkhram</t>
  </si>
  <si>
    <t>TH-75</t>
  </si>
  <si>
    <t>Sara Buri</t>
  </si>
  <si>
    <t>TH-19</t>
  </si>
  <si>
    <t>Saraburi</t>
  </si>
  <si>
    <t>Satun</t>
  </si>
  <si>
    <t>TH-91</t>
  </si>
  <si>
    <t>Sing Buri</t>
  </si>
  <si>
    <t>TH-17</t>
  </si>
  <si>
    <t>Sisaket</t>
  </si>
  <si>
    <t>TH-33</t>
  </si>
  <si>
    <t>Si Sa Ket</t>
  </si>
  <si>
    <t>Songkhla</t>
  </si>
  <si>
    <t>TH-90</t>
  </si>
  <si>
    <t>Sukhothai</t>
  </si>
  <si>
    <t>TH-64</t>
  </si>
  <si>
    <t>Suphan Buri</t>
  </si>
  <si>
    <t>TH-72</t>
  </si>
  <si>
    <t>Surat Thani</t>
  </si>
  <si>
    <t>TH-84</t>
  </si>
  <si>
    <t>Surin</t>
  </si>
  <si>
    <t>TH-32</t>
  </si>
  <si>
    <t>Tak</t>
  </si>
  <si>
    <t>TH-63</t>
  </si>
  <si>
    <t>Trang</t>
  </si>
  <si>
    <t>TH-92</t>
  </si>
  <si>
    <t>Trat</t>
  </si>
  <si>
    <t>TH-23</t>
  </si>
  <si>
    <t>Ubon Ratchathani</t>
  </si>
  <si>
    <t>TH-34</t>
  </si>
  <si>
    <t>Udon Thani</t>
  </si>
  <si>
    <t>TH-41</t>
  </si>
  <si>
    <t>Uthai Thani</t>
  </si>
  <si>
    <t>TH-61</t>
  </si>
  <si>
    <t>Uttaradit</t>
  </si>
  <si>
    <t>TH-53</t>
  </si>
  <si>
    <t>Yala</t>
  </si>
  <si>
    <t>TH-95</t>
  </si>
  <si>
    <t>Yasothon</t>
  </si>
  <si>
    <t>TH-35</t>
  </si>
  <si>
    <t>Aileu</t>
  </si>
  <si>
    <t>TL-AL</t>
  </si>
  <si>
    <t>EAST TIMOR</t>
  </si>
  <si>
    <t>Ainaro</t>
  </si>
  <si>
    <t>TL-AN</t>
  </si>
  <si>
    <t>Baucau</t>
  </si>
  <si>
    <t>TL-BA</t>
  </si>
  <si>
    <t>Bobonaro</t>
  </si>
  <si>
    <t>TL-BO</t>
  </si>
  <si>
    <t>Cova Lima</t>
  </si>
  <si>
    <t>TL-CO</t>
  </si>
  <si>
    <t>Díli</t>
  </si>
  <si>
    <t>TL-DI</t>
  </si>
  <si>
    <t>Ermera</t>
  </si>
  <si>
    <t>TL-ER</t>
  </si>
  <si>
    <t>Lautém</t>
  </si>
  <si>
    <t>TL-LA</t>
  </si>
  <si>
    <t>Lautem</t>
  </si>
  <si>
    <t>Liquiçá</t>
  </si>
  <si>
    <t>TL-LI</t>
  </si>
  <si>
    <t>Liquiça</t>
  </si>
  <si>
    <t>Manatuto</t>
  </si>
  <si>
    <t>TL-MT</t>
  </si>
  <si>
    <t>Manufahi</t>
  </si>
  <si>
    <t>TL-MF</t>
  </si>
  <si>
    <t>Oecussi-Ambeno</t>
  </si>
  <si>
    <t>TL-OE</t>
  </si>
  <si>
    <t>Oecussi</t>
  </si>
  <si>
    <t>Viqueque</t>
  </si>
  <si>
    <t>TL-VI</t>
  </si>
  <si>
    <t>Centrale</t>
  </si>
  <si>
    <t>TG-C</t>
  </si>
  <si>
    <t>Kara</t>
  </si>
  <si>
    <t>TG-K</t>
  </si>
  <si>
    <t>Maritime</t>
  </si>
  <si>
    <t>TG-M</t>
  </si>
  <si>
    <t>Maritime (Région)</t>
  </si>
  <si>
    <t>TG-P</t>
  </si>
  <si>
    <t>TG-S</t>
  </si>
  <si>
    <t>Savannes</t>
  </si>
  <si>
    <t>‘Eua</t>
  </si>
  <si>
    <t>TO-01</t>
  </si>
  <si>
    <t>Eua</t>
  </si>
  <si>
    <t>Ha‘apai</t>
  </si>
  <si>
    <t>TO-02</t>
  </si>
  <si>
    <t>Ha'apai</t>
  </si>
  <si>
    <t>Ongo Niua</t>
  </si>
  <si>
    <t>TO-03</t>
  </si>
  <si>
    <t>Niuas</t>
  </si>
  <si>
    <t>Tongatapu</t>
  </si>
  <si>
    <t>TO-04</t>
  </si>
  <si>
    <t>Vava‘u</t>
  </si>
  <si>
    <t>TO-05</t>
  </si>
  <si>
    <t>Vava'u</t>
  </si>
  <si>
    <t>Arima</t>
  </si>
  <si>
    <t>TT-ARI</t>
  </si>
  <si>
    <t>Chaguanas</t>
  </si>
  <si>
    <t>TT-CHA</t>
  </si>
  <si>
    <t>Couva/Tabaquite/Talparo</t>
  </si>
  <si>
    <t>TT-CTT</t>
  </si>
  <si>
    <t>Couva-Tabaquite-Talparo</t>
  </si>
  <si>
    <t>Diego Martin</t>
  </si>
  <si>
    <t>TT-DMN</t>
  </si>
  <si>
    <t>Mayaro/Rio Claro</t>
  </si>
  <si>
    <t>TT-MRC</t>
  </si>
  <si>
    <t>Mayaro-Rio Claro</t>
  </si>
  <si>
    <t>Penal/Debe</t>
  </si>
  <si>
    <t>TT-PED</t>
  </si>
  <si>
    <t>Penal-Debe</t>
  </si>
  <si>
    <t>Point Fortin</t>
  </si>
  <si>
    <t>TT-PTF</t>
  </si>
  <si>
    <t>Port of Spain</t>
  </si>
  <si>
    <t>TT-POS</t>
  </si>
  <si>
    <t>Princes Town</t>
  </si>
  <si>
    <t>TT-PRT</t>
  </si>
  <si>
    <t>San Fernando</t>
  </si>
  <si>
    <t>TT-SFO</t>
  </si>
  <si>
    <t>Sangre Grande</t>
  </si>
  <si>
    <t>TT-SGE</t>
  </si>
  <si>
    <t>San Juan/Laventille</t>
  </si>
  <si>
    <t>TT-SJL</t>
  </si>
  <si>
    <t>San Juan-Laventille</t>
  </si>
  <si>
    <t>Siparia</t>
  </si>
  <si>
    <t>TT-SIP</t>
  </si>
  <si>
    <t>Tobago</t>
  </si>
  <si>
    <t>ward</t>
  </si>
  <si>
    <t>TT-TOB</t>
  </si>
  <si>
    <t>Tunapuna/Piarco</t>
  </si>
  <si>
    <t>TT-TUP</t>
  </si>
  <si>
    <t>Tunapuna-Piarco</t>
  </si>
  <si>
    <t>Béja</t>
  </si>
  <si>
    <t>TN-31</t>
  </si>
  <si>
    <t>Ben Arous</t>
  </si>
  <si>
    <t>TN-13</t>
  </si>
  <si>
    <t>Bizerte</t>
  </si>
  <si>
    <t>TN-23</t>
  </si>
  <si>
    <t>Gabès</t>
  </si>
  <si>
    <t>TN-81</t>
  </si>
  <si>
    <t>Gafsa</t>
  </si>
  <si>
    <t>TN-71</t>
  </si>
  <si>
    <t>Jendouba</t>
  </si>
  <si>
    <t>TN-32</t>
  </si>
  <si>
    <t>Kairouan</t>
  </si>
  <si>
    <t>TN-41</t>
  </si>
  <si>
    <t>Kasserine</t>
  </si>
  <si>
    <t>TN-42</t>
  </si>
  <si>
    <t>Kébili</t>
  </si>
  <si>
    <t>TN-73</t>
  </si>
  <si>
    <t>Kef</t>
  </si>
  <si>
    <t>TN-33</t>
  </si>
  <si>
    <t>Le Kef</t>
  </si>
  <si>
    <t>L’Ariana</t>
  </si>
  <si>
    <t>TN-12</t>
  </si>
  <si>
    <t>Mahdia</t>
  </si>
  <si>
    <t>TN-53</t>
  </si>
  <si>
    <t>Manouba</t>
  </si>
  <si>
    <t>TN-14</t>
  </si>
  <si>
    <t>La Manouba</t>
  </si>
  <si>
    <t>Médenine</t>
  </si>
  <si>
    <t>TN-82</t>
  </si>
  <si>
    <t>Monastir</t>
  </si>
  <si>
    <t>TN-52</t>
  </si>
  <si>
    <t>Nabeul</t>
  </si>
  <si>
    <t>TN-21</t>
  </si>
  <si>
    <t>Sfax</t>
  </si>
  <si>
    <t>TN-61</t>
  </si>
  <si>
    <t>Sidi Bouzid</t>
  </si>
  <si>
    <t>TN-43</t>
  </si>
  <si>
    <t>Siliana</t>
  </si>
  <si>
    <t>TN-34</t>
  </si>
  <si>
    <t>Sousse</t>
  </si>
  <si>
    <t>TN-51</t>
  </si>
  <si>
    <t>Tataouine</t>
  </si>
  <si>
    <t>TN-83</t>
  </si>
  <si>
    <t>Tozeur</t>
  </si>
  <si>
    <t>TN-72</t>
  </si>
  <si>
    <t>Tunis</t>
  </si>
  <si>
    <t>TN-11</t>
  </si>
  <si>
    <t>Zaghouan</t>
  </si>
  <si>
    <t>TN-22</t>
  </si>
  <si>
    <t>Adana</t>
  </si>
  <si>
    <t>TR-01</t>
  </si>
  <si>
    <t>Adıyaman</t>
  </si>
  <si>
    <t>TR-02</t>
  </si>
  <si>
    <t>Afyonkarahisar</t>
  </si>
  <si>
    <t>TR-03</t>
  </si>
  <si>
    <t>Ağrı</t>
  </si>
  <si>
    <t>TR-04</t>
  </si>
  <si>
    <t>Aksaray</t>
  </si>
  <si>
    <t>TR-68</t>
  </si>
  <si>
    <t>Amasya</t>
  </si>
  <si>
    <t>TR-05</t>
  </si>
  <si>
    <t>Ankara</t>
  </si>
  <si>
    <t>TR-06</t>
  </si>
  <si>
    <t>Antalya</t>
  </si>
  <si>
    <t>TR-07</t>
  </si>
  <si>
    <t>Ardahan</t>
  </si>
  <si>
    <t>TR-75</t>
  </si>
  <si>
    <t>Artvin</t>
  </si>
  <si>
    <t>TR-08</t>
  </si>
  <si>
    <t>Aydın</t>
  </si>
  <si>
    <t>TR-09</t>
  </si>
  <si>
    <t>Balıkesir</t>
  </si>
  <si>
    <t>TR-10</t>
  </si>
  <si>
    <t>Bartın</t>
  </si>
  <si>
    <t>TR-74</t>
  </si>
  <si>
    <t>Batman</t>
  </si>
  <si>
    <t>TR-72</t>
  </si>
  <si>
    <t>Bayburt</t>
  </si>
  <si>
    <t>TR-69</t>
  </si>
  <si>
    <t>Bilecik</t>
  </si>
  <si>
    <t>TR-11</t>
  </si>
  <si>
    <t>Bingöl</t>
  </si>
  <si>
    <t>TR-12</t>
  </si>
  <si>
    <t>Bitlis</t>
  </si>
  <si>
    <t>TR-13</t>
  </si>
  <si>
    <t>Bolu</t>
  </si>
  <si>
    <t>TR-14</t>
  </si>
  <si>
    <t>Burdur</t>
  </si>
  <si>
    <t>TR-15</t>
  </si>
  <si>
    <t>Bursa</t>
  </si>
  <si>
    <t>TR-16</t>
  </si>
  <si>
    <t>Çanakkale</t>
  </si>
  <si>
    <t>TR-17</t>
  </si>
  <si>
    <t>Çankırı</t>
  </si>
  <si>
    <t>TR-18</t>
  </si>
  <si>
    <t>Çorum</t>
  </si>
  <si>
    <t>TR-19</t>
  </si>
  <si>
    <t>Denizli</t>
  </si>
  <si>
    <t>TR-20</t>
  </si>
  <si>
    <t>Diyarbakır</t>
  </si>
  <si>
    <t>TR-21</t>
  </si>
  <si>
    <t>Düzce</t>
  </si>
  <si>
    <t>TR-81</t>
  </si>
  <si>
    <t>Edirne</t>
  </si>
  <si>
    <t>TR-22</t>
  </si>
  <si>
    <t>Elazığ</t>
  </si>
  <si>
    <t>TR-23</t>
  </si>
  <si>
    <t>Erzincan</t>
  </si>
  <si>
    <t>TR-24</t>
  </si>
  <si>
    <t>Erzurum</t>
  </si>
  <si>
    <t>TR-25</t>
  </si>
  <si>
    <t>Eskişehir</t>
  </si>
  <si>
    <t>TR-26</t>
  </si>
  <si>
    <t>Gaziantep</t>
  </si>
  <si>
    <t>TR-27</t>
  </si>
  <si>
    <t>Giresun</t>
  </si>
  <si>
    <t>TR-28</t>
  </si>
  <si>
    <t>Gümüşhane</t>
  </si>
  <si>
    <t>TR-29</t>
  </si>
  <si>
    <t>Hakkâri</t>
  </si>
  <si>
    <t>TR-30</t>
  </si>
  <si>
    <t>Hatay</t>
  </si>
  <si>
    <t>TR-31</t>
  </si>
  <si>
    <t>Iğdır</t>
  </si>
  <si>
    <t>TR-76</t>
  </si>
  <si>
    <t>Isparta</t>
  </si>
  <si>
    <t>TR-32</t>
  </si>
  <si>
    <t>İstanbul</t>
  </si>
  <si>
    <t>TR-34</t>
  </si>
  <si>
    <t>İzmir</t>
  </si>
  <si>
    <t>TR-35</t>
  </si>
  <si>
    <t>Kahramanmaraş</t>
  </si>
  <si>
    <t>TR-46</t>
  </si>
  <si>
    <t>Karabük</t>
  </si>
  <si>
    <t>TR-78</t>
  </si>
  <si>
    <t>Karaman</t>
  </si>
  <si>
    <t>TR-70</t>
  </si>
  <si>
    <t>Kars</t>
  </si>
  <si>
    <t>TR-36</t>
  </si>
  <si>
    <t>Kastamonu</t>
  </si>
  <si>
    <t>TR-37</t>
  </si>
  <si>
    <t>Kayseri</t>
  </si>
  <si>
    <t>TR-38</t>
  </si>
  <si>
    <t>Kilis</t>
  </si>
  <si>
    <t>TR-79</t>
  </si>
  <si>
    <t>Kırıkkale</t>
  </si>
  <si>
    <t>TR-71</t>
  </si>
  <si>
    <t>Kırklareli</t>
  </si>
  <si>
    <t>TR-39</t>
  </si>
  <si>
    <t>Kırşehir</t>
  </si>
  <si>
    <t>TR-40</t>
  </si>
  <si>
    <t>Kocaeli</t>
  </si>
  <si>
    <t>TR-41</t>
  </si>
  <si>
    <t>Konya</t>
  </si>
  <si>
    <t>TR-42</t>
  </si>
  <si>
    <t>Kütahya</t>
  </si>
  <si>
    <t>TR-43</t>
  </si>
  <si>
    <t>Malatya</t>
  </si>
  <si>
    <t>TR-44</t>
  </si>
  <si>
    <t>Manisa</t>
  </si>
  <si>
    <t>TR-45</t>
  </si>
  <si>
    <t>Mardin</t>
  </si>
  <si>
    <t>TR-47</t>
  </si>
  <si>
    <t>Mersin</t>
  </si>
  <si>
    <t>TR-33</t>
  </si>
  <si>
    <t>Muğla</t>
  </si>
  <si>
    <t>TR-48</t>
  </si>
  <si>
    <t>Muş</t>
  </si>
  <si>
    <t>TR-49</t>
  </si>
  <si>
    <t>Nevşehir</t>
  </si>
  <si>
    <t>TR-50</t>
  </si>
  <si>
    <t>Niğde</t>
  </si>
  <si>
    <t>TR-51</t>
  </si>
  <si>
    <t>Ordu</t>
  </si>
  <si>
    <t>TR-52</t>
  </si>
  <si>
    <t>Osmaniye</t>
  </si>
  <si>
    <t>TR-80</t>
  </si>
  <si>
    <t>Rize</t>
  </si>
  <si>
    <t>TR-53</t>
  </si>
  <si>
    <t>Sakarya</t>
  </si>
  <si>
    <t>TR-54</t>
  </si>
  <si>
    <t>Samsun</t>
  </si>
  <si>
    <t>TR-55</t>
  </si>
  <si>
    <t>Şanlıurfa</t>
  </si>
  <si>
    <t>TR-63</t>
  </si>
  <si>
    <t>Siirt</t>
  </si>
  <si>
    <t>TR-56</t>
  </si>
  <si>
    <t>Sinop</t>
  </si>
  <si>
    <t>TR-57</t>
  </si>
  <si>
    <t>Şırnak</t>
  </si>
  <si>
    <t>TR-73</t>
  </si>
  <si>
    <t>Sivas</t>
  </si>
  <si>
    <t>TR-58</t>
  </si>
  <si>
    <t>Tekirdağ</t>
  </si>
  <si>
    <t>TR-59</t>
  </si>
  <si>
    <t>Tokat</t>
  </si>
  <si>
    <t>TR-60</t>
  </si>
  <si>
    <t>Trabzon</t>
  </si>
  <si>
    <t>TR-61</t>
  </si>
  <si>
    <t>Tunceli</t>
  </si>
  <si>
    <t>TR-62</t>
  </si>
  <si>
    <t>Uşak</t>
  </si>
  <si>
    <t>TR-64</t>
  </si>
  <si>
    <t>Van</t>
  </si>
  <si>
    <t>TR-65</t>
  </si>
  <si>
    <t>Yalova</t>
  </si>
  <si>
    <t>TR-77</t>
  </si>
  <si>
    <t>Yozgat</t>
  </si>
  <si>
    <t>TR-66</t>
  </si>
  <si>
    <t>Zonguldak</t>
  </si>
  <si>
    <t>TR-67</t>
  </si>
  <si>
    <t>Ahal</t>
  </si>
  <si>
    <t>TM-A</t>
  </si>
  <si>
    <t>Aşgabat</t>
  </si>
  <si>
    <t>TM-S</t>
  </si>
  <si>
    <t>Balkan</t>
  </si>
  <si>
    <t>TM-B</t>
  </si>
  <si>
    <t>Daşoguz</t>
  </si>
  <si>
    <t>TM-D</t>
  </si>
  <si>
    <t>Lebap</t>
  </si>
  <si>
    <t>TM-L</t>
  </si>
  <si>
    <t>Mary</t>
  </si>
  <si>
    <t>TM-M</t>
  </si>
  <si>
    <t>Funafuti</t>
  </si>
  <si>
    <t>town council</t>
  </si>
  <si>
    <t>TV-FUN</t>
  </si>
  <si>
    <t>Nanumaga</t>
  </si>
  <si>
    <t>island council</t>
  </si>
  <si>
    <t>TV-NMG</t>
  </si>
  <si>
    <t>Nanumea</t>
  </si>
  <si>
    <t>TV-NMA</t>
  </si>
  <si>
    <t>Niutao</t>
  </si>
  <si>
    <t>TV-NIT</t>
  </si>
  <si>
    <t>Nui</t>
  </si>
  <si>
    <t>TV-NUI</t>
  </si>
  <si>
    <t>Nukufetau</t>
  </si>
  <si>
    <t>TV-NKF</t>
  </si>
  <si>
    <t>Nukulaelae</t>
  </si>
  <si>
    <t>TV-NKL</t>
  </si>
  <si>
    <t>Vaitupu</t>
  </si>
  <si>
    <t>TV-VAI</t>
  </si>
  <si>
    <t>Abim</t>
  </si>
  <si>
    <t>UG-314</t>
  </si>
  <si>
    <t>Adjumani</t>
  </si>
  <si>
    <t>UG-301</t>
  </si>
  <si>
    <t>Agago</t>
  </si>
  <si>
    <t>UG-322</t>
  </si>
  <si>
    <t>Alebtong</t>
  </si>
  <si>
    <t>UG-323</t>
  </si>
  <si>
    <t>Amolatar</t>
  </si>
  <si>
    <t>UG-315</t>
  </si>
  <si>
    <t>Amudat</t>
  </si>
  <si>
    <t>UG-324</t>
  </si>
  <si>
    <t>Amuria</t>
  </si>
  <si>
    <t>UG-216</t>
  </si>
  <si>
    <t>Amuru</t>
  </si>
  <si>
    <t>UG-316</t>
  </si>
  <si>
    <t>Apac</t>
  </si>
  <si>
    <t>UG-302</t>
  </si>
  <si>
    <t>Arua</t>
  </si>
  <si>
    <t>UG-303</t>
  </si>
  <si>
    <t>Budaka</t>
  </si>
  <si>
    <t>UG-217</t>
  </si>
  <si>
    <t>Bududa</t>
  </si>
  <si>
    <t>UG-218</t>
  </si>
  <si>
    <t>Bugiri</t>
  </si>
  <si>
    <t>UG-201</t>
  </si>
  <si>
    <t>Buhweju</t>
  </si>
  <si>
    <t>UG-420</t>
  </si>
  <si>
    <t>Buikwe</t>
  </si>
  <si>
    <t>UG-117</t>
  </si>
  <si>
    <t>Bukedea</t>
  </si>
  <si>
    <t>UG-219</t>
  </si>
  <si>
    <t>Bukomansimbi</t>
  </si>
  <si>
    <t>UG-118</t>
  </si>
  <si>
    <t>Bukomansibi</t>
  </si>
  <si>
    <t>Bukwa</t>
  </si>
  <si>
    <t>UG-220</t>
  </si>
  <si>
    <t>Bulambuli</t>
  </si>
  <si>
    <t>UG-225</t>
  </si>
  <si>
    <t>Buliisa</t>
  </si>
  <si>
    <t>UG-416</t>
  </si>
  <si>
    <t>Bundibugyo</t>
  </si>
  <si>
    <t>UG-401</t>
  </si>
  <si>
    <t>Bushenyi</t>
  </si>
  <si>
    <t>UG-402</t>
  </si>
  <si>
    <t>UG-202</t>
  </si>
  <si>
    <t>Butaleja</t>
  </si>
  <si>
    <t>UG-221</t>
  </si>
  <si>
    <t>Butambala</t>
  </si>
  <si>
    <t>UG-119</t>
  </si>
  <si>
    <t>Buvuma</t>
  </si>
  <si>
    <t>UG-120</t>
  </si>
  <si>
    <t>Buyende</t>
  </si>
  <si>
    <t>UG-226</t>
  </si>
  <si>
    <t>UG-C</t>
  </si>
  <si>
    <t>Dokolo</t>
  </si>
  <si>
    <t>UG-317</t>
  </si>
  <si>
    <t>UG-E</t>
  </si>
  <si>
    <t>Gomba</t>
  </si>
  <si>
    <t>UG-121</t>
  </si>
  <si>
    <t>Gulu</t>
  </si>
  <si>
    <t>UG-304</t>
  </si>
  <si>
    <t>Hoima</t>
  </si>
  <si>
    <t>UG-403</t>
  </si>
  <si>
    <t>Ibanda</t>
  </si>
  <si>
    <t>UG-417</t>
  </si>
  <si>
    <t>Iganga</t>
  </si>
  <si>
    <t>UG-203</t>
  </si>
  <si>
    <t>Isingiro</t>
  </si>
  <si>
    <t>UG-418</t>
  </si>
  <si>
    <t>Jinja</t>
  </si>
  <si>
    <t>UG-204</t>
  </si>
  <si>
    <t>Kaabong</t>
  </si>
  <si>
    <t>UG-318</t>
  </si>
  <si>
    <t>Kabale</t>
  </si>
  <si>
    <t>UG-404</t>
  </si>
  <si>
    <t>Kabarole</t>
  </si>
  <si>
    <t>UG-405</t>
  </si>
  <si>
    <t>Kaberamaido</t>
  </si>
  <si>
    <t>UG-213</t>
  </si>
  <si>
    <t>Kalangala</t>
  </si>
  <si>
    <t>UG-101</t>
  </si>
  <si>
    <t>Kaliro</t>
  </si>
  <si>
    <t>UG-222</t>
  </si>
  <si>
    <t>Kalungu</t>
  </si>
  <si>
    <t>UG-122</t>
  </si>
  <si>
    <t>Kampala</t>
  </si>
  <si>
    <t>UG-102</t>
  </si>
  <si>
    <t>Kamuli</t>
  </si>
  <si>
    <t>UG-205</t>
  </si>
  <si>
    <t>Kamwenge</t>
  </si>
  <si>
    <t>UG-413</t>
  </si>
  <si>
    <t>Kanungu</t>
  </si>
  <si>
    <t>UG-414</t>
  </si>
  <si>
    <t>Kapchorwa</t>
  </si>
  <si>
    <t>UG-206</t>
  </si>
  <si>
    <t>Kasese</t>
  </si>
  <si>
    <t>UG-406</t>
  </si>
  <si>
    <t>Katakwi</t>
  </si>
  <si>
    <t>UG-207</t>
  </si>
  <si>
    <t>Kayunga</t>
  </si>
  <si>
    <t>UG-112</t>
  </si>
  <si>
    <t>Kibaale</t>
  </si>
  <si>
    <t>UG-407</t>
  </si>
  <si>
    <t>Kiboga</t>
  </si>
  <si>
    <t>UG-103</t>
  </si>
  <si>
    <t>Kibuku</t>
  </si>
  <si>
    <t>UG-227</t>
  </si>
  <si>
    <t>Kiruhura</t>
  </si>
  <si>
    <t>UG-419</t>
  </si>
  <si>
    <t>Kiryandongo</t>
  </si>
  <si>
    <t>UG-421</t>
  </si>
  <si>
    <t>Kisoro</t>
  </si>
  <si>
    <t>UG-408</t>
  </si>
  <si>
    <t>Kitgum</t>
  </si>
  <si>
    <t>UG-305</t>
  </si>
  <si>
    <t>Koboko</t>
  </si>
  <si>
    <t>UG-319</t>
  </si>
  <si>
    <t>Kole</t>
  </si>
  <si>
    <t>UG-325</t>
  </si>
  <si>
    <t>Kotido</t>
  </si>
  <si>
    <t>UG-306</t>
  </si>
  <si>
    <t>Kumi</t>
  </si>
  <si>
    <t>UG-208</t>
  </si>
  <si>
    <t>Kween</t>
  </si>
  <si>
    <t>UG-228</t>
  </si>
  <si>
    <t>Kyankwanzi</t>
  </si>
  <si>
    <t>UG-123</t>
  </si>
  <si>
    <t>Kyegegwa</t>
  </si>
  <si>
    <t>UG-422</t>
  </si>
  <si>
    <t>Kyenjojo</t>
  </si>
  <si>
    <t>UG-415</t>
  </si>
  <si>
    <t>Lamwo</t>
  </si>
  <si>
    <t>UG-326</t>
  </si>
  <si>
    <t>Lira</t>
  </si>
  <si>
    <t>UG-307</t>
  </si>
  <si>
    <t>Luuka</t>
  </si>
  <si>
    <t>UG-229</t>
  </si>
  <si>
    <t>Luwero</t>
  </si>
  <si>
    <t>UG-104</t>
  </si>
  <si>
    <t>Lwengo</t>
  </si>
  <si>
    <t>UG-124</t>
  </si>
  <si>
    <t>Lyantonde</t>
  </si>
  <si>
    <t>UG-114</t>
  </si>
  <si>
    <t>Manafwa</t>
  </si>
  <si>
    <t>UG-223</t>
  </si>
  <si>
    <t>Maracha</t>
  </si>
  <si>
    <t>UG-320</t>
  </si>
  <si>
    <t>Masaka</t>
  </si>
  <si>
    <t>UG-105</t>
  </si>
  <si>
    <t>Masindi</t>
  </si>
  <si>
    <t>UG-409</t>
  </si>
  <si>
    <t>Mayuge</t>
  </si>
  <si>
    <t>UG-214</t>
  </si>
  <si>
    <t>Mbale</t>
  </si>
  <si>
    <t>UG-209</t>
  </si>
  <si>
    <t>Mbarara</t>
  </si>
  <si>
    <t>UG-410</t>
  </si>
  <si>
    <t>Mitooma</t>
  </si>
  <si>
    <t>UG-423</t>
  </si>
  <si>
    <t>Mityana</t>
  </si>
  <si>
    <t>UG-115</t>
  </si>
  <si>
    <t>Moroto</t>
  </si>
  <si>
    <t>UG-308</t>
  </si>
  <si>
    <t>Moyo</t>
  </si>
  <si>
    <t>UG-309</t>
  </si>
  <si>
    <t>Mpigi</t>
  </si>
  <si>
    <t>UG-106</t>
  </si>
  <si>
    <t>Mubende</t>
  </si>
  <si>
    <t>UG-107</t>
  </si>
  <si>
    <t>Mukono</t>
  </si>
  <si>
    <t>UG-108</t>
  </si>
  <si>
    <t>Nakapiripirit</t>
  </si>
  <si>
    <t>UG-311</t>
  </si>
  <si>
    <t>Nakaseke</t>
  </si>
  <si>
    <t>UG-116</t>
  </si>
  <si>
    <t>Nakasongola</t>
  </si>
  <si>
    <t>UG-109</t>
  </si>
  <si>
    <t>Namayingo</t>
  </si>
  <si>
    <t>UG-230</t>
  </si>
  <si>
    <t>Namutumba</t>
  </si>
  <si>
    <t>UG-224</t>
  </si>
  <si>
    <t>Napak</t>
  </si>
  <si>
    <t>UG-327</t>
  </si>
  <si>
    <t>Nebbi</t>
  </si>
  <si>
    <t>UG-310</t>
  </si>
  <si>
    <t>Ngora</t>
  </si>
  <si>
    <t>UG-231</t>
  </si>
  <si>
    <t>UG-N</t>
  </si>
  <si>
    <t>Ntoroko</t>
  </si>
  <si>
    <t>UG-424</t>
  </si>
  <si>
    <t>Ntungamo</t>
  </si>
  <si>
    <t>UG-411</t>
  </si>
  <si>
    <t>Nwoya</t>
  </si>
  <si>
    <t>UG-328</t>
  </si>
  <si>
    <t>Otuke</t>
  </si>
  <si>
    <t>UG-329</t>
  </si>
  <si>
    <t>Oyam</t>
  </si>
  <si>
    <t>UG-321</t>
  </si>
  <si>
    <t>Pader</t>
  </si>
  <si>
    <t>UG-312</t>
  </si>
  <si>
    <t>Pallisa</t>
  </si>
  <si>
    <t>UG-210</t>
  </si>
  <si>
    <t>Rakai</t>
  </si>
  <si>
    <t>UG-110</t>
  </si>
  <si>
    <t>Rubirizi</t>
  </si>
  <si>
    <t>UG-425</t>
  </si>
  <si>
    <t>Rukungiri</t>
  </si>
  <si>
    <t>UG-412</t>
  </si>
  <si>
    <t>Sembabule</t>
  </si>
  <si>
    <t>UG-111</t>
  </si>
  <si>
    <t>Serere</t>
  </si>
  <si>
    <t>UG-232</t>
  </si>
  <si>
    <t>Sheema</t>
  </si>
  <si>
    <t>UG-426</t>
  </si>
  <si>
    <t>Sironko</t>
  </si>
  <si>
    <t>UG-215</t>
  </si>
  <si>
    <t>Soroti</t>
  </si>
  <si>
    <t>UG-211</t>
  </si>
  <si>
    <t>Tororo</t>
  </si>
  <si>
    <t>UG-212</t>
  </si>
  <si>
    <t>Wakiso</t>
  </si>
  <si>
    <t>UG-113</t>
  </si>
  <si>
    <t>UG-W</t>
  </si>
  <si>
    <t>Yumbe</t>
  </si>
  <si>
    <t>UG-313</t>
  </si>
  <si>
    <t>Zombo</t>
  </si>
  <si>
    <t>UG-330</t>
  </si>
  <si>
    <t>Cherkas’ka Oblast’</t>
  </si>
  <si>
    <t>UA-71</t>
  </si>
  <si>
    <t>Cherkaska oblast</t>
  </si>
  <si>
    <t>Chernihivs’ka Oblast’</t>
  </si>
  <si>
    <t>UA-74</t>
  </si>
  <si>
    <t>Chernihivska oblast</t>
  </si>
  <si>
    <t>Chernivets’ka Oblast’</t>
  </si>
  <si>
    <t>UA-77</t>
  </si>
  <si>
    <t>Chernivetska oblast</t>
  </si>
  <si>
    <t>Dnipropetrovs’ka Oblast’</t>
  </si>
  <si>
    <t>UA-12</t>
  </si>
  <si>
    <t>Dnipropetrovska oblast</t>
  </si>
  <si>
    <t>Donets’ka Oblast’</t>
  </si>
  <si>
    <t>UA-14</t>
  </si>
  <si>
    <t>Donetska oblast</t>
  </si>
  <si>
    <t>Ivano-Frankivs’ka Oblast’</t>
  </si>
  <si>
    <t>UA-26</t>
  </si>
  <si>
    <t>Ivano-Frankivska oblast</t>
  </si>
  <si>
    <t>Kharkivs’ka Oblast’</t>
  </si>
  <si>
    <t>UA-63</t>
  </si>
  <si>
    <t>Kharkivska oblast</t>
  </si>
  <si>
    <t>Khersons’ka Oblast’</t>
  </si>
  <si>
    <t>UA-65</t>
  </si>
  <si>
    <t>Khersonska oblast</t>
  </si>
  <si>
    <t>Khmel’nyts’ka Oblast’</t>
  </si>
  <si>
    <t>UA-68</t>
  </si>
  <si>
    <t>Khmelnytska oblast</t>
  </si>
  <si>
    <t>Kirovohrads’ka Oblast’</t>
  </si>
  <si>
    <t>UA-35</t>
  </si>
  <si>
    <t>Kirovohradska oblast</t>
  </si>
  <si>
    <t>Krym, Avtonomna Respublika</t>
  </si>
  <si>
    <t>UA-43</t>
  </si>
  <si>
    <t>Avtonomna Respublika Krym</t>
  </si>
  <si>
    <t>Kyyiv, Misto</t>
  </si>
  <si>
    <t>UA-30</t>
  </si>
  <si>
    <t>Kyiv</t>
  </si>
  <si>
    <t>Kyyivs’ka Oblast’</t>
  </si>
  <si>
    <t>UA-32</t>
  </si>
  <si>
    <t>Kyivska oblast</t>
  </si>
  <si>
    <t>Luhans’ka Oblast’</t>
  </si>
  <si>
    <t>UA-09</t>
  </si>
  <si>
    <t>Luhanska oblast</t>
  </si>
  <si>
    <t>L’vivs’ka Oblast’</t>
  </si>
  <si>
    <t>UA-46</t>
  </si>
  <si>
    <t>Lvivska oblast</t>
  </si>
  <si>
    <t>Mykolayivs’ka Oblast’</t>
  </si>
  <si>
    <t>UA-48</t>
  </si>
  <si>
    <t>Mykolaivska oblast</t>
  </si>
  <si>
    <t>Odes’ka Oblast’</t>
  </si>
  <si>
    <t>UA-51</t>
  </si>
  <si>
    <t>Odeska oblast</t>
  </si>
  <si>
    <t>Poltavs’ka Oblast’</t>
  </si>
  <si>
    <t>UA-53</t>
  </si>
  <si>
    <t>Poltavska oblast</t>
  </si>
  <si>
    <t>Rivnens’ka Oblast’</t>
  </si>
  <si>
    <t>UA-56</t>
  </si>
  <si>
    <t>Rivnenska oblast</t>
  </si>
  <si>
    <t>Sevastopol’, Misto</t>
  </si>
  <si>
    <t>UA-40</t>
  </si>
  <si>
    <t>Sevastopol</t>
  </si>
  <si>
    <t>Sums’ka Oblast’</t>
  </si>
  <si>
    <t>UA-59</t>
  </si>
  <si>
    <t>Sumska oblast</t>
  </si>
  <si>
    <t>Ternopil’s’ka Oblast’</t>
  </si>
  <si>
    <t>UA-61</t>
  </si>
  <si>
    <t>Ternopilska oblast</t>
  </si>
  <si>
    <t>Vinnyts’ka Oblast’</t>
  </si>
  <si>
    <t>UA-05</t>
  </si>
  <si>
    <t>Vinnytska oblast</t>
  </si>
  <si>
    <t>Volyns’ka Oblast’</t>
  </si>
  <si>
    <t>UA-07</t>
  </si>
  <si>
    <t>Volynska oblast</t>
  </si>
  <si>
    <t>Zakarpats’ka Oblast’</t>
  </si>
  <si>
    <t>UA-21</t>
  </si>
  <si>
    <t>Zakarpatska oblast</t>
  </si>
  <si>
    <t>Zaporiz’ka Oblast’</t>
  </si>
  <si>
    <t>UA-23</t>
  </si>
  <si>
    <t>Zaporizka oblast</t>
  </si>
  <si>
    <t>Zhytomyrs’ka Oblast’</t>
  </si>
  <si>
    <t>UA-18</t>
  </si>
  <si>
    <t>Zhytomyrska oblast</t>
  </si>
  <si>
    <t>Abū Z̧aby</t>
  </si>
  <si>
    <t>emirate</t>
  </si>
  <si>
    <t>AE-AZ</t>
  </si>
  <si>
    <t>‘Ajmān</t>
  </si>
  <si>
    <t>AE-AJ</t>
  </si>
  <si>
    <t>Al Fujayrah</t>
  </si>
  <si>
    <t>AE-FU</t>
  </si>
  <si>
    <t>Ash Shāriqah</t>
  </si>
  <si>
    <t>AE-SH</t>
  </si>
  <si>
    <t>Dubayy</t>
  </si>
  <si>
    <t>AE-DU</t>
  </si>
  <si>
    <t>Ra’s al Khaymah</t>
  </si>
  <si>
    <t>AE-RK</t>
  </si>
  <si>
    <t>Umm al Qaywayn</t>
  </si>
  <si>
    <t>AE-UQ</t>
  </si>
  <si>
    <t>Aberdeen City</t>
  </si>
  <si>
    <t>council area</t>
  </si>
  <si>
    <t>GB-ABE</t>
  </si>
  <si>
    <t>Aberdeenshire</t>
  </si>
  <si>
    <t>GB-ABD</t>
  </si>
  <si>
    <t>Angus</t>
  </si>
  <si>
    <t>GB-ANS</t>
  </si>
  <si>
    <t>Antrim and Newtownabbey</t>
  </si>
  <si>
    <t>GB-ANN</t>
  </si>
  <si>
    <t>Ards and North Down</t>
  </si>
  <si>
    <t>GB-AND</t>
  </si>
  <si>
    <t>Argyll and Bute</t>
  </si>
  <si>
    <t>GB-AGB</t>
  </si>
  <si>
    <t>Armagh, Banbridge and Craigavon</t>
  </si>
  <si>
    <t>GB-ABC</t>
  </si>
  <si>
    <t>Barking and Dagenham</t>
  </si>
  <si>
    <t>London borough</t>
  </si>
  <si>
    <t>GB-BDG</t>
  </si>
  <si>
    <t>Barnet</t>
  </si>
  <si>
    <t>GB-BNE</t>
  </si>
  <si>
    <t>Barnsley</t>
  </si>
  <si>
    <t>metropolitan district</t>
  </si>
  <si>
    <t>GB-BNS</t>
  </si>
  <si>
    <t>Bath and North East Somerset</t>
  </si>
  <si>
    <t>unitary authority</t>
  </si>
  <si>
    <t>GB-BAS</t>
  </si>
  <si>
    <t>Bedford</t>
  </si>
  <si>
    <t>GB-BDF</t>
  </si>
  <si>
    <t>Belfast</t>
  </si>
  <si>
    <t>GB-BFS</t>
  </si>
  <si>
    <t>Bexley</t>
  </si>
  <si>
    <t>GB-BEX</t>
  </si>
  <si>
    <t>Birmingham</t>
  </si>
  <si>
    <t>GB-BIR</t>
  </si>
  <si>
    <t>Blackburn with Darwen</t>
  </si>
  <si>
    <t>GB-BBD</t>
  </si>
  <si>
    <t>Blackpool</t>
  </si>
  <si>
    <t>GB-BPL</t>
  </si>
  <si>
    <t>Blaenau Gwent</t>
  </si>
  <si>
    <t>GB-BGW</t>
  </si>
  <si>
    <t>unitary authority (with official names in English and Welsh)</t>
  </si>
  <si>
    <t>Bolton</t>
  </si>
  <si>
    <t>GB-BOL</t>
  </si>
  <si>
    <t>Bournemouth</t>
  </si>
  <si>
    <t>GB-BMH</t>
  </si>
  <si>
    <t>Bracknell Forest</t>
  </si>
  <si>
    <t>GB-BRC</t>
  </si>
  <si>
    <t>Bradford</t>
  </si>
  <si>
    <t>GB-BRD</t>
  </si>
  <si>
    <t>Brent</t>
  </si>
  <si>
    <t>GB-BEN</t>
  </si>
  <si>
    <t>Bridgend</t>
  </si>
  <si>
    <t>GB-BGE</t>
  </si>
  <si>
    <t>Brighton and Hove</t>
  </si>
  <si>
    <t>GB-BNH</t>
  </si>
  <si>
    <t>Bristol, City of</t>
  </si>
  <si>
    <t>GB-BST</t>
  </si>
  <si>
    <t>Bromley</t>
  </si>
  <si>
    <t>GB-BRY</t>
  </si>
  <si>
    <t>Buckinghamshire</t>
  </si>
  <si>
    <t>GB-BKM</t>
  </si>
  <si>
    <t>two-tier county</t>
  </si>
  <si>
    <t>Bury</t>
  </si>
  <si>
    <t>GB-BUR</t>
  </si>
  <si>
    <t>Caerphilly</t>
  </si>
  <si>
    <t>GB-CAY</t>
  </si>
  <si>
    <t>Calderdale</t>
  </si>
  <si>
    <t>GB-CLD</t>
  </si>
  <si>
    <t>Cambridgeshire</t>
  </si>
  <si>
    <t>GB-CAM</t>
  </si>
  <si>
    <t>Camden</t>
  </si>
  <si>
    <t>GB-CMD</t>
  </si>
  <si>
    <t>Cardiff</t>
  </si>
  <si>
    <t>GB-CRF</t>
  </si>
  <si>
    <t>Carmarthenshire</t>
  </si>
  <si>
    <t>GB-CMN</t>
  </si>
  <si>
    <t>Causeway Coast and Glens</t>
  </si>
  <si>
    <t>GB-CCG</t>
  </si>
  <si>
    <t>Central Bedfordshire</t>
  </si>
  <si>
    <t>GB-CBF</t>
  </si>
  <si>
    <t>Ceredigion</t>
  </si>
  <si>
    <t>GB-CGN</t>
  </si>
  <si>
    <t>Cheshire East</t>
  </si>
  <si>
    <t>GB-CHE</t>
  </si>
  <si>
    <t>Cheshire West and Chester</t>
  </si>
  <si>
    <t>GB-CHW</t>
  </si>
  <si>
    <t>Clackmannanshire</t>
  </si>
  <si>
    <t>GB-CLK</t>
  </si>
  <si>
    <t>Conwy</t>
  </si>
  <si>
    <t>GB-CWY</t>
  </si>
  <si>
    <t>Cornwall</t>
  </si>
  <si>
    <t>GB-CON</t>
  </si>
  <si>
    <t>Coventry</t>
  </si>
  <si>
    <t>GB-COV</t>
  </si>
  <si>
    <t>Croydon</t>
  </si>
  <si>
    <t>GB-CRY</t>
  </si>
  <si>
    <t>Cumbria</t>
  </si>
  <si>
    <t>GB-CMA</t>
  </si>
  <si>
    <t>Darlington</t>
  </si>
  <si>
    <t>GB-DAL</t>
  </si>
  <si>
    <t>Denbighshire</t>
  </si>
  <si>
    <t>GB-DEN</t>
  </si>
  <si>
    <t>Derby</t>
  </si>
  <si>
    <t>GB-DER</t>
  </si>
  <si>
    <t>Derbyshire</t>
  </si>
  <si>
    <t>GB-DBY</t>
  </si>
  <si>
    <t>Derry and Strabane</t>
  </si>
  <si>
    <t>GB-DRS</t>
  </si>
  <si>
    <t>Devon</t>
  </si>
  <si>
    <t>GB-DEV</t>
  </si>
  <si>
    <t>Doncaster</t>
  </si>
  <si>
    <t>GB-DNC</t>
  </si>
  <si>
    <t>Dorset</t>
  </si>
  <si>
    <t>GB-DOR</t>
  </si>
  <si>
    <t>Dudley</t>
  </si>
  <si>
    <t>GB-DUD</t>
  </si>
  <si>
    <t>Dumfries and Galloway</t>
  </si>
  <si>
    <t>GB-DGY</t>
  </si>
  <si>
    <t>Dundee City</t>
  </si>
  <si>
    <t>GB-DND</t>
  </si>
  <si>
    <t>Durham</t>
  </si>
  <si>
    <t>GB-DUR</t>
  </si>
  <si>
    <t>Durham, County</t>
  </si>
  <si>
    <t>Ealing</t>
  </si>
  <si>
    <t>GB-EAL</t>
  </si>
  <si>
    <t>East Ayrshire</t>
  </si>
  <si>
    <t>GB-EAY</t>
  </si>
  <si>
    <t>East Dunbartonshire</t>
  </si>
  <si>
    <t>GB-EDU</t>
  </si>
  <si>
    <t>East Lothian</t>
  </si>
  <si>
    <t>GB-ELN</t>
  </si>
  <si>
    <t>East Renfrewshire</t>
  </si>
  <si>
    <t>GB-ERW</t>
  </si>
  <si>
    <t>East Riding of Yorkshire</t>
  </si>
  <si>
    <t>GB-ERY</t>
  </si>
  <si>
    <t>East Sussex</t>
  </si>
  <si>
    <t>GB-ESX</t>
  </si>
  <si>
    <t>Edinburgh, City of</t>
  </si>
  <si>
    <t>GB-EDH</t>
  </si>
  <si>
    <t>Eilean Siar</t>
  </si>
  <si>
    <t>GB-ELS</t>
  </si>
  <si>
    <t>Enfield</t>
  </si>
  <si>
    <t>GB-ENF</t>
  </si>
  <si>
    <t>England</t>
  </si>
  <si>
    <t>country</t>
  </si>
  <si>
    <t>GB-ENG</t>
  </si>
  <si>
    <t>Essex</t>
  </si>
  <si>
    <t>GB-ESS</t>
  </si>
  <si>
    <t>Falkirk</t>
  </si>
  <si>
    <t>GB-FAL</t>
  </si>
  <si>
    <t>Fermanagh and Omagh</t>
  </si>
  <si>
    <t>GB-FMO</t>
  </si>
  <si>
    <t>Fife</t>
  </si>
  <si>
    <t>GB-FIF</t>
  </si>
  <si>
    <t>Flintshire</t>
  </si>
  <si>
    <t>GB-FLN</t>
  </si>
  <si>
    <t>Gateshead</t>
  </si>
  <si>
    <t>GB-GAT</t>
  </si>
  <si>
    <t>Glasgow City</t>
  </si>
  <si>
    <t>GB-GLG</t>
  </si>
  <si>
    <t>Gloucestershire</t>
  </si>
  <si>
    <t>GB-GLS</t>
  </si>
  <si>
    <t>Greenwich</t>
  </si>
  <si>
    <t>GB-GRE</t>
  </si>
  <si>
    <t>Gwynedd</t>
  </si>
  <si>
    <t>GB-GWN</t>
  </si>
  <si>
    <t>Hackney</t>
  </si>
  <si>
    <t>GB-HCK</t>
  </si>
  <si>
    <t>Halton</t>
  </si>
  <si>
    <t>GB-HAL</t>
  </si>
  <si>
    <t>Hammersmith and Fulham</t>
  </si>
  <si>
    <t>GB-HMF</t>
  </si>
  <si>
    <t>Hampshire</t>
  </si>
  <si>
    <t>GB-HAM</t>
  </si>
  <si>
    <t>Haringey</t>
  </si>
  <si>
    <t>GB-HRY</t>
  </si>
  <si>
    <t>Harrow</t>
  </si>
  <si>
    <t>GB-HRW</t>
  </si>
  <si>
    <t>Hartlepool</t>
  </si>
  <si>
    <t>GB-HPL</t>
  </si>
  <si>
    <t>Havering</t>
  </si>
  <si>
    <t>GB-HAV</t>
  </si>
  <si>
    <t>Herefordshire</t>
  </si>
  <si>
    <t>GB-HEF</t>
  </si>
  <si>
    <t>Hertfordshire</t>
  </si>
  <si>
    <t>GB-HRT</t>
  </si>
  <si>
    <t>Highland</t>
  </si>
  <si>
    <t>GB-HLD</t>
  </si>
  <si>
    <t>Hillingdon</t>
  </si>
  <si>
    <t>GB-HIL</t>
  </si>
  <si>
    <t>Hounslow</t>
  </si>
  <si>
    <t>GB-HNS</t>
  </si>
  <si>
    <t>Inverclyde</t>
  </si>
  <si>
    <t>GB-IVC</t>
  </si>
  <si>
    <t>Isle of Anglesey</t>
  </si>
  <si>
    <t>GB-AGY</t>
  </si>
  <si>
    <t>Isle of Wight</t>
  </si>
  <si>
    <t>GB-IOW</t>
  </si>
  <si>
    <t>Isles of Scilly</t>
  </si>
  <si>
    <t>GB-IOS</t>
  </si>
  <si>
    <t>Islington</t>
  </si>
  <si>
    <t>GB-ISL</t>
  </si>
  <si>
    <t>Kensington and Chelsea</t>
  </si>
  <si>
    <t>GB-KEC</t>
  </si>
  <si>
    <t>Kent</t>
  </si>
  <si>
    <t>GB-KEN</t>
  </si>
  <si>
    <t>Kingston upon Hull, City of</t>
  </si>
  <si>
    <t>GB-KHL</t>
  </si>
  <si>
    <t>Kingston upon Hull</t>
  </si>
  <si>
    <t>Kingston upon Thames</t>
  </si>
  <si>
    <t>GB-KTT</t>
  </si>
  <si>
    <t>Kirklees</t>
  </si>
  <si>
    <t>GB-KIR</t>
  </si>
  <si>
    <t>Knowsley</t>
  </si>
  <si>
    <t>GB-KWL</t>
  </si>
  <si>
    <t>Lambeth</t>
  </si>
  <si>
    <t>GB-LBH</t>
  </si>
  <si>
    <t>Lancashire</t>
  </si>
  <si>
    <t>GB-LAN</t>
  </si>
  <si>
    <t>Leeds</t>
  </si>
  <si>
    <t>GB-LDS</t>
  </si>
  <si>
    <t>Leicester</t>
  </si>
  <si>
    <t>GB-LCE</t>
  </si>
  <si>
    <t>Leicestershire</t>
  </si>
  <si>
    <t>GB-LEC</t>
  </si>
  <si>
    <t>Lewisham</t>
  </si>
  <si>
    <t>GB-LEW</t>
  </si>
  <si>
    <t>Lincolnshire</t>
  </si>
  <si>
    <t>GB-LIN</t>
  </si>
  <si>
    <t>Lisburn and Castlereagh</t>
  </si>
  <si>
    <t>GB-LBC</t>
  </si>
  <si>
    <t>Liverpool</t>
  </si>
  <si>
    <t>GB-LIV</t>
  </si>
  <si>
    <t>London, City of</t>
  </si>
  <si>
    <t>city corporation</t>
  </si>
  <si>
    <t>GB-LND</t>
  </si>
  <si>
    <t>Luton</t>
  </si>
  <si>
    <t>GB-LUT</t>
  </si>
  <si>
    <t>GB-MAN</t>
  </si>
  <si>
    <t>Medway</t>
  </si>
  <si>
    <t>GB-MDW</t>
  </si>
  <si>
    <t>Merthyr Tydfil</t>
  </si>
  <si>
    <t>GB-MTY</t>
  </si>
  <si>
    <t>Merton</t>
  </si>
  <si>
    <t>GB-MRT</t>
  </si>
  <si>
    <t>Mid and East Antrim</t>
  </si>
  <si>
    <t>GB-MEA</t>
  </si>
  <si>
    <t>Middlesbrough</t>
  </si>
  <si>
    <t>GB-MDB</t>
  </si>
  <si>
    <t>Midlothian</t>
  </si>
  <si>
    <t>GB-MLN</t>
  </si>
  <si>
    <t>Mid Ulster</t>
  </si>
  <si>
    <t>GB-MUL</t>
  </si>
  <si>
    <t>Milton Keynes</t>
  </si>
  <si>
    <t>GB-MIK</t>
  </si>
  <si>
    <t>Monmouthshire</t>
  </si>
  <si>
    <t>GB-MON</t>
  </si>
  <si>
    <t>Moray</t>
  </si>
  <si>
    <t>GB-MRY</t>
  </si>
  <si>
    <t>Neath Port Talbot</t>
  </si>
  <si>
    <t>GB-NTL</t>
  </si>
  <si>
    <t>Newcastle upon Tyne</t>
  </si>
  <si>
    <t>GB-NET</t>
  </si>
  <si>
    <t>Newham</t>
  </si>
  <si>
    <t>GB-NWM</t>
  </si>
  <si>
    <t>Newport</t>
  </si>
  <si>
    <t>GB-NWP</t>
  </si>
  <si>
    <t>Newry, Mourne and Down</t>
  </si>
  <si>
    <t>GB-NMD</t>
  </si>
  <si>
    <t>Norfolk</t>
  </si>
  <si>
    <t>GB-NFK</t>
  </si>
  <si>
    <t>Northamptonshire</t>
  </si>
  <si>
    <t>GB-NTH</t>
  </si>
  <si>
    <t>North Ayrshire</t>
  </si>
  <si>
    <t>GB-NAY</t>
  </si>
  <si>
    <t>North East Lincolnshire</t>
  </si>
  <si>
    <t>GB-NEL</t>
  </si>
  <si>
    <t>Northern Ireland</t>
  </si>
  <si>
    <t>GB-NIR</t>
  </si>
  <si>
    <t>North Lanarkshire</t>
  </si>
  <si>
    <t>GB-NLK</t>
  </si>
  <si>
    <t>North Lincolnshire</t>
  </si>
  <si>
    <t>GB-NLN</t>
  </si>
  <si>
    <t>North Somerset</t>
  </si>
  <si>
    <t>GB-NSM</t>
  </si>
  <si>
    <t>North Tyneside</t>
  </si>
  <si>
    <t>GB-NTY</t>
  </si>
  <si>
    <t>Northumberland</t>
  </si>
  <si>
    <t>GB-NBL</t>
  </si>
  <si>
    <t>North Yorkshire</t>
  </si>
  <si>
    <t>GB-NYK</t>
  </si>
  <si>
    <t>Nottingham</t>
  </si>
  <si>
    <t>GB-NGM</t>
  </si>
  <si>
    <t>Nottinghamshire</t>
  </si>
  <si>
    <t>GB-NTT</t>
  </si>
  <si>
    <t>Oldham</t>
  </si>
  <si>
    <t>GB-OLD</t>
  </si>
  <si>
    <t>Orkney Islands</t>
  </si>
  <si>
    <t>GB-ORK</t>
  </si>
  <si>
    <t>Oxfordshire</t>
  </si>
  <si>
    <t>GB-OXF</t>
  </si>
  <si>
    <t>Pembrokeshire</t>
  </si>
  <si>
    <t>GB-PEM</t>
  </si>
  <si>
    <t>Perth and Kinross</t>
  </si>
  <si>
    <t>GB-PKN</t>
  </si>
  <si>
    <t>Peterborough</t>
  </si>
  <si>
    <t>GB-PTE</t>
  </si>
  <si>
    <t>Plymouth</t>
  </si>
  <si>
    <t>GB-PLY</t>
  </si>
  <si>
    <t>Poole</t>
  </si>
  <si>
    <t>GB-POL</t>
  </si>
  <si>
    <t>Portsmouth</t>
  </si>
  <si>
    <t>GB-POR</t>
  </si>
  <si>
    <t>Powys</t>
  </si>
  <si>
    <t>GB-POW</t>
  </si>
  <si>
    <t>Reading</t>
  </si>
  <si>
    <t>GB-RDG</t>
  </si>
  <si>
    <t>Redbridge</t>
  </si>
  <si>
    <t>GB-RDB</t>
  </si>
  <si>
    <t>Redcar and Cleveland</t>
  </si>
  <si>
    <t>GB-RCC</t>
  </si>
  <si>
    <t>Renfrewshire</t>
  </si>
  <si>
    <t>GB-RFW</t>
  </si>
  <si>
    <t>Rhondda Cynon Taff</t>
  </si>
  <si>
    <t>GB-RCT</t>
  </si>
  <si>
    <t>Rhondda, Cynon, Taff</t>
  </si>
  <si>
    <t>Richmond upon Thames</t>
  </si>
  <si>
    <t>GB-RIC</t>
  </si>
  <si>
    <t>Rochdale</t>
  </si>
  <si>
    <t>GB-RCH</t>
  </si>
  <si>
    <t>Rotherham</t>
  </si>
  <si>
    <t>GB-ROT</t>
  </si>
  <si>
    <t>Rutland</t>
  </si>
  <si>
    <t>GB-RUT</t>
  </si>
  <si>
    <t>Salford</t>
  </si>
  <si>
    <t>GB-SLF</t>
  </si>
  <si>
    <t>Sandwell</t>
  </si>
  <si>
    <t>GB-SAW</t>
  </si>
  <si>
    <t>Scotland</t>
  </si>
  <si>
    <t>GB-SCT</t>
  </si>
  <si>
    <t>Scottish Borders, The</t>
  </si>
  <si>
    <t>GB-SCB</t>
  </si>
  <si>
    <t>Sefton</t>
  </si>
  <si>
    <t>GB-SFT</t>
  </si>
  <si>
    <t>Sheffield</t>
  </si>
  <si>
    <t>GB-SHF</t>
  </si>
  <si>
    <t>Shetland Islands</t>
  </si>
  <si>
    <t>GB-ZET</t>
  </si>
  <si>
    <t>Shropshire</t>
  </si>
  <si>
    <t>GB-SHR</t>
  </si>
  <si>
    <t>Slough</t>
  </si>
  <si>
    <t>GB-SLG</t>
  </si>
  <si>
    <t>Solihull</t>
  </si>
  <si>
    <t>GB-SOL</t>
  </si>
  <si>
    <t>Somerset</t>
  </si>
  <si>
    <t>GB-SOM</t>
  </si>
  <si>
    <t>GB-STH</t>
  </si>
  <si>
    <t>South Ayrshire</t>
  </si>
  <si>
    <t>GB-SAY</t>
  </si>
  <si>
    <t>Southend-on-Sea</t>
  </si>
  <si>
    <t>GB-SOS</t>
  </si>
  <si>
    <t>South Gloucestershire</t>
  </si>
  <si>
    <t>GB-SGC</t>
  </si>
  <si>
    <t>South Lanarkshire</t>
  </si>
  <si>
    <t>GB-SLK</t>
  </si>
  <si>
    <t>South Tyneside</t>
  </si>
  <si>
    <t>GB-STY</t>
  </si>
  <si>
    <t>Southwark</t>
  </si>
  <si>
    <t>GB-SWK</t>
  </si>
  <si>
    <t>Staffordshire</t>
  </si>
  <si>
    <t>GB-STS</t>
  </si>
  <si>
    <t>St. Helens</t>
  </si>
  <si>
    <t>GB-SHN</t>
  </si>
  <si>
    <t>Stirling</t>
  </si>
  <si>
    <t>GB-STG</t>
  </si>
  <si>
    <t>Stockport</t>
  </si>
  <si>
    <t>GB-SKP</t>
  </si>
  <si>
    <t>Stockton-on-Tees</t>
  </si>
  <si>
    <t>GB-STT</t>
  </si>
  <si>
    <t>Stoke-on-Trent</t>
  </si>
  <si>
    <t>GB-STE</t>
  </si>
  <si>
    <t>Suffolk</t>
  </si>
  <si>
    <t>GB-SFK</t>
  </si>
  <si>
    <t>Sunderland</t>
  </si>
  <si>
    <t>GB-SND</t>
  </si>
  <si>
    <t>Surrey</t>
  </si>
  <si>
    <t>GB-SRY</t>
  </si>
  <si>
    <t>Sutton</t>
  </si>
  <si>
    <t>GB-STN</t>
  </si>
  <si>
    <t>Swansea</t>
  </si>
  <si>
    <t>GB-SWA</t>
  </si>
  <si>
    <t>Swindon</t>
  </si>
  <si>
    <t>GB-SWD</t>
  </si>
  <si>
    <t>Tameside</t>
  </si>
  <si>
    <t>GB-TAM</t>
  </si>
  <si>
    <t>Telford and Wrekin</t>
  </si>
  <si>
    <t>GB-TFW</t>
  </si>
  <si>
    <t>Thurrock</t>
  </si>
  <si>
    <t>GB-THR</t>
  </si>
  <si>
    <t>Torbay</t>
  </si>
  <si>
    <t>GB-TOB</t>
  </si>
  <si>
    <t>Torfaen</t>
  </si>
  <si>
    <t>GB-TOF</t>
  </si>
  <si>
    <t>Tower Hamlets</t>
  </si>
  <si>
    <t>GB-TWH</t>
  </si>
  <si>
    <t>Trafford</t>
  </si>
  <si>
    <t>GB-TRF</t>
  </si>
  <si>
    <t>Vale of Glamorgan, The</t>
  </si>
  <si>
    <t>GB-VGL</t>
  </si>
  <si>
    <t>Wakefield</t>
  </si>
  <si>
    <t>GB-WKF</t>
  </si>
  <si>
    <t>Wales</t>
  </si>
  <si>
    <t>GB-WLS</t>
  </si>
  <si>
    <t>Walsall</t>
  </si>
  <si>
    <t>GB-WLL</t>
  </si>
  <si>
    <t>Waltham Forest</t>
  </si>
  <si>
    <t>GB-WFT</t>
  </si>
  <si>
    <t>Wandsworth</t>
  </si>
  <si>
    <t>GB-WND</t>
  </si>
  <si>
    <t>Warrington</t>
  </si>
  <si>
    <t>GB-WRT</t>
  </si>
  <si>
    <t>Warwickshire</t>
  </si>
  <si>
    <t>GB-WAR</t>
  </si>
  <si>
    <t>West Berkshire</t>
  </si>
  <si>
    <t>GB-WBK</t>
  </si>
  <si>
    <t>West Dunbartonshire</t>
  </si>
  <si>
    <t>GB-WDU</t>
  </si>
  <si>
    <t>West Lothian</t>
  </si>
  <si>
    <t>GB-WLN</t>
  </si>
  <si>
    <t>Westminster</t>
  </si>
  <si>
    <t>GB-WSM</t>
  </si>
  <si>
    <t>West Sussex</t>
  </si>
  <si>
    <t>GB-WSX</t>
  </si>
  <si>
    <t>Wigan</t>
  </si>
  <si>
    <t>GB-WGN</t>
  </si>
  <si>
    <t>Wiltshire</t>
  </si>
  <si>
    <t>GB-WIL</t>
  </si>
  <si>
    <t>Windsor and Maidenhead</t>
  </si>
  <si>
    <t>GB-WNM</t>
  </si>
  <si>
    <t>Wirral</t>
  </si>
  <si>
    <t>GB-WRL</t>
  </si>
  <si>
    <t>Wokingham</t>
  </si>
  <si>
    <t>GB-WOK</t>
  </si>
  <si>
    <t>Wolverhampton</t>
  </si>
  <si>
    <t>GB-WLV</t>
  </si>
  <si>
    <t>Worcestershire</t>
  </si>
  <si>
    <t>GB-WOR</t>
  </si>
  <si>
    <t>Wrexham</t>
  </si>
  <si>
    <t>GB-WRX</t>
  </si>
  <si>
    <t>York</t>
  </si>
  <si>
    <t>GB-YOR</t>
  </si>
  <si>
    <t>Alabama</t>
  </si>
  <si>
    <t>US-AL</t>
  </si>
  <si>
    <t>Alaska</t>
  </si>
  <si>
    <t>US-AK</t>
  </si>
  <si>
    <t>Arizona</t>
  </si>
  <si>
    <t>US-AZ</t>
  </si>
  <si>
    <t>Arkansas</t>
  </si>
  <si>
    <t>US-AR</t>
  </si>
  <si>
    <t>California</t>
  </si>
  <si>
    <t>US-CA</t>
  </si>
  <si>
    <t>Colorado</t>
  </si>
  <si>
    <t>US-CO</t>
  </si>
  <si>
    <t>Connecticut</t>
  </si>
  <si>
    <t>US-CT</t>
  </si>
  <si>
    <t>Delaware</t>
  </si>
  <si>
    <t>US-DE</t>
  </si>
  <si>
    <t>District of Columbia</t>
  </si>
  <si>
    <t>US-DC</t>
  </si>
  <si>
    <t>Florida</t>
  </si>
  <si>
    <t>US-FL</t>
  </si>
  <si>
    <t>Georgia</t>
  </si>
  <si>
    <t>US-GA</t>
  </si>
  <si>
    <t>Hawaii</t>
  </si>
  <si>
    <t>US-HI</t>
  </si>
  <si>
    <t>Idaho</t>
  </si>
  <si>
    <t>US-ID</t>
  </si>
  <si>
    <t>Illinois</t>
  </si>
  <si>
    <t>US-IL</t>
  </si>
  <si>
    <t>Indiana</t>
  </si>
  <si>
    <t>US-IN</t>
  </si>
  <si>
    <t>Iowa</t>
  </si>
  <si>
    <t>US-IA</t>
  </si>
  <si>
    <t>Kansas</t>
  </si>
  <si>
    <t>US-KS</t>
  </si>
  <si>
    <t>Kentucky</t>
  </si>
  <si>
    <t>US-KY</t>
  </si>
  <si>
    <t>Louisiana</t>
  </si>
  <si>
    <t>US-LA</t>
  </si>
  <si>
    <t>Maine</t>
  </si>
  <si>
    <t>US-ME</t>
  </si>
  <si>
    <t>US-MD</t>
  </si>
  <si>
    <t>Massachusetts</t>
  </si>
  <si>
    <t>US-MA</t>
  </si>
  <si>
    <t>Michigan</t>
  </si>
  <si>
    <t>US-MI</t>
  </si>
  <si>
    <t>Minnesota</t>
  </si>
  <si>
    <t>US-MN</t>
  </si>
  <si>
    <t>Mississippi</t>
  </si>
  <si>
    <t>US-MS</t>
  </si>
  <si>
    <t>Missouri</t>
  </si>
  <si>
    <t>US-MO</t>
  </si>
  <si>
    <t>US-MT</t>
  </si>
  <si>
    <t>Nebraska</t>
  </si>
  <si>
    <t>US-NE</t>
  </si>
  <si>
    <t>Nevada</t>
  </si>
  <si>
    <t>US-NV</t>
  </si>
  <si>
    <t>New Hampshire</t>
  </si>
  <si>
    <t>US-NH</t>
  </si>
  <si>
    <t>New Jersey</t>
  </si>
  <si>
    <t>US-NJ</t>
  </si>
  <si>
    <t>New Mexico</t>
  </si>
  <si>
    <t>US-NM</t>
  </si>
  <si>
    <t>New York</t>
  </si>
  <si>
    <t>US-NY</t>
  </si>
  <si>
    <t>North Carolina</t>
  </si>
  <si>
    <t>US-NC</t>
  </si>
  <si>
    <t>North Dakota</t>
  </si>
  <si>
    <t>US-ND</t>
  </si>
  <si>
    <t>Ohio</t>
  </si>
  <si>
    <t>US-OH</t>
  </si>
  <si>
    <t>Oklahoma</t>
  </si>
  <si>
    <t>US-OK</t>
  </si>
  <si>
    <t>Oregon</t>
  </si>
  <si>
    <t>US-OR</t>
  </si>
  <si>
    <t>Pennsylvania</t>
  </si>
  <si>
    <t>US-PA</t>
  </si>
  <si>
    <t>Rhode Island</t>
  </si>
  <si>
    <t>US-RI</t>
  </si>
  <si>
    <t>South Carolina</t>
  </si>
  <si>
    <t>US-SC</t>
  </si>
  <si>
    <t>South Dakota</t>
  </si>
  <si>
    <t>US-SD</t>
  </si>
  <si>
    <t>Tennessee</t>
  </si>
  <si>
    <t>US-TN</t>
  </si>
  <si>
    <t>Texas</t>
  </si>
  <si>
    <t>US-TX</t>
  </si>
  <si>
    <t>Utah</t>
  </si>
  <si>
    <t>US-UT</t>
  </si>
  <si>
    <t>Vermont</t>
  </si>
  <si>
    <t>US-VT</t>
  </si>
  <si>
    <t>Virginia</t>
  </si>
  <si>
    <t>US-VA</t>
  </si>
  <si>
    <t>Washington</t>
  </si>
  <si>
    <t>US-WA</t>
  </si>
  <si>
    <t>West Virginia</t>
  </si>
  <si>
    <t>US-WV</t>
  </si>
  <si>
    <t>Wisconsin</t>
  </si>
  <si>
    <t>US-WI</t>
  </si>
  <si>
    <t>Wyoming</t>
  </si>
  <si>
    <t>US-WY</t>
  </si>
  <si>
    <t>Artigas</t>
  </si>
  <si>
    <t>UY-AR</t>
  </si>
  <si>
    <t>Canelones</t>
  </si>
  <si>
    <t>UY-CA</t>
  </si>
  <si>
    <t>Cerro Largo</t>
  </si>
  <si>
    <t>UY-CL</t>
  </si>
  <si>
    <t>Colonia</t>
  </si>
  <si>
    <t>UY-CO</t>
  </si>
  <si>
    <t>Durazno</t>
  </si>
  <si>
    <t>UY-DU</t>
  </si>
  <si>
    <t>Flores</t>
  </si>
  <si>
    <t>UY-FS</t>
  </si>
  <si>
    <t>UY-FD</t>
  </si>
  <si>
    <t>Lavalleja</t>
  </si>
  <si>
    <t>UY-LA</t>
  </si>
  <si>
    <t>Maldonado</t>
  </si>
  <si>
    <t>UY-MA</t>
  </si>
  <si>
    <t>Montevideo</t>
  </si>
  <si>
    <t>UY-MO</t>
  </si>
  <si>
    <t>Paysandú</t>
  </si>
  <si>
    <t>UY-PA</t>
  </si>
  <si>
    <t>UY-RN</t>
  </si>
  <si>
    <t>Rivera</t>
  </si>
  <si>
    <t>UY-RV</t>
  </si>
  <si>
    <t>Rocha</t>
  </si>
  <si>
    <t>UY-RO</t>
  </si>
  <si>
    <t>Salto</t>
  </si>
  <si>
    <t>UY-SA</t>
  </si>
  <si>
    <t>UY-SJ</t>
  </si>
  <si>
    <t>Soriano</t>
  </si>
  <si>
    <t>UY-SO</t>
  </si>
  <si>
    <t>Tacuarembó</t>
  </si>
  <si>
    <t>UY-TA</t>
  </si>
  <si>
    <t>Treinta y Tres</t>
  </si>
  <si>
    <t>UY-TT</t>
  </si>
  <si>
    <t>Andijon</t>
  </si>
  <si>
    <t>UZ-AN</t>
  </si>
  <si>
    <t>Buxoro</t>
  </si>
  <si>
    <t>UZ-BU</t>
  </si>
  <si>
    <t>Farg‘ona</t>
  </si>
  <si>
    <t>UZ-FA</t>
  </si>
  <si>
    <t>Jizzax</t>
  </si>
  <si>
    <t>UZ-JI</t>
  </si>
  <si>
    <t>Namangan</t>
  </si>
  <si>
    <t>UZ-NG</t>
  </si>
  <si>
    <t>Navoiy</t>
  </si>
  <si>
    <t>UZ-NW</t>
  </si>
  <si>
    <t>Qashqadaryo</t>
  </si>
  <si>
    <t>UZ-QA</t>
  </si>
  <si>
    <t>Qoraqalpog‘iston</t>
  </si>
  <si>
    <t>UZ-QR</t>
  </si>
  <si>
    <t>Qoraqalpog‘iston Respublikasi</t>
  </si>
  <si>
    <t>Samarqand</t>
  </si>
  <si>
    <t>UZ-SA</t>
  </si>
  <si>
    <t>Sirdaryo</t>
  </si>
  <si>
    <t>UZ-SI</t>
  </si>
  <si>
    <t>Surxondaryo</t>
  </si>
  <si>
    <t>UZ-SU</t>
  </si>
  <si>
    <t>Toshkent</t>
  </si>
  <si>
    <t>UZ-TK</t>
  </si>
  <si>
    <t>UZ-TO</t>
  </si>
  <si>
    <t>Xorazm</t>
  </si>
  <si>
    <t>UZ-XO</t>
  </si>
  <si>
    <t>Malampa</t>
  </si>
  <si>
    <t>VU-MAP</t>
  </si>
  <si>
    <t>Penama</t>
  </si>
  <si>
    <t>VU-PAM</t>
  </si>
  <si>
    <t>Pénama</t>
  </si>
  <si>
    <t>Sanma</t>
  </si>
  <si>
    <t>VU-SAM</t>
  </si>
  <si>
    <t>Shefa</t>
  </si>
  <si>
    <t>VU-SEE</t>
  </si>
  <si>
    <t>Shéfa</t>
  </si>
  <si>
    <t>Tafea</t>
  </si>
  <si>
    <t>VU-TAE</t>
  </si>
  <si>
    <t>Taféa</t>
  </si>
  <si>
    <t>Torba</t>
  </si>
  <si>
    <t>VU-TOB</t>
  </si>
  <si>
    <t>VE-Z</t>
  </si>
  <si>
    <t>Anzoátegui</t>
  </si>
  <si>
    <t>VE-B</t>
  </si>
  <si>
    <t>Apure</t>
  </si>
  <si>
    <t>VE-C</t>
  </si>
  <si>
    <t>Aragua</t>
  </si>
  <si>
    <t>VE-D</t>
  </si>
  <si>
    <t>Barinas</t>
  </si>
  <si>
    <t>VE-E</t>
  </si>
  <si>
    <t>VE-F</t>
  </si>
  <si>
    <t>Carabobo</t>
  </si>
  <si>
    <t>VE-G</t>
  </si>
  <si>
    <t>Cojedes</t>
  </si>
  <si>
    <t>VE-H</t>
  </si>
  <si>
    <t>Delta Amacuro</t>
  </si>
  <si>
    <t>VE-Y</t>
  </si>
  <si>
    <t>Dependencias Federales</t>
  </si>
  <si>
    <t>federal dependency</t>
  </si>
  <si>
    <t>VE-W</t>
  </si>
  <si>
    <t>Federal dependency</t>
  </si>
  <si>
    <t>Distrito Capital</t>
  </si>
  <si>
    <t>VE-A</t>
  </si>
  <si>
    <t>Falcón</t>
  </si>
  <si>
    <t>VE-I</t>
  </si>
  <si>
    <t>Guárico</t>
  </si>
  <si>
    <t>VE-J</t>
  </si>
  <si>
    <t>Lara</t>
  </si>
  <si>
    <t>VE-K</t>
  </si>
  <si>
    <t>Mérida</t>
  </si>
  <si>
    <t>VE-L</t>
  </si>
  <si>
    <t>Miranda</t>
  </si>
  <si>
    <t>VE-M</t>
  </si>
  <si>
    <t>Monagas</t>
  </si>
  <si>
    <t>VE-N</t>
  </si>
  <si>
    <t>Nueva Esparta</t>
  </si>
  <si>
    <t>VE-O</t>
  </si>
  <si>
    <t>Portuguesa</t>
  </si>
  <si>
    <t>VE-P</t>
  </si>
  <si>
    <t>VE-R</t>
  </si>
  <si>
    <t>Táchira</t>
  </si>
  <si>
    <t>VE-S</t>
  </si>
  <si>
    <t>Trujillo</t>
  </si>
  <si>
    <t>VE-T</t>
  </si>
  <si>
    <t>Vargas</t>
  </si>
  <si>
    <t>VE-X</t>
  </si>
  <si>
    <t>Yaracuy</t>
  </si>
  <si>
    <t>VE-U</t>
  </si>
  <si>
    <t>Zulia</t>
  </si>
  <si>
    <t>VE-V</t>
  </si>
  <si>
    <t>An Giang</t>
  </si>
  <si>
    <t>VN-44</t>
  </si>
  <si>
    <t>Bắc Giang</t>
  </si>
  <si>
    <t>VN-54</t>
  </si>
  <si>
    <t>Bắc Kạn</t>
  </si>
  <si>
    <t>VN-53</t>
  </si>
  <si>
    <t>Bạc Liêu</t>
  </si>
  <si>
    <t>VN-55</t>
  </si>
  <si>
    <t>Bắc Ninh</t>
  </si>
  <si>
    <t>VN-56</t>
  </si>
  <si>
    <t>Bà Rịa-Vũng Tàu</t>
  </si>
  <si>
    <t>VN-43</t>
  </si>
  <si>
    <t>Bà Rịa - Vũng Tàu</t>
  </si>
  <si>
    <t>Bến Tre</t>
  </si>
  <si>
    <t>VN-50</t>
  </si>
  <si>
    <t>Bình Định</t>
  </si>
  <si>
    <t>VN-31</t>
  </si>
  <si>
    <t>Bình Dương</t>
  </si>
  <si>
    <t>VN-57</t>
  </si>
  <si>
    <t>Bình Phước</t>
  </si>
  <si>
    <t>VN-58</t>
  </si>
  <si>
    <t>Bình Thuận</t>
  </si>
  <si>
    <t>VN-40</t>
  </si>
  <si>
    <t>Cà Mau</t>
  </si>
  <si>
    <t>VN-59</t>
  </si>
  <si>
    <t>Cần Thơ</t>
  </si>
  <si>
    <t>VN-CT</t>
  </si>
  <si>
    <t>Can Tho</t>
  </si>
  <si>
    <t>Cao Bằng</t>
  </si>
  <si>
    <t>VN-04</t>
  </si>
  <si>
    <t>Đắk Lắk</t>
  </si>
  <si>
    <t>VN-33</t>
  </si>
  <si>
    <t>Đắk Nông</t>
  </si>
  <si>
    <t>VN-72</t>
  </si>
  <si>
    <t>Đà Nẵng</t>
  </si>
  <si>
    <t>VN-DN</t>
  </si>
  <si>
    <t>Da Nang</t>
  </si>
  <si>
    <t>Điện Biên</t>
  </si>
  <si>
    <t>VN-71</t>
  </si>
  <si>
    <t>Đồng Nai</t>
  </si>
  <si>
    <t>VN-39</t>
  </si>
  <si>
    <t>Ðồng Nai</t>
  </si>
  <si>
    <t>Đồng Tháp</t>
  </si>
  <si>
    <t>VN-45</t>
  </si>
  <si>
    <t>Ðồng Tháp</t>
  </si>
  <si>
    <t>Gia Lai</t>
  </si>
  <si>
    <t>VN-30</t>
  </si>
  <si>
    <t>Hà Giang</t>
  </si>
  <si>
    <t>VN-03</t>
  </si>
  <si>
    <t>Hải Dương</t>
  </si>
  <si>
    <t>VN-61</t>
  </si>
  <si>
    <t>Hải Phòng</t>
  </si>
  <si>
    <t>VN-HP</t>
  </si>
  <si>
    <t>Hai Phong</t>
  </si>
  <si>
    <t>Hà Nam</t>
  </si>
  <si>
    <t>VN-63</t>
  </si>
  <si>
    <t>Hà Nội</t>
  </si>
  <si>
    <t>VN-HN</t>
  </si>
  <si>
    <t>Ha Noi</t>
  </si>
  <si>
    <t>Hà Tĩnh</t>
  </si>
  <si>
    <t>VN-23</t>
  </si>
  <si>
    <t>Hậu Giang</t>
  </si>
  <si>
    <t>VN-73</t>
  </si>
  <si>
    <t>Hòa Bình</t>
  </si>
  <si>
    <t>VN-14</t>
  </si>
  <si>
    <t>Hồ Chí Minh</t>
  </si>
  <si>
    <t>VN-SG</t>
  </si>
  <si>
    <t>Ho Chi Minh</t>
  </si>
  <si>
    <t>Hưng Yên</t>
  </si>
  <si>
    <t>VN-66</t>
  </si>
  <si>
    <t>Khánh Hòa</t>
  </si>
  <si>
    <t>VN-34</t>
  </si>
  <si>
    <t>Kiến Giang</t>
  </si>
  <si>
    <t>VN-47</t>
  </si>
  <si>
    <t>Kon Tum</t>
  </si>
  <si>
    <t>VN-28</t>
  </si>
  <si>
    <t>Lai Châu</t>
  </si>
  <si>
    <t>VN-01</t>
  </si>
  <si>
    <t>Lâm Đồng</t>
  </si>
  <si>
    <t>VN-35</t>
  </si>
  <si>
    <t>Lâm Ðồng</t>
  </si>
  <si>
    <t>Lạng Sơn</t>
  </si>
  <si>
    <t>VN-09</t>
  </si>
  <si>
    <t>Lào Cai</t>
  </si>
  <si>
    <t>VN-02</t>
  </si>
  <si>
    <t>Long An</t>
  </si>
  <si>
    <t>VN-41</t>
  </si>
  <si>
    <t>Nam Định</t>
  </si>
  <si>
    <t>VN-67</t>
  </si>
  <si>
    <t>Nam Ðịnh</t>
  </si>
  <si>
    <t>Nghệ An</t>
  </si>
  <si>
    <t>VN-22</t>
  </si>
  <si>
    <t>Ninh Bình</t>
  </si>
  <si>
    <t>VN-18</t>
  </si>
  <si>
    <t>Ninh Thuận</t>
  </si>
  <si>
    <t>VN-36</t>
  </si>
  <si>
    <t>Phú Thọ</t>
  </si>
  <si>
    <t>VN-68</t>
  </si>
  <si>
    <t>Phú Yên</t>
  </si>
  <si>
    <t>VN-32</t>
  </si>
  <si>
    <t>Quảng Bình</t>
  </si>
  <si>
    <t>VN-24</t>
  </si>
  <si>
    <t>Quảng Nam</t>
  </si>
  <si>
    <t>VN-27</t>
  </si>
  <si>
    <t>Quảng Ngãi</t>
  </si>
  <si>
    <t>VN-29</t>
  </si>
  <si>
    <t>Quảng Ninh</t>
  </si>
  <si>
    <t>VN-13</t>
  </si>
  <si>
    <t>Quảng Trị</t>
  </si>
  <si>
    <t>VN-25</t>
  </si>
  <si>
    <t>Sóc Trăng</t>
  </si>
  <si>
    <t>VN-52</t>
  </si>
  <si>
    <t>Sơn La</t>
  </si>
  <si>
    <t>VN-05</t>
  </si>
  <si>
    <t>Tây Ninh</t>
  </si>
  <si>
    <t>VN-37</t>
  </si>
  <si>
    <t>Thái Bình</t>
  </si>
  <si>
    <t>VN-20</t>
  </si>
  <si>
    <t>Thái Nguyên</t>
  </si>
  <si>
    <t>VN-69</t>
  </si>
  <si>
    <t>Thanh Hóa</t>
  </si>
  <si>
    <t>VN-21</t>
  </si>
  <si>
    <t>Thừa Thiên-Huế</t>
  </si>
  <si>
    <t>VN-26</t>
  </si>
  <si>
    <t>Tiền Giang</t>
  </si>
  <si>
    <t>VN-46</t>
  </si>
  <si>
    <t>Trà Vinh</t>
  </si>
  <si>
    <t>VN-51</t>
  </si>
  <si>
    <t>Tuyên Quang</t>
  </si>
  <si>
    <t>VN-07</t>
  </si>
  <si>
    <t>Vĩnh Long</t>
  </si>
  <si>
    <t>VN-49</t>
  </si>
  <si>
    <t>Vĩnh Phúc</t>
  </si>
  <si>
    <t>VN-70</t>
  </si>
  <si>
    <t>Yên Bái</t>
  </si>
  <si>
    <t>VN-06</t>
  </si>
  <si>
    <t>Alo</t>
  </si>
  <si>
    <t>administrative precinct</t>
  </si>
  <si>
    <t>WF-AL</t>
  </si>
  <si>
    <t>Sigave</t>
  </si>
  <si>
    <t>WF-SG</t>
  </si>
  <si>
    <t>Uvea</t>
  </si>
  <si>
    <t>WF-UV</t>
  </si>
  <si>
    <t>Abyan</t>
  </si>
  <si>
    <t>YE-AB</t>
  </si>
  <si>
    <t>‘Adan</t>
  </si>
  <si>
    <t>YE-AD</t>
  </si>
  <si>
    <t>Aḑ Ḑāli‘</t>
  </si>
  <si>
    <t>YE-DA</t>
  </si>
  <si>
    <t>Al Bayḑā’</t>
  </si>
  <si>
    <t>YE-BA</t>
  </si>
  <si>
    <t>Al Ḩudaydah</t>
  </si>
  <si>
    <t>YE-HU</t>
  </si>
  <si>
    <t>YE-JA</t>
  </si>
  <si>
    <t>Al Mahrah</t>
  </si>
  <si>
    <t>YE-MR</t>
  </si>
  <si>
    <t>Al Maḩwīt</t>
  </si>
  <si>
    <t>YE-MW</t>
  </si>
  <si>
    <t>Amānat al ‘Āşimah</t>
  </si>
  <si>
    <t>YE-SA</t>
  </si>
  <si>
    <t>‘Amrān</t>
  </si>
  <si>
    <t>YE-AM</t>
  </si>
  <si>
    <t>Arkhabīl Suquţrá</t>
  </si>
  <si>
    <t>YE-SU</t>
  </si>
  <si>
    <t>Dhamār</t>
  </si>
  <si>
    <t>YE-DH</t>
  </si>
  <si>
    <t>Ḩaḑramawt</t>
  </si>
  <si>
    <t>YE-HD</t>
  </si>
  <si>
    <t>Ḩajjah</t>
  </si>
  <si>
    <t>YE-HJ</t>
  </si>
  <si>
    <t>Ibb</t>
  </si>
  <si>
    <t>YE-IB</t>
  </si>
  <si>
    <t>Laḩij</t>
  </si>
  <si>
    <t>YE-LA</t>
  </si>
  <si>
    <t>Ma’rib</t>
  </si>
  <si>
    <t>YE-MA</t>
  </si>
  <si>
    <t>Raymah</t>
  </si>
  <si>
    <t>YE-RA</t>
  </si>
  <si>
    <t>Şa‘dah</t>
  </si>
  <si>
    <t>YE-SD</t>
  </si>
  <si>
    <t>Şā‘dah</t>
  </si>
  <si>
    <t>Şan‘ā’</t>
  </si>
  <si>
    <t>YE-SN</t>
  </si>
  <si>
    <t>Şanʻā’</t>
  </si>
  <si>
    <t>Shabwah</t>
  </si>
  <si>
    <t>YE-SH</t>
  </si>
  <si>
    <t>Ta‘izz</t>
  </si>
  <si>
    <t>YE-TA</t>
  </si>
  <si>
    <t>Tā‘izz</t>
  </si>
  <si>
    <t>ZM-02</t>
  </si>
  <si>
    <t>Copperbelt</t>
  </si>
  <si>
    <t>ZM-08</t>
  </si>
  <si>
    <t>ZM-03</t>
  </si>
  <si>
    <t>Luapula</t>
  </si>
  <si>
    <t>ZM-04</t>
  </si>
  <si>
    <t>Lusaka</t>
  </si>
  <si>
    <t>ZM-09</t>
  </si>
  <si>
    <t>Muchinga</t>
  </si>
  <si>
    <t>ZM-10</t>
  </si>
  <si>
    <t>ZM-05</t>
  </si>
  <si>
    <t>North-Western</t>
  </si>
  <si>
    <t>ZM-06</t>
  </si>
  <si>
    <t>ZM-07</t>
  </si>
  <si>
    <t>ZM-01</t>
  </si>
  <si>
    <t>Bulawayo</t>
  </si>
  <si>
    <t>ZW-BU</t>
  </si>
  <si>
    <t>Harare</t>
  </si>
  <si>
    <t>ZW-HA</t>
  </si>
  <si>
    <t>Manicaland</t>
  </si>
  <si>
    <t>ZW-MA</t>
  </si>
  <si>
    <t>Mashonaland Central</t>
  </si>
  <si>
    <t>ZW-MC</t>
  </si>
  <si>
    <t>Mashonaland East</t>
  </si>
  <si>
    <t>ZW-ME</t>
  </si>
  <si>
    <t>Mashonaland West</t>
  </si>
  <si>
    <t>ZW-MW</t>
  </si>
  <si>
    <t>Masvingo</t>
  </si>
  <si>
    <t>ZW-MV</t>
  </si>
  <si>
    <t>Matabeleland North</t>
  </si>
  <si>
    <t>ZW-MN</t>
  </si>
  <si>
    <t>Matabeleland South</t>
  </si>
  <si>
    <t>ZW-MS</t>
  </si>
  <si>
    <t>Midlands</t>
  </si>
  <si>
    <t>ZW-MI</t>
  </si>
  <si>
    <t>special administrative region</t>
  </si>
  <si>
    <t>Taiwan</t>
  </si>
  <si>
    <t>CN-71</t>
  </si>
  <si>
    <t>overseas department</t>
  </si>
  <si>
    <t>overseas region</t>
  </si>
  <si>
    <t>overseas territorial collectivity</t>
  </si>
  <si>
    <t>IE-D</t>
  </si>
  <si>
    <t>IE-LK</t>
  </si>
  <si>
    <t>IE-WD</t>
  </si>
  <si>
    <t>Bayqongyr</t>
  </si>
  <si>
    <t>KZ-BAY</t>
  </si>
  <si>
    <t>Gilbert Islands</t>
  </si>
  <si>
    <t>group of islands</t>
  </si>
  <si>
    <t>KI-G</t>
  </si>
  <si>
    <t>Line Islands</t>
  </si>
  <si>
    <t>KI-L</t>
  </si>
  <si>
    <t>Phoenix Islands</t>
  </si>
  <si>
    <t>KI-P</t>
  </si>
  <si>
    <t>Agadir-Ida-Outanane</t>
  </si>
  <si>
    <t>MA-AGD</t>
  </si>
  <si>
    <t>Al Haouz</t>
  </si>
  <si>
    <t>MA-HAO</t>
  </si>
  <si>
    <t>Al Hoceïma</t>
  </si>
  <si>
    <t>MA-HOC</t>
  </si>
  <si>
    <t>Aousserd</t>
  </si>
  <si>
    <t>MA-AOU</t>
  </si>
  <si>
    <t>Assa-Zag</t>
  </si>
  <si>
    <t>MA-ASZ</t>
  </si>
  <si>
    <t>Azilal</t>
  </si>
  <si>
    <t>MA-AZI</t>
  </si>
  <si>
    <t>Beni Mellal</t>
  </si>
  <si>
    <t>MA-BEM</t>
  </si>
  <si>
    <t>Ben Slimane</t>
  </si>
  <si>
    <t>MA-BES</t>
  </si>
  <si>
    <t>Berkane</t>
  </si>
  <si>
    <t>MA-BER</t>
  </si>
  <si>
    <t>Boujdour</t>
  </si>
  <si>
    <t>MA-BOD</t>
  </si>
  <si>
    <t>Boulemane</t>
  </si>
  <si>
    <t>MA-BOM</t>
  </si>
  <si>
    <t>Casablanca</t>
  </si>
  <si>
    <t>MA-CAS</t>
  </si>
  <si>
    <t>Chaouia-Ouardigha</t>
  </si>
  <si>
    <t>MA-09</t>
  </si>
  <si>
    <t>Chefchaouen</t>
  </si>
  <si>
    <t>MA-CHE</t>
  </si>
  <si>
    <t>Chichaoua</t>
  </si>
  <si>
    <t>MA-CHI</t>
  </si>
  <si>
    <t>Chtouka-Ait Baha</t>
  </si>
  <si>
    <t>MA-CHT</t>
  </si>
  <si>
    <t>Doukkala-Abda</t>
  </si>
  <si>
    <t>MA-10</t>
  </si>
  <si>
    <t>El Hajeb</t>
  </si>
  <si>
    <t>MA-HAJ</t>
  </si>
  <si>
    <t>El Jadida</t>
  </si>
  <si>
    <t>MA-JDI</t>
  </si>
  <si>
    <t>Errachidia</t>
  </si>
  <si>
    <t>MA-ERR</t>
  </si>
  <si>
    <t>Essaouira</t>
  </si>
  <si>
    <t>MA-ESI</t>
  </si>
  <si>
    <t>Es Smara</t>
  </si>
  <si>
    <t>MA-ESM</t>
  </si>
  <si>
    <t>Fahs-Beni Makada</t>
  </si>
  <si>
    <t>MA-FAH</t>
  </si>
  <si>
    <t>Fès-Boulemane</t>
  </si>
  <si>
    <t>MA-05</t>
  </si>
  <si>
    <t>Fès-Dar-Dbibegh</t>
  </si>
  <si>
    <t>MA-FES</t>
  </si>
  <si>
    <t>Figuig</t>
  </si>
  <si>
    <t>MA-FIG</t>
  </si>
  <si>
    <t>Gharb-Chrarda-Beni Hssen</t>
  </si>
  <si>
    <t>MA-02</t>
  </si>
  <si>
    <t>Grand Casablanca</t>
  </si>
  <si>
    <t>MA-08</t>
  </si>
  <si>
    <t>Guelmim</t>
  </si>
  <si>
    <t>MA-GUE</t>
  </si>
  <si>
    <t>Guelmim‐Es Semara</t>
  </si>
  <si>
    <t>MA-14</t>
  </si>
  <si>
    <t>Ifrane</t>
  </si>
  <si>
    <t>MA-IFR</t>
  </si>
  <si>
    <t>Inezgane-Ait Melloul</t>
  </si>
  <si>
    <t>MA-INE</t>
  </si>
  <si>
    <t>Jrada</t>
  </si>
  <si>
    <t>MA-JRA</t>
  </si>
  <si>
    <t>Kelaat es Sraghna</t>
  </si>
  <si>
    <t>MA-KES</t>
  </si>
  <si>
    <t>Kénitra</t>
  </si>
  <si>
    <t>MA-KEN</t>
  </si>
  <si>
    <t>Khemisset</t>
  </si>
  <si>
    <t>MA-KHE</t>
  </si>
  <si>
    <t>Khenifra</t>
  </si>
  <si>
    <t>MA-KHN</t>
  </si>
  <si>
    <t>Khouribga</t>
  </si>
  <si>
    <t>MA-KHO</t>
  </si>
  <si>
    <t>Laâyoune</t>
  </si>
  <si>
    <t>MA-LAA</t>
  </si>
  <si>
    <t>Laâyoune-Boujdour-Sakia el Hamra</t>
  </si>
  <si>
    <t>MA-15</t>
  </si>
  <si>
    <t>Larache</t>
  </si>
  <si>
    <t>MA-LAR</t>
  </si>
  <si>
    <t>L'Oriental</t>
  </si>
  <si>
    <t>MA-04</t>
  </si>
  <si>
    <t>Marrakech-Medina</t>
  </si>
  <si>
    <t>MA-MMD</t>
  </si>
  <si>
    <t>Marrakech-Menara</t>
  </si>
  <si>
    <t>MA-MMN</t>
  </si>
  <si>
    <t>Marrakech-Tensift-Al Haouz</t>
  </si>
  <si>
    <t>MA-11</t>
  </si>
  <si>
    <t>Médiouna</t>
  </si>
  <si>
    <t>MA-MED</t>
  </si>
  <si>
    <t>Meknès</t>
  </si>
  <si>
    <t>MA-MEK</t>
  </si>
  <si>
    <t>Meknès-Tafilalet</t>
  </si>
  <si>
    <t>MA-06</t>
  </si>
  <si>
    <t>Mohammadia</t>
  </si>
  <si>
    <t>MA-MOH</t>
  </si>
  <si>
    <t>Moulay Yacoub</t>
  </si>
  <si>
    <t>MA-MOU</t>
  </si>
  <si>
    <t>Nador</t>
  </si>
  <si>
    <t>MA-NAD</t>
  </si>
  <si>
    <t>Nouaceur</t>
  </si>
  <si>
    <t>MA-NOU</t>
  </si>
  <si>
    <t>Ouarzazate</t>
  </si>
  <si>
    <t>MA-OUA</t>
  </si>
  <si>
    <t>Oued ed Dahab</t>
  </si>
  <si>
    <t>MA-OUD</t>
  </si>
  <si>
    <t>Oued ed Dahab-Lagouira</t>
  </si>
  <si>
    <t>MA-16</t>
  </si>
  <si>
    <t>Oujda-Angad</t>
  </si>
  <si>
    <t>MA-OUJ</t>
  </si>
  <si>
    <t>MA-RAB</t>
  </si>
  <si>
    <t>Rabat-Salé-Zemmour-Zaer</t>
  </si>
  <si>
    <t>MA-07</t>
  </si>
  <si>
    <t>MA-SAF</t>
  </si>
  <si>
    <t>Salé</t>
  </si>
  <si>
    <t>MA-SAL</t>
  </si>
  <si>
    <t>Sefrou</t>
  </si>
  <si>
    <t>MA-SEF</t>
  </si>
  <si>
    <t>Settat</t>
  </si>
  <si>
    <t>MA-SET</t>
  </si>
  <si>
    <t>Sidi Kacem</t>
  </si>
  <si>
    <t>MA-SIK</t>
  </si>
  <si>
    <t>Sidi Youssef Ben Ali</t>
  </si>
  <si>
    <t>MA-SYB</t>
  </si>
  <si>
    <t>Skhirate-Témara</t>
  </si>
  <si>
    <t>MA-SKH</t>
  </si>
  <si>
    <t>Sous-Massa-Draa</t>
  </si>
  <si>
    <t>MA-13</t>
  </si>
  <si>
    <t>Tadla-Azilal</t>
  </si>
  <si>
    <t>MA-12</t>
  </si>
  <si>
    <t>Tanger-Assilah</t>
  </si>
  <si>
    <t>MA-TNG</t>
  </si>
  <si>
    <t>Tanger-Tétouan</t>
  </si>
  <si>
    <t>MA-01</t>
  </si>
  <si>
    <t>Tan-Tan</t>
  </si>
  <si>
    <t>MA-TNT</t>
  </si>
  <si>
    <t>Taounate</t>
  </si>
  <si>
    <t>MA-TAO</t>
  </si>
  <si>
    <t>Taourirt</t>
  </si>
  <si>
    <t>MA-TAI</t>
  </si>
  <si>
    <t>Taroudant</t>
  </si>
  <si>
    <t>MA-TAR</t>
  </si>
  <si>
    <t>Tata</t>
  </si>
  <si>
    <t>MA-TAT</t>
  </si>
  <si>
    <t>Taza</t>
  </si>
  <si>
    <t>MA-TAZ</t>
  </si>
  <si>
    <t>Taza-Al Hoceima-Taounate</t>
  </si>
  <si>
    <t>MA-03</t>
  </si>
  <si>
    <t>Tétouan</t>
  </si>
  <si>
    <t>MA-TET</t>
  </si>
  <si>
    <t>Tiznit</t>
  </si>
  <si>
    <t>MA-TIZ</t>
  </si>
  <si>
    <t>Zagora</t>
  </si>
  <si>
    <t>MA-ZAG</t>
  </si>
  <si>
    <t>Arctic Region</t>
  </si>
  <si>
    <t>Bethlehem</t>
  </si>
  <si>
    <t>PS-BTH</t>
  </si>
  <si>
    <t>Deir El Balah</t>
  </si>
  <si>
    <t>PS-DEB</t>
  </si>
  <si>
    <t>PS-GZA</t>
  </si>
  <si>
    <t>Hebron</t>
  </si>
  <si>
    <t>PS-HBN</t>
  </si>
  <si>
    <t>Jenin</t>
  </si>
  <si>
    <t>PS-JEN</t>
  </si>
  <si>
    <t>Jericho - Al Aghwar</t>
  </si>
  <si>
    <t>PS-JRH</t>
  </si>
  <si>
    <t>PS-JEM</t>
  </si>
  <si>
    <t>Khan Yunis</t>
  </si>
  <si>
    <t>PS-KYS</t>
  </si>
  <si>
    <t>Nablus</t>
  </si>
  <si>
    <t>PS-NBS</t>
  </si>
  <si>
    <t>North Gaza</t>
  </si>
  <si>
    <t>PS-NGZ</t>
  </si>
  <si>
    <t>Qalqilya</t>
  </si>
  <si>
    <t>PS-QQA</t>
  </si>
  <si>
    <t>Rafah</t>
  </si>
  <si>
    <t>PS-RFH</t>
  </si>
  <si>
    <t>Ramallah</t>
  </si>
  <si>
    <t>PS-RBH</t>
  </si>
  <si>
    <t>Salfit</t>
  </si>
  <si>
    <t>PS-SLT</t>
  </si>
  <si>
    <t>Tubas</t>
  </si>
  <si>
    <t>PS-TBS</t>
  </si>
  <si>
    <t>Tulkarm</t>
  </si>
  <si>
    <t>PS-TKM</t>
  </si>
  <si>
    <t>Kosovski okrug</t>
  </si>
  <si>
    <t>RS-25</t>
  </si>
  <si>
    <t>Kosovsko-Mitrovački okrug</t>
  </si>
  <si>
    <t>RS-28</t>
  </si>
  <si>
    <t>Kosovsko-Pomoravski okrug</t>
  </si>
  <si>
    <t>RS-29</t>
  </si>
  <si>
    <t>Pećki okrug</t>
  </si>
  <si>
    <t>RS-26</t>
  </si>
  <si>
    <t>Prizrenski okrug</t>
  </si>
  <si>
    <t>RS-27</t>
  </si>
  <si>
    <t>Phatthaya</t>
  </si>
  <si>
    <t>special administrative city</t>
  </si>
  <si>
    <t>TH-S</t>
  </si>
  <si>
    <t>island, group of islands</t>
  </si>
  <si>
    <t>outlying area</t>
  </si>
  <si>
    <t>Afghanistan</t>
  </si>
  <si>
    <t>Albania</t>
  </si>
  <si>
    <t>Algeria</t>
  </si>
  <si>
    <t>Andorra</t>
  </si>
  <si>
    <t>Angola</t>
  </si>
  <si>
    <t>Anguilla</t>
  </si>
  <si>
    <t>Antarctica</t>
  </si>
  <si>
    <t>Antigua and Barbuda</t>
  </si>
  <si>
    <t>Argentina</t>
  </si>
  <si>
    <t>Armenia</t>
  </si>
  <si>
    <t>Australia</t>
  </si>
  <si>
    <t>Austria</t>
  </si>
  <si>
    <t>Azerbaijan</t>
  </si>
  <si>
    <t>Bahamas</t>
  </si>
  <si>
    <t>Bahrain</t>
  </si>
  <si>
    <t>US Minor Outlying Islands</t>
  </si>
  <si>
    <t>Bangladesh</t>
  </si>
  <si>
    <t>Barbados</t>
  </si>
  <si>
    <t>French Southern Territories</t>
  </si>
  <si>
    <t>Belarus</t>
  </si>
  <si>
    <t>Belgium</t>
  </si>
  <si>
    <t>Benin</t>
  </si>
  <si>
    <t>Bermuda</t>
  </si>
  <si>
    <t>Bhutan</t>
  </si>
  <si>
    <t>Bolivia</t>
  </si>
  <si>
    <t>Netherlands Antilles</t>
  </si>
  <si>
    <t>ANT</t>
  </si>
  <si>
    <t>AN</t>
  </si>
  <si>
    <t>Bosnia and Herzegovina</t>
  </si>
  <si>
    <t>Botswana</t>
  </si>
  <si>
    <t>Bouvet Island</t>
  </si>
  <si>
    <t>Brazil</t>
  </si>
  <si>
    <t>British Indian Ocean Territory</t>
  </si>
  <si>
    <t>Brunei Darussalam</t>
  </si>
  <si>
    <t>Bulgaria</t>
  </si>
  <si>
    <t>Burkina Faso</t>
  </si>
  <si>
    <t>Myanmar</t>
  </si>
  <si>
    <t>Burundi</t>
  </si>
  <si>
    <t>Cape Verde</t>
  </si>
  <si>
    <t>Cambodia</t>
  </si>
  <si>
    <t>Cameroon</t>
  </si>
  <si>
    <t>Canada</t>
  </si>
  <si>
    <t>Cayman Islands</t>
  </si>
  <si>
    <t>Central African Republic</t>
  </si>
  <si>
    <t>Chad</t>
  </si>
  <si>
    <t>Chile</t>
  </si>
  <si>
    <t>China</t>
  </si>
  <si>
    <t>Christmas Island</t>
  </si>
  <si>
    <t>France</t>
  </si>
  <si>
    <t>Cocos (Keeling) Islands</t>
  </si>
  <si>
    <t>Colombia</t>
  </si>
  <si>
    <t>Comoros</t>
  </si>
  <si>
    <t>Congo</t>
  </si>
  <si>
    <t>Congo, The Democratic Republic of the</t>
  </si>
  <si>
    <t>Cook Islands</t>
  </si>
  <si>
    <t>Costa Rica</t>
  </si>
  <si>
    <t>Cote D’Ivoire (Ivory Coast)</t>
  </si>
  <si>
    <t>Croatia (Hrvatska)</t>
  </si>
  <si>
    <t>Cuba</t>
  </si>
  <si>
    <t>Cyprus</t>
  </si>
  <si>
    <t>Czech Republic</t>
  </si>
  <si>
    <t>Denmark</t>
  </si>
  <si>
    <t>Dominica</t>
  </si>
  <si>
    <t>Dominican Republic</t>
  </si>
  <si>
    <t>Ecuador</t>
  </si>
  <si>
    <t>Egypt</t>
  </si>
  <si>
    <t>El Salvador</t>
  </si>
  <si>
    <t>Equatorial Guinea</t>
  </si>
  <si>
    <t>Eritrea</t>
  </si>
  <si>
    <t>Estonia</t>
  </si>
  <si>
    <t>Ethiopia</t>
  </si>
  <si>
    <t>Falkland Islands (Malvinas)</t>
  </si>
  <si>
    <t>Faroe Islands</t>
  </si>
  <si>
    <t>Fiji</t>
  </si>
  <si>
    <t>Finland</t>
  </si>
  <si>
    <t>French Guiana</t>
  </si>
  <si>
    <t>French Polynesia</t>
  </si>
  <si>
    <t>Gabon</t>
  </si>
  <si>
    <t>Gambia</t>
  </si>
  <si>
    <t>Palestinian Territory, Occupied</t>
  </si>
  <si>
    <t>Germany</t>
  </si>
  <si>
    <t>Ghana</t>
  </si>
  <si>
    <t>Gibraltar</t>
  </si>
  <si>
    <t>Greece</t>
  </si>
  <si>
    <t>Greenland</t>
  </si>
  <si>
    <t>Grenada</t>
  </si>
  <si>
    <t>United Kingdom</t>
  </si>
  <si>
    <t>Guinea</t>
  </si>
  <si>
    <t>Guinea-Bissau</t>
  </si>
  <si>
    <t>Guyana</t>
  </si>
  <si>
    <t>Haiti</t>
  </si>
  <si>
    <t>Heard Island and McDonald Islands</t>
  </si>
  <si>
    <t>Honduras</t>
  </si>
  <si>
    <t>Hong Kong</t>
  </si>
  <si>
    <t>Hungary</t>
  </si>
  <si>
    <t>Iceland</t>
  </si>
  <si>
    <t>India</t>
  </si>
  <si>
    <t>Indonesia</t>
  </si>
  <si>
    <t>Iran, Islamic Republic of</t>
  </si>
  <si>
    <t>Iraq</t>
  </si>
  <si>
    <t>Ireland</t>
  </si>
  <si>
    <t>Israel</t>
  </si>
  <si>
    <t>Italy</t>
  </si>
  <si>
    <t>Jamaica</t>
  </si>
  <si>
    <t>Svalbard and Jan Mayen Islands</t>
  </si>
  <si>
    <t>Japan</t>
  </si>
  <si>
    <t>Jordan</t>
  </si>
  <si>
    <t>Kazakhstan</t>
  </si>
  <si>
    <t>Kenya</t>
  </si>
  <si>
    <t>Kiribati</t>
  </si>
  <si>
    <t>Korea, Democratic People’s Republic of</t>
  </si>
  <si>
    <t>Korea, Republic of</t>
  </si>
  <si>
    <t>Kuwait</t>
  </si>
  <si>
    <t>Kyrgyzstan</t>
  </si>
  <si>
    <t>Lao People’s Democratic Republic</t>
  </si>
  <si>
    <t>Latvia</t>
  </si>
  <si>
    <t>Lebanon</t>
  </si>
  <si>
    <t>Lesotho</t>
  </si>
  <si>
    <t>Liberia</t>
  </si>
  <si>
    <t>Libyan Arab Jamahiriya</t>
  </si>
  <si>
    <t>Liechtenstein</t>
  </si>
  <si>
    <t>Lithuania</t>
  </si>
  <si>
    <t>Macao</t>
  </si>
  <si>
    <t>The Former Yugoslav Republic of Macedonia</t>
  </si>
  <si>
    <t>FYR</t>
  </si>
  <si>
    <t>Madagascar</t>
  </si>
  <si>
    <t>Malawi</t>
  </si>
  <si>
    <t>Malaysia</t>
  </si>
  <si>
    <t>Maldives</t>
  </si>
  <si>
    <t>Malta</t>
  </si>
  <si>
    <t>Marshall Islands</t>
  </si>
  <si>
    <t>Mauritania</t>
  </si>
  <si>
    <t>Mauritius</t>
  </si>
  <si>
    <t>Mexico</t>
  </si>
  <si>
    <t>Micronesia, Federated States of</t>
  </si>
  <si>
    <t>Moldova, Republic of</t>
  </si>
  <si>
    <t>Monaco</t>
  </si>
  <si>
    <t>Mongolia</t>
  </si>
  <si>
    <t>Montenegro</t>
  </si>
  <si>
    <t>Montserrat</t>
  </si>
  <si>
    <t>Morocco</t>
  </si>
  <si>
    <t>Mozambique</t>
  </si>
  <si>
    <t>Namibia</t>
  </si>
  <si>
    <t>Nauru</t>
  </si>
  <si>
    <t>Nepal</t>
  </si>
  <si>
    <t>Netherlands</t>
  </si>
  <si>
    <t>New Caledonia</t>
  </si>
  <si>
    <t>New Zealand</t>
  </si>
  <si>
    <t>Nicaragua</t>
  </si>
  <si>
    <t>Nigeria</t>
  </si>
  <si>
    <t>Niue</t>
  </si>
  <si>
    <t>Norfolk Island</t>
  </si>
  <si>
    <t>Norway</t>
  </si>
  <si>
    <t>Oman</t>
  </si>
  <si>
    <t>Pakistan</t>
  </si>
  <si>
    <t>Palau</t>
  </si>
  <si>
    <t>Panama</t>
  </si>
  <si>
    <t>Papua New Guinea</t>
  </si>
  <si>
    <t>Taiwan, Province of China</t>
  </si>
  <si>
    <t>Viet Nam</t>
  </si>
  <si>
    <t>Paraguay</t>
  </si>
  <si>
    <t>Peru</t>
  </si>
  <si>
    <t>Philippines</t>
  </si>
  <si>
    <t>Pitcairn</t>
  </si>
  <si>
    <t>Poland</t>
  </si>
  <si>
    <t>Portugal</t>
  </si>
  <si>
    <t>Qatar</t>
  </si>
  <si>
    <t>Reunion</t>
  </si>
  <si>
    <t>Romania</t>
  </si>
  <si>
    <t>Russian Federation</t>
  </si>
  <si>
    <t>Rwanda</t>
  </si>
  <si>
    <t>Saint Kitts and Nevis</t>
  </si>
  <si>
    <t>Saint Lucia</t>
  </si>
  <si>
    <t>Saint Pierre and Miquelon</t>
  </si>
  <si>
    <t>Saint Vincent and the Grenadines</t>
  </si>
  <si>
    <t>Samoa</t>
  </si>
  <si>
    <t>Sao Tome and Principe</t>
  </si>
  <si>
    <t>Saudi Arabia</t>
  </si>
  <si>
    <t>Senegal</t>
  </si>
  <si>
    <t>Serbia</t>
  </si>
  <si>
    <t>Seychelles</t>
  </si>
  <si>
    <t>Sierra Leone</t>
  </si>
  <si>
    <t>Singapore</t>
  </si>
  <si>
    <t>Slovakia</t>
  </si>
  <si>
    <t>Slovenia</t>
  </si>
  <si>
    <t>Solomon Islands</t>
  </si>
  <si>
    <t>Somalia</t>
  </si>
  <si>
    <t>South Africa</t>
  </si>
  <si>
    <t>South Georgia and South Sandwich Islands</t>
  </si>
  <si>
    <t>Spain</t>
  </si>
  <si>
    <t>Sri Lanka</t>
  </si>
  <si>
    <t>Sudan</t>
  </si>
  <si>
    <t>Suriname</t>
  </si>
  <si>
    <t>Swaziland</t>
  </si>
  <si>
    <t>Sweden</t>
  </si>
  <si>
    <t>Switzerland</t>
  </si>
  <si>
    <t>Syrian Arab Republic</t>
  </si>
  <si>
    <t>Tajikistan</t>
  </si>
  <si>
    <t>Tanzania, United Republic of</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</si>
  <si>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</si>
  <si>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</si>
  <si>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</si>
  <si>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</si>
  <si>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</si>
  <si>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</si>
  <si>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</si>
  <si>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</si>
  <si>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</si>
  <si>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</si>
  <si>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</si>
  <si>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</si>
  <si>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</si>
  <si>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</si>
  <si>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States</t>
  </si>
  <si>
    <t>Uruguay</t>
  </si>
  <si>
    <t>Uzbekistan</t>
  </si>
  <si>
    <t>Vanuatu</t>
  </si>
  <si>
    <t>Holy See (Vatican City State)</t>
  </si>
  <si>
    <t>Venezuela</t>
  </si>
  <si>
    <t>Virgin Islands (British)</t>
  </si>
  <si>
    <t>Virgin Islands (U.S.)</t>
  </si>
  <si>
    <t>Wallis and Futuna Islands</t>
  </si>
  <si>
    <t>Western Sahara</t>
  </si>
  <si>
    <t>Yemen</t>
  </si>
  <si>
    <t>Zambia</t>
  </si>
  <si>
    <t>Zimbabwe</t>
  </si>
  <si>
    <t>Yugoslavia, Federal Republic of</t>
  </si>
  <si>
    <t>YUG</t>
  </si>
  <si>
    <t>YU</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</si>
</sst>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numFmts>
  <fonts count="55" x14ac:knownFonts="1">
    <font>
      <sz val="8"/>
      <color theme="1"/>
      <name val="Arial"/>
      <family val="2"/>
    </font>
    <font>
      <sz val="10"/>
      <color indexed="8"/>
      <name val="Arial"/>
    </font>
    <font>
      <sz val="8"/>
      <color theme="9" tint="-0.499984740745262"/>
      <name val="Arial"/>
      <family val="2"/>
    </font>
    <font>
      <u/>
      <sz val="8"/>
      <color theme="10"/>
      <name val="Arial"/>
      <family val="2"/>
    </font>
    <font>
      <b/>
      <sz val="8"/>
      <color rgb="FF002060"/>
      <name val="Arial"/>
      <family val="2"/>
    </font>
    <font>
      <b/>
      <sz val="9"/>
      <color rgb="FF002060"/>
      <name val="Arial"/>
      <family val="2"/>
    </font>
    <font>
      <sz val="8"/>
      <color rgb="FF0000CC"/>
      <name val="Arial"/>
      <family val="2"/>
    </font>
    <font>
      <b/>
      <sz val="8"/>
      <color rgb="FF0000CC"/>
      <name val="Arial"/>
      <family val="2"/>
    </font>
    <font>
      <b/>
      <sz val="8"/>
      <color rgb="FF006600"/>
      <name val="Arial"/>
      <family val="2"/>
    </font>
    <font>
      <b/>
      <sz val="8"/>
      <color theme="9" tint="-0.249977111117893"/>
      <name val="Arial"/>
      <family val="2"/>
    </font>
    <font>
      <sz val="8"/>
      <color theme="1"/>
      <name val="Arial"/>
      <family val="2"/>
    </font>
    <font>
      <sz val="10"/>
      <name val="MS Sans Serif"/>
      <family val="2"/>
    </font>
    <font>
      <sz val="10"/>
      <name val="Arial"/>
      <family val="2"/>
    </font>
    <font>
      <b/>
      <sz val="18"/>
      <color indexed="10"/>
      <name val="Arial"/>
      <family val="2"/>
    </font>
    <font>
      <sz val="10"/>
      <color indexed="10"/>
      <name val="Arial"/>
      <family val="2"/>
    </font>
    <font>
      <b/>
      <sz val="14"/>
      <color indexed="10"/>
      <name val="Arial"/>
      <family val="2"/>
    </font>
    <font>
      <b/>
      <sz val="10"/>
      <name val="Arial"/>
      <family val="2"/>
    </font>
    <font>
      <u/>
      <sz val="10"/>
      <color indexed="12"/>
      <name val="Arial"/>
      <family val="2"/>
    </font>
    <font>
      <b/>
      <u/>
      <sz val="10"/>
      <color indexed="12"/>
      <name val="Arial"/>
      <family val="2"/>
    </font>
    <font>
      <b/>
      <sz val="10"/>
      <color rgb="FFC00000"/>
      <name val="Arial"/>
      <family val="2"/>
    </font>
    <font>
      <b/>
      <sz val="12"/>
      <color indexed="12"/>
      <name val="Arial"/>
      <family val="2"/>
    </font>
    <font>
      <b/>
      <sz val="14"/>
      <color indexed="20"/>
      <name val="Arial"/>
      <family val="2"/>
    </font>
    <font>
      <b/>
      <sz val="10"/>
      <color indexed="12"/>
      <name val="Arial"/>
      <family val="2"/>
    </font>
    <font>
      <sz val="10"/>
      <color indexed="12"/>
      <name val="Arial"/>
      <family val="2"/>
    </font>
    <font>
      <sz val="10"/>
      <color theme="1"/>
      <name val="Arial"/>
      <family val="2"/>
    </font>
    <font>
      <i/>
      <sz val="10"/>
      <name val="Arial"/>
      <family val="2"/>
    </font>
    <font>
      <b/>
      <i/>
      <sz val="10"/>
      <color indexed="23"/>
      <name val="Arial"/>
      <family val="2"/>
    </font>
    <font>
      <sz val="10"/>
      <color indexed="20"/>
      <name val="MS Sans Serif"/>
      <family val="2"/>
    </font>
    <font>
      <i/>
      <sz val="10"/>
      <color rgb="FF0000CC"/>
      <name val="Arial"/>
      <family val="2"/>
    </font>
    <font>
      <u/>
      <sz val="10"/>
      <color rgb="FF0000CC"/>
      <name val="Arial"/>
      <family val="2"/>
    </font>
    <font>
      <b/>
      <u/>
      <sz val="8"/>
      <color indexed="18"/>
      <name val="Arial"/>
      <family val="2"/>
    </font>
    <font>
      <b/>
      <u/>
      <sz val="10.5"/>
      <color rgb="FF002060"/>
      <name val="Arial"/>
      <family val="2"/>
    </font>
    <font>
      <b/>
      <u/>
      <sz val="10.5"/>
      <color indexed="18"/>
      <name val="Arial"/>
      <family val="2"/>
    </font>
    <font>
      <u/>
      <sz val="10"/>
      <color theme="10"/>
      <name val="Arial"/>
      <family val="2"/>
    </font>
    <font>
      <b/>
      <u/>
      <sz val="8"/>
      <color rgb="FF002060"/>
      <name val="Arial"/>
      <family val="2"/>
    </font>
    <font>
      <sz val="11"/>
      <color theme="1"/>
      <name val="Calibri"/>
      <family val="2"/>
      <scheme val="minor"/>
    </font>
    <font>
      <sz val="8"/>
      <color rgb="FFFF0000"/>
      <name val="Arial"/>
      <family val="2"/>
    </font>
    <font>
      <i/>
      <sz val="10"/>
      <color indexed="12"/>
      <name val="Arial"/>
      <family val="2"/>
    </font>
    <font>
      <b/>
      <sz val="12"/>
      <color rgb="FF002060"/>
      <name val="Arial"/>
      <family val="2"/>
    </font>
    <font>
      <b/>
      <sz val="11"/>
      <color rgb="FFFF0000"/>
      <name val="Arial"/>
      <family val="2"/>
    </font>
    <font>
      <b/>
      <sz val="10"/>
      <color theme="0" tint="-0.499984740745262"/>
      <name val="Arial"/>
      <family val="2"/>
    </font>
    <font>
      <i/>
      <sz val="8"/>
      <color rgb="FF0000CC"/>
      <name val="Arial"/>
      <family val="2"/>
    </font>
    <font>
      <b/>
      <sz val="10"/>
      <color rgb="FF0000CC"/>
      <name val="Arial"/>
      <family val="2"/>
    </font>
    <font>
      <sz val="10"/>
      <color theme="9" tint="-0.249977111117893"/>
      <name val="Arial"/>
      <family val="2"/>
    </font>
    <font>
      <b/>
      <sz val="10"/>
      <color rgb="FFFFCC99"/>
      <name val="Arial"/>
      <family val="2"/>
    </font>
    <font>
      <b/>
      <sz val="10"/>
      <color rgb="FF006600"/>
      <name val="Arial"/>
      <family val="2"/>
    </font>
    <font>
      <b/>
      <sz val="16"/>
      <color rgb="FF002060"/>
      <name val="Arial"/>
      <family val="2"/>
    </font>
    <font>
      <sz val="8"/>
      <color rgb="FF002060"/>
      <name val="Arial"/>
      <family val="2"/>
    </font>
    <font>
      <b/>
      <sz val="10"/>
      <color theme="9" tint="-0.499984740745262"/>
      <name val="Arial"/>
      <family val="2"/>
    </font>
    <font>
      <b/>
      <sz val="8"/>
      <color theme="1"/>
      <name val="Arial"/>
      <family val="2"/>
    </font>
    <font>
      <sz val="8"/>
      <color rgb="FF1E5A64"/>
      <name val="Arial"/>
      <family val="2"/>
    </font>
    <font>
      <sz val="8"/>
      <color rgb="FFDC6E0A"/>
      <name val="Arial"/>
      <family val="2"/>
    </font>
    <font>
      <sz val="8"/>
      <color rgb="FFB4DCE6"/>
      <name val="Arial"/>
      <family val="2"/>
    </font>
    <font>
      <i/>
      <sz val="8"/>
      <color rgb="FF828282"/>
      <name val="Arial"/>
      <family val="2"/>
    </font>
    <font>
      <sz val="8"/>
      <color rgb="FFD2D2D2"/>
      <name val="Arial"/>
      <family val="2"/>
    </font>
  </fonts>
  <fills count="16">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theme="9" tint="0.79998168889431442"/>
        <bgColor indexed="0"/>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79998168889431442"/>
        <bgColor indexed="0"/>
      </patternFill>
    </fill>
    <fill>
      <patternFill patternType="solid">
        <fgColor theme="6" tint="0.79998168889431442"/>
        <bgColor indexed="64"/>
      </patternFill>
    </fill>
    <fill>
      <patternFill patternType="solid">
        <fgColor theme="6" tint="0.79998168889431442"/>
        <bgColor indexed="0"/>
      </patternFill>
    </fill>
    <fill>
      <patternFill patternType="solid">
        <fgColor indexed="43"/>
        <bgColor indexed="64"/>
      </patternFill>
    </fill>
    <fill>
      <patternFill patternType="solid">
        <fgColor indexed="42"/>
        <bgColor indexed="64"/>
      </patternFill>
    </fill>
    <fill>
      <patternFill patternType="solid">
        <fgColor theme="9" tint="0.59999389629810485"/>
        <bgColor indexed="64"/>
      </patternFill>
    </fill>
    <fill>
      <patternFill patternType="solid">
        <fgColor rgb="FFFFCC99"/>
        <bgColor indexed="64"/>
      </patternFill>
    </fill>
    <fill>
      <patternFill patternType="solid">
        <fgColor rgb="FFF0F0F0"/>
        <bgColor indexed="64"/>
      </patternFill>
    </fill>
    <fill>
      <patternFill patternType="solid">
        <fgColor rgb="FFFFFF96"/>
        <bgColor indexed="64"/>
      </patternFill>
    </fill>
  </fills>
  <borders count="17">
    <border>
      <left/>
      <right/>
      <top/>
      <bottom/>
      <diagonal/>
    </border>
    <border>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4219">
    <xf numFmtId="0" fontId="0" fillId="0" borderId="0"/>
    <xf numFmtId="0" fontId="1" fillId="0" borderId="0"/>
    <xf numFmtId="0" fontId="11" fillId="0" borderId="0"/>
    <xf numFmtId="0" fontId="12" fillId="0" borderId="0">
      <alignment vertical="top"/>
    </xf>
    <xf numFmtId="0" fontId="17"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xf numFmtId="0" fontId="31" fillId="0" borderId="0" applyNumberFormat="0" applyFill="0" applyBorder="0" applyAlignment="0" applyProtection="0">
      <alignment vertical="top"/>
      <protection locked="0"/>
    </xf>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 fillId="0" borderId="0" applyNumberFormat="0" applyFill="0" applyBorder="0" applyAlignment="0" applyProtection="0"/>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24" fillId="0" borderId="0"/>
    <xf numFmtId="0" fontId="3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0" fontId="3" fillId="0" borderId="0" applyNumberFormat="0" applyFill="0" applyBorder="0" applyAlignment="0" applyProtection="0"/>
  </cellStyleXfs>
  <cellXfs count="117">
    <xf numFmtId="0" fontId="0" fillId="0" borderId="0" xfId="0"/>
    <xf numFmtId="0" fontId="0" fillId="0" borderId="0" xfId="0" applyAlignment="1">
      <alignment horizontal="left" vertical="top"/>
    </xf>
    <xf numFmtId="164" fontId="0" fillId="0" borderId="0" xfId="0" applyNumberFormat="1" applyAlignment="1">
      <alignment horizontal="left" vertical="top"/>
    </xf>
    <xf numFmtId="0" fontId="12" fillId="0" borderId="0" xfId="2" applyFont="1" applyAlignment="1">
      <alignment vertical="top" wrapText="1"/>
    </xf>
    <xf numFmtId="0" fontId="12" fillId="0" borderId="0" xfId="2" applyFont="1" applyAlignment="1">
      <alignment vertical="top" wrapText="1"/>
    </xf>
    <xf numFmtId="0" fontId="14" fillId="10" borderId="0" xfId="2" applyFont="1" applyFill="1" applyAlignment="1">
      <alignment horizontal="right" vertical="top" wrapText="1"/>
    </xf>
    <xf numFmtId="0" fontId="16" fillId="0" borderId="0" xfId="2" applyFont="1" applyAlignment="1">
      <alignment vertical="top" wrapText="1"/>
    </xf>
    <xf numFmtId="0" fontId="19" fillId="5" borderId="0" xfId="3" applyFont="1" applyFill="1" applyAlignment="1">
      <alignment vertical="top" wrapText="1"/>
    </xf>
    <xf numFmtId="0" fontId="5" fillId="2" borderId="2" xfId="1" applyFont="1" applyFill="1" applyBorder="1" applyAlignment="1">
      <alignment horizontal="left" wrapText="1"/>
    </xf>
    <xf numFmtId="0" fontId="5" fillId="4" borderId="0" xfId="1" applyFont="1" applyFill="1" applyBorder="1" applyAlignment="1">
      <alignment horizontal="left" wrapText="1"/>
    </xf>
    <xf numFmtId="0" fontId="5" fillId="2" borderId="0" xfId="1" applyFont="1" applyFill="1" applyBorder="1" applyAlignment="1">
      <alignment horizontal="left" wrapText="1"/>
    </xf>
    <xf numFmtId="0" fontId="12" fillId="0" borderId="0" xfId="2" applyFont="1" applyAlignment="1">
      <alignment vertical="top" wrapText="1"/>
    </xf>
    <xf numFmtId="0" fontId="16" fillId="0" borderId="0" xfId="3" applyFont="1" applyAlignment="1">
      <alignment vertical="top" wrapText="1"/>
    </xf>
    <xf numFmtId="0" fontId="18" fillId="0" borderId="4" xfId="4" applyFont="1" applyBorder="1" applyAlignment="1">
      <alignment horizontal="left" vertical="top" wrapText="1"/>
    </xf>
    <xf numFmtId="0" fontId="38" fillId="4" borderId="0" xfId="1" applyFont="1" applyFill="1" applyBorder="1" applyAlignment="1">
      <alignment horizontal="left" wrapText="1"/>
    </xf>
    <xf numFmtId="0" fontId="38" fillId="2" borderId="2" xfId="1" applyFont="1" applyFill="1" applyBorder="1" applyAlignment="1">
      <alignment horizontal="left" wrapText="1"/>
    </xf>
    <xf numFmtId="0" fontId="38" fillId="2" borderId="0" xfId="1" applyFont="1" applyFill="1" applyBorder="1" applyAlignment="1">
      <alignment horizontal="left" wrapText="1"/>
    </xf>
    <xf numFmtId="0" fontId="6" fillId="6" borderId="3" xfId="0" applyFont="1" applyFill="1" applyBorder="1" applyAlignment="1">
      <alignment horizontal="left" vertical="top"/>
    </xf>
    <xf numFmtId="0" fontId="39" fillId="2" borderId="2" xfId="0" applyFont="1" applyFill="1" applyBorder="1" applyAlignment="1">
      <alignment horizontal="left" vertical="top"/>
    </xf>
    <xf numFmtId="0" fontId="39" fillId="3" borderId="0" xfId="0" applyFont="1" applyFill="1" applyBorder="1" applyAlignment="1">
      <alignment horizontal="left" vertical="top"/>
    </xf>
    <xf numFmtId="0" fontId="39" fillId="2" borderId="0" xfId="0" applyFont="1" applyFill="1" applyBorder="1" applyAlignment="1">
      <alignment horizontal="left" vertical="top"/>
    </xf>
    <xf numFmtId="0" fontId="36" fillId="8" borderId="0" xfId="0" applyFont="1" applyFill="1" applyBorder="1" applyAlignment="1">
      <alignment horizontal="center" vertical="top"/>
    </xf>
    <xf numFmtId="0" fontId="2" fillId="0" borderId="0" xfId="0" applyFont="1" applyAlignment="1">
      <alignment horizontal="center" vertical="top"/>
    </xf>
    <xf numFmtId="0" fontId="0" fillId="0" borderId="0" xfId="0" applyAlignment="1">
      <alignment horizontal="center" vertical="top"/>
    </xf>
    <xf numFmtId="0" fontId="47" fillId="0" borderId="0" xfId="0" applyFont="1" applyAlignment="1">
      <alignment horizontal="left" vertical="top"/>
    </xf>
    <xf numFmtId="164" fontId="47" fillId="0" borderId="0" xfId="0" applyNumberFormat="1" applyFont="1" applyAlignment="1">
      <alignment horizontal="left" vertical="top"/>
    </xf>
    <xf numFmtId="0" fontId="12" fillId="0" borderId="0" xfId="2" applyFont="1" applyAlignment="1">
      <alignment vertical="top" wrapText="1"/>
    </xf>
    <xf numFmtId="0" fontId="12" fillId="0" borderId="0" xfId="2" applyFont="1" applyAlignment="1">
      <alignment vertical="top" wrapText="1"/>
    </xf>
    <xf numFmtId="0" fontId="12" fillId="0" borderId="0" xfId="2" applyFont="1" applyBorder="1" applyAlignment="1">
      <alignment vertical="top" wrapText="1"/>
    </xf>
    <xf numFmtId="0" fontId="16" fillId="0" borderId="0" xfId="2" applyFont="1" applyBorder="1" applyAlignment="1">
      <alignment vertical="top" wrapText="1"/>
    </xf>
    <xf numFmtId="0" fontId="24" fillId="0" borderId="0" xfId="0" applyFont="1" applyBorder="1" applyAlignment="1">
      <alignment vertical="top"/>
    </xf>
    <xf numFmtId="0" fontId="45" fillId="0" borderId="0" xfId="2" applyFont="1" applyBorder="1" applyAlignment="1">
      <alignment vertical="top" wrapText="1"/>
    </xf>
    <xf numFmtId="0" fontId="16" fillId="0" borderId="0" xfId="2" applyFont="1" applyBorder="1" applyAlignment="1">
      <alignment horizontal="left" vertical="top" wrapText="1"/>
    </xf>
    <xf numFmtId="0" fontId="24" fillId="0" borderId="0" xfId="0" applyFont="1" applyBorder="1" applyAlignment="1">
      <alignment vertical="top" wrapText="1"/>
    </xf>
    <xf numFmtId="0" fontId="48" fillId="0" borderId="0" xfId="2" applyFont="1" applyBorder="1" applyAlignment="1">
      <alignment vertical="top" wrapText="1"/>
    </xf>
    <xf numFmtId="0" fontId="42" fillId="0" borderId="1" xfId="2" applyFont="1" applyBorder="1" applyAlignment="1">
      <alignment vertical="top" wrapText="1"/>
    </xf>
    <xf numFmtId="0" fontId="12" fillId="0" borderId="1" xfId="2" applyFont="1" applyBorder="1" applyAlignment="1">
      <alignment vertical="top" wrapText="1"/>
    </xf>
    <xf numFmtId="0" fontId="12" fillId="0" borderId="10" xfId="2" applyFont="1" applyBorder="1" applyAlignment="1">
      <alignment vertical="top" wrapText="1"/>
    </xf>
    <xf numFmtId="0" fontId="15" fillId="0" borderId="0" xfId="2" applyFont="1" applyBorder="1" applyAlignment="1">
      <alignment horizontal="center" vertical="top" textRotation="90" wrapText="1"/>
    </xf>
    <xf numFmtId="0" fontId="20" fillId="10" borderId="11" xfId="2" applyFont="1" applyFill="1" applyBorder="1" applyAlignment="1">
      <alignment vertical="top" wrapText="1"/>
    </xf>
    <xf numFmtId="0" fontId="20" fillId="10" borderId="12" xfId="2" applyFont="1" applyFill="1" applyBorder="1" applyAlignment="1">
      <alignment vertical="top" wrapText="1"/>
    </xf>
    <xf numFmtId="0" fontId="20" fillId="10" borderId="13" xfId="2" applyFont="1" applyFill="1" applyBorder="1" applyAlignment="1">
      <alignment vertical="top" wrapText="1"/>
    </xf>
    <xf numFmtId="0" fontId="22" fillId="11" borderId="10" xfId="2" applyFont="1" applyFill="1" applyBorder="1" applyAlignment="1">
      <alignment vertical="center" wrapText="1"/>
    </xf>
    <xf numFmtId="0" fontId="22" fillId="11" borderId="14" xfId="2" applyFont="1" applyFill="1" applyBorder="1" applyAlignment="1">
      <alignment vertical="center" wrapText="1"/>
    </xf>
    <xf numFmtId="0" fontId="12" fillId="0" borderId="3" xfId="2" applyFont="1" applyBorder="1" applyAlignment="1">
      <alignment vertical="top" wrapText="1"/>
    </xf>
    <xf numFmtId="0" fontId="12" fillId="0" borderId="16" xfId="2" applyFont="1" applyFill="1" applyBorder="1" applyAlignment="1">
      <alignment vertical="top" wrapText="1"/>
    </xf>
    <xf numFmtId="0" fontId="12" fillId="12" borderId="0" xfId="2" applyFont="1" applyFill="1" applyBorder="1" applyAlignment="1">
      <alignment vertical="top" wrapText="1"/>
    </xf>
    <xf numFmtId="0" fontId="12" fillId="0" borderId="0" xfId="2" applyFont="1" applyAlignment="1">
      <alignment vertical="top" wrapText="1"/>
    </xf>
    <xf numFmtId="0" fontId="12" fillId="13" borderId="5" xfId="2" applyFont="1" applyFill="1" applyBorder="1" applyAlignment="1">
      <alignment vertical="top" wrapText="1"/>
    </xf>
    <xf numFmtId="0" fontId="0" fillId="0" borderId="11" xfId="0" applyBorder="1" applyAlignment="1">
      <alignment horizontal="left" vertical="top"/>
    </xf>
    <xf numFmtId="0" fontId="0" fillId="0" borderId="12" xfId="0" applyBorder="1" applyAlignment="1">
      <alignment horizontal="left" vertical="top"/>
    </xf>
    <xf numFmtId="164" fontId="0" fillId="0" borderId="12" xfId="0" applyNumberFormat="1" applyBorder="1" applyAlignment="1">
      <alignment horizontal="left" vertical="top"/>
    </xf>
    <xf numFmtId="0" fontId="50" fillId="0" borderId="12" xfId="0" applyFont="1" applyBorder="1" applyAlignment="1">
      <alignment horizontal="center" vertical="top"/>
    </xf>
    <xf numFmtId="0" fontId="47" fillId="0" borderId="12" xfId="0" applyFont="1" applyBorder="1" applyAlignment="1">
      <alignment horizontal="left" vertical="top"/>
    </xf>
    <xf numFmtId="164" fontId="47" fillId="0" borderId="12" xfId="0" applyNumberFormat="1" applyFont="1" applyBorder="1" applyAlignment="1">
      <alignment horizontal="left" vertical="top"/>
    </xf>
    <xf numFmtId="0" fontId="47" fillId="14" borderId="12" xfId="0" applyFont="1" applyFill="1" applyBorder="1" applyAlignment="1">
      <alignment horizontal="left" vertical="top"/>
    </xf>
    <xf numFmtId="0" fontId="3" fillId="0" borderId="13" xfId="4218" applyBorder="1" applyAlignment="1">
      <alignment horizontal="left" vertical="top"/>
    </xf>
    <xf numFmtId="0" fontId="0" fillId="0" borderId="2" xfId="0" applyBorder="1" applyAlignment="1">
      <alignment horizontal="left" vertical="top"/>
    </xf>
    <xf numFmtId="0" fontId="0" fillId="0" borderId="0" xfId="0" applyBorder="1" applyAlignment="1">
      <alignment horizontal="left" vertical="top"/>
    </xf>
    <xf numFmtId="164" fontId="0" fillId="0" borderId="0" xfId="0" applyNumberFormat="1" applyBorder="1" applyAlignment="1">
      <alignment horizontal="left" vertical="top"/>
    </xf>
    <xf numFmtId="0" fontId="50" fillId="0" borderId="0" xfId="0" applyFont="1" applyBorder="1" applyAlignment="1">
      <alignment horizontal="center" vertical="top"/>
    </xf>
    <xf numFmtId="0" fontId="51" fillId="15" borderId="0" xfId="0" applyFont="1" applyFill="1" applyBorder="1" applyAlignment="1">
      <alignment horizontal="left" vertical="top"/>
    </xf>
    <xf numFmtId="164" fontId="51" fillId="15" borderId="0" xfId="0" applyNumberFormat="1" applyFont="1" applyFill="1" applyBorder="1" applyAlignment="1">
      <alignment horizontal="left" vertical="top"/>
    </xf>
    <xf numFmtId="0" fontId="3" fillId="0" borderId="3" xfId="4218" applyBorder="1" applyAlignment="1">
      <alignment horizontal="left" vertical="top"/>
    </xf>
    <xf numFmtId="0" fontId="47" fillId="0" borderId="0" xfId="0" applyFont="1" applyBorder="1" applyAlignment="1">
      <alignment horizontal="left" vertical="top"/>
    </xf>
    <xf numFmtId="164" fontId="47" fillId="0" borderId="0" xfId="0" applyNumberFormat="1" applyFont="1" applyBorder="1" applyAlignment="1">
      <alignment horizontal="left" vertical="top"/>
    </xf>
    <xf numFmtId="0" fontId="47" fillId="14" borderId="0" xfId="0" applyFont="1" applyFill="1" applyBorder="1" applyAlignment="1">
      <alignment horizontal="left" vertical="top"/>
    </xf>
    <xf numFmtId="0" fontId="52" fillId="0" borderId="0" xfId="0" applyFont="1" applyBorder="1" applyAlignment="1">
      <alignment horizontal="center" vertical="top"/>
    </xf>
    <xf numFmtId="164" fontId="47" fillId="14" borderId="0" xfId="0" applyNumberFormat="1" applyFont="1" applyFill="1" applyBorder="1" applyAlignment="1">
      <alignment horizontal="left" vertical="top"/>
    </xf>
    <xf numFmtId="0" fontId="53" fillId="0" borderId="0" xfId="0" applyFont="1" applyBorder="1" applyAlignment="1">
      <alignment horizontal="left" vertical="top"/>
    </xf>
    <xf numFmtId="0" fontId="0" fillId="0" borderId="15" xfId="0" applyBorder="1" applyAlignment="1">
      <alignment horizontal="left" vertical="top"/>
    </xf>
    <xf numFmtId="0" fontId="0" fillId="0" borderId="1" xfId="0" applyBorder="1" applyAlignment="1">
      <alignment horizontal="left" vertical="top"/>
    </xf>
    <xf numFmtId="164" fontId="0" fillId="0" borderId="1" xfId="0" applyNumberFormat="1" applyBorder="1" applyAlignment="1">
      <alignment horizontal="left" vertical="top"/>
    </xf>
    <xf numFmtId="0" fontId="50" fillId="0" borderId="1" xfId="0" applyFont="1" applyBorder="1" applyAlignment="1">
      <alignment horizontal="center" vertical="top"/>
    </xf>
    <xf numFmtId="0" fontId="47" fillId="0" borderId="1" xfId="0" applyFont="1" applyBorder="1" applyAlignment="1">
      <alignment horizontal="left" vertical="top"/>
    </xf>
    <xf numFmtId="164" fontId="47" fillId="0" borderId="1" xfId="0" applyNumberFormat="1" applyFont="1" applyBorder="1" applyAlignment="1">
      <alignment horizontal="left" vertical="top"/>
    </xf>
    <xf numFmtId="0" fontId="47" fillId="14" borderId="1" xfId="0" applyFont="1" applyFill="1" applyBorder="1" applyAlignment="1">
      <alignment horizontal="left" vertical="top"/>
    </xf>
    <xf numFmtId="0" fontId="3" fillId="0" borderId="16" xfId="4218" applyBorder="1" applyAlignment="1">
      <alignment horizontal="left" vertical="top"/>
    </xf>
    <xf numFmtId="0" fontId="54" fillId="0" borderId="12" xfId="0" applyFont="1" applyBorder="1" applyAlignment="1">
      <alignment horizontal="left" vertical="top"/>
    </xf>
    <xf numFmtId="164" fontId="47" fillId="14" borderId="12" xfId="0" applyNumberFormat="1" applyFont="1" applyFill="1" applyBorder="1" applyAlignment="1">
      <alignment horizontal="left" vertical="top"/>
    </xf>
    <xf numFmtId="0" fontId="54" fillId="0" borderId="0" xfId="0" applyFont="1" applyBorder="1" applyAlignment="1">
      <alignment horizontal="left" vertical="top"/>
    </xf>
    <xf numFmtId="0" fontId="54" fillId="0" borderId="1" xfId="0" applyFont="1" applyBorder="1" applyAlignment="1">
      <alignment horizontal="left" vertical="top"/>
    </xf>
    <xf numFmtId="164" fontId="47" fillId="14" borderId="1" xfId="0" applyNumberFormat="1" applyFont="1" applyFill="1" applyBorder="1" applyAlignment="1">
      <alignment horizontal="left" vertical="top"/>
    </xf>
    <xf numFmtId="0" fontId="51" fillId="15" borderId="12" xfId="0" applyFont="1" applyFill="1" applyBorder="1" applyAlignment="1">
      <alignment horizontal="left" vertical="top"/>
    </xf>
    <xf numFmtId="164" fontId="51" fillId="15" borderId="12" xfId="0" applyNumberFormat="1" applyFont="1" applyFill="1" applyBorder="1" applyAlignment="1">
      <alignment horizontal="left" vertical="top"/>
    </xf>
    <xf numFmtId="0" fontId="51" fillId="15" borderId="1" xfId="0" applyFont="1" applyFill="1" applyBorder="1" applyAlignment="1">
      <alignment horizontal="left" vertical="top"/>
    </xf>
    <xf numFmtId="164" fontId="51" fillId="15" borderId="1" xfId="0" applyNumberFormat="1" applyFont="1" applyFill="1" applyBorder="1" applyAlignment="1">
      <alignment horizontal="left" vertical="top"/>
    </xf>
    <xf numFmtId="0" fontId="0" fillId="0" borderId="12" xfId="0" quotePrefix="1" applyBorder="1" applyAlignment="1">
      <alignment horizontal="left" vertical="top"/>
    </xf>
    <xf numFmtId="0" fontId="0" fillId="14" borderId="0" xfId="0" applyFill="1" applyBorder="1" applyAlignment="1">
      <alignment horizontal="left" vertical="top"/>
    </xf>
    <xf numFmtId="0" fontId="0" fillId="14" borderId="12" xfId="0" applyFill="1" applyBorder="1" applyAlignment="1">
      <alignment horizontal="left" vertical="top"/>
    </xf>
    <xf numFmtId="0" fontId="0" fillId="14" borderId="1" xfId="0" applyFill="1" applyBorder="1" applyAlignment="1">
      <alignment horizontal="left" vertical="top"/>
    </xf>
    <xf numFmtId="0" fontId="21" fillId="0" borderId="11" xfId="2" applyFont="1" applyFill="1" applyBorder="1" applyAlignment="1">
      <alignment horizontal="center" vertical="center" textRotation="90" wrapText="1"/>
    </xf>
    <xf numFmtId="0" fontId="21" fillId="0" borderId="2" xfId="2" applyFont="1" applyFill="1" applyBorder="1" applyAlignment="1">
      <alignment horizontal="center" vertical="center" textRotation="90" wrapText="1"/>
    </xf>
    <xf numFmtId="0" fontId="27" fillId="0" borderId="2" xfId="2" applyFont="1" applyBorder="1" applyAlignment="1">
      <alignment horizontal="center" vertical="center" textRotation="90" wrapText="1"/>
    </xf>
    <xf numFmtId="0" fontId="27" fillId="0" borderId="15" xfId="2" applyFont="1" applyBorder="1" applyAlignment="1">
      <alignment horizontal="center" vertical="center" textRotation="90" wrapText="1"/>
    </xf>
    <xf numFmtId="0" fontId="12" fillId="0" borderId="0" xfId="2" applyFont="1" applyAlignment="1">
      <alignment vertical="top" wrapText="1"/>
    </xf>
    <xf numFmtId="0" fontId="13" fillId="10" borderId="0" xfId="2" applyFont="1" applyFill="1" applyAlignment="1">
      <alignment vertical="top" wrapText="1"/>
    </xf>
    <xf numFmtId="0" fontId="15" fillId="0" borderId="0" xfId="2" applyFont="1" applyAlignment="1">
      <alignment horizontal="center" vertical="center" textRotation="90" wrapText="1"/>
    </xf>
    <xf numFmtId="0" fontId="12" fillId="0" borderId="0" xfId="4" applyFont="1" applyBorder="1" applyAlignment="1">
      <alignment horizontal="left" vertical="top" wrapText="1"/>
    </xf>
    <xf numFmtId="0" fontId="0" fillId="0" borderId="2" xfId="0" applyBorder="1" applyAlignment="1">
      <alignment horizontal="left" vertical="top"/>
    </xf>
    <xf numFmtId="0" fontId="0" fillId="0" borderId="0" xfId="0" applyBorder="1" applyAlignment="1">
      <alignment horizontal="left" vertical="top"/>
    </xf>
    <xf numFmtId="164" fontId="0" fillId="0" borderId="0" xfId="0" applyNumberFormat="1" applyBorder="1" applyAlignment="1">
      <alignment horizontal="left" vertical="top"/>
    </xf>
    <xf numFmtId="0" fontId="7" fillId="7" borderId="3" xfId="1" applyFont="1" applyFill="1" applyBorder="1" applyAlignment="1">
      <alignment horizontal="left" wrapText="1"/>
    </xf>
    <xf numFmtId="0" fontId="46" fillId="2" borderId="6" xfId="1" applyFont="1" applyFill="1" applyBorder="1" applyAlignment="1">
      <alignment horizontal="center" vertical="top" wrapText="1"/>
    </xf>
    <xf numFmtId="0" fontId="46" fillId="2" borderId="7" xfId="1" applyFont="1" applyFill="1" applyBorder="1" applyAlignment="1">
      <alignment horizontal="center" vertical="top" wrapText="1"/>
    </xf>
    <xf numFmtId="0" fontId="46" fillId="2" borderId="8" xfId="1" applyFont="1" applyFill="1" applyBorder="1" applyAlignment="1">
      <alignment horizontal="center" vertical="top" wrapText="1"/>
    </xf>
    <xf numFmtId="0" fontId="8" fillId="9" borderId="0" xfId="1" applyFont="1" applyFill="1" applyBorder="1" applyAlignment="1">
      <alignment horizontal="left" vertical="center" textRotation="90" wrapText="1"/>
    </xf>
    <xf numFmtId="164" fontId="9" fillId="3" borderId="0" xfId="1" applyNumberFormat="1" applyFont="1" applyFill="1" applyBorder="1" applyAlignment="1">
      <alignment horizontal="left" vertical="center" textRotation="90" wrapText="1"/>
    </xf>
    <xf numFmtId="0" fontId="4" fillId="2" borderId="0" xfId="1" applyFont="1" applyFill="1" applyBorder="1" applyAlignment="1">
      <alignment horizontal="left" vertical="center" textRotation="90" wrapText="1"/>
    </xf>
    <xf numFmtId="164" fontId="4" fillId="2" borderId="0" xfId="1" applyNumberFormat="1" applyFont="1" applyFill="1" applyBorder="1" applyAlignment="1">
      <alignment horizontal="left" vertical="center" textRotation="90" wrapText="1"/>
    </xf>
    <xf numFmtId="0" fontId="4" fillId="3" borderId="0" xfId="1" applyFont="1" applyFill="1" applyBorder="1" applyAlignment="1">
      <alignment horizontal="left" vertical="center" textRotation="90" wrapText="1"/>
    </xf>
    <xf numFmtId="164" fontId="4" fillId="3" borderId="0" xfId="1" applyNumberFormat="1" applyFont="1" applyFill="1" applyBorder="1" applyAlignment="1">
      <alignment horizontal="left" vertical="center" textRotation="90" wrapText="1"/>
    </xf>
    <xf numFmtId="0" fontId="49" fillId="0" borderId="11" xfId="0" applyFont="1" applyBorder="1" applyAlignment="1">
      <alignment horizontal="left" vertical="top"/>
    </xf>
    <xf numFmtId="0" fontId="49" fillId="0" borderId="2" xfId="0" applyFont="1" applyBorder="1" applyAlignment="1">
      <alignment horizontal="left" vertical="top"/>
    </xf>
    <xf numFmtId="0" fontId="49" fillId="0" borderId="15" xfId="0" applyFont="1" applyBorder="1" applyAlignment="1">
      <alignment horizontal="left" vertical="top"/>
    </xf>
    <xf numFmtId="0" fontId="7" fillId="7" borderId="9" xfId="1" applyFont="1" applyFill="1" applyBorder="1" applyAlignment="1">
      <alignment horizontal="left" wrapText="1"/>
    </xf>
    <xf numFmtId="164" fontId="9" fillId="2" borderId="0" xfId="1" applyNumberFormat="1" applyFont="1" applyFill="1" applyBorder="1" applyAlignment="1">
      <alignment horizontal="left" vertical="center" textRotation="90" wrapText="1"/>
    </xf>
  </cellXfs>
  <cellStyles count="4219">
    <cellStyle name="Followed Hyperlink 2" xfId="5"/>
    <cellStyle name="Followed Hyperlink 3" xfId="6"/>
    <cellStyle name="Hyperlink" xfId="4218" builtinId="8"/>
    <cellStyle name="Hyperlink 10 10" xfId="7"/>
    <cellStyle name="Hyperlink 10 11" xfId="8"/>
    <cellStyle name="Hyperlink 10 12" xfId="9"/>
    <cellStyle name="Hyperlink 10 13" xfId="10"/>
    <cellStyle name="Hyperlink 10 14" xfId="11"/>
    <cellStyle name="Hyperlink 10 2" xfId="12"/>
    <cellStyle name="Hyperlink 10 3" xfId="13"/>
    <cellStyle name="Hyperlink 10 4" xfId="14"/>
    <cellStyle name="Hyperlink 10 5" xfId="15"/>
    <cellStyle name="Hyperlink 10 6" xfId="16"/>
    <cellStyle name="Hyperlink 10 7" xfId="17"/>
    <cellStyle name="Hyperlink 10 8" xfId="18"/>
    <cellStyle name="Hyperlink 10 9" xfId="19"/>
    <cellStyle name="Hyperlink 11 10" xfId="20"/>
    <cellStyle name="Hyperlink 11 11" xfId="21"/>
    <cellStyle name="Hyperlink 11 12" xfId="22"/>
    <cellStyle name="Hyperlink 11 13" xfId="23"/>
    <cellStyle name="Hyperlink 11 14" xfId="24"/>
    <cellStyle name="Hyperlink 11 2" xfId="25"/>
    <cellStyle name="Hyperlink 11 3" xfId="26"/>
    <cellStyle name="Hyperlink 11 4" xfId="27"/>
    <cellStyle name="Hyperlink 11 5" xfId="28"/>
    <cellStyle name="Hyperlink 11 6" xfId="29"/>
    <cellStyle name="Hyperlink 11 7" xfId="30"/>
    <cellStyle name="Hyperlink 11 8" xfId="31"/>
    <cellStyle name="Hyperlink 11 9" xfId="32"/>
    <cellStyle name="Hyperlink 12 10" xfId="33"/>
    <cellStyle name="Hyperlink 12 11" xfId="34"/>
    <cellStyle name="Hyperlink 12 12" xfId="35"/>
    <cellStyle name="Hyperlink 12 13" xfId="36"/>
    <cellStyle name="Hyperlink 12 14" xfId="37"/>
    <cellStyle name="Hyperlink 12 2" xfId="38"/>
    <cellStyle name="Hyperlink 12 3" xfId="39"/>
    <cellStyle name="Hyperlink 12 4" xfId="40"/>
    <cellStyle name="Hyperlink 12 5" xfId="41"/>
    <cellStyle name="Hyperlink 12 6" xfId="42"/>
    <cellStyle name="Hyperlink 12 7" xfId="43"/>
    <cellStyle name="Hyperlink 12 8" xfId="44"/>
    <cellStyle name="Hyperlink 12 9" xfId="45"/>
    <cellStyle name="Hyperlink 13 10" xfId="46"/>
    <cellStyle name="Hyperlink 13 11" xfId="47"/>
    <cellStyle name="Hyperlink 13 12" xfId="48"/>
    <cellStyle name="Hyperlink 13 13" xfId="49"/>
    <cellStyle name="Hyperlink 13 14" xfId="50"/>
    <cellStyle name="Hyperlink 13 2" xfId="51"/>
    <cellStyle name="Hyperlink 13 3" xfId="52"/>
    <cellStyle name="Hyperlink 13 4" xfId="53"/>
    <cellStyle name="Hyperlink 13 5" xfId="54"/>
    <cellStyle name="Hyperlink 13 6" xfId="55"/>
    <cellStyle name="Hyperlink 13 7" xfId="56"/>
    <cellStyle name="Hyperlink 13 8" xfId="57"/>
    <cellStyle name="Hyperlink 13 9" xfId="58"/>
    <cellStyle name="Hyperlink 14 10" xfId="59"/>
    <cellStyle name="Hyperlink 14 11" xfId="60"/>
    <cellStyle name="Hyperlink 14 12" xfId="61"/>
    <cellStyle name="Hyperlink 14 13" xfId="62"/>
    <cellStyle name="Hyperlink 14 14" xfId="63"/>
    <cellStyle name="Hyperlink 14 2" xfId="64"/>
    <cellStyle name="Hyperlink 14 3" xfId="65"/>
    <cellStyle name="Hyperlink 14 4" xfId="66"/>
    <cellStyle name="Hyperlink 14 5" xfId="67"/>
    <cellStyle name="Hyperlink 14 6" xfId="68"/>
    <cellStyle name="Hyperlink 14 7" xfId="69"/>
    <cellStyle name="Hyperlink 14 8" xfId="70"/>
    <cellStyle name="Hyperlink 14 9" xfId="71"/>
    <cellStyle name="Hyperlink 15 10" xfId="72"/>
    <cellStyle name="Hyperlink 15 11" xfId="73"/>
    <cellStyle name="Hyperlink 15 12" xfId="74"/>
    <cellStyle name="Hyperlink 15 13" xfId="75"/>
    <cellStyle name="Hyperlink 15 14" xfId="76"/>
    <cellStyle name="Hyperlink 15 2" xfId="77"/>
    <cellStyle name="Hyperlink 15 3" xfId="78"/>
    <cellStyle name="Hyperlink 15 4" xfId="79"/>
    <cellStyle name="Hyperlink 15 5" xfId="80"/>
    <cellStyle name="Hyperlink 15 6" xfId="81"/>
    <cellStyle name="Hyperlink 15 7" xfId="82"/>
    <cellStyle name="Hyperlink 15 8" xfId="83"/>
    <cellStyle name="Hyperlink 15 9" xfId="84"/>
    <cellStyle name="Hyperlink 16 10" xfId="85"/>
    <cellStyle name="Hyperlink 16 11" xfId="86"/>
    <cellStyle name="Hyperlink 16 12" xfId="87"/>
    <cellStyle name="Hyperlink 16 13" xfId="88"/>
    <cellStyle name="Hyperlink 16 14" xfId="89"/>
    <cellStyle name="Hyperlink 16 2" xfId="90"/>
    <cellStyle name="Hyperlink 16 3" xfId="91"/>
    <cellStyle name="Hyperlink 16 4" xfId="92"/>
    <cellStyle name="Hyperlink 16 5" xfId="93"/>
    <cellStyle name="Hyperlink 16 6" xfId="94"/>
    <cellStyle name="Hyperlink 16 7" xfId="95"/>
    <cellStyle name="Hyperlink 16 8" xfId="96"/>
    <cellStyle name="Hyperlink 16 9" xfId="97"/>
    <cellStyle name="Hyperlink 17 10" xfId="98"/>
    <cellStyle name="Hyperlink 17 11" xfId="99"/>
    <cellStyle name="Hyperlink 17 12" xfId="100"/>
    <cellStyle name="Hyperlink 17 13" xfId="101"/>
    <cellStyle name="Hyperlink 17 14" xfId="102"/>
    <cellStyle name="Hyperlink 17 2" xfId="103"/>
    <cellStyle name="Hyperlink 17 3" xfId="104"/>
    <cellStyle name="Hyperlink 17 4" xfId="105"/>
    <cellStyle name="Hyperlink 17 5" xfId="106"/>
    <cellStyle name="Hyperlink 17 6" xfId="107"/>
    <cellStyle name="Hyperlink 17 7" xfId="108"/>
    <cellStyle name="Hyperlink 17 8" xfId="109"/>
    <cellStyle name="Hyperlink 17 9" xfId="110"/>
    <cellStyle name="Hyperlink 18 10" xfId="111"/>
    <cellStyle name="Hyperlink 18 11" xfId="112"/>
    <cellStyle name="Hyperlink 18 12" xfId="113"/>
    <cellStyle name="Hyperlink 18 13" xfId="114"/>
    <cellStyle name="Hyperlink 18 14" xfId="115"/>
    <cellStyle name="Hyperlink 18 2" xfId="116"/>
    <cellStyle name="Hyperlink 18 3" xfId="117"/>
    <cellStyle name="Hyperlink 18 4" xfId="118"/>
    <cellStyle name="Hyperlink 18 5" xfId="119"/>
    <cellStyle name="Hyperlink 18 6" xfId="120"/>
    <cellStyle name="Hyperlink 18 7" xfId="121"/>
    <cellStyle name="Hyperlink 18 8" xfId="122"/>
    <cellStyle name="Hyperlink 18 9" xfId="123"/>
    <cellStyle name="Hyperlink 19 10" xfId="124"/>
    <cellStyle name="Hyperlink 19 11" xfId="125"/>
    <cellStyle name="Hyperlink 19 12" xfId="126"/>
    <cellStyle name="Hyperlink 19 13" xfId="127"/>
    <cellStyle name="Hyperlink 19 14" xfId="128"/>
    <cellStyle name="Hyperlink 19 2" xfId="129"/>
    <cellStyle name="Hyperlink 19 3" xfId="130"/>
    <cellStyle name="Hyperlink 19 4" xfId="131"/>
    <cellStyle name="Hyperlink 19 5" xfId="132"/>
    <cellStyle name="Hyperlink 19 6" xfId="133"/>
    <cellStyle name="Hyperlink 19 7" xfId="134"/>
    <cellStyle name="Hyperlink 19 8" xfId="135"/>
    <cellStyle name="Hyperlink 19 9" xfId="136"/>
    <cellStyle name="Hyperlink 2" xfId="4"/>
    <cellStyle name="Hyperlink 2 10" xfId="137"/>
    <cellStyle name="Hyperlink 2 11" xfId="138"/>
    <cellStyle name="Hyperlink 2 12" xfId="139"/>
    <cellStyle name="Hyperlink 2 13" xfId="140"/>
    <cellStyle name="Hyperlink 2 14" xfId="141"/>
    <cellStyle name="Hyperlink 2 14 2" xfId="142"/>
    <cellStyle name="Hyperlink 2 14 3" xfId="143"/>
    <cellStyle name="Hyperlink 2 14 4" xfId="144"/>
    <cellStyle name="Hyperlink 2 14 5" xfId="145"/>
    <cellStyle name="Hyperlink 2 14 6" xfId="146"/>
    <cellStyle name="Hyperlink 2 14 7" xfId="147"/>
    <cellStyle name="Hyperlink 2 14 8" xfId="148"/>
    <cellStyle name="Hyperlink 2 15" xfId="149"/>
    <cellStyle name="Hyperlink 2 16" xfId="150"/>
    <cellStyle name="Hyperlink 2 17" xfId="151"/>
    <cellStyle name="Hyperlink 2 18" xfId="152"/>
    <cellStyle name="Hyperlink 2 19" xfId="153"/>
    <cellStyle name="Hyperlink 2 2" xfId="154"/>
    <cellStyle name="Hyperlink 2 20" xfId="155"/>
    <cellStyle name="Hyperlink 2 21" xfId="156"/>
    <cellStyle name="Hyperlink 2 22" xfId="157"/>
    <cellStyle name="Hyperlink 2 3" xfId="158"/>
    <cellStyle name="Hyperlink 2 4" xfId="159"/>
    <cellStyle name="Hyperlink 2 5" xfId="160"/>
    <cellStyle name="Hyperlink 2 6" xfId="161"/>
    <cellStyle name="Hyperlink 2 7" xfId="162"/>
    <cellStyle name="Hyperlink 2 8" xfId="163"/>
    <cellStyle name="Hyperlink 2 9" xfId="164"/>
    <cellStyle name="Hyperlink 20 10" xfId="165"/>
    <cellStyle name="Hyperlink 20 11" xfId="166"/>
    <cellStyle name="Hyperlink 20 12" xfId="167"/>
    <cellStyle name="Hyperlink 20 13" xfId="168"/>
    <cellStyle name="Hyperlink 20 14" xfId="169"/>
    <cellStyle name="Hyperlink 20 2" xfId="170"/>
    <cellStyle name="Hyperlink 20 3" xfId="171"/>
    <cellStyle name="Hyperlink 20 4" xfId="172"/>
    <cellStyle name="Hyperlink 20 5" xfId="173"/>
    <cellStyle name="Hyperlink 20 6" xfId="174"/>
    <cellStyle name="Hyperlink 20 7" xfId="175"/>
    <cellStyle name="Hyperlink 20 8" xfId="176"/>
    <cellStyle name="Hyperlink 20 9" xfId="177"/>
    <cellStyle name="Hyperlink 21 10" xfId="178"/>
    <cellStyle name="Hyperlink 21 11" xfId="179"/>
    <cellStyle name="Hyperlink 21 12" xfId="180"/>
    <cellStyle name="Hyperlink 21 13" xfId="181"/>
    <cellStyle name="Hyperlink 21 14" xfId="182"/>
    <cellStyle name="Hyperlink 21 2" xfId="183"/>
    <cellStyle name="Hyperlink 21 3" xfId="184"/>
    <cellStyle name="Hyperlink 21 4" xfId="185"/>
    <cellStyle name="Hyperlink 21 5" xfId="186"/>
    <cellStyle name="Hyperlink 21 6" xfId="187"/>
    <cellStyle name="Hyperlink 21 7" xfId="188"/>
    <cellStyle name="Hyperlink 21 8" xfId="189"/>
    <cellStyle name="Hyperlink 21 9" xfId="190"/>
    <cellStyle name="Hyperlink 22 10" xfId="191"/>
    <cellStyle name="Hyperlink 22 11" xfId="192"/>
    <cellStyle name="Hyperlink 22 12" xfId="193"/>
    <cellStyle name="Hyperlink 22 13" xfId="194"/>
    <cellStyle name="Hyperlink 22 14" xfId="195"/>
    <cellStyle name="Hyperlink 22 2" xfId="196"/>
    <cellStyle name="Hyperlink 22 3" xfId="197"/>
    <cellStyle name="Hyperlink 22 4" xfId="198"/>
    <cellStyle name="Hyperlink 22 5" xfId="199"/>
    <cellStyle name="Hyperlink 22 6" xfId="200"/>
    <cellStyle name="Hyperlink 22 7" xfId="201"/>
    <cellStyle name="Hyperlink 22 8" xfId="202"/>
    <cellStyle name="Hyperlink 22 9" xfId="203"/>
    <cellStyle name="Hyperlink 23 10" xfId="204"/>
    <cellStyle name="Hyperlink 23 11" xfId="205"/>
    <cellStyle name="Hyperlink 23 12" xfId="206"/>
    <cellStyle name="Hyperlink 23 13" xfId="207"/>
    <cellStyle name="Hyperlink 23 14" xfId="208"/>
    <cellStyle name="Hyperlink 23 2" xfId="209"/>
    <cellStyle name="Hyperlink 23 3" xfId="210"/>
    <cellStyle name="Hyperlink 23 4" xfId="211"/>
    <cellStyle name="Hyperlink 23 5" xfId="212"/>
    <cellStyle name="Hyperlink 23 6" xfId="213"/>
    <cellStyle name="Hyperlink 23 7" xfId="214"/>
    <cellStyle name="Hyperlink 23 8" xfId="215"/>
    <cellStyle name="Hyperlink 23 9" xfId="216"/>
    <cellStyle name="Hyperlink 24 10" xfId="217"/>
    <cellStyle name="Hyperlink 24 11" xfId="218"/>
    <cellStyle name="Hyperlink 24 12" xfId="219"/>
    <cellStyle name="Hyperlink 24 13" xfId="220"/>
    <cellStyle name="Hyperlink 24 14" xfId="221"/>
    <cellStyle name="Hyperlink 24 2" xfId="222"/>
    <cellStyle name="Hyperlink 24 3" xfId="223"/>
    <cellStyle name="Hyperlink 24 4" xfId="224"/>
    <cellStyle name="Hyperlink 24 5" xfId="225"/>
    <cellStyle name="Hyperlink 24 6" xfId="226"/>
    <cellStyle name="Hyperlink 24 7" xfId="227"/>
    <cellStyle name="Hyperlink 24 8" xfId="228"/>
    <cellStyle name="Hyperlink 24 9" xfId="229"/>
    <cellStyle name="Hyperlink 3" xfId="230"/>
    <cellStyle name="Hyperlink 3 10" xfId="231"/>
    <cellStyle name="Hyperlink 3 11" xfId="232"/>
    <cellStyle name="Hyperlink 3 12" xfId="233"/>
    <cellStyle name="Hyperlink 3 13" xfId="234"/>
    <cellStyle name="Hyperlink 3 14" xfId="235"/>
    <cellStyle name="Hyperlink 3 2" xfId="236"/>
    <cellStyle name="Hyperlink 3 3" xfId="237"/>
    <cellStyle name="Hyperlink 3 4" xfId="238"/>
    <cellStyle name="Hyperlink 3 5" xfId="239"/>
    <cellStyle name="Hyperlink 3 6" xfId="240"/>
    <cellStyle name="Hyperlink 3 7" xfId="241"/>
    <cellStyle name="Hyperlink 3 8" xfId="242"/>
    <cellStyle name="Hyperlink 3 9" xfId="243"/>
    <cellStyle name="Hyperlink 32" xfId="244"/>
    <cellStyle name="Hyperlink 33" xfId="245"/>
    <cellStyle name="Hyperlink 4" xfId="246"/>
    <cellStyle name="Hyperlink 4 10" xfId="247"/>
    <cellStyle name="Hyperlink 4 11" xfId="248"/>
    <cellStyle name="Hyperlink 4 12" xfId="249"/>
    <cellStyle name="Hyperlink 4 13" xfId="250"/>
    <cellStyle name="Hyperlink 4 14" xfId="251"/>
    <cellStyle name="Hyperlink 4 2" xfId="252"/>
    <cellStyle name="Hyperlink 4 3" xfId="253"/>
    <cellStyle name="Hyperlink 4 4" xfId="254"/>
    <cellStyle name="Hyperlink 4 5" xfId="255"/>
    <cellStyle name="Hyperlink 4 6" xfId="256"/>
    <cellStyle name="Hyperlink 4 7" xfId="257"/>
    <cellStyle name="Hyperlink 4 8" xfId="258"/>
    <cellStyle name="Hyperlink 4 9" xfId="259"/>
    <cellStyle name="Hyperlink 5" xfId="260"/>
    <cellStyle name="Hyperlink 5 10" xfId="261"/>
    <cellStyle name="Hyperlink 5 11" xfId="262"/>
    <cellStyle name="Hyperlink 5 12" xfId="263"/>
    <cellStyle name="Hyperlink 5 13" xfId="264"/>
    <cellStyle name="Hyperlink 5 14" xfId="265"/>
    <cellStyle name="Hyperlink 5 2" xfId="266"/>
    <cellStyle name="Hyperlink 5 3" xfId="267"/>
    <cellStyle name="Hyperlink 5 4" xfId="268"/>
    <cellStyle name="Hyperlink 5 5" xfId="269"/>
    <cellStyle name="Hyperlink 5 6" xfId="270"/>
    <cellStyle name="Hyperlink 5 7" xfId="271"/>
    <cellStyle name="Hyperlink 5 8" xfId="272"/>
    <cellStyle name="Hyperlink 5 9" xfId="273"/>
    <cellStyle name="Hyperlink 6" xfId="274"/>
    <cellStyle name="Hyperlink 6 10" xfId="275"/>
    <cellStyle name="Hyperlink 6 11" xfId="276"/>
    <cellStyle name="Hyperlink 6 12" xfId="277"/>
    <cellStyle name="Hyperlink 6 13" xfId="278"/>
    <cellStyle name="Hyperlink 6 14" xfId="279"/>
    <cellStyle name="Hyperlink 6 2" xfId="280"/>
    <cellStyle name="Hyperlink 6 3" xfId="281"/>
    <cellStyle name="Hyperlink 6 4" xfId="282"/>
    <cellStyle name="Hyperlink 6 5" xfId="283"/>
    <cellStyle name="Hyperlink 6 6" xfId="284"/>
    <cellStyle name="Hyperlink 6 7" xfId="285"/>
    <cellStyle name="Hyperlink 6 8" xfId="286"/>
    <cellStyle name="Hyperlink 6 9" xfId="287"/>
    <cellStyle name="Hyperlink 7" xfId="288"/>
    <cellStyle name="Hyperlink 7 10" xfId="289"/>
    <cellStyle name="Hyperlink 7 11" xfId="290"/>
    <cellStyle name="Hyperlink 7 12" xfId="291"/>
    <cellStyle name="Hyperlink 7 13" xfId="292"/>
    <cellStyle name="Hyperlink 7 14" xfId="293"/>
    <cellStyle name="Hyperlink 7 15" xfId="294"/>
    <cellStyle name="Hyperlink 7 15 2" xfId="295"/>
    <cellStyle name="Hyperlink 7 2" xfId="296"/>
    <cellStyle name="Hyperlink 7 3" xfId="297"/>
    <cellStyle name="Hyperlink 7 4" xfId="298"/>
    <cellStyle name="Hyperlink 7 5" xfId="299"/>
    <cellStyle name="Hyperlink 7 6" xfId="300"/>
    <cellStyle name="Hyperlink 7 7" xfId="301"/>
    <cellStyle name="Hyperlink 7 8" xfId="302"/>
    <cellStyle name="Hyperlink 7 9" xfId="303"/>
    <cellStyle name="Hyperlink 8 10" xfId="304"/>
    <cellStyle name="Hyperlink 8 11" xfId="305"/>
    <cellStyle name="Hyperlink 8 12" xfId="306"/>
    <cellStyle name="Hyperlink 8 13" xfId="307"/>
    <cellStyle name="Hyperlink 8 14" xfId="308"/>
    <cellStyle name="Hyperlink 8 2" xfId="309"/>
    <cellStyle name="Hyperlink 8 3" xfId="310"/>
    <cellStyle name="Hyperlink 8 4" xfId="311"/>
    <cellStyle name="Hyperlink 8 5" xfId="312"/>
    <cellStyle name="Hyperlink 8 6" xfId="313"/>
    <cellStyle name="Hyperlink 8 7" xfId="314"/>
    <cellStyle name="Hyperlink 8 8" xfId="315"/>
    <cellStyle name="Hyperlink 8 9" xfId="316"/>
    <cellStyle name="Hyperlink 9 10" xfId="317"/>
    <cellStyle name="Hyperlink 9 11" xfId="318"/>
    <cellStyle name="Hyperlink 9 12" xfId="319"/>
    <cellStyle name="Hyperlink 9 13" xfId="320"/>
    <cellStyle name="Hyperlink 9 14" xfId="321"/>
    <cellStyle name="Hyperlink 9 2" xfId="322"/>
    <cellStyle name="Hyperlink 9 3" xfId="323"/>
    <cellStyle name="Hyperlink 9 4" xfId="324"/>
    <cellStyle name="Hyperlink 9 5" xfId="325"/>
    <cellStyle name="Hyperlink 9 6" xfId="326"/>
    <cellStyle name="Hyperlink 9 7" xfId="327"/>
    <cellStyle name="Hyperlink 9 8" xfId="328"/>
    <cellStyle name="Hyperlink 9 9" xfId="329"/>
    <cellStyle name="Normal" xfId="0" builtinId="0"/>
    <cellStyle name="Normal 10" xfId="330"/>
    <cellStyle name="Normal 10 10" xfId="331"/>
    <cellStyle name="Normal 10 11" xfId="332"/>
    <cellStyle name="Normal 10 12" xfId="333"/>
    <cellStyle name="Normal 10 13" xfId="334"/>
    <cellStyle name="Normal 10 14" xfId="335"/>
    <cellStyle name="Normal 10 15" xfId="336"/>
    <cellStyle name="Normal 10 16" xfId="337"/>
    <cellStyle name="Normal 10 17" xfId="338"/>
    <cellStyle name="Normal 10 2" xfId="339"/>
    <cellStyle name="Normal 10 3" xfId="340"/>
    <cellStyle name="Normal 10 4" xfId="341"/>
    <cellStyle name="Normal 10 5" xfId="342"/>
    <cellStyle name="Normal 10 6" xfId="343"/>
    <cellStyle name="Normal 10 7" xfId="344"/>
    <cellStyle name="Normal 10 8" xfId="345"/>
    <cellStyle name="Normal 10 9" xfId="346"/>
    <cellStyle name="Normal 11" xfId="347"/>
    <cellStyle name="Normal 11 10" xfId="348"/>
    <cellStyle name="Normal 11 11" xfId="349"/>
    <cellStyle name="Normal 11 12" xfId="350"/>
    <cellStyle name="Normal 11 13" xfId="351"/>
    <cellStyle name="Normal 11 14" xfId="352"/>
    <cellStyle name="Normal 11 15" xfId="353"/>
    <cellStyle name="Normal 11 16" xfId="354"/>
    <cellStyle name="Normal 11 17" xfId="355"/>
    <cellStyle name="Normal 11 2" xfId="356"/>
    <cellStyle name="Normal 11 3" xfId="357"/>
    <cellStyle name="Normal 11 4" xfId="358"/>
    <cellStyle name="Normal 11 5" xfId="359"/>
    <cellStyle name="Normal 11 6" xfId="360"/>
    <cellStyle name="Normal 11 7" xfId="361"/>
    <cellStyle name="Normal 11 8" xfId="362"/>
    <cellStyle name="Normal 11 9" xfId="363"/>
    <cellStyle name="Normal 12" xfId="364"/>
    <cellStyle name="Normal 12 10" xfId="365"/>
    <cellStyle name="Normal 12 11" xfId="366"/>
    <cellStyle name="Normal 12 12" xfId="367"/>
    <cellStyle name="Normal 12 13" xfId="368"/>
    <cellStyle name="Normal 12 14" xfId="369"/>
    <cellStyle name="Normal 12 15" xfId="370"/>
    <cellStyle name="Normal 12 16" xfId="371"/>
    <cellStyle name="Normal 12 17" xfId="372"/>
    <cellStyle name="Normal 12 2" xfId="373"/>
    <cellStyle name="Normal 12 3" xfId="374"/>
    <cellStyle name="Normal 12 4" xfId="375"/>
    <cellStyle name="Normal 12 5" xfId="376"/>
    <cellStyle name="Normal 12 6" xfId="377"/>
    <cellStyle name="Normal 12 7" xfId="378"/>
    <cellStyle name="Normal 12 8" xfId="379"/>
    <cellStyle name="Normal 12 9" xfId="380"/>
    <cellStyle name="Normal 13" xfId="381"/>
    <cellStyle name="Normal 13 10" xfId="382"/>
    <cellStyle name="Normal 13 11" xfId="383"/>
    <cellStyle name="Normal 13 12" xfId="384"/>
    <cellStyle name="Normal 13 13" xfId="385"/>
    <cellStyle name="Normal 13 14" xfId="386"/>
    <cellStyle name="Normal 13 15" xfId="387"/>
    <cellStyle name="Normal 13 16" xfId="388"/>
    <cellStyle name="Normal 13 17" xfId="389"/>
    <cellStyle name="Normal 13 2" xfId="390"/>
    <cellStyle name="Normal 13 3" xfId="391"/>
    <cellStyle name="Normal 13 4" xfId="392"/>
    <cellStyle name="Normal 13 5" xfId="393"/>
    <cellStyle name="Normal 13 6" xfId="394"/>
    <cellStyle name="Normal 13 7" xfId="395"/>
    <cellStyle name="Normal 13 8" xfId="396"/>
    <cellStyle name="Normal 13 9" xfId="397"/>
    <cellStyle name="Normal 14" xfId="398"/>
    <cellStyle name="Normal 14 10" xfId="399"/>
    <cellStyle name="Normal 14 11" xfId="400"/>
    <cellStyle name="Normal 14 12" xfId="401"/>
    <cellStyle name="Normal 14 13" xfId="402"/>
    <cellStyle name="Normal 14 14" xfId="403"/>
    <cellStyle name="Normal 14 15" xfId="404"/>
    <cellStyle name="Normal 14 16" xfId="405"/>
    <cellStyle name="Normal 14 17" xfId="406"/>
    <cellStyle name="Normal 14 2" xfId="407"/>
    <cellStyle name="Normal 14 3" xfId="408"/>
    <cellStyle name="Normal 14 4" xfId="409"/>
    <cellStyle name="Normal 14 5" xfId="410"/>
    <cellStyle name="Normal 14 6" xfId="411"/>
    <cellStyle name="Normal 14 7" xfId="412"/>
    <cellStyle name="Normal 14 8" xfId="413"/>
    <cellStyle name="Normal 14 9" xfId="414"/>
    <cellStyle name="Normal 15" xfId="415"/>
    <cellStyle name="Normal 15 10" xfId="416"/>
    <cellStyle name="Normal 15 11" xfId="417"/>
    <cellStyle name="Normal 15 12" xfId="418"/>
    <cellStyle name="Normal 15 13" xfId="419"/>
    <cellStyle name="Normal 15 14" xfId="420"/>
    <cellStyle name="Normal 15 15" xfId="421"/>
    <cellStyle name="Normal 15 16" xfId="422"/>
    <cellStyle name="Normal 15 17" xfId="423"/>
    <cellStyle name="Normal 15 2" xfId="424"/>
    <cellStyle name="Normal 15 3" xfId="425"/>
    <cellStyle name="Normal 15 4" xfId="426"/>
    <cellStyle name="Normal 15 5" xfId="427"/>
    <cellStyle name="Normal 15 6" xfId="428"/>
    <cellStyle name="Normal 15 7" xfId="429"/>
    <cellStyle name="Normal 15 8" xfId="430"/>
    <cellStyle name="Normal 15 9" xfId="431"/>
    <cellStyle name="Normal 16" xfId="432"/>
    <cellStyle name="Normal 16 10" xfId="433"/>
    <cellStyle name="Normal 16 11" xfId="434"/>
    <cellStyle name="Normal 16 12" xfId="435"/>
    <cellStyle name="Normal 16 13" xfId="436"/>
    <cellStyle name="Normal 16 14" xfId="437"/>
    <cellStyle name="Normal 16 15" xfId="438"/>
    <cellStyle name="Normal 16 16" xfId="439"/>
    <cellStyle name="Normal 16 17" xfId="440"/>
    <cellStyle name="Normal 16 2" xfId="441"/>
    <cellStyle name="Normal 16 3" xfId="442"/>
    <cellStyle name="Normal 16 4" xfId="443"/>
    <cellStyle name="Normal 16 5" xfId="444"/>
    <cellStyle name="Normal 16 6" xfId="445"/>
    <cellStyle name="Normal 16 7" xfId="446"/>
    <cellStyle name="Normal 16 8" xfId="447"/>
    <cellStyle name="Normal 16 9" xfId="448"/>
    <cellStyle name="Normal 17" xfId="449"/>
    <cellStyle name="Normal 17 10" xfId="450"/>
    <cellStyle name="Normal 17 11" xfId="451"/>
    <cellStyle name="Normal 17 12" xfId="452"/>
    <cellStyle name="Normal 17 13" xfId="453"/>
    <cellStyle name="Normal 17 14" xfId="454"/>
    <cellStyle name="Normal 17 15" xfId="455"/>
    <cellStyle name="Normal 17 16" xfId="456"/>
    <cellStyle name="Normal 17 17" xfId="457"/>
    <cellStyle name="Normal 17 2" xfId="458"/>
    <cellStyle name="Normal 17 3" xfId="459"/>
    <cellStyle name="Normal 17 4" xfId="460"/>
    <cellStyle name="Normal 17 5" xfId="461"/>
    <cellStyle name="Normal 17 6" xfId="462"/>
    <cellStyle name="Normal 17 7" xfId="463"/>
    <cellStyle name="Normal 17 8" xfId="464"/>
    <cellStyle name="Normal 17 9" xfId="465"/>
    <cellStyle name="Normal 18" xfId="466"/>
    <cellStyle name="Normal 18 10" xfId="467"/>
    <cellStyle name="Normal 18 11" xfId="468"/>
    <cellStyle name="Normal 18 12" xfId="469"/>
    <cellStyle name="Normal 18 13" xfId="470"/>
    <cellStyle name="Normal 18 14" xfId="471"/>
    <cellStyle name="Normal 18 15" xfId="472"/>
    <cellStyle name="Normal 18 16" xfId="473"/>
    <cellStyle name="Normal 18 17" xfId="474"/>
    <cellStyle name="Normal 18 2" xfId="475"/>
    <cellStyle name="Normal 18 3" xfId="476"/>
    <cellStyle name="Normal 18 4" xfId="477"/>
    <cellStyle name="Normal 18 5" xfId="478"/>
    <cellStyle name="Normal 18 6" xfId="479"/>
    <cellStyle name="Normal 18 7" xfId="480"/>
    <cellStyle name="Normal 18 8" xfId="481"/>
    <cellStyle name="Normal 18 9" xfId="482"/>
    <cellStyle name="Normal 19" xfId="483"/>
    <cellStyle name="Normal 19 10" xfId="484"/>
    <cellStyle name="Normal 19 11" xfId="485"/>
    <cellStyle name="Normal 19 12" xfId="486"/>
    <cellStyle name="Normal 19 13" xfId="487"/>
    <cellStyle name="Normal 19 14" xfId="488"/>
    <cellStyle name="Normal 19 15" xfId="489"/>
    <cellStyle name="Normal 19 16" xfId="490"/>
    <cellStyle name="Normal 19 17" xfId="491"/>
    <cellStyle name="Normal 19 2" xfId="492"/>
    <cellStyle name="Normal 19 3" xfId="493"/>
    <cellStyle name="Normal 19 4" xfId="494"/>
    <cellStyle name="Normal 19 5" xfId="495"/>
    <cellStyle name="Normal 19 6" xfId="496"/>
    <cellStyle name="Normal 19 7" xfId="497"/>
    <cellStyle name="Normal 19 8" xfId="498"/>
    <cellStyle name="Normal 19 9" xfId="499"/>
    <cellStyle name="Normal 2" xfId="500"/>
    <cellStyle name="Normal 2 10" xfId="501"/>
    <cellStyle name="Normal 2 11" xfId="502"/>
    <cellStyle name="Normal 2 12" xfId="503"/>
    <cellStyle name="Normal 2 13" xfId="504"/>
    <cellStyle name="Normal 2 14" xfId="505"/>
    <cellStyle name="Normal 2 15" xfId="506"/>
    <cellStyle name="Normal 2 16" xfId="507"/>
    <cellStyle name="Normal 2 17" xfId="508"/>
    <cellStyle name="Normal 2 18" xfId="509"/>
    <cellStyle name="Normal 2 18 10" xfId="510"/>
    <cellStyle name="Normal 2 18 10 2" xfId="511"/>
    <cellStyle name="Normal 2 18 10 2 2" xfId="512"/>
    <cellStyle name="Normal 2 18 10 2 2 2" xfId="513"/>
    <cellStyle name="Normal 2 18 10 2 2 2 2" xfId="514"/>
    <cellStyle name="Normal 2 18 10 2 2 2 3" xfId="515"/>
    <cellStyle name="Normal 2 18 10 2 2 3" xfId="516"/>
    <cellStyle name="Normal 2 18 10 2 2 4" xfId="517"/>
    <cellStyle name="Normal 2 18 10 2 3" xfId="518"/>
    <cellStyle name="Normal 2 18 10 2 3 2" xfId="519"/>
    <cellStyle name="Normal 2 18 10 2 3 2 2" xfId="520"/>
    <cellStyle name="Normal 2 18 10 2 3 2 3" xfId="521"/>
    <cellStyle name="Normal 2 18 10 2 3 3" xfId="522"/>
    <cellStyle name="Normal 2 18 10 2 3 4" xfId="523"/>
    <cellStyle name="Normal 2 18 10 2 4" xfId="524"/>
    <cellStyle name="Normal 2 18 10 2 4 2" xfId="525"/>
    <cellStyle name="Normal 2 18 10 2 4 3" xfId="526"/>
    <cellStyle name="Normal 2 18 10 2 5" xfId="527"/>
    <cellStyle name="Normal 2 18 10 2 6" xfId="528"/>
    <cellStyle name="Normal 2 18 10 3" xfId="529"/>
    <cellStyle name="Normal 2 18 10 3 2" xfId="530"/>
    <cellStyle name="Normal 2 18 10 3 2 2" xfId="531"/>
    <cellStyle name="Normal 2 18 10 3 2 2 2" xfId="532"/>
    <cellStyle name="Normal 2 18 10 3 2 2 3" xfId="533"/>
    <cellStyle name="Normal 2 18 10 3 2 3" xfId="534"/>
    <cellStyle name="Normal 2 18 10 3 2 4" xfId="535"/>
    <cellStyle name="Normal 2 18 10 3 3" xfId="536"/>
    <cellStyle name="Normal 2 18 10 3 3 2" xfId="537"/>
    <cellStyle name="Normal 2 18 10 3 3 2 2" xfId="538"/>
    <cellStyle name="Normal 2 18 10 3 3 2 3" xfId="539"/>
    <cellStyle name="Normal 2 18 10 3 3 3" xfId="540"/>
    <cellStyle name="Normal 2 18 10 3 3 4" xfId="541"/>
    <cellStyle name="Normal 2 18 10 3 4" xfId="542"/>
    <cellStyle name="Normal 2 18 10 3 4 2" xfId="543"/>
    <cellStyle name="Normal 2 18 10 3 4 3" xfId="544"/>
    <cellStyle name="Normal 2 18 10 3 5" xfId="545"/>
    <cellStyle name="Normal 2 18 10 3 6" xfId="546"/>
    <cellStyle name="Normal 2 18 10 4" xfId="547"/>
    <cellStyle name="Normal 2 18 10 4 2" xfId="548"/>
    <cellStyle name="Normal 2 18 10 4 2 2" xfId="549"/>
    <cellStyle name="Normal 2 18 10 4 2 3" xfId="550"/>
    <cellStyle name="Normal 2 18 10 4 3" xfId="551"/>
    <cellStyle name="Normal 2 18 10 4 4" xfId="552"/>
    <cellStyle name="Normal 2 18 10 5" xfId="553"/>
    <cellStyle name="Normal 2 18 10 5 2" xfId="554"/>
    <cellStyle name="Normal 2 18 10 5 2 2" xfId="555"/>
    <cellStyle name="Normal 2 18 10 5 2 3" xfId="556"/>
    <cellStyle name="Normal 2 18 10 5 3" xfId="557"/>
    <cellStyle name="Normal 2 18 10 5 4" xfId="558"/>
    <cellStyle name="Normal 2 18 10 6" xfId="559"/>
    <cellStyle name="Normal 2 18 10 6 2" xfId="560"/>
    <cellStyle name="Normal 2 18 10 6 3" xfId="561"/>
    <cellStyle name="Normal 2 18 10 7" xfId="562"/>
    <cellStyle name="Normal 2 18 10 8" xfId="563"/>
    <cellStyle name="Normal 2 18 11" xfId="564"/>
    <cellStyle name="Normal 2 18 11 2" xfId="565"/>
    <cellStyle name="Normal 2 18 11 2 2" xfId="566"/>
    <cellStyle name="Normal 2 18 11 2 2 2" xfId="567"/>
    <cellStyle name="Normal 2 18 11 2 2 2 2" xfId="568"/>
    <cellStyle name="Normal 2 18 11 2 2 2 3" xfId="569"/>
    <cellStyle name="Normal 2 18 11 2 2 3" xfId="570"/>
    <cellStyle name="Normal 2 18 11 2 2 4" xfId="571"/>
    <cellStyle name="Normal 2 18 11 2 3" xfId="572"/>
    <cellStyle name="Normal 2 18 11 2 3 2" xfId="573"/>
    <cellStyle name="Normal 2 18 11 2 3 2 2" xfId="574"/>
    <cellStyle name="Normal 2 18 11 2 3 2 3" xfId="575"/>
    <cellStyle name="Normal 2 18 11 2 3 3" xfId="576"/>
    <cellStyle name="Normal 2 18 11 2 3 4" xfId="577"/>
    <cellStyle name="Normal 2 18 11 2 4" xfId="578"/>
    <cellStyle name="Normal 2 18 11 2 4 2" xfId="579"/>
    <cellStyle name="Normal 2 18 11 2 4 3" xfId="580"/>
    <cellStyle name="Normal 2 18 11 2 5" xfId="581"/>
    <cellStyle name="Normal 2 18 11 2 6" xfId="582"/>
    <cellStyle name="Normal 2 18 11 3" xfId="583"/>
    <cellStyle name="Normal 2 18 11 3 2" xfId="584"/>
    <cellStyle name="Normal 2 18 11 3 2 2" xfId="585"/>
    <cellStyle name="Normal 2 18 11 3 2 2 2" xfId="586"/>
    <cellStyle name="Normal 2 18 11 3 2 2 3" xfId="587"/>
    <cellStyle name="Normal 2 18 11 3 2 3" xfId="588"/>
    <cellStyle name="Normal 2 18 11 3 2 4" xfId="589"/>
    <cellStyle name="Normal 2 18 11 3 3" xfId="590"/>
    <cellStyle name="Normal 2 18 11 3 3 2" xfId="591"/>
    <cellStyle name="Normal 2 18 11 3 3 2 2" xfId="592"/>
    <cellStyle name="Normal 2 18 11 3 3 2 3" xfId="593"/>
    <cellStyle name="Normal 2 18 11 3 3 3" xfId="594"/>
    <cellStyle name="Normal 2 18 11 3 3 4" xfId="595"/>
    <cellStyle name="Normal 2 18 11 3 4" xfId="596"/>
    <cellStyle name="Normal 2 18 11 3 4 2" xfId="597"/>
    <cellStyle name="Normal 2 18 11 3 4 3" xfId="598"/>
    <cellStyle name="Normal 2 18 11 3 5" xfId="599"/>
    <cellStyle name="Normal 2 18 11 3 6" xfId="600"/>
    <cellStyle name="Normal 2 18 11 4" xfId="601"/>
    <cellStyle name="Normal 2 18 11 4 2" xfId="602"/>
    <cellStyle name="Normal 2 18 11 4 2 2" xfId="603"/>
    <cellStyle name="Normal 2 18 11 4 2 3" xfId="604"/>
    <cellStyle name="Normal 2 18 11 4 3" xfId="605"/>
    <cellStyle name="Normal 2 18 11 4 4" xfId="606"/>
    <cellStyle name="Normal 2 18 11 5" xfId="607"/>
    <cellStyle name="Normal 2 18 11 5 2" xfId="608"/>
    <cellStyle name="Normal 2 18 11 5 2 2" xfId="609"/>
    <cellStyle name="Normal 2 18 11 5 2 3" xfId="610"/>
    <cellStyle name="Normal 2 18 11 5 3" xfId="611"/>
    <cellStyle name="Normal 2 18 11 5 4" xfId="612"/>
    <cellStyle name="Normal 2 18 11 6" xfId="613"/>
    <cellStyle name="Normal 2 18 11 6 2" xfId="614"/>
    <cellStyle name="Normal 2 18 11 6 3" xfId="615"/>
    <cellStyle name="Normal 2 18 11 7" xfId="616"/>
    <cellStyle name="Normal 2 18 11 8" xfId="617"/>
    <cellStyle name="Normal 2 18 12" xfId="618"/>
    <cellStyle name="Normal 2 18 12 2" xfId="619"/>
    <cellStyle name="Normal 2 18 12 2 2" xfId="620"/>
    <cellStyle name="Normal 2 18 12 2 2 2" xfId="621"/>
    <cellStyle name="Normal 2 18 12 2 2 2 2" xfId="622"/>
    <cellStyle name="Normal 2 18 12 2 2 2 3" xfId="623"/>
    <cellStyle name="Normal 2 18 12 2 2 3" xfId="624"/>
    <cellStyle name="Normal 2 18 12 2 2 4" xfId="625"/>
    <cellStyle name="Normal 2 18 12 2 3" xfId="626"/>
    <cellStyle name="Normal 2 18 12 2 3 2" xfId="627"/>
    <cellStyle name="Normal 2 18 12 2 3 2 2" xfId="628"/>
    <cellStyle name="Normal 2 18 12 2 3 2 3" xfId="629"/>
    <cellStyle name="Normal 2 18 12 2 3 3" xfId="630"/>
    <cellStyle name="Normal 2 18 12 2 3 4" xfId="631"/>
    <cellStyle name="Normal 2 18 12 2 4" xfId="632"/>
    <cellStyle name="Normal 2 18 12 2 4 2" xfId="633"/>
    <cellStyle name="Normal 2 18 12 2 4 3" xfId="634"/>
    <cellStyle name="Normal 2 18 12 2 5" xfId="635"/>
    <cellStyle name="Normal 2 18 12 2 6" xfId="636"/>
    <cellStyle name="Normal 2 18 12 3" xfId="637"/>
    <cellStyle name="Normal 2 18 12 3 2" xfId="638"/>
    <cellStyle name="Normal 2 18 12 3 2 2" xfId="639"/>
    <cellStyle name="Normal 2 18 12 3 2 2 2" xfId="640"/>
    <cellStyle name="Normal 2 18 12 3 2 2 3" xfId="641"/>
    <cellStyle name="Normal 2 18 12 3 2 3" xfId="642"/>
    <cellStyle name="Normal 2 18 12 3 2 4" xfId="643"/>
    <cellStyle name="Normal 2 18 12 3 3" xfId="644"/>
    <cellStyle name="Normal 2 18 12 3 3 2" xfId="645"/>
    <cellStyle name="Normal 2 18 12 3 3 2 2" xfId="646"/>
    <cellStyle name="Normal 2 18 12 3 3 2 3" xfId="647"/>
    <cellStyle name="Normal 2 18 12 3 3 3" xfId="648"/>
    <cellStyle name="Normal 2 18 12 3 3 4" xfId="649"/>
    <cellStyle name="Normal 2 18 12 3 4" xfId="650"/>
    <cellStyle name="Normal 2 18 12 3 4 2" xfId="651"/>
    <cellStyle name="Normal 2 18 12 3 4 3" xfId="652"/>
    <cellStyle name="Normal 2 18 12 3 5" xfId="653"/>
    <cellStyle name="Normal 2 18 12 3 6" xfId="654"/>
    <cellStyle name="Normal 2 18 12 4" xfId="655"/>
    <cellStyle name="Normal 2 18 12 4 2" xfId="656"/>
    <cellStyle name="Normal 2 18 12 4 2 2" xfId="657"/>
    <cellStyle name="Normal 2 18 12 4 2 3" xfId="658"/>
    <cellStyle name="Normal 2 18 12 4 3" xfId="659"/>
    <cellStyle name="Normal 2 18 12 4 4" xfId="660"/>
    <cellStyle name="Normal 2 18 12 5" xfId="661"/>
    <cellStyle name="Normal 2 18 12 5 2" xfId="662"/>
    <cellStyle name="Normal 2 18 12 5 2 2" xfId="663"/>
    <cellStyle name="Normal 2 18 12 5 2 3" xfId="664"/>
    <cellStyle name="Normal 2 18 12 5 3" xfId="665"/>
    <cellStyle name="Normal 2 18 12 5 4" xfId="666"/>
    <cellStyle name="Normal 2 18 12 6" xfId="667"/>
    <cellStyle name="Normal 2 18 12 6 2" xfId="668"/>
    <cellStyle name="Normal 2 18 12 6 3" xfId="669"/>
    <cellStyle name="Normal 2 18 12 7" xfId="670"/>
    <cellStyle name="Normal 2 18 12 8" xfId="671"/>
    <cellStyle name="Normal 2 18 13" xfId="672"/>
    <cellStyle name="Normal 2 18 13 2" xfId="673"/>
    <cellStyle name="Normal 2 18 13 2 2" xfId="674"/>
    <cellStyle name="Normal 2 18 13 2 2 2" xfId="675"/>
    <cellStyle name="Normal 2 18 13 2 2 2 2" xfId="676"/>
    <cellStyle name="Normal 2 18 13 2 2 2 3" xfId="677"/>
    <cellStyle name="Normal 2 18 13 2 2 3" xfId="678"/>
    <cellStyle name="Normal 2 18 13 2 2 4" xfId="679"/>
    <cellStyle name="Normal 2 18 13 2 3" xfId="680"/>
    <cellStyle name="Normal 2 18 13 2 3 2" xfId="681"/>
    <cellStyle name="Normal 2 18 13 2 3 2 2" xfId="682"/>
    <cellStyle name="Normal 2 18 13 2 3 2 3" xfId="683"/>
    <cellStyle name="Normal 2 18 13 2 3 3" xfId="684"/>
    <cellStyle name="Normal 2 18 13 2 3 4" xfId="685"/>
    <cellStyle name="Normal 2 18 13 2 4" xfId="686"/>
    <cellStyle name="Normal 2 18 13 2 4 2" xfId="687"/>
    <cellStyle name="Normal 2 18 13 2 4 3" xfId="688"/>
    <cellStyle name="Normal 2 18 13 2 5" xfId="689"/>
    <cellStyle name="Normal 2 18 13 2 6" xfId="690"/>
    <cellStyle name="Normal 2 18 13 3" xfId="691"/>
    <cellStyle name="Normal 2 18 13 3 2" xfId="692"/>
    <cellStyle name="Normal 2 18 13 3 2 2" xfId="693"/>
    <cellStyle name="Normal 2 18 13 3 2 2 2" xfId="694"/>
    <cellStyle name="Normal 2 18 13 3 2 2 3" xfId="695"/>
    <cellStyle name="Normal 2 18 13 3 2 3" xfId="696"/>
    <cellStyle name="Normal 2 18 13 3 2 4" xfId="697"/>
    <cellStyle name="Normal 2 18 13 3 3" xfId="698"/>
    <cellStyle name="Normal 2 18 13 3 3 2" xfId="699"/>
    <cellStyle name="Normal 2 18 13 3 3 2 2" xfId="700"/>
    <cellStyle name="Normal 2 18 13 3 3 2 3" xfId="701"/>
    <cellStyle name="Normal 2 18 13 3 3 3" xfId="702"/>
    <cellStyle name="Normal 2 18 13 3 3 4" xfId="703"/>
    <cellStyle name="Normal 2 18 13 3 4" xfId="704"/>
    <cellStyle name="Normal 2 18 13 3 4 2" xfId="705"/>
    <cellStyle name="Normal 2 18 13 3 4 3" xfId="706"/>
    <cellStyle name="Normal 2 18 13 3 5" xfId="707"/>
    <cellStyle name="Normal 2 18 13 3 6" xfId="708"/>
    <cellStyle name="Normal 2 18 13 4" xfId="709"/>
    <cellStyle name="Normal 2 18 13 4 2" xfId="710"/>
    <cellStyle name="Normal 2 18 13 4 2 2" xfId="711"/>
    <cellStyle name="Normal 2 18 13 4 2 3" xfId="712"/>
    <cellStyle name="Normal 2 18 13 4 3" xfId="713"/>
    <cellStyle name="Normal 2 18 13 4 4" xfId="714"/>
    <cellStyle name="Normal 2 18 13 5" xfId="715"/>
    <cellStyle name="Normal 2 18 13 5 2" xfId="716"/>
    <cellStyle name="Normal 2 18 13 5 2 2" xfId="717"/>
    <cellStyle name="Normal 2 18 13 5 2 3" xfId="718"/>
    <cellStyle name="Normal 2 18 13 5 3" xfId="719"/>
    <cellStyle name="Normal 2 18 13 5 4" xfId="720"/>
    <cellStyle name="Normal 2 18 13 6" xfId="721"/>
    <cellStyle name="Normal 2 18 13 6 2" xfId="722"/>
    <cellStyle name="Normal 2 18 13 6 3" xfId="723"/>
    <cellStyle name="Normal 2 18 13 7" xfId="724"/>
    <cellStyle name="Normal 2 18 13 8" xfId="725"/>
    <cellStyle name="Normal 2 18 14" xfId="726"/>
    <cellStyle name="Normal 2 18 14 2" xfId="727"/>
    <cellStyle name="Normal 2 18 14 2 2" xfId="728"/>
    <cellStyle name="Normal 2 18 14 2 2 2" xfId="729"/>
    <cellStyle name="Normal 2 18 14 2 2 2 2" xfId="730"/>
    <cellStyle name="Normal 2 18 14 2 2 2 3" xfId="731"/>
    <cellStyle name="Normal 2 18 14 2 2 3" xfId="732"/>
    <cellStyle name="Normal 2 18 14 2 2 4" xfId="733"/>
    <cellStyle name="Normal 2 18 14 2 3" xfId="734"/>
    <cellStyle name="Normal 2 18 14 2 3 2" xfId="735"/>
    <cellStyle name="Normal 2 18 14 2 3 2 2" xfId="736"/>
    <cellStyle name="Normal 2 18 14 2 3 2 3" xfId="737"/>
    <cellStyle name="Normal 2 18 14 2 3 3" xfId="738"/>
    <cellStyle name="Normal 2 18 14 2 3 4" xfId="739"/>
    <cellStyle name="Normal 2 18 14 2 4" xfId="740"/>
    <cellStyle name="Normal 2 18 14 2 4 2" xfId="741"/>
    <cellStyle name="Normal 2 18 14 2 4 3" xfId="742"/>
    <cellStyle name="Normal 2 18 14 2 5" xfId="743"/>
    <cellStyle name="Normal 2 18 14 2 6" xfId="744"/>
    <cellStyle name="Normal 2 18 14 3" xfId="745"/>
    <cellStyle name="Normal 2 18 14 3 2" xfId="746"/>
    <cellStyle name="Normal 2 18 14 3 2 2" xfId="747"/>
    <cellStyle name="Normal 2 18 14 3 2 2 2" xfId="748"/>
    <cellStyle name="Normal 2 18 14 3 2 2 3" xfId="749"/>
    <cellStyle name="Normal 2 18 14 3 2 3" xfId="750"/>
    <cellStyle name="Normal 2 18 14 3 2 4" xfId="751"/>
    <cellStyle name="Normal 2 18 14 3 3" xfId="752"/>
    <cellStyle name="Normal 2 18 14 3 3 2" xfId="753"/>
    <cellStyle name="Normal 2 18 14 3 3 2 2" xfId="754"/>
    <cellStyle name="Normal 2 18 14 3 3 2 3" xfId="755"/>
    <cellStyle name="Normal 2 18 14 3 3 3" xfId="756"/>
    <cellStyle name="Normal 2 18 14 3 3 4" xfId="757"/>
    <cellStyle name="Normal 2 18 14 3 4" xfId="758"/>
    <cellStyle name="Normal 2 18 14 3 4 2" xfId="759"/>
    <cellStyle name="Normal 2 18 14 3 4 3" xfId="760"/>
    <cellStyle name="Normal 2 18 14 3 5" xfId="761"/>
    <cellStyle name="Normal 2 18 14 3 6" xfId="762"/>
    <cellStyle name="Normal 2 18 14 4" xfId="763"/>
    <cellStyle name="Normal 2 18 14 4 2" xfId="764"/>
    <cellStyle name="Normal 2 18 14 4 2 2" xfId="765"/>
    <cellStyle name="Normal 2 18 14 4 2 3" xfId="766"/>
    <cellStyle name="Normal 2 18 14 4 3" xfId="767"/>
    <cellStyle name="Normal 2 18 14 4 4" xfId="768"/>
    <cellStyle name="Normal 2 18 14 5" xfId="769"/>
    <cellStyle name="Normal 2 18 14 5 2" xfId="770"/>
    <cellStyle name="Normal 2 18 14 5 2 2" xfId="771"/>
    <cellStyle name="Normal 2 18 14 5 2 3" xfId="772"/>
    <cellStyle name="Normal 2 18 14 5 3" xfId="773"/>
    <cellStyle name="Normal 2 18 14 5 4" xfId="774"/>
    <cellStyle name="Normal 2 18 14 6" xfId="775"/>
    <cellStyle name="Normal 2 18 14 6 2" xfId="776"/>
    <cellStyle name="Normal 2 18 14 6 3" xfId="777"/>
    <cellStyle name="Normal 2 18 14 7" xfId="778"/>
    <cellStyle name="Normal 2 18 14 8" xfId="779"/>
    <cellStyle name="Normal 2 18 15" xfId="780"/>
    <cellStyle name="Normal 2 18 15 2" xfId="781"/>
    <cellStyle name="Normal 2 18 15 2 2" xfId="782"/>
    <cellStyle name="Normal 2 18 15 2 2 2" xfId="783"/>
    <cellStyle name="Normal 2 18 15 2 2 2 2" xfId="784"/>
    <cellStyle name="Normal 2 18 15 2 2 2 3" xfId="785"/>
    <cellStyle name="Normal 2 18 15 2 2 3" xfId="786"/>
    <cellStyle name="Normal 2 18 15 2 2 4" xfId="787"/>
    <cellStyle name="Normal 2 18 15 2 3" xfId="788"/>
    <cellStyle name="Normal 2 18 15 2 3 2" xfId="789"/>
    <cellStyle name="Normal 2 18 15 2 3 2 2" xfId="790"/>
    <cellStyle name="Normal 2 18 15 2 3 2 3" xfId="791"/>
    <cellStyle name="Normal 2 18 15 2 3 3" xfId="792"/>
    <cellStyle name="Normal 2 18 15 2 3 4" xfId="793"/>
    <cellStyle name="Normal 2 18 15 2 4" xfId="794"/>
    <cellStyle name="Normal 2 18 15 2 4 2" xfId="795"/>
    <cellStyle name="Normal 2 18 15 2 4 3" xfId="796"/>
    <cellStyle name="Normal 2 18 15 2 5" xfId="797"/>
    <cellStyle name="Normal 2 18 15 2 6" xfId="798"/>
    <cellStyle name="Normal 2 18 15 3" xfId="799"/>
    <cellStyle name="Normal 2 18 15 3 2" xfId="800"/>
    <cellStyle name="Normal 2 18 15 3 2 2" xfId="801"/>
    <cellStyle name="Normal 2 18 15 3 2 2 2" xfId="802"/>
    <cellStyle name="Normal 2 18 15 3 2 2 3" xfId="803"/>
    <cellStyle name="Normal 2 18 15 3 2 3" xfId="804"/>
    <cellStyle name="Normal 2 18 15 3 2 4" xfId="805"/>
    <cellStyle name="Normal 2 18 15 3 3" xfId="806"/>
    <cellStyle name="Normal 2 18 15 3 3 2" xfId="807"/>
    <cellStyle name="Normal 2 18 15 3 3 2 2" xfId="808"/>
    <cellStyle name="Normal 2 18 15 3 3 2 3" xfId="809"/>
    <cellStyle name="Normal 2 18 15 3 3 3" xfId="810"/>
    <cellStyle name="Normal 2 18 15 3 3 4" xfId="811"/>
    <cellStyle name="Normal 2 18 15 3 4" xfId="812"/>
    <cellStyle name="Normal 2 18 15 3 4 2" xfId="813"/>
    <cellStyle name="Normal 2 18 15 3 4 3" xfId="814"/>
    <cellStyle name="Normal 2 18 15 3 5" xfId="815"/>
    <cellStyle name="Normal 2 18 15 3 6" xfId="816"/>
    <cellStyle name="Normal 2 18 15 4" xfId="817"/>
    <cellStyle name="Normal 2 18 15 4 2" xfId="818"/>
    <cellStyle name="Normal 2 18 15 4 2 2" xfId="819"/>
    <cellStyle name="Normal 2 18 15 4 2 3" xfId="820"/>
    <cellStyle name="Normal 2 18 15 4 3" xfId="821"/>
    <cellStyle name="Normal 2 18 15 4 4" xfId="822"/>
    <cellStyle name="Normal 2 18 15 5" xfId="823"/>
    <cellStyle name="Normal 2 18 15 5 2" xfId="824"/>
    <cellStyle name="Normal 2 18 15 5 2 2" xfId="825"/>
    <cellStyle name="Normal 2 18 15 5 2 3" xfId="826"/>
    <cellStyle name="Normal 2 18 15 5 3" xfId="827"/>
    <cellStyle name="Normal 2 18 15 5 4" xfId="828"/>
    <cellStyle name="Normal 2 18 15 6" xfId="829"/>
    <cellStyle name="Normal 2 18 15 6 2" xfId="830"/>
    <cellStyle name="Normal 2 18 15 6 3" xfId="831"/>
    <cellStyle name="Normal 2 18 15 7" xfId="832"/>
    <cellStyle name="Normal 2 18 15 8" xfId="833"/>
    <cellStyle name="Normal 2 18 16" xfId="834"/>
    <cellStyle name="Normal 2 18 16 2" xfId="835"/>
    <cellStyle name="Normal 2 18 16 2 2" xfId="836"/>
    <cellStyle name="Normal 2 18 16 2 2 2" xfId="837"/>
    <cellStyle name="Normal 2 18 16 2 2 3" xfId="838"/>
    <cellStyle name="Normal 2 18 16 2 3" xfId="839"/>
    <cellStyle name="Normal 2 18 16 2 4" xfId="840"/>
    <cellStyle name="Normal 2 18 16 3" xfId="841"/>
    <cellStyle name="Normal 2 18 16 3 2" xfId="842"/>
    <cellStyle name="Normal 2 18 16 3 2 2" xfId="843"/>
    <cellStyle name="Normal 2 18 16 3 2 3" xfId="844"/>
    <cellStyle name="Normal 2 18 16 3 3" xfId="845"/>
    <cellStyle name="Normal 2 18 16 3 4" xfId="846"/>
    <cellStyle name="Normal 2 18 16 4" xfId="847"/>
    <cellStyle name="Normal 2 18 16 4 2" xfId="848"/>
    <cellStyle name="Normal 2 18 16 4 3" xfId="849"/>
    <cellStyle name="Normal 2 18 16 5" xfId="850"/>
    <cellStyle name="Normal 2 18 16 6" xfId="851"/>
    <cellStyle name="Normal 2 18 17" xfId="852"/>
    <cellStyle name="Normal 2 18 17 2" xfId="853"/>
    <cellStyle name="Normal 2 18 17 2 2" xfId="854"/>
    <cellStyle name="Normal 2 18 17 2 2 2" xfId="855"/>
    <cellStyle name="Normal 2 18 17 2 2 3" xfId="856"/>
    <cellStyle name="Normal 2 18 17 2 3" xfId="857"/>
    <cellStyle name="Normal 2 18 17 2 4" xfId="858"/>
    <cellStyle name="Normal 2 18 17 3" xfId="859"/>
    <cellStyle name="Normal 2 18 17 3 2" xfId="860"/>
    <cellStyle name="Normal 2 18 17 3 2 2" xfId="861"/>
    <cellStyle name="Normal 2 18 17 3 2 3" xfId="862"/>
    <cellStyle name="Normal 2 18 17 3 3" xfId="863"/>
    <cellStyle name="Normal 2 18 17 3 4" xfId="864"/>
    <cellStyle name="Normal 2 18 17 4" xfId="865"/>
    <cellStyle name="Normal 2 18 17 4 2" xfId="866"/>
    <cellStyle name="Normal 2 18 17 4 3" xfId="867"/>
    <cellStyle name="Normal 2 18 17 5" xfId="868"/>
    <cellStyle name="Normal 2 18 17 6" xfId="869"/>
    <cellStyle name="Normal 2 18 18" xfId="870"/>
    <cellStyle name="Normal 2 18 18 2" xfId="871"/>
    <cellStyle name="Normal 2 18 18 2 2" xfId="872"/>
    <cellStyle name="Normal 2 18 18 2 2 2" xfId="873"/>
    <cellStyle name="Normal 2 18 18 2 2 3" xfId="874"/>
    <cellStyle name="Normal 2 18 18 2 3" xfId="875"/>
    <cellStyle name="Normal 2 18 18 2 4" xfId="876"/>
    <cellStyle name="Normal 2 18 18 3" xfId="877"/>
    <cellStyle name="Normal 2 18 18 3 2" xfId="878"/>
    <cellStyle name="Normal 2 18 18 3 2 2" xfId="879"/>
    <cellStyle name="Normal 2 18 18 3 2 3" xfId="880"/>
    <cellStyle name="Normal 2 18 18 3 3" xfId="881"/>
    <cellStyle name="Normal 2 18 18 3 4" xfId="882"/>
    <cellStyle name="Normal 2 18 18 4" xfId="883"/>
    <cellStyle name="Normal 2 18 18 4 2" xfId="884"/>
    <cellStyle name="Normal 2 18 18 4 3" xfId="885"/>
    <cellStyle name="Normal 2 18 18 5" xfId="886"/>
    <cellStyle name="Normal 2 18 18 6" xfId="887"/>
    <cellStyle name="Normal 2 18 19" xfId="888"/>
    <cellStyle name="Normal 2 18 19 2" xfId="889"/>
    <cellStyle name="Normal 2 18 19 2 2" xfId="890"/>
    <cellStyle name="Normal 2 18 19 2 2 2" xfId="891"/>
    <cellStyle name="Normal 2 18 19 2 2 3" xfId="892"/>
    <cellStyle name="Normal 2 18 19 2 3" xfId="893"/>
    <cellStyle name="Normal 2 18 19 2 4" xfId="894"/>
    <cellStyle name="Normal 2 18 19 3" xfId="895"/>
    <cellStyle name="Normal 2 18 19 3 2" xfId="896"/>
    <cellStyle name="Normal 2 18 19 3 2 2" xfId="897"/>
    <cellStyle name="Normal 2 18 19 3 2 3" xfId="898"/>
    <cellStyle name="Normal 2 18 19 3 3" xfId="899"/>
    <cellStyle name="Normal 2 18 19 3 4" xfId="900"/>
    <cellStyle name="Normal 2 18 19 4" xfId="901"/>
    <cellStyle name="Normal 2 18 19 4 2" xfId="902"/>
    <cellStyle name="Normal 2 18 19 4 3" xfId="903"/>
    <cellStyle name="Normal 2 18 19 5" xfId="904"/>
    <cellStyle name="Normal 2 18 19 6" xfId="905"/>
    <cellStyle name="Normal 2 18 2" xfId="906"/>
    <cellStyle name="Normal 2 18 2 10" xfId="907"/>
    <cellStyle name="Normal 2 18 2 10 2" xfId="908"/>
    <cellStyle name="Normal 2 18 2 10 2 2" xfId="909"/>
    <cellStyle name="Normal 2 18 2 10 2 3" xfId="910"/>
    <cellStyle name="Normal 2 18 2 10 3" xfId="911"/>
    <cellStyle name="Normal 2 18 2 10 4" xfId="912"/>
    <cellStyle name="Normal 2 18 2 11" xfId="913"/>
    <cellStyle name="Normal 2 18 2 11 2" xfId="914"/>
    <cellStyle name="Normal 2 18 2 11 2 2" xfId="915"/>
    <cellStyle name="Normal 2 18 2 11 2 3" xfId="916"/>
    <cellStyle name="Normal 2 18 2 11 3" xfId="917"/>
    <cellStyle name="Normal 2 18 2 11 4" xfId="918"/>
    <cellStyle name="Normal 2 18 2 12" xfId="919"/>
    <cellStyle name="Normal 2 18 2 12 2" xfId="920"/>
    <cellStyle name="Normal 2 18 2 12 3" xfId="921"/>
    <cellStyle name="Normal 2 18 2 13" xfId="922"/>
    <cellStyle name="Normal 2 18 2 14" xfId="923"/>
    <cellStyle name="Normal 2 18 2 2" xfId="924"/>
    <cellStyle name="Normal 2 18 2 2 2" xfId="925"/>
    <cellStyle name="Normal 2 18 2 2 2 2" xfId="926"/>
    <cellStyle name="Normal 2 18 2 2 2 2 2" xfId="927"/>
    <cellStyle name="Normal 2 18 2 2 2 2 3" xfId="928"/>
    <cellStyle name="Normal 2 18 2 2 2 3" xfId="929"/>
    <cellStyle name="Normal 2 18 2 2 2 4" xfId="930"/>
    <cellStyle name="Normal 2 18 2 2 3" xfId="931"/>
    <cellStyle name="Normal 2 18 2 2 3 2" xfId="932"/>
    <cellStyle name="Normal 2 18 2 2 3 2 2" xfId="933"/>
    <cellStyle name="Normal 2 18 2 2 3 2 3" xfId="934"/>
    <cellStyle name="Normal 2 18 2 2 3 3" xfId="935"/>
    <cellStyle name="Normal 2 18 2 2 3 4" xfId="936"/>
    <cellStyle name="Normal 2 18 2 2 4" xfId="937"/>
    <cellStyle name="Normal 2 18 2 2 4 2" xfId="938"/>
    <cellStyle name="Normal 2 18 2 2 4 3" xfId="939"/>
    <cellStyle name="Normal 2 18 2 2 5" xfId="940"/>
    <cellStyle name="Normal 2 18 2 2 6" xfId="941"/>
    <cellStyle name="Normal 2 18 2 3" xfId="942"/>
    <cellStyle name="Normal 2 18 2 3 2" xfId="943"/>
    <cellStyle name="Normal 2 18 2 3 2 2" xfId="944"/>
    <cellStyle name="Normal 2 18 2 3 2 2 2" xfId="945"/>
    <cellStyle name="Normal 2 18 2 3 2 2 3" xfId="946"/>
    <cellStyle name="Normal 2 18 2 3 2 3" xfId="947"/>
    <cellStyle name="Normal 2 18 2 3 2 4" xfId="948"/>
    <cellStyle name="Normal 2 18 2 3 3" xfId="949"/>
    <cellStyle name="Normal 2 18 2 3 3 2" xfId="950"/>
    <cellStyle name="Normal 2 18 2 3 3 2 2" xfId="951"/>
    <cellStyle name="Normal 2 18 2 3 3 2 3" xfId="952"/>
    <cellStyle name="Normal 2 18 2 3 3 3" xfId="953"/>
    <cellStyle name="Normal 2 18 2 3 3 4" xfId="954"/>
    <cellStyle name="Normal 2 18 2 3 4" xfId="955"/>
    <cellStyle name="Normal 2 18 2 3 4 2" xfId="956"/>
    <cellStyle name="Normal 2 18 2 3 4 3" xfId="957"/>
    <cellStyle name="Normal 2 18 2 3 5" xfId="958"/>
    <cellStyle name="Normal 2 18 2 3 6" xfId="959"/>
    <cellStyle name="Normal 2 18 2 4" xfId="960"/>
    <cellStyle name="Normal 2 18 2 4 2" xfId="961"/>
    <cellStyle name="Normal 2 18 2 4 2 2" xfId="962"/>
    <cellStyle name="Normal 2 18 2 4 2 2 2" xfId="963"/>
    <cellStyle name="Normal 2 18 2 4 2 2 3" xfId="964"/>
    <cellStyle name="Normal 2 18 2 4 2 3" xfId="965"/>
    <cellStyle name="Normal 2 18 2 4 2 4" xfId="966"/>
    <cellStyle name="Normal 2 18 2 4 3" xfId="967"/>
    <cellStyle name="Normal 2 18 2 4 3 2" xfId="968"/>
    <cellStyle name="Normal 2 18 2 4 3 2 2" xfId="969"/>
    <cellStyle name="Normal 2 18 2 4 3 2 3" xfId="970"/>
    <cellStyle name="Normal 2 18 2 4 3 3" xfId="971"/>
    <cellStyle name="Normal 2 18 2 4 3 4" xfId="972"/>
    <cellStyle name="Normal 2 18 2 4 4" xfId="973"/>
    <cellStyle name="Normal 2 18 2 4 4 2" xfId="974"/>
    <cellStyle name="Normal 2 18 2 4 4 3" xfId="975"/>
    <cellStyle name="Normal 2 18 2 4 5" xfId="976"/>
    <cellStyle name="Normal 2 18 2 4 6" xfId="977"/>
    <cellStyle name="Normal 2 18 2 5" xfId="978"/>
    <cellStyle name="Normal 2 18 2 5 2" xfId="979"/>
    <cellStyle name="Normal 2 18 2 5 2 2" xfId="980"/>
    <cellStyle name="Normal 2 18 2 5 2 2 2" xfId="981"/>
    <cellStyle name="Normal 2 18 2 5 2 2 3" xfId="982"/>
    <cellStyle name="Normal 2 18 2 5 2 3" xfId="983"/>
    <cellStyle name="Normal 2 18 2 5 2 4" xfId="984"/>
    <cellStyle name="Normal 2 18 2 5 3" xfId="985"/>
    <cellStyle name="Normal 2 18 2 5 3 2" xfId="986"/>
    <cellStyle name="Normal 2 18 2 5 3 2 2" xfId="987"/>
    <cellStyle name="Normal 2 18 2 5 3 2 3" xfId="988"/>
    <cellStyle name="Normal 2 18 2 5 3 3" xfId="989"/>
    <cellStyle name="Normal 2 18 2 5 3 4" xfId="990"/>
    <cellStyle name="Normal 2 18 2 5 4" xfId="991"/>
    <cellStyle name="Normal 2 18 2 5 4 2" xfId="992"/>
    <cellStyle name="Normal 2 18 2 5 4 3" xfId="993"/>
    <cellStyle name="Normal 2 18 2 5 5" xfId="994"/>
    <cellStyle name="Normal 2 18 2 5 6" xfId="995"/>
    <cellStyle name="Normal 2 18 2 6" xfId="996"/>
    <cellStyle name="Normal 2 18 2 6 2" xfId="997"/>
    <cellStyle name="Normal 2 18 2 6 2 2" xfId="998"/>
    <cellStyle name="Normal 2 18 2 6 2 2 2" xfId="999"/>
    <cellStyle name="Normal 2 18 2 6 2 2 3" xfId="1000"/>
    <cellStyle name="Normal 2 18 2 6 2 3" xfId="1001"/>
    <cellStyle name="Normal 2 18 2 6 2 4" xfId="1002"/>
    <cellStyle name="Normal 2 18 2 6 3" xfId="1003"/>
    <cellStyle name="Normal 2 18 2 6 3 2" xfId="1004"/>
    <cellStyle name="Normal 2 18 2 6 3 2 2" xfId="1005"/>
    <cellStyle name="Normal 2 18 2 6 3 2 3" xfId="1006"/>
    <cellStyle name="Normal 2 18 2 6 3 3" xfId="1007"/>
    <cellStyle name="Normal 2 18 2 6 3 4" xfId="1008"/>
    <cellStyle name="Normal 2 18 2 6 4" xfId="1009"/>
    <cellStyle name="Normal 2 18 2 6 4 2" xfId="1010"/>
    <cellStyle name="Normal 2 18 2 6 4 3" xfId="1011"/>
    <cellStyle name="Normal 2 18 2 6 5" xfId="1012"/>
    <cellStyle name="Normal 2 18 2 6 6" xfId="1013"/>
    <cellStyle name="Normal 2 18 2 7" xfId="1014"/>
    <cellStyle name="Normal 2 18 2 7 2" xfId="1015"/>
    <cellStyle name="Normal 2 18 2 7 2 2" xfId="1016"/>
    <cellStyle name="Normal 2 18 2 7 2 2 2" xfId="1017"/>
    <cellStyle name="Normal 2 18 2 7 2 2 3" xfId="1018"/>
    <cellStyle name="Normal 2 18 2 7 2 3" xfId="1019"/>
    <cellStyle name="Normal 2 18 2 7 2 4" xfId="1020"/>
    <cellStyle name="Normal 2 18 2 7 3" xfId="1021"/>
    <cellStyle name="Normal 2 18 2 7 3 2" xfId="1022"/>
    <cellStyle name="Normal 2 18 2 7 3 2 2" xfId="1023"/>
    <cellStyle name="Normal 2 18 2 7 3 2 3" xfId="1024"/>
    <cellStyle name="Normal 2 18 2 7 3 3" xfId="1025"/>
    <cellStyle name="Normal 2 18 2 7 3 4" xfId="1026"/>
    <cellStyle name="Normal 2 18 2 7 4" xfId="1027"/>
    <cellStyle name="Normal 2 18 2 7 4 2" xfId="1028"/>
    <cellStyle name="Normal 2 18 2 7 4 3" xfId="1029"/>
    <cellStyle name="Normal 2 18 2 7 5" xfId="1030"/>
    <cellStyle name="Normal 2 18 2 7 6" xfId="1031"/>
    <cellStyle name="Normal 2 18 2 8" xfId="1032"/>
    <cellStyle name="Normal 2 18 2 8 2" xfId="1033"/>
    <cellStyle name="Normal 2 18 2 8 2 2" xfId="1034"/>
    <cellStyle name="Normal 2 18 2 8 2 2 2" xfId="1035"/>
    <cellStyle name="Normal 2 18 2 8 2 2 3" xfId="1036"/>
    <cellStyle name="Normal 2 18 2 8 2 3" xfId="1037"/>
    <cellStyle name="Normal 2 18 2 8 2 4" xfId="1038"/>
    <cellStyle name="Normal 2 18 2 8 3" xfId="1039"/>
    <cellStyle name="Normal 2 18 2 8 3 2" xfId="1040"/>
    <cellStyle name="Normal 2 18 2 8 3 2 2" xfId="1041"/>
    <cellStyle name="Normal 2 18 2 8 3 2 3" xfId="1042"/>
    <cellStyle name="Normal 2 18 2 8 3 3" xfId="1043"/>
    <cellStyle name="Normal 2 18 2 8 3 4" xfId="1044"/>
    <cellStyle name="Normal 2 18 2 8 4" xfId="1045"/>
    <cellStyle name="Normal 2 18 2 8 4 2" xfId="1046"/>
    <cellStyle name="Normal 2 18 2 8 4 3" xfId="1047"/>
    <cellStyle name="Normal 2 18 2 8 5" xfId="1048"/>
    <cellStyle name="Normal 2 18 2 8 6" xfId="1049"/>
    <cellStyle name="Normal 2 18 2 9" xfId="1050"/>
    <cellStyle name="Normal 2 18 2 9 2" xfId="1051"/>
    <cellStyle name="Normal 2 18 2 9 2 2" xfId="1052"/>
    <cellStyle name="Normal 2 18 2 9 2 2 2" xfId="1053"/>
    <cellStyle name="Normal 2 18 2 9 2 2 3" xfId="1054"/>
    <cellStyle name="Normal 2 18 2 9 2 3" xfId="1055"/>
    <cellStyle name="Normal 2 18 2 9 2 4" xfId="1056"/>
    <cellStyle name="Normal 2 18 2 9 3" xfId="1057"/>
    <cellStyle name="Normal 2 18 2 9 3 2" xfId="1058"/>
    <cellStyle name="Normal 2 18 2 9 3 2 2" xfId="1059"/>
    <cellStyle name="Normal 2 18 2 9 3 2 3" xfId="1060"/>
    <cellStyle name="Normal 2 18 2 9 3 3" xfId="1061"/>
    <cellStyle name="Normal 2 18 2 9 3 4" xfId="1062"/>
    <cellStyle name="Normal 2 18 2 9 4" xfId="1063"/>
    <cellStyle name="Normal 2 18 2 9 4 2" xfId="1064"/>
    <cellStyle name="Normal 2 18 2 9 4 3" xfId="1065"/>
    <cellStyle name="Normal 2 18 2 9 5" xfId="1066"/>
    <cellStyle name="Normal 2 18 2 9 6" xfId="1067"/>
    <cellStyle name="Normal 2 18 20" xfId="1068"/>
    <cellStyle name="Normal 2 18 20 2" xfId="1069"/>
    <cellStyle name="Normal 2 18 20 2 2" xfId="1070"/>
    <cellStyle name="Normal 2 18 20 2 2 2" xfId="1071"/>
    <cellStyle name="Normal 2 18 20 2 2 3" xfId="1072"/>
    <cellStyle name="Normal 2 18 20 2 3" xfId="1073"/>
    <cellStyle name="Normal 2 18 20 2 4" xfId="1074"/>
    <cellStyle name="Normal 2 18 20 3" xfId="1075"/>
    <cellStyle name="Normal 2 18 20 3 2" xfId="1076"/>
    <cellStyle name="Normal 2 18 20 3 2 2" xfId="1077"/>
    <cellStyle name="Normal 2 18 20 3 2 3" xfId="1078"/>
    <cellStyle name="Normal 2 18 20 3 3" xfId="1079"/>
    <cellStyle name="Normal 2 18 20 3 4" xfId="1080"/>
    <cellStyle name="Normal 2 18 20 4" xfId="1081"/>
    <cellStyle name="Normal 2 18 20 4 2" xfId="1082"/>
    <cellStyle name="Normal 2 18 20 4 3" xfId="1083"/>
    <cellStyle name="Normal 2 18 20 5" xfId="1084"/>
    <cellStyle name="Normal 2 18 20 6" xfId="1085"/>
    <cellStyle name="Normal 2 18 21" xfId="1086"/>
    <cellStyle name="Normal 2 18 21 2" xfId="1087"/>
    <cellStyle name="Normal 2 18 21 2 2" xfId="1088"/>
    <cellStyle name="Normal 2 18 21 2 2 2" xfId="1089"/>
    <cellStyle name="Normal 2 18 21 2 2 3" xfId="1090"/>
    <cellStyle name="Normal 2 18 21 2 3" xfId="1091"/>
    <cellStyle name="Normal 2 18 21 2 4" xfId="1092"/>
    <cellStyle name="Normal 2 18 21 3" xfId="1093"/>
    <cellStyle name="Normal 2 18 21 3 2" xfId="1094"/>
    <cellStyle name="Normal 2 18 21 3 2 2" xfId="1095"/>
    <cellStyle name="Normal 2 18 21 3 2 3" xfId="1096"/>
    <cellStyle name="Normal 2 18 21 3 3" xfId="1097"/>
    <cellStyle name="Normal 2 18 21 3 4" xfId="1098"/>
    <cellStyle name="Normal 2 18 21 4" xfId="1099"/>
    <cellStyle name="Normal 2 18 21 4 2" xfId="1100"/>
    <cellStyle name="Normal 2 18 21 4 3" xfId="1101"/>
    <cellStyle name="Normal 2 18 21 5" xfId="1102"/>
    <cellStyle name="Normal 2 18 21 6" xfId="1103"/>
    <cellStyle name="Normal 2 18 22" xfId="1104"/>
    <cellStyle name="Normal 2 18 22 2" xfId="1105"/>
    <cellStyle name="Normal 2 18 22 2 2" xfId="1106"/>
    <cellStyle name="Normal 2 18 22 2 3" xfId="1107"/>
    <cellStyle name="Normal 2 18 22 3" xfId="1108"/>
    <cellStyle name="Normal 2 18 22 4" xfId="1109"/>
    <cellStyle name="Normal 2 18 23" xfId="1110"/>
    <cellStyle name="Normal 2 18 23 2" xfId="1111"/>
    <cellStyle name="Normal 2 18 23 2 2" xfId="1112"/>
    <cellStyle name="Normal 2 18 23 2 3" xfId="1113"/>
    <cellStyle name="Normal 2 18 23 3" xfId="1114"/>
    <cellStyle name="Normal 2 18 23 4" xfId="1115"/>
    <cellStyle name="Normal 2 18 24" xfId="1116"/>
    <cellStyle name="Normal 2 18 24 2" xfId="1117"/>
    <cellStyle name="Normal 2 18 24 3" xfId="1118"/>
    <cellStyle name="Normal 2 18 25" xfId="1119"/>
    <cellStyle name="Normal 2 18 26" xfId="1120"/>
    <cellStyle name="Normal 2 18 3" xfId="1121"/>
    <cellStyle name="Normal 2 18 3 10" xfId="1122"/>
    <cellStyle name="Normal 2 18 3 10 2" xfId="1123"/>
    <cellStyle name="Normal 2 18 3 10 2 2" xfId="1124"/>
    <cellStyle name="Normal 2 18 3 10 2 3" xfId="1125"/>
    <cellStyle name="Normal 2 18 3 10 3" xfId="1126"/>
    <cellStyle name="Normal 2 18 3 10 4" xfId="1127"/>
    <cellStyle name="Normal 2 18 3 11" xfId="1128"/>
    <cellStyle name="Normal 2 18 3 11 2" xfId="1129"/>
    <cellStyle name="Normal 2 18 3 11 3" xfId="1130"/>
    <cellStyle name="Normal 2 18 3 12" xfId="1131"/>
    <cellStyle name="Normal 2 18 3 13" xfId="1132"/>
    <cellStyle name="Normal 2 18 3 2" xfId="1133"/>
    <cellStyle name="Normal 2 18 3 2 2" xfId="1134"/>
    <cellStyle name="Normal 2 18 3 2 2 2" xfId="1135"/>
    <cellStyle name="Normal 2 18 3 2 2 2 2" xfId="1136"/>
    <cellStyle name="Normal 2 18 3 2 2 2 3" xfId="1137"/>
    <cellStyle name="Normal 2 18 3 2 2 3" xfId="1138"/>
    <cellStyle name="Normal 2 18 3 2 2 4" xfId="1139"/>
    <cellStyle name="Normal 2 18 3 2 3" xfId="1140"/>
    <cellStyle name="Normal 2 18 3 2 3 2" xfId="1141"/>
    <cellStyle name="Normal 2 18 3 2 3 2 2" xfId="1142"/>
    <cellStyle name="Normal 2 18 3 2 3 2 3" xfId="1143"/>
    <cellStyle name="Normal 2 18 3 2 3 3" xfId="1144"/>
    <cellStyle name="Normal 2 18 3 2 3 4" xfId="1145"/>
    <cellStyle name="Normal 2 18 3 2 4" xfId="1146"/>
    <cellStyle name="Normal 2 18 3 2 4 2" xfId="1147"/>
    <cellStyle name="Normal 2 18 3 2 4 3" xfId="1148"/>
    <cellStyle name="Normal 2 18 3 2 5" xfId="1149"/>
    <cellStyle name="Normal 2 18 3 2 6" xfId="1150"/>
    <cellStyle name="Normal 2 18 3 3" xfId="1151"/>
    <cellStyle name="Normal 2 18 3 3 2" xfId="1152"/>
    <cellStyle name="Normal 2 18 3 3 2 2" xfId="1153"/>
    <cellStyle name="Normal 2 18 3 3 2 2 2" xfId="1154"/>
    <cellStyle name="Normal 2 18 3 3 2 2 3" xfId="1155"/>
    <cellStyle name="Normal 2 18 3 3 2 3" xfId="1156"/>
    <cellStyle name="Normal 2 18 3 3 2 4" xfId="1157"/>
    <cellStyle name="Normal 2 18 3 3 3" xfId="1158"/>
    <cellStyle name="Normal 2 18 3 3 3 2" xfId="1159"/>
    <cellStyle name="Normal 2 18 3 3 3 2 2" xfId="1160"/>
    <cellStyle name="Normal 2 18 3 3 3 2 3" xfId="1161"/>
    <cellStyle name="Normal 2 18 3 3 3 3" xfId="1162"/>
    <cellStyle name="Normal 2 18 3 3 3 4" xfId="1163"/>
    <cellStyle name="Normal 2 18 3 3 4" xfId="1164"/>
    <cellStyle name="Normal 2 18 3 3 4 2" xfId="1165"/>
    <cellStyle name="Normal 2 18 3 3 4 3" xfId="1166"/>
    <cellStyle name="Normal 2 18 3 3 5" xfId="1167"/>
    <cellStyle name="Normal 2 18 3 3 6" xfId="1168"/>
    <cellStyle name="Normal 2 18 3 4" xfId="1169"/>
    <cellStyle name="Normal 2 18 3 4 2" xfId="1170"/>
    <cellStyle name="Normal 2 18 3 4 2 2" xfId="1171"/>
    <cellStyle name="Normal 2 18 3 4 2 2 2" xfId="1172"/>
    <cellStyle name="Normal 2 18 3 4 2 2 3" xfId="1173"/>
    <cellStyle name="Normal 2 18 3 4 2 3" xfId="1174"/>
    <cellStyle name="Normal 2 18 3 4 2 4" xfId="1175"/>
    <cellStyle name="Normal 2 18 3 4 3" xfId="1176"/>
    <cellStyle name="Normal 2 18 3 4 3 2" xfId="1177"/>
    <cellStyle name="Normal 2 18 3 4 3 2 2" xfId="1178"/>
    <cellStyle name="Normal 2 18 3 4 3 2 3" xfId="1179"/>
    <cellStyle name="Normal 2 18 3 4 3 3" xfId="1180"/>
    <cellStyle name="Normal 2 18 3 4 3 4" xfId="1181"/>
    <cellStyle name="Normal 2 18 3 4 4" xfId="1182"/>
    <cellStyle name="Normal 2 18 3 4 4 2" xfId="1183"/>
    <cellStyle name="Normal 2 18 3 4 4 3" xfId="1184"/>
    <cellStyle name="Normal 2 18 3 4 5" xfId="1185"/>
    <cellStyle name="Normal 2 18 3 4 6" xfId="1186"/>
    <cellStyle name="Normal 2 18 3 5" xfId="1187"/>
    <cellStyle name="Normal 2 18 3 5 2" xfId="1188"/>
    <cellStyle name="Normal 2 18 3 5 2 2" xfId="1189"/>
    <cellStyle name="Normal 2 18 3 5 2 2 2" xfId="1190"/>
    <cellStyle name="Normal 2 18 3 5 2 2 3" xfId="1191"/>
    <cellStyle name="Normal 2 18 3 5 2 3" xfId="1192"/>
    <cellStyle name="Normal 2 18 3 5 2 4" xfId="1193"/>
    <cellStyle name="Normal 2 18 3 5 3" xfId="1194"/>
    <cellStyle name="Normal 2 18 3 5 3 2" xfId="1195"/>
    <cellStyle name="Normal 2 18 3 5 3 2 2" xfId="1196"/>
    <cellStyle name="Normal 2 18 3 5 3 2 3" xfId="1197"/>
    <cellStyle name="Normal 2 18 3 5 3 3" xfId="1198"/>
    <cellStyle name="Normal 2 18 3 5 3 4" xfId="1199"/>
    <cellStyle name="Normal 2 18 3 5 4" xfId="1200"/>
    <cellStyle name="Normal 2 18 3 5 4 2" xfId="1201"/>
    <cellStyle name="Normal 2 18 3 5 4 3" xfId="1202"/>
    <cellStyle name="Normal 2 18 3 5 5" xfId="1203"/>
    <cellStyle name="Normal 2 18 3 5 6" xfId="1204"/>
    <cellStyle name="Normal 2 18 3 6" xfId="1205"/>
    <cellStyle name="Normal 2 18 3 6 2" xfId="1206"/>
    <cellStyle name="Normal 2 18 3 6 2 2" xfId="1207"/>
    <cellStyle name="Normal 2 18 3 6 2 2 2" xfId="1208"/>
    <cellStyle name="Normal 2 18 3 6 2 2 3" xfId="1209"/>
    <cellStyle name="Normal 2 18 3 6 2 3" xfId="1210"/>
    <cellStyle name="Normal 2 18 3 6 2 4" xfId="1211"/>
    <cellStyle name="Normal 2 18 3 6 3" xfId="1212"/>
    <cellStyle name="Normal 2 18 3 6 3 2" xfId="1213"/>
    <cellStyle name="Normal 2 18 3 6 3 2 2" xfId="1214"/>
    <cellStyle name="Normal 2 18 3 6 3 2 3" xfId="1215"/>
    <cellStyle name="Normal 2 18 3 6 3 3" xfId="1216"/>
    <cellStyle name="Normal 2 18 3 6 3 4" xfId="1217"/>
    <cellStyle name="Normal 2 18 3 6 4" xfId="1218"/>
    <cellStyle name="Normal 2 18 3 6 4 2" xfId="1219"/>
    <cellStyle name="Normal 2 18 3 6 4 3" xfId="1220"/>
    <cellStyle name="Normal 2 18 3 6 5" xfId="1221"/>
    <cellStyle name="Normal 2 18 3 6 6" xfId="1222"/>
    <cellStyle name="Normal 2 18 3 7" xfId="1223"/>
    <cellStyle name="Normal 2 18 3 7 2" xfId="1224"/>
    <cellStyle name="Normal 2 18 3 7 2 2" xfId="1225"/>
    <cellStyle name="Normal 2 18 3 7 2 2 2" xfId="1226"/>
    <cellStyle name="Normal 2 18 3 7 2 2 3" xfId="1227"/>
    <cellStyle name="Normal 2 18 3 7 2 3" xfId="1228"/>
    <cellStyle name="Normal 2 18 3 7 2 4" xfId="1229"/>
    <cellStyle name="Normal 2 18 3 7 3" xfId="1230"/>
    <cellStyle name="Normal 2 18 3 7 3 2" xfId="1231"/>
    <cellStyle name="Normal 2 18 3 7 3 2 2" xfId="1232"/>
    <cellStyle name="Normal 2 18 3 7 3 2 3" xfId="1233"/>
    <cellStyle name="Normal 2 18 3 7 3 3" xfId="1234"/>
    <cellStyle name="Normal 2 18 3 7 3 4" xfId="1235"/>
    <cellStyle name="Normal 2 18 3 7 4" xfId="1236"/>
    <cellStyle name="Normal 2 18 3 7 4 2" xfId="1237"/>
    <cellStyle name="Normal 2 18 3 7 4 3" xfId="1238"/>
    <cellStyle name="Normal 2 18 3 7 5" xfId="1239"/>
    <cellStyle name="Normal 2 18 3 7 6" xfId="1240"/>
    <cellStyle name="Normal 2 18 3 8" xfId="1241"/>
    <cellStyle name="Normal 2 18 3 8 2" xfId="1242"/>
    <cellStyle name="Normal 2 18 3 8 2 2" xfId="1243"/>
    <cellStyle name="Normal 2 18 3 8 2 2 2" xfId="1244"/>
    <cellStyle name="Normal 2 18 3 8 2 2 3" xfId="1245"/>
    <cellStyle name="Normal 2 18 3 8 2 3" xfId="1246"/>
    <cellStyle name="Normal 2 18 3 8 2 4" xfId="1247"/>
    <cellStyle name="Normal 2 18 3 8 3" xfId="1248"/>
    <cellStyle name="Normal 2 18 3 8 3 2" xfId="1249"/>
    <cellStyle name="Normal 2 18 3 8 3 2 2" xfId="1250"/>
    <cellStyle name="Normal 2 18 3 8 3 2 3" xfId="1251"/>
    <cellStyle name="Normal 2 18 3 8 3 3" xfId="1252"/>
    <cellStyle name="Normal 2 18 3 8 3 4" xfId="1253"/>
    <cellStyle name="Normal 2 18 3 8 4" xfId="1254"/>
    <cellStyle name="Normal 2 18 3 8 4 2" xfId="1255"/>
    <cellStyle name="Normal 2 18 3 8 4 3" xfId="1256"/>
    <cellStyle name="Normal 2 18 3 8 5" xfId="1257"/>
    <cellStyle name="Normal 2 18 3 8 6" xfId="1258"/>
    <cellStyle name="Normal 2 18 3 9" xfId="1259"/>
    <cellStyle name="Normal 2 18 3 9 2" xfId="1260"/>
    <cellStyle name="Normal 2 18 3 9 2 2" xfId="1261"/>
    <cellStyle name="Normal 2 18 3 9 2 3" xfId="1262"/>
    <cellStyle name="Normal 2 18 3 9 3" xfId="1263"/>
    <cellStyle name="Normal 2 18 3 9 4" xfId="1264"/>
    <cellStyle name="Normal 2 18 4" xfId="1265"/>
    <cellStyle name="Normal 2 18 4 10" xfId="1266"/>
    <cellStyle name="Normal 2 18 4 10 2" xfId="1267"/>
    <cellStyle name="Normal 2 18 4 10 2 2" xfId="1268"/>
    <cellStyle name="Normal 2 18 4 10 2 3" xfId="1269"/>
    <cellStyle name="Normal 2 18 4 10 3" xfId="1270"/>
    <cellStyle name="Normal 2 18 4 10 4" xfId="1271"/>
    <cellStyle name="Normal 2 18 4 11" xfId="1272"/>
    <cellStyle name="Normal 2 18 4 11 2" xfId="1273"/>
    <cellStyle name="Normal 2 18 4 11 3" xfId="1274"/>
    <cellStyle name="Normal 2 18 4 12" xfId="1275"/>
    <cellStyle name="Normal 2 18 4 13" xfId="1276"/>
    <cellStyle name="Normal 2 18 4 2" xfId="1277"/>
    <cellStyle name="Normal 2 18 4 2 2" xfId="1278"/>
    <cellStyle name="Normal 2 18 4 2 2 2" xfId="1279"/>
    <cellStyle name="Normal 2 18 4 2 2 2 2" xfId="1280"/>
    <cellStyle name="Normal 2 18 4 2 2 2 3" xfId="1281"/>
    <cellStyle name="Normal 2 18 4 2 2 3" xfId="1282"/>
    <cellStyle name="Normal 2 18 4 2 2 4" xfId="1283"/>
    <cellStyle name="Normal 2 18 4 2 3" xfId="1284"/>
    <cellStyle name="Normal 2 18 4 2 3 2" xfId="1285"/>
    <cellStyle name="Normal 2 18 4 2 3 2 2" xfId="1286"/>
    <cellStyle name="Normal 2 18 4 2 3 2 3" xfId="1287"/>
    <cellStyle name="Normal 2 18 4 2 3 3" xfId="1288"/>
    <cellStyle name="Normal 2 18 4 2 3 4" xfId="1289"/>
    <cellStyle name="Normal 2 18 4 2 4" xfId="1290"/>
    <cellStyle name="Normal 2 18 4 2 4 2" xfId="1291"/>
    <cellStyle name="Normal 2 18 4 2 4 3" xfId="1292"/>
    <cellStyle name="Normal 2 18 4 2 5" xfId="1293"/>
    <cellStyle name="Normal 2 18 4 2 6" xfId="1294"/>
    <cellStyle name="Normal 2 18 4 3" xfId="1295"/>
    <cellStyle name="Normal 2 18 4 3 2" xfId="1296"/>
    <cellStyle name="Normal 2 18 4 3 2 2" xfId="1297"/>
    <cellStyle name="Normal 2 18 4 3 2 2 2" xfId="1298"/>
    <cellStyle name="Normal 2 18 4 3 2 2 3" xfId="1299"/>
    <cellStyle name="Normal 2 18 4 3 2 3" xfId="1300"/>
    <cellStyle name="Normal 2 18 4 3 2 4" xfId="1301"/>
    <cellStyle name="Normal 2 18 4 3 3" xfId="1302"/>
    <cellStyle name="Normal 2 18 4 3 3 2" xfId="1303"/>
    <cellStyle name="Normal 2 18 4 3 3 2 2" xfId="1304"/>
    <cellStyle name="Normal 2 18 4 3 3 2 3" xfId="1305"/>
    <cellStyle name="Normal 2 18 4 3 3 3" xfId="1306"/>
    <cellStyle name="Normal 2 18 4 3 3 4" xfId="1307"/>
    <cellStyle name="Normal 2 18 4 3 4" xfId="1308"/>
    <cellStyle name="Normal 2 18 4 3 4 2" xfId="1309"/>
    <cellStyle name="Normal 2 18 4 3 4 3" xfId="1310"/>
    <cellStyle name="Normal 2 18 4 3 5" xfId="1311"/>
    <cellStyle name="Normal 2 18 4 3 6" xfId="1312"/>
    <cellStyle name="Normal 2 18 4 4" xfId="1313"/>
    <cellStyle name="Normal 2 18 4 4 2" xfId="1314"/>
    <cellStyle name="Normal 2 18 4 4 2 2" xfId="1315"/>
    <cellStyle name="Normal 2 18 4 4 2 2 2" xfId="1316"/>
    <cellStyle name="Normal 2 18 4 4 2 2 3" xfId="1317"/>
    <cellStyle name="Normal 2 18 4 4 2 3" xfId="1318"/>
    <cellStyle name="Normal 2 18 4 4 2 4" xfId="1319"/>
    <cellStyle name="Normal 2 18 4 4 3" xfId="1320"/>
    <cellStyle name="Normal 2 18 4 4 3 2" xfId="1321"/>
    <cellStyle name="Normal 2 18 4 4 3 2 2" xfId="1322"/>
    <cellStyle name="Normal 2 18 4 4 3 2 3" xfId="1323"/>
    <cellStyle name="Normal 2 18 4 4 3 3" xfId="1324"/>
    <cellStyle name="Normal 2 18 4 4 3 4" xfId="1325"/>
    <cellStyle name="Normal 2 18 4 4 4" xfId="1326"/>
    <cellStyle name="Normal 2 18 4 4 4 2" xfId="1327"/>
    <cellStyle name="Normal 2 18 4 4 4 3" xfId="1328"/>
    <cellStyle name="Normal 2 18 4 4 5" xfId="1329"/>
    <cellStyle name="Normal 2 18 4 4 6" xfId="1330"/>
    <cellStyle name="Normal 2 18 4 5" xfId="1331"/>
    <cellStyle name="Normal 2 18 4 5 2" xfId="1332"/>
    <cellStyle name="Normal 2 18 4 5 2 2" xfId="1333"/>
    <cellStyle name="Normal 2 18 4 5 2 2 2" xfId="1334"/>
    <cellStyle name="Normal 2 18 4 5 2 2 3" xfId="1335"/>
    <cellStyle name="Normal 2 18 4 5 2 3" xfId="1336"/>
    <cellStyle name="Normal 2 18 4 5 2 4" xfId="1337"/>
    <cellStyle name="Normal 2 18 4 5 3" xfId="1338"/>
    <cellStyle name="Normal 2 18 4 5 3 2" xfId="1339"/>
    <cellStyle name="Normal 2 18 4 5 3 2 2" xfId="1340"/>
    <cellStyle name="Normal 2 18 4 5 3 2 3" xfId="1341"/>
    <cellStyle name="Normal 2 18 4 5 3 3" xfId="1342"/>
    <cellStyle name="Normal 2 18 4 5 3 4" xfId="1343"/>
    <cellStyle name="Normal 2 18 4 5 4" xfId="1344"/>
    <cellStyle name="Normal 2 18 4 5 4 2" xfId="1345"/>
    <cellStyle name="Normal 2 18 4 5 4 3" xfId="1346"/>
    <cellStyle name="Normal 2 18 4 5 5" xfId="1347"/>
    <cellStyle name="Normal 2 18 4 5 6" xfId="1348"/>
    <cellStyle name="Normal 2 18 4 6" xfId="1349"/>
    <cellStyle name="Normal 2 18 4 6 2" xfId="1350"/>
    <cellStyle name="Normal 2 18 4 6 2 2" xfId="1351"/>
    <cellStyle name="Normal 2 18 4 6 2 2 2" xfId="1352"/>
    <cellStyle name="Normal 2 18 4 6 2 2 3" xfId="1353"/>
    <cellStyle name="Normal 2 18 4 6 2 3" xfId="1354"/>
    <cellStyle name="Normal 2 18 4 6 2 4" xfId="1355"/>
    <cellStyle name="Normal 2 18 4 6 3" xfId="1356"/>
    <cellStyle name="Normal 2 18 4 6 3 2" xfId="1357"/>
    <cellStyle name="Normal 2 18 4 6 3 2 2" xfId="1358"/>
    <cellStyle name="Normal 2 18 4 6 3 2 3" xfId="1359"/>
    <cellStyle name="Normal 2 18 4 6 3 3" xfId="1360"/>
    <cellStyle name="Normal 2 18 4 6 3 4" xfId="1361"/>
    <cellStyle name="Normal 2 18 4 6 4" xfId="1362"/>
    <cellStyle name="Normal 2 18 4 6 4 2" xfId="1363"/>
    <cellStyle name="Normal 2 18 4 6 4 3" xfId="1364"/>
    <cellStyle name="Normal 2 18 4 6 5" xfId="1365"/>
    <cellStyle name="Normal 2 18 4 6 6" xfId="1366"/>
    <cellStyle name="Normal 2 18 4 7" xfId="1367"/>
    <cellStyle name="Normal 2 18 4 7 2" xfId="1368"/>
    <cellStyle name="Normal 2 18 4 7 2 2" xfId="1369"/>
    <cellStyle name="Normal 2 18 4 7 2 2 2" xfId="1370"/>
    <cellStyle name="Normal 2 18 4 7 2 2 3" xfId="1371"/>
    <cellStyle name="Normal 2 18 4 7 2 3" xfId="1372"/>
    <cellStyle name="Normal 2 18 4 7 2 4" xfId="1373"/>
    <cellStyle name="Normal 2 18 4 7 3" xfId="1374"/>
    <cellStyle name="Normal 2 18 4 7 3 2" xfId="1375"/>
    <cellStyle name="Normal 2 18 4 7 3 2 2" xfId="1376"/>
    <cellStyle name="Normal 2 18 4 7 3 2 3" xfId="1377"/>
    <cellStyle name="Normal 2 18 4 7 3 3" xfId="1378"/>
    <cellStyle name="Normal 2 18 4 7 3 4" xfId="1379"/>
    <cellStyle name="Normal 2 18 4 7 4" xfId="1380"/>
    <cellStyle name="Normal 2 18 4 7 4 2" xfId="1381"/>
    <cellStyle name="Normal 2 18 4 7 4 3" xfId="1382"/>
    <cellStyle name="Normal 2 18 4 7 5" xfId="1383"/>
    <cellStyle name="Normal 2 18 4 7 6" xfId="1384"/>
    <cellStyle name="Normal 2 18 4 8" xfId="1385"/>
    <cellStyle name="Normal 2 18 4 8 2" xfId="1386"/>
    <cellStyle name="Normal 2 18 4 8 2 2" xfId="1387"/>
    <cellStyle name="Normal 2 18 4 8 2 2 2" xfId="1388"/>
    <cellStyle name="Normal 2 18 4 8 2 2 3" xfId="1389"/>
    <cellStyle name="Normal 2 18 4 8 2 3" xfId="1390"/>
    <cellStyle name="Normal 2 18 4 8 2 4" xfId="1391"/>
    <cellStyle name="Normal 2 18 4 8 3" xfId="1392"/>
    <cellStyle name="Normal 2 18 4 8 3 2" xfId="1393"/>
    <cellStyle name="Normal 2 18 4 8 3 2 2" xfId="1394"/>
    <cellStyle name="Normal 2 18 4 8 3 2 3" xfId="1395"/>
    <cellStyle name="Normal 2 18 4 8 3 3" xfId="1396"/>
    <cellStyle name="Normal 2 18 4 8 3 4" xfId="1397"/>
    <cellStyle name="Normal 2 18 4 8 4" xfId="1398"/>
    <cellStyle name="Normal 2 18 4 8 4 2" xfId="1399"/>
    <cellStyle name="Normal 2 18 4 8 4 3" xfId="1400"/>
    <cellStyle name="Normal 2 18 4 8 5" xfId="1401"/>
    <cellStyle name="Normal 2 18 4 8 6" xfId="1402"/>
    <cellStyle name="Normal 2 18 4 9" xfId="1403"/>
    <cellStyle name="Normal 2 18 4 9 2" xfId="1404"/>
    <cellStyle name="Normal 2 18 4 9 2 2" xfId="1405"/>
    <cellStyle name="Normal 2 18 4 9 2 3" xfId="1406"/>
    <cellStyle name="Normal 2 18 4 9 3" xfId="1407"/>
    <cellStyle name="Normal 2 18 4 9 4" xfId="1408"/>
    <cellStyle name="Normal 2 18 5" xfId="1409"/>
    <cellStyle name="Normal 2 18 5 2" xfId="1410"/>
    <cellStyle name="Normal 2 18 5 2 2" xfId="1411"/>
    <cellStyle name="Normal 2 18 5 2 2 2" xfId="1412"/>
    <cellStyle name="Normal 2 18 5 2 2 2 2" xfId="1413"/>
    <cellStyle name="Normal 2 18 5 2 2 2 3" xfId="1414"/>
    <cellStyle name="Normal 2 18 5 2 2 3" xfId="1415"/>
    <cellStyle name="Normal 2 18 5 2 2 4" xfId="1416"/>
    <cellStyle name="Normal 2 18 5 2 3" xfId="1417"/>
    <cellStyle name="Normal 2 18 5 2 3 2" xfId="1418"/>
    <cellStyle name="Normal 2 18 5 2 3 2 2" xfId="1419"/>
    <cellStyle name="Normal 2 18 5 2 3 2 3" xfId="1420"/>
    <cellStyle name="Normal 2 18 5 2 3 3" xfId="1421"/>
    <cellStyle name="Normal 2 18 5 2 3 4" xfId="1422"/>
    <cellStyle name="Normal 2 18 5 2 4" xfId="1423"/>
    <cellStyle name="Normal 2 18 5 2 4 2" xfId="1424"/>
    <cellStyle name="Normal 2 18 5 2 4 3" xfId="1425"/>
    <cellStyle name="Normal 2 18 5 2 5" xfId="1426"/>
    <cellStyle name="Normal 2 18 5 2 6" xfId="1427"/>
    <cellStyle name="Normal 2 18 5 3" xfId="1428"/>
    <cellStyle name="Normal 2 18 5 3 2" xfId="1429"/>
    <cellStyle name="Normal 2 18 5 3 2 2" xfId="1430"/>
    <cellStyle name="Normal 2 18 5 3 2 2 2" xfId="1431"/>
    <cellStyle name="Normal 2 18 5 3 2 2 3" xfId="1432"/>
    <cellStyle name="Normal 2 18 5 3 2 3" xfId="1433"/>
    <cellStyle name="Normal 2 18 5 3 2 4" xfId="1434"/>
    <cellStyle name="Normal 2 18 5 3 3" xfId="1435"/>
    <cellStyle name="Normal 2 18 5 3 3 2" xfId="1436"/>
    <cellStyle name="Normal 2 18 5 3 3 2 2" xfId="1437"/>
    <cellStyle name="Normal 2 18 5 3 3 2 3" xfId="1438"/>
    <cellStyle name="Normal 2 18 5 3 3 3" xfId="1439"/>
    <cellStyle name="Normal 2 18 5 3 3 4" xfId="1440"/>
    <cellStyle name="Normal 2 18 5 3 4" xfId="1441"/>
    <cellStyle name="Normal 2 18 5 3 4 2" xfId="1442"/>
    <cellStyle name="Normal 2 18 5 3 4 3" xfId="1443"/>
    <cellStyle name="Normal 2 18 5 3 5" xfId="1444"/>
    <cellStyle name="Normal 2 18 5 3 6" xfId="1445"/>
    <cellStyle name="Normal 2 18 5 4" xfId="1446"/>
    <cellStyle name="Normal 2 18 5 4 2" xfId="1447"/>
    <cellStyle name="Normal 2 18 5 4 2 2" xfId="1448"/>
    <cellStyle name="Normal 2 18 5 4 2 3" xfId="1449"/>
    <cellStyle name="Normal 2 18 5 4 3" xfId="1450"/>
    <cellStyle name="Normal 2 18 5 4 4" xfId="1451"/>
    <cellStyle name="Normal 2 18 5 5" xfId="1452"/>
    <cellStyle name="Normal 2 18 5 5 2" xfId="1453"/>
    <cellStyle name="Normal 2 18 5 5 2 2" xfId="1454"/>
    <cellStyle name="Normal 2 18 5 5 2 3" xfId="1455"/>
    <cellStyle name="Normal 2 18 5 5 3" xfId="1456"/>
    <cellStyle name="Normal 2 18 5 5 4" xfId="1457"/>
    <cellStyle name="Normal 2 18 5 6" xfId="1458"/>
    <cellStyle name="Normal 2 18 5 6 2" xfId="1459"/>
    <cellStyle name="Normal 2 18 5 6 3" xfId="1460"/>
    <cellStyle name="Normal 2 18 5 7" xfId="1461"/>
    <cellStyle name="Normal 2 18 5 8" xfId="1462"/>
    <cellStyle name="Normal 2 18 6" xfId="1463"/>
    <cellStyle name="Normal 2 18 6 2" xfId="1464"/>
    <cellStyle name="Normal 2 18 6 2 2" xfId="1465"/>
    <cellStyle name="Normal 2 18 6 2 2 2" xfId="1466"/>
    <cellStyle name="Normal 2 18 6 2 2 2 2" xfId="1467"/>
    <cellStyle name="Normal 2 18 6 2 2 2 3" xfId="1468"/>
    <cellStyle name="Normal 2 18 6 2 2 3" xfId="1469"/>
    <cellStyle name="Normal 2 18 6 2 2 4" xfId="1470"/>
    <cellStyle name="Normal 2 18 6 2 3" xfId="1471"/>
    <cellStyle name="Normal 2 18 6 2 3 2" xfId="1472"/>
    <cellStyle name="Normal 2 18 6 2 3 2 2" xfId="1473"/>
    <cellStyle name="Normal 2 18 6 2 3 2 3" xfId="1474"/>
    <cellStyle name="Normal 2 18 6 2 3 3" xfId="1475"/>
    <cellStyle name="Normal 2 18 6 2 3 4" xfId="1476"/>
    <cellStyle name="Normal 2 18 6 2 4" xfId="1477"/>
    <cellStyle name="Normal 2 18 6 2 4 2" xfId="1478"/>
    <cellStyle name="Normal 2 18 6 2 4 3" xfId="1479"/>
    <cellStyle name="Normal 2 18 6 2 5" xfId="1480"/>
    <cellStyle name="Normal 2 18 6 2 6" xfId="1481"/>
    <cellStyle name="Normal 2 18 6 3" xfId="1482"/>
    <cellStyle name="Normal 2 18 6 3 2" xfId="1483"/>
    <cellStyle name="Normal 2 18 6 3 2 2" xfId="1484"/>
    <cellStyle name="Normal 2 18 6 3 2 2 2" xfId="1485"/>
    <cellStyle name="Normal 2 18 6 3 2 2 3" xfId="1486"/>
    <cellStyle name="Normal 2 18 6 3 2 3" xfId="1487"/>
    <cellStyle name="Normal 2 18 6 3 2 4" xfId="1488"/>
    <cellStyle name="Normal 2 18 6 3 3" xfId="1489"/>
    <cellStyle name="Normal 2 18 6 3 3 2" xfId="1490"/>
    <cellStyle name="Normal 2 18 6 3 3 2 2" xfId="1491"/>
    <cellStyle name="Normal 2 18 6 3 3 2 3" xfId="1492"/>
    <cellStyle name="Normal 2 18 6 3 3 3" xfId="1493"/>
    <cellStyle name="Normal 2 18 6 3 3 4" xfId="1494"/>
    <cellStyle name="Normal 2 18 6 3 4" xfId="1495"/>
    <cellStyle name="Normal 2 18 6 3 4 2" xfId="1496"/>
    <cellStyle name="Normal 2 18 6 3 4 3" xfId="1497"/>
    <cellStyle name="Normal 2 18 6 3 5" xfId="1498"/>
    <cellStyle name="Normal 2 18 6 3 6" xfId="1499"/>
    <cellStyle name="Normal 2 18 6 4" xfId="1500"/>
    <cellStyle name="Normal 2 18 6 4 2" xfId="1501"/>
    <cellStyle name="Normal 2 18 6 4 2 2" xfId="1502"/>
    <cellStyle name="Normal 2 18 6 4 2 3" xfId="1503"/>
    <cellStyle name="Normal 2 18 6 4 3" xfId="1504"/>
    <cellStyle name="Normal 2 18 6 4 4" xfId="1505"/>
    <cellStyle name="Normal 2 18 6 5" xfId="1506"/>
    <cellStyle name="Normal 2 18 6 5 2" xfId="1507"/>
    <cellStyle name="Normal 2 18 6 5 2 2" xfId="1508"/>
    <cellStyle name="Normal 2 18 6 5 2 3" xfId="1509"/>
    <cellStyle name="Normal 2 18 6 5 3" xfId="1510"/>
    <cellStyle name="Normal 2 18 6 5 4" xfId="1511"/>
    <cellStyle name="Normal 2 18 6 6" xfId="1512"/>
    <cellStyle name="Normal 2 18 6 6 2" xfId="1513"/>
    <cellStyle name="Normal 2 18 6 6 3" xfId="1514"/>
    <cellStyle name="Normal 2 18 6 7" xfId="1515"/>
    <cellStyle name="Normal 2 18 6 8" xfId="1516"/>
    <cellStyle name="Normal 2 18 7" xfId="1517"/>
    <cellStyle name="Normal 2 18 7 2" xfId="1518"/>
    <cellStyle name="Normal 2 18 7 2 2" xfId="1519"/>
    <cellStyle name="Normal 2 18 7 2 2 2" xfId="1520"/>
    <cellStyle name="Normal 2 18 7 2 2 2 2" xfId="1521"/>
    <cellStyle name="Normal 2 18 7 2 2 2 3" xfId="1522"/>
    <cellStyle name="Normal 2 18 7 2 2 3" xfId="1523"/>
    <cellStyle name="Normal 2 18 7 2 2 4" xfId="1524"/>
    <cellStyle name="Normal 2 18 7 2 3" xfId="1525"/>
    <cellStyle name="Normal 2 18 7 2 3 2" xfId="1526"/>
    <cellStyle name="Normal 2 18 7 2 3 2 2" xfId="1527"/>
    <cellStyle name="Normal 2 18 7 2 3 2 3" xfId="1528"/>
    <cellStyle name="Normal 2 18 7 2 3 3" xfId="1529"/>
    <cellStyle name="Normal 2 18 7 2 3 4" xfId="1530"/>
    <cellStyle name="Normal 2 18 7 2 4" xfId="1531"/>
    <cellStyle name="Normal 2 18 7 2 4 2" xfId="1532"/>
    <cellStyle name="Normal 2 18 7 2 4 3" xfId="1533"/>
    <cellStyle name="Normal 2 18 7 2 5" xfId="1534"/>
    <cellStyle name="Normal 2 18 7 2 6" xfId="1535"/>
    <cellStyle name="Normal 2 18 7 3" xfId="1536"/>
    <cellStyle name="Normal 2 18 7 3 2" xfId="1537"/>
    <cellStyle name="Normal 2 18 7 3 2 2" xfId="1538"/>
    <cellStyle name="Normal 2 18 7 3 2 2 2" xfId="1539"/>
    <cellStyle name="Normal 2 18 7 3 2 2 3" xfId="1540"/>
    <cellStyle name="Normal 2 18 7 3 2 3" xfId="1541"/>
    <cellStyle name="Normal 2 18 7 3 2 4" xfId="1542"/>
    <cellStyle name="Normal 2 18 7 3 3" xfId="1543"/>
    <cellStyle name="Normal 2 18 7 3 3 2" xfId="1544"/>
    <cellStyle name="Normal 2 18 7 3 3 2 2" xfId="1545"/>
    <cellStyle name="Normal 2 18 7 3 3 2 3" xfId="1546"/>
    <cellStyle name="Normal 2 18 7 3 3 3" xfId="1547"/>
    <cellStyle name="Normal 2 18 7 3 3 4" xfId="1548"/>
    <cellStyle name="Normal 2 18 7 3 4" xfId="1549"/>
    <cellStyle name="Normal 2 18 7 3 4 2" xfId="1550"/>
    <cellStyle name="Normal 2 18 7 3 4 3" xfId="1551"/>
    <cellStyle name="Normal 2 18 7 3 5" xfId="1552"/>
    <cellStyle name="Normal 2 18 7 3 6" xfId="1553"/>
    <cellStyle name="Normal 2 18 7 4" xfId="1554"/>
    <cellStyle name="Normal 2 18 7 4 2" xfId="1555"/>
    <cellStyle name="Normal 2 18 7 4 2 2" xfId="1556"/>
    <cellStyle name="Normal 2 18 7 4 2 3" xfId="1557"/>
    <cellStyle name="Normal 2 18 7 4 3" xfId="1558"/>
    <cellStyle name="Normal 2 18 7 4 4" xfId="1559"/>
    <cellStyle name="Normal 2 18 7 5" xfId="1560"/>
    <cellStyle name="Normal 2 18 7 5 2" xfId="1561"/>
    <cellStyle name="Normal 2 18 7 5 2 2" xfId="1562"/>
    <cellStyle name="Normal 2 18 7 5 2 3" xfId="1563"/>
    <cellStyle name="Normal 2 18 7 5 3" xfId="1564"/>
    <cellStyle name="Normal 2 18 7 5 4" xfId="1565"/>
    <cellStyle name="Normal 2 18 7 6" xfId="1566"/>
    <cellStyle name="Normal 2 18 7 6 2" xfId="1567"/>
    <cellStyle name="Normal 2 18 7 6 3" xfId="1568"/>
    <cellStyle name="Normal 2 18 7 7" xfId="1569"/>
    <cellStyle name="Normal 2 18 7 8" xfId="1570"/>
    <cellStyle name="Normal 2 18 8" xfId="1571"/>
    <cellStyle name="Normal 2 18 8 2" xfId="1572"/>
    <cellStyle name="Normal 2 18 8 2 2" xfId="1573"/>
    <cellStyle name="Normal 2 18 8 2 2 2" xfId="1574"/>
    <cellStyle name="Normal 2 18 8 2 2 2 2" xfId="1575"/>
    <cellStyle name="Normal 2 18 8 2 2 2 3" xfId="1576"/>
    <cellStyle name="Normal 2 18 8 2 2 3" xfId="1577"/>
    <cellStyle name="Normal 2 18 8 2 2 4" xfId="1578"/>
    <cellStyle name="Normal 2 18 8 2 3" xfId="1579"/>
    <cellStyle name="Normal 2 18 8 2 3 2" xfId="1580"/>
    <cellStyle name="Normal 2 18 8 2 3 2 2" xfId="1581"/>
    <cellStyle name="Normal 2 18 8 2 3 2 3" xfId="1582"/>
    <cellStyle name="Normal 2 18 8 2 3 3" xfId="1583"/>
    <cellStyle name="Normal 2 18 8 2 3 4" xfId="1584"/>
    <cellStyle name="Normal 2 18 8 2 4" xfId="1585"/>
    <cellStyle name="Normal 2 18 8 2 4 2" xfId="1586"/>
    <cellStyle name="Normal 2 18 8 2 4 3" xfId="1587"/>
    <cellStyle name="Normal 2 18 8 2 5" xfId="1588"/>
    <cellStyle name="Normal 2 18 8 2 6" xfId="1589"/>
    <cellStyle name="Normal 2 18 8 3" xfId="1590"/>
    <cellStyle name="Normal 2 18 8 3 2" xfId="1591"/>
    <cellStyle name="Normal 2 18 8 3 2 2" xfId="1592"/>
    <cellStyle name="Normal 2 18 8 3 2 2 2" xfId="1593"/>
    <cellStyle name="Normal 2 18 8 3 2 2 3" xfId="1594"/>
    <cellStyle name="Normal 2 18 8 3 2 3" xfId="1595"/>
    <cellStyle name="Normal 2 18 8 3 2 4" xfId="1596"/>
    <cellStyle name="Normal 2 18 8 3 3" xfId="1597"/>
    <cellStyle name="Normal 2 18 8 3 3 2" xfId="1598"/>
    <cellStyle name="Normal 2 18 8 3 3 2 2" xfId="1599"/>
    <cellStyle name="Normal 2 18 8 3 3 2 3" xfId="1600"/>
    <cellStyle name="Normal 2 18 8 3 3 3" xfId="1601"/>
    <cellStyle name="Normal 2 18 8 3 3 4" xfId="1602"/>
    <cellStyle name="Normal 2 18 8 3 4" xfId="1603"/>
    <cellStyle name="Normal 2 18 8 3 4 2" xfId="1604"/>
    <cellStyle name="Normal 2 18 8 3 4 3" xfId="1605"/>
    <cellStyle name="Normal 2 18 8 3 5" xfId="1606"/>
    <cellStyle name="Normal 2 18 8 3 6" xfId="1607"/>
    <cellStyle name="Normal 2 18 8 4" xfId="1608"/>
    <cellStyle name="Normal 2 18 8 4 2" xfId="1609"/>
    <cellStyle name="Normal 2 18 8 4 2 2" xfId="1610"/>
    <cellStyle name="Normal 2 18 8 4 2 3" xfId="1611"/>
    <cellStyle name="Normal 2 18 8 4 3" xfId="1612"/>
    <cellStyle name="Normal 2 18 8 4 4" xfId="1613"/>
    <cellStyle name="Normal 2 18 8 5" xfId="1614"/>
    <cellStyle name="Normal 2 18 8 5 2" xfId="1615"/>
    <cellStyle name="Normal 2 18 8 5 2 2" xfId="1616"/>
    <cellStyle name="Normal 2 18 8 5 2 3" xfId="1617"/>
    <cellStyle name="Normal 2 18 8 5 3" xfId="1618"/>
    <cellStyle name="Normal 2 18 8 5 4" xfId="1619"/>
    <cellStyle name="Normal 2 18 8 6" xfId="1620"/>
    <cellStyle name="Normal 2 18 8 6 2" xfId="1621"/>
    <cellStyle name="Normal 2 18 8 6 3" xfId="1622"/>
    <cellStyle name="Normal 2 18 8 7" xfId="1623"/>
    <cellStyle name="Normal 2 18 8 8" xfId="1624"/>
    <cellStyle name="Normal 2 18 9" xfId="1625"/>
    <cellStyle name="Normal 2 18 9 2" xfId="1626"/>
    <cellStyle name="Normal 2 18 9 2 2" xfId="1627"/>
    <cellStyle name="Normal 2 18 9 2 2 2" xfId="1628"/>
    <cellStyle name="Normal 2 18 9 2 2 2 2" xfId="1629"/>
    <cellStyle name="Normal 2 18 9 2 2 2 3" xfId="1630"/>
    <cellStyle name="Normal 2 18 9 2 2 3" xfId="1631"/>
    <cellStyle name="Normal 2 18 9 2 2 4" xfId="1632"/>
    <cellStyle name="Normal 2 18 9 2 3" xfId="1633"/>
    <cellStyle name="Normal 2 18 9 2 3 2" xfId="1634"/>
    <cellStyle name="Normal 2 18 9 2 3 2 2" xfId="1635"/>
    <cellStyle name="Normal 2 18 9 2 3 2 3" xfId="1636"/>
    <cellStyle name="Normal 2 18 9 2 3 3" xfId="1637"/>
    <cellStyle name="Normal 2 18 9 2 3 4" xfId="1638"/>
    <cellStyle name="Normal 2 18 9 2 4" xfId="1639"/>
    <cellStyle name="Normal 2 18 9 2 4 2" xfId="1640"/>
    <cellStyle name="Normal 2 18 9 2 4 3" xfId="1641"/>
    <cellStyle name="Normal 2 18 9 2 5" xfId="1642"/>
    <cellStyle name="Normal 2 18 9 2 6" xfId="1643"/>
    <cellStyle name="Normal 2 18 9 3" xfId="1644"/>
    <cellStyle name="Normal 2 18 9 3 2" xfId="1645"/>
    <cellStyle name="Normal 2 18 9 3 2 2" xfId="1646"/>
    <cellStyle name="Normal 2 18 9 3 2 2 2" xfId="1647"/>
    <cellStyle name="Normal 2 18 9 3 2 2 3" xfId="1648"/>
    <cellStyle name="Normal 2 18 9 3 2 3" xfId="1649"/>
    <cellStyle name="Normal 2 18 9 3 2 4" xfId="1650"/>
    <cellStyle name="Normal 2 18 9 3 3" xfId="1651"/>
    <cellStyle name="Normal 2 18 9 3 3 2" xfId="1652"/>
    <cellStyle name="Normal 2 18 9 3 3 2 2" xfId="1653"/>
    <cellStyle name="Normal 2 18 9 3 3 2 3" xfId="1654"/>
    <cellStyle name="Normal 2 18 9 3 3 3" xfId="1655"/>
    <cellStyle name="Normal 2 18 9 3 3 4" xfId="1656"/>
    <cellStyle name="Normal 2 18 9 3 4" xfId="1657"/>
    <cellStyle name="Normal 2 18 9 3 4 2" xfId="1658"/>
    <cellStyle name="Normal 2 18 9 3 4 3" xfId="1659"/>
    <cellStyle name="Normal 2 18 9 3 5" xfId="1660"/>
    <cellStyle name="Normal 2 18 9 3 6" xfId="1661"/>
    <cellStyle name="Normal 2 18 9 4" xfId="1662"/>
    <cellStyle name="Normal 2 18 9 4 2" xfId="1663"/>
    <cellStyle name="Normal 2 18 9 4 2 2" xfId="1664"/>
    <cellStyle name="Normal 2 18 9 4 2 3" xfId="1665"/>
    <cellStyle name="Normal 2 18 9 4 3" xfId="1666"/>
    <cellStyle name="Normal 2 18 9 4 4" xfId="1667"/>
    <cellStyle name="Normal 2 18 9 5" xfId="1668"/>
    <cellStyle name="Normal 2 18 9 5 2" xfId="1669"/>
    <cellStyle name="Normal 2 18 9 5 2 2" xfId="1670"/>
    <cellStyle name="Normal 2 18 9 5 2 3" xfId="1671"/>
    <cellStyle name="Normal 2 18 9 5 3" xfId="1672"/>
    <cellStyle name="Normal 2 18 9 5 4" xfId="1673"/>
    <cellStyle name="Normal 2 18 9 6" xfId="1674"/>
    <cellStyle name="Normal 2 18 9 6 2" xfId="1675"/>
    <cellStyle name="Normal 2 18 9 6 3" xfId="1676"/>
    <cellStyle name="Normal 2 18 9 7" xfId="1677"/>
    <cellStyle name="Normal 2 18 9 8" xfId="1678"/>
    <cellStyle name="Normal 2 19" xfId="1679"/>
    <cellStyle name="Normal 2 19 10" xfId="1680"/>
    <cellStyle name="Normal 2 19 10 2" xfId="1681"/>
    <cellStyle name="Normal 2 19 10 2 2" xfId="1682"/>
    <cellStyle name="Normal 2 19 10 2 2 2" xfId="1683"/>
    <cellStyle name="Normal 2 19 10 2 2 2 2" xfId="1684"/>
    <cellStyle name="Normal 2 19 10 2 2 2 3" xfId="1685"/>
    <cellStyle name="Normal 2 19 10 2 2 3" xfId="1686"/>
    <cellStyle name="Normal 2 19 10 2 2 4" xfId="1687"/>
    <cellStyle name="Normal 2 19 10 2 3" xfId="1688"/>
    <cellStyle name="Normal 2 19 10 2 3 2" xfId="1689"/>
    <cellStyle name="Normal 2 19 10 2 3 2 2" xfId="1690"/>
    <cellStyle name="Normal 2 19 10 2 3 2 3" xfId="1691"/>
    <cellStyle name="Normal 2 19 10 2 3 3" xfId="1692"/>
    <cellStyle name="Normal 2 19 10 2 3 4" xfId="1693"/>
    <cellStyle name="Normal 2 19 10 2 4" xfId="1694"/>
    <cellStyle name="Normal 2 19 10 2 4 2" xfId="1695"/>
    <cellStyle name="Normal 2 19 10 2 4 3" xfId="1696"/>
    <cellStyle name="Normal 2 19 10 2 5" xfId="1697"/>
    <cellStyle name="Normal 2 19 10 2 6" xfId="1698"/>
    <cellStyle name="Normal 2 19 10 3" xfId="1699"/>
    <cellStyle name="Normal 2 19 10 3 2" xfId="1700"/>
    <cellStyle name="Normal 2 19 10 3 2 2" xfId="1701"/>
    <cellStyle name="Normal 2 19 10 3 2 2 2" xfId="1702"/>
    <cellStyle name="Normal 2 19 10 3 2 2 3" xfId="1703"/>
    <cellStyle name="Normal 2 19 10 3 2 3" xfId="1704"/>
    <cellStyle name="Normal 2 19 10 3 2 4" xfId="1705"/>
    <cellStyle name="Normal 2 19 10 3 3" xfId="1706"/>
    <cellStyle name="Normal 2 19 10 3 3 2" xfId="1707"/>
    <cellStyle name="Normal 2 19 10 3 3 2 2" xfId="1708"/>
    <cellStyle name="Normal 2 19 10 3 3 2 3" xfId="1709"/>
    <cellStyle name="Normal 2 19 10 3 3 3" xfId="1710"/>
    <cellStyle name="Normal 2 19 10 3 3 4" xfId="1711"/>
    <cellStyle name="Normal 2 19 10 3 4" xfId="1712"/>
    <cellStyle name="Normal 2 19 10 3 4 2" xfId="1713"/>
    <cellStyle name="Normal 2 19 10 3 4 3" xfId="1714"/>
    <cellStyle name="Normal 2 19 10 3 5" xfId="1715"/>
    <cellStyle name="Normal 2 19 10 3 6" xfId="1716"/>
    <cellStyle name="Normal 2 19 10 4" xfId="1717"/>
    <cellStyle name="Normal 2 19 10 4 2" xfId="1718"/>
    <cellStyle name="Normal 2 19 10 4 2 2" xfId="1719"/>
    <cellStyle name="Normal 2 19 10 4 2 3" xfId="1720"/>
    <cellStyle name="Normal 2 19 10 4 3" xfId="1721"/>
    <cellStyle name="Normal 2 19 10 4 4" xfId="1722"/>
    <cellStyle name="Normal 2 19 10 5" xfId="1723"/>
    <cellStyle name="Normal 2 19 10 5 2" xfId="1724"/>
    <cellStyle name="Normal 2 19 10 5 2 2" xfId="1725"/>
    <cellStyle name="Normal 2 19 10 5 2 3" xfId="1726"/>
    <cellStyle name="Normal 2 19 10 5 3" xfId="1727"/>
    <cellStyle name="Normal 2 19 10 5 4" xfId="1728"/>
    <cellStyle name="Normal 2 19 10 6" xfId="1729"/>
    <cellStyle name="Normal 2 19 10 6 2" xfId="1730"/>
    <cellStyle name="Normal 2 19 10 6 3" xfId="1731"/>
    <cellStyle name="Normal 2 19 10 7" xfId="1732"/>
    <cellStyle name="Normal 2 19 10 8" xfId="1733"/>
    <cellStyle name="Normal 2 19 11" xfId="1734"/>
    <cellStyle name="Normal 2 19 11 2" xfId="1735"/>
    <cellStyle name="Normal 2 19 11 2 2" xfId="1736"/>
    <cellStyle name="Normal 2 19 11 2 2 2" xfId="1737"/>
    <cellStyle name="Normal 2 19 11 2 2 2 2" xfId="1738"/>
    <cellStyle name="Normal 2 19 11 2 2 2 3" xfId="1739"/>
    <cellStyle name="Normal 2 19 11 2 2 3" xfId="1740"/>
    <cellStyle name="Normal 2 19 11 2 2 4" xfId="1741"/>
    <cellStyle name="Normal 2 19 11 2 3" xfId="1742"/>
    <cellStyle name="Normal 2 19 11 2 3 2" xfId="1743"/>
    <cellStyle name="Normal 2 19 11 2 3 2 2" xfId="1744"/>
    <cellStyle name="Normal 2 19 11 2 3 2 3" xfId="1745"/>
    <cellStyle name="Normal 2 19 11 2 3 3" xfId="1746"/>
    <cellStyle name="Normal 2 19 11 2 3 4" xfId="1747"/>
    <cellStyle name="Normal 2 19 11 2 4" xfId="1748"/>
    <cellStyle name="Normal 2 19 11 2 4 2" xfId="1749"/>
    <cellStyle name="Normal 2 19 11 2 4 3" xfId="1750"/>
    <cellStyle name="Normal 2 19 11 2 5" xfId="1751"/>
    <cellStyle name="Normal 2 19 11 2 6" xfId="1752"/>
    <cellStyle name="Normal 2 19 11 3" xfId="1753"/>
    <cellStyle name="Normal 2 19 11 3 2" xfId="1754"/>
    <cellStyle name="Normal 2 19 11 3 2 2" xfId="1755"/>
    <cellStyle name="Normal 2 19 11 3 2 2 2" xfId="1756"/>
    <cellStyle name="Normal 2 19 11 3 2 2 3" xfId="1757"/>
    <cellStyle name="Normal 2 19 11 3 2 3" xfId="1758"/>
    <cellStyle name="Normal 2 19 11 3 2 4" xfId="1759"/>
    <cellStyle name="Normal 2 19 11 3 3" xfId="1760"/>
    <cellStyle name="Normal 2 19 11 3 3 2" xfId="1761"/>
    <cellStyle name="Normal 2 19 11 3 3 2 2" xfId="1762"/>
    <cellStyle name="Normal 2 19 11 3 3 2 3" xfId="1763"/>
    <cellStyle name="Normal 2 19 11 3 3 3" xfId="1764"/>
    <cellStyle name="Normal 2 19 11 3 3 4" xfId="1765"/>
    <cellStyle name="Normal 2 19 11 3 4" xfId="1766"/>
    <cellStyle name="Normal 2 19 11 3 4 2" xfId="1767"/>
    <cellStyle name="Normal 2 19 11 3 4 3" xfId="1768"/>
    <cellStyle name="Normal 2 19 11 3 5" xfId="1769"/>
    <cellStyle name="Normal 2 19 11 3 6" xfId="1770"/>
    <cellStyle name="Normal 2 19 11 4" xfId="1771"/>
    <cellStyle name="Normal 2 19 11 4 2" xfId="1772"/>
    <cellStyle name="Normal 2 19 11 4 2 2" xfId="1773"/>
    <cellStyle name="Normal 2 19 11 4 2 3" xfId="1774"/>
    <cellStyle name="Normal 2 19 11 4 3" xfId="1775"/>
    <cellStyle name="Normal 2 19 11 4 4" xfId="1776"/>
    <cellStyle name="Normal 2 19 11 5" xfId="1777"/>
    <cellStyle name="Normal 2 19 11 5 2" xfId="1778"/>
    <cellStyle name="Normal 2 19 11 5 2 2" xfId="1779"/>
    <cellStyle name="Normal 2 19 11 5 2 3" xfId="1780"/>
    <cellStyle name="Normal 2 19 11 5 3" xfId="1781"/>
    <cellStyle name="Normal 2 19 11 5 4" xfId="1782"/>
    <cellStyle name="Normal 2 19 11 6" xfId="1783"/>
    <cellStyle name="Normal 2 19 11 6 2" xfId="1784"/>
    <cellStyle name="Normal 2 19 11 6 3" xfId="1785"/>
    <cellStyle name="Normal 2 19 11 7" xfId="1786"/>
    <cellStyle name="Normal 2 19 11 8" xfId="1787"/>
    <cellStyle name="Normal 2 19 12" xfId="1788"/>
    <cellStyle name="Normal 2 19 12 2" xfId="1789"/>
    <cellStyle name="Normal 2 19 12 2 2" xfId="1790"/>
    <cellStyle name="Normal 2 19 12 2 2 2" xfId="1791"/>
    <cellStyle name="Normal 2 19 12 2 2 2 2" xfId="1792"/>
    <cellStyle name="Normal 2 19 12 2 2 2 3" xfId="1793"/>
    <cellStyle name="Normal 2 19 12 2 2 3" xfId="1794"/>
    <cellStyle name="Normal 2 19 12 2 2 4" xfId="1795"/>
    <cellStyle name="Normal 2 19 12 2 3" xfId="1796"/>
    <cellStyle name="Normal 2 19 12 2 3 2" xfId="1797"/>
    <cellStyle name="Normal 2 19 12 2 3 2 2" xfId="1798"/>
    <cellStyle name="Normal 2 19 12 2 3 2 3" xfId="1799"/>
    <cellStyle name="Normal 2 19 12 2 3 3" xfId="1800"/>
    <cellStyle name="Normal 2 19 12 2 3 4" xfId="1801"/>
    <cellStyle name="Normal 2 19 12 2 4" xfId="1802"/>
    <cellStyle name="Normal 2 19 12 2 4 2" xfId="1803"/>
    <cellStyle name="Normal 2 19 12 2 4 3" xfId="1804"/>
    <cellStyle name="Normal 2 19 12 2 5" xfId="1805"/>
    <cellStyle name="Normal 2 19 12 2 6" xfId="1806"/>
    <cellStyle name="Normal 2 19 12 3" xfId="1807"/>
    <cellStyle name="Normal 2 19 12 3 2" xfId="1808"/>
    <cellStyle name="Normal 2 19 12 3 2 2" xfId="1809"/>
    <cellStyle name="Normal 2 19 12 3 2 2 2" xfId="1810"/>
    <cellStyle name="Normal 2 19 12 3 2 2 3" xfId="1811"/>
    <cellStyle name="Normal 2 19 12 3 2 3" xfId="1812"/>
    <cellStyle name="Normal 2 19 12 3 2 4" xfId="1813"/>
    <cellStyle name="Normal 2 19 12 3 3" xfId="1814"/>
    <cellStyle name="Normal 2 19 12 3 3 2" xfId="1815"/>
    <cellStyle name="Normal 2 19 12 3 3 2 2" xfId="1816"/>
    <cellStyle name="Normal 2 19 12 3 3 2 3" xfId="1817"/>
    <cellStyle name="Normal 2 19 12 3 3 3" xfId="1818"/>
    <cellStyle name="Normal 2 19 12 3 3 4" xfId="1819"/>
    <cellStyle name="Normal 2 19 12 3 4" xfId="1820"/>
    <cellStyle name="Normal 2 19 12 3 4 2" xfId="1821"/>
    <cellStyle name="Normal 2 19 12 3 4 3" xfId="1822"/>
    <cellStyle name="Normal 2 19 12 3 5" xfId="1823"/>
    <cellStyle name="Normal 2 19 12 3 6" xfId="1824"/>
    <cellStyle name="Normal 2 19 12 4" xfId="1825"/>
    <cellStyle name="Normal 2 19 12 4 2" xfId="1826"/>
    <cellStyle name="Normal 2 19 12 4 2 2" xfId="1827"/>
    <cellStyle name="Normal 2 19 12 4 2 3" xfId="1828"/>
    <cellStyle name="Normal 2 19 12 4 3" xfId="1829"/>
    <cellStyle name="Normal 2 19 12 4 4" xfId="1830"/>
    <cellStyle name="Normal 2 19 12 5" xfId="1831"/>
    <cellStyle name="Normal 2 19 12 5 2" xfId="1832"/>
    <cellStyle name="Normal 2 19 12 5 2 2" xfId="1833"/>
    <cellStyle name="Normal 2 19 12 5 2 3" xfId="1834"/>
    <cellStyle name="Normal 2 19 12 5 3" xfId="1835"/>
    <cellStyle name="Normal 2 19 12 5 4" xfId="1836"/>
    <cellStyle name="Normal 2 19 12 6" xfId="1837"/>
    <cellStyle name="Normal 2 19 12 6 2" xfId="1838"/>
    <cellStyle name="Normal 2 19 12 6 3" xfId="1839"/>
    <cellStyle name="Normal 2 19 12 7" xfId="1840"/>
    <cellStyle name="Normal 2 19 12 8" xfId="1841"/>
    <cellStyle name="Normal 2 19 13" xfId="1842"/>
    <cellStyle name="Normal 2 19 13 2" xfId="1843"/>
    <cellStyle name="Normal 2 19 13 2 2" xfId="1844"/>
    <cellStyle name="Normal 2 19 13 2 2 2" xfId="1845"/>
    <cellStyle name="Normal 2 19 13 2 2 2 2" xfId="1846"/>
    <cellStyle name="Normal 2 19 13 2 2 2 3" xfId="1847"/>
    <cellStyle name="Normal 2 19 13 2 2 3" xfId="1848"/>
    <cellStyle name="Normal 2 19 13 2 2 4" xfId="1849"/>
    <cellStyle name="Normal 2 19 13 2 3" xfId="1850"/>
    <cellStyle name="Normal 2 19 13 2 3 2" xfId="1851"/>
    <cellStyle name="Normal 2 19 13 2 3 2 2" xfId="1852"/>
    <cellStyle name="Normal 2 19 13 2 3 2 3" xfId="1853"/>
    <cellStyle name="Normal 2 19 13 2 3 3" xfId="1854"/>
    <cellStyle name="Normal 2 19 13 2 3 4" xfId="1855"/>
    <cellStyle name="Normal 2 19 13 2 4" xfId="1856"/>
    <cellStyle name="Normal 2 19 13 2 4 2" xfId="1857"/>
    <cellStyle name="Normal 2 19 13 2 4 3" xfId="1858"/>
    <cellStyle name="Normal 2 19 13 2 5" xfId="1859"/>
    <cellStyle name="Normal 2 19 13 2 6" xfId="1860"/>
    <cellStyle name="Normal 2 19 13 3" xfId="1861"/>
    <cellStyle name="Normal 2 19 13 3 2" xfId="1862"/>
    <cellStyle name="Normal 2 19 13 3 2 2" xfId="1863"/>
    <cellStyle name="Normal 2 19 13 3 2 2 2" xfId="1864"/>
    <cellStyle name="Normal 2 19 13 3 2 2 3" xfId="1865"/>
    <cellStyle name="Normal 2 19 13 3 2 3" xfId="1866"/>
    <cellStyle name="Normal 2 19 13 3 2 4" xfId="1867"/>
    <cellStyle name="Normal 2 19 13 3 3" xfId="1868"/>
    <cellStyle name="Normal 2 19 13 3 3 2" xfId="1869"/>
    <cellStyle name="Normal 2 19 13 3 3 2 2" xfId="1870"/>
    <cellStyle name="Normal 2 19 13 3 3 2 3" xfId="1871"/>
    <cellStyle name="Normal 2 19 13 3 3 3" xfId="1872"/>
    <cellStyle name="Normal 2 19 13 3 3 4" xfId="1873"/>
    <cellStyle name="Normal 2 19 13 3 4" xfId="1874"/>
    <cellStyle name="Normal 2 19 13 3 4 2" xfId="1875"/>
    <cellStyle name="Normal 2 19 13 3 4 3" xfId="1876"/>
    <cellStyle name="Normal 2 19 13 3 5" xfId="1877"/>
    <cellStyle name="Normal 2 19 13 3 6" xfId="1878"/>
    <cellStyle name="Normal 2 19 13 4" xfId="1879"/>
    <cellStyle name="Normal 2 19 13 4 2" xfId="1880"/>
    <cellStyle name="Normal 2 19 13 4 2 2" xfId="1881"/>
    <cellStyle name="Normal 2 19 13 4 2 3" xfId="1882"/>
    <cellStyle name="Normal 2 19 13 4 3" xfId="1883"/>
    <cellStyle name="Normal 2 19 13 4 4" xfId="1884"/>
    <cellStyle name="Normal 2 19 13 5" xfId="1885"/>
    <cellStyle name="Normal 2 19 13 5 2" xfId="1886"/>
    <cellStyle name="Normal 2 19 13 5 2 2" xfId="1887"/>
    <cellStyle name="Normal 2 19 13 5 2 3" xfId="1888"/>
    <cellStyle name="Normal 2 19 13 5 3" xfId="1889"/>
    <cellStyle name="Normal 2 19 13 5 4" xfId="1890"/>
    <cellStyle name="Normal 2 19 13 6" xfId="1891"/>
    <cellStyle name="Normal 2 19 13 6 2" xfId="1892"/>
    <cellStyle name="Normal 2 19 13 6 3" xfId="1893"/>
    <cellStyle name="Normal 2 19 13 7" xfId="1894"/>
    <cellStyle name="Normal 2 19 13 8" xfId="1895"/>
    <cellStyle name="Normal 2 19 14" xfId="1896"/>
    <cellStyle name="Normal 2 19 14 2" xfId="1897"/>
    <cellStyle name="Normal 2 19 14 2 2" xfId="1898"/>
    <cellStyle name="Normal 2 19 14 2 2 2" xfId="1899"/>
    <cellStyle name="Normal 2 19 14 2 2 2 2" xfId="1900"/>
    <cellStyle name="Normal 2 19 14 2 2 2 3" xfId="1901"/>
    <cellStyle name="Normal 2 19 14 2 2 3" xfId="1902"/>
    <cellStyle name="Normal 2 19 14 2 2 4" xfId="1903"/>
    <cellStyle name="Normal 2 19 14 2 3" xfId="1904"/>
    <cellStyle name="Normal 2 19 14 2 3 2" xfId="1905"/>
    <cellStyle name="Normal 2 19 14 2 3 2 2" xfId="1906"/>
    <cellStyle name="Normal 2 19 14 2 3 2 3" xfId="1907"/>
    <cellStyle name="Normal 2 19 14 2 3 3" xfId="1908"/>
    <cellStyle name="Normal 2 19 14 2 3 4" xfId="1909"/>
    <cellStyle name="Normal 2 19 14 2 4" xfId="1910"/>
    <cellStyle name="Normal 2 19 14 2 4 2" xfId="1911"/>
    <cellStyle name="Normal 2 19 14 2 4 3" xfId="1912"/>
    <cellStyle name="Normal 2 19 14 2 5" xfId="1913"/>
    <cellStyle name="Normal 2 19 14 2 6" xfId="1914"/>
    <cellStyle name="Normal 2 19 14 3" xfId="1915"/>
    <cellStyle name="Normal 2 19 14 3 2" xfId="1916"/>
    <cellStyle name="Normal 2 19 14 3 2 2" xfId="1917"/>
    <cellStyle name="Normal 2 19 14 3 2 2 2" xfId="1918"/>
    <cellStyle name="Normal 2 19 14 3 2 2 3" xfId="1919"/>
    <cellStyle name="Normal 2 19 14 3 2 3" xfId="1920"/>
    <cellStyle name="Normal 2 19 14 3 2 4" xfId="1921"/>
    <cellStyle name="Normal 2 19 14 3 3" xfId="1922"/>
    <cellStyle name="Normal 2 19 14 3 3 2" xfId="1923"/>
    <cellStyle name="Normal 2 19 14 3 3 2 2" xfId="1924"/>
    <cellStyle name="Normal 2 19 14 3 3 2 3" xfId="1925"/>
    <cellStyle name="Normal 2 19 14 3 3 3" xfId="1926"/>
    <cellStyle name="Normal 2 19 14 3 3 4" xfId="1927"/>
    <cellStyle name="Normal 2 19 14 3 4" xfId="1928"/>
    <cellStyle name="Normal 2 19 14 3 4 2" xfId="1929"/>
    <cellStyle name="Normal 2 19 14 3 4 3" xfId="1930"/>
    <cellStyle name="Normal 2 19 14 3 5" xfId="1931"/>
    <cellStyle name="Normal 2 19 14 3 6" xfId="1932"/>
    <cellStyle name="Normal 2 19 14 4" xfId="1933"/>
    <cellStyle name="Normal 2 19 14 4 2" xfId="1934"/>
    <cellStyle name="Normal 2 19 14 4 2 2" xfId="1935"/>
    <cellStyle name="Normal 2 19 14 4 2 3" xfId="1936"/>
    <cellStyle name="Normal 2 19 14 4 3" xfId="1937"/>
    <cellStyle name="Normal 2 19 14 4 4" xfId="1938"/>
    <cellStyle name="Normal 2 19 14 5" xfId="1939"/>
    <cellStyle name="Normal 2 19 14 5 2" xfId="1940"/>
    <cellStyle name="Normal 2 19 14 5 2 2" xfId="1941"/>
    <cellStyle name="Normal 2 19 14 5 2 3" xfId="1942"/>
    <cellStyle name="Normal 2 19 14 5 3" xfId="1943"/>
    <cellStyle name="Normal 2 19 14 5 4" xfId="1944"/>
    <cellStyle name="Normal 2 19 14 6" xfId="1945"/>
    <cellStyle name="Normal 2 19 14 6 2" xfId="1946"/>
    <cellStyle name="Normal 2 19 14 6 3" xfId="1947"/>
    <cellStyle name="Normal 2 19 14 7" xfId="1948"/>
    <cellStyle name="Normal 2 19 14 8" xfId="1949"/>
    <cellStyle name="Normal 2 19 15" xfId="1950"/>
    <cellStyle name="Normal 2 19 15 2" xfId="1951"/>
    <cellStyle name="Normal 2 19 15 2 2" xfId="1952"/>
    <cellStyle name="Normal 2 19 15 2 2 2" xfId="1953"/>
    <cellStyle name="Normal 2 19 15 2 2 2 2" xfId="1954"/>
    <cellStyle name="Normal 2 19 15 2 2 2 3" xfId="1955"/>
    <cellStyle name="Normal 2 19 15 2 2 3" xfId="1956"/>
    <cellStyle name="Normal 2 19 15 2 2 4" xfId="1957"/>
    <cellStyle name="Normal 2 19 15 2 3" xfId="1958"/>
    <cellStyle name="Normal 2 19 15 2 3 2" xfId="1959"/>
    <cellStyle name="Normal 2 19 15 2 3 2 2" xfId="1960"/>
    <cellStyle name="Normal 2 19 15 2 3 2 3" xfId="1961"/>
    <cellStyle name="Normal 2 19 15 2 3 3" xfId="1962"/>
    <cellStyle name="Normal 2 19 15 2 3 4" xfId="1963"/>
    <cellStyle name="Normal 2 19 15 2 4" xfId="1964"/>
    <cellStyle name="Normal 2 19 15 2 4 2" xfId="1965"/>
    <cellStyle name="Normal 2 19 15 2 4 3" xfId="1966"/>
    <cellStyle name="Normal 2 19 15 2 5" xfId="1967"/>
    <cellStyle name="Normal 2 19 15 2 6" xfId="1968"/>
    <cellStyle name="Normal 2 19 15 3" xfId="1969"/>
    <cellStyle name="Normal 2 19 15 3 2" xfId="1970"/>
    <cellStyle name="Normal 2 19 15 3 2 2" xfId="1971"/>
    <cellStyle name="Normal 2 19 15 3 2 2 2" xfId="1972"/>
    <cellStyle name="Normal 2 19 15 3 2 2 3" xfId="1973"/>
    <cellStyle name="Normal 2 19 15 3 2 3" xfId="1974"/>
    <cellStyle name="Normal 2 19 15 3 2 4" xfId="1975"/>
    <cellStyle name="Normal 2 19 15 3 3" xfId="1976"/>
    <cellStyle name="Normal 2 19 15 3 3 2" xfId="1977"/>
    <cellStyle name="Normal 2 19 15 3 3 2 2" xfId="1978"/>
    <cellStyle name="Normal 2 19 15 3 3 2 3" xfId="1979"/>
    <cellStyle name="Normal 2 19 15 3 3 3" xfId="1980"/>
    <cellStyle name="Normal 2 19 15 3 3 4" xfId="1981"/>
    <cellStyle name="Normal 2 19 15 3 4" xfId="1982"/>
    <cellStyle name="Normal 2 19 15 3 4 2" xfId="1983"/>
    <cellStyle name="Normal 2 19 15 3 4 3" xfId="1984"/>
    <cellStyle name="Normal 2 19 15 3 5" xfId="1985"/>
    <cellStyle name="Normal 2 19 15 3 6" xfId="1986"/>
    <cellStyle name="Normal 2 19 15 4" xfId="1987"/>
    <cellStyle name="Normal 2 19 15 4 2" xfId="1988"/>
    <cellStyle name="Normal 2 19 15 4 2 2" xfId="1989"/>
    <cellStyle name="Normal 2 19 15 4 2 3" xfId="1990"/>
    <cellStyle name="Normal 2 19 15 4 3" xfId="1991"/>
    <cellStyle name="Normal 2 19 15 4 4" xfId="1992"/>
    <cellStyle name="Normal 2 19 15 5" xfId="1993"/>
    <cellStyle name="Normal 2 19 15 5 2" xfId="1994"/>
    <cellStyle name="Normal 2 19 15 5 2 2" xfId="1995"/>
    <cellStyle name="Normal 2 19 15 5 2 3" xfId="1996"/>
    <cellStyle name="Normal 2 19 15 5 3" xfId="1997"/>
    <cellStyle name="Normal 2 19 15 5 4" xfId="1998"/>
    <cellStyle name="Normal 2 19 15 6" xfId="1999"/>
    <cellStyle name="Normal 2 19 15 6 2" xfId="2000"/>
    <cellStyle name="Normal 2 19 15 6 3" xfId="2001"/>
    <cellStyle name="Normal 2 19 15 7" xfId="2002"/>
    <cellStyle name="Normal 2 19 15 8" xfId="2003"/>
    <cellStyle name="Normal 2 19 16" xfId="2004"/>
    <cellStyle name="Normal 2 19 16 2" xfId="2005"/>
    <cellStyle name="Normal 2 19 16 2 2" xfId="2006"/>
    <cellStyle name="Normal 2 19 16 2 2 2" xfId="2007"/>
    <cellStyle name="Normal 2 19 16 2 2 3" xfId="2008"/>
    <cellStyle name="Normal 2 19 16 2 3" xfId="2009"/>
    <cellStyle name="Normal 2 19 16 2 4" xfId="2010"/>
    <cellStyle name="Normal 2 19 16 3" xfId="2011"/>
    <cellStyle name="Normal 2 19 16 3 2" xfId="2012"/>
    <cellStyle name="Normal 2 19 16 3 2 2" xfId="2013"/>
    <cellStyle name="Normal 2 19 16 3 2 3" xfId="2014"/>
    <cellStyle name="Normal 2 19 16 3 3" xfId="2015"/>
    <cellStyle name="Normal 2 19 16 3 4" xfId="2016"/>
    <cellStyle name="Normal 2 19 16 4" xfId="2017"/>
    <cellStyle name="Normal 2 19 16 4 2" xfId="2018"/>
    <cellStyle name="Normal 2 19 16 4 3" xfId="2019"/>
    <cellStyle name="Normal 2 19 16 5" xfId="2020"/>
    <cellStyle name="Normal 2 19 16 6" xfId="2021"/>
    <cellStyle name="Normal 2 19 17" xfId="2022"/>
    <cellStyle name="Normal 2 19 17 2" xfId="2023"/>
    <cellStyle name="Normal 2 19 17 2 2" xfId="2024"/>
    <cellStyle name="Normal 2 19 17 2 2 2" xfId="2025"/>
    <cellStyle name="Normal 2 19 17 2 2 3" xfId="2026"/>
    <cellStyle name="Normal 2 19 17 2 3" xfId="2027"/>
    <cellStyle name="Normal 2 19 17 2 4" xfId="2028"/>
    <cellStyle name="Normal 2 19 17 3" xfId="2029"/>
    <cellStyle name="Normal 2 19 17 3 2" xfId="2030"/>
    <cellStyle name="Normal 2 19 17 3 2 2" xfId="2031"/>
    <cellStyle name="Normal 2 19 17 3 2 3" xfId="2032"/>
    <cellStyle name="Normal 2 19 17 3 3" xfId="2033"/>
    <cellStyle name="Normal 2 19 17 3 4" xfId="2034"/>
    <cellStyle name="Normal 2 19 17 4" xfId="2035"/>
    <cellStyle name="Normal 2 19 17 4 2" xfId="2036"/>
    <cellStyle name="Normal 2 19 17 4 3" xfId="2037"/>
    <cellStyle name="Normal 2 19 17 5" xfId="2038"/>
    <cellStyle name="Normal 2 19 17 6" xfId="2039"/>
    <cellStyle name="Normal 2 19 18" xfId="2040"/>
    <cellStyle name="Normal 2 19 18 2" xfId="2041"/>
    <cellStyle name="Normal 2 19 18 2 2" xfId="2042"/>
    <cellStyle name="Normal 2 19 18 2 2 2" xfId="2043"/>
    <cellStyle name="Normal 2 19 18 2 2 3" xfId="2044"/>
    <cellStyle name="Normal 2 19 18 2 3" xfId="2045"/>
    <cellStyle name="Normal 2 19 18 2 4" xfId="2046"/>
    <cellStyle name="Normal 2 19 18 3" xfId="2047"/>
    <cellStyle name="Normal 2 19 18 3 2" xfId="2048"/>
    <cellStyle name="Normal 2 19 18 3 2 2" xfId="2049"/>
    <cellStyle name="Normal 2 19 18 3 2 3" xfId="2050"/>
    <cellStyle name="Normal 2 19 18 3 3" xfId="2051"/>
    <cellStyle name="Normal 2 19 18 3 4" xfId="2052"/>
    <cellStyle name="Normal 2 19 18 4" xfId="2053"/>
    <cellStyle name="Normal 2 19 18 4 2" xfId="2054"/>
    <cellStyle name="Normal 2 19 18 4 3" xfId="2055"/>
    <cellStyle name="Normal 2 19 18 5" xfId="2056"/>
    <cellStyle name="Normal 2 19 18 6" xfId="2057"/>
    <cellStyle name="Normal 2 19 19" xfId="2058"/>
    <cellStyle name="Normal 2 19 19 2" xfId="2059"/>
    <cellStyle name="Normal 2 19 19 2 2" xfId="2060"/>
    <cellStyle name="Normal 2 19 19 2 2 2" xfId="2061"/>
    <cellStyle name="Normal 2 19 19 2 2 3" xfId="2062"/>
    <cellStyle name="Normal 2 19 19 2 3" xfId="2063"/>
    <cellStyle name="Normal 2 19 19 2 4" xfId="2064"/>
    <cellStyle name="Normal 2 19 19 3" xfId="2065"/>
    <cellStyle name="Normal 2 19 19 3 2" xfId="2066"/>
    <cellStyle name="Normal 2 19 19 3 2 2" xfId="2067"/>
    <cellStyle name="Normal 2 19 19 3 2 3" xfId="2068"/>
    <cellStyle name="Normal 2 19 19 3 3" xfId="2069"/>
    <cellStyle name="Normal 2 19 19 3 4" xfId="2070"/>
    <cellStyle name="Normal 2 19 19 4" xfId="2071"/>
    <cellStyle name="Normal 2 19 19 4 2" xfId="2072"/>
    <cellStyle name="Normal 2 19 19 4 3" xfId="2073"/>
    <cellStyle name="Normal 2 19 19 5" xfId="2074"/>
    <cellStyle name="Normal 2 19 19 6" xfId="2075"/>
    <cellStyle name="Normal 2 19 2" xfId="2076"/>
    <cellStyle name="Normal 2 19 2 10" xfId="2077"/>
    <cellStyle name="Normal 2 19 2 10 2" xfId="2078"/>
    <cellStyle name="Normal 2 19 2 10 2 2" xfId="2079"/>
    <cellStyle name="Normal 2 19 2 10 2 3" xfId="2080"/>
    <cellStyle name="Normal 2 19 2 10 3" xfId="2081"/>
    <cellStyle name="Normal 2 19 2 10 4" xfId="2082"/>
    <cellStyle name="Normal 2 19 2 11" xfId="2083"/>
    <cellStyle name="Normal 2 19 2 11 2" xfId="2084"/>
    <cellStyle name="Normal 2 19 2 11 2 2" xfId="2085"/>
    <cellStyle name="Normal 2 19 2 11 2 3" xfId="2086"/>
    <cellStyle name="Normal 2 19 2 11 3" xfId="2087"/>
    <cellStyle name="Normal 2 19 2 11 4" xfId="2088"/>
    <cellStyle name="Normal 2 19 2 12" xfId="2089"/>
    <cellStyle name="Normal 2 19 2 12 2" xfId="2090"/>
    <cellStyle name="Normal 2 19 2 12 3" xfId="2091"/>
    <cellStyle name="Normal 2 19 2 13" xfId="2092"/>
    <cellStyle name="Normal 2 19 2 14" xfId="2093"/>
    <cellStyle name="Normal 2 19 2 2" xfId="2094"/>
    <cellStyle name="Normal 2 19 2 2 2" xfId="2095"/>
    <cellStyle name="Normal 2 19 2 2 2 2" xfId="2096"/>
    <cellStyle name="Normal 2 19 2 2 2 2 2" xfId="2097"/>
    <cellStyle name="Normal 2 19 2 2 2 2 3" xfId="2098"/>
    <cellStyle name="Normal 2 19 2 2 2 3" xfId="2099"/>
    <cellStyle name="Normal 2 19 2 2 2 4" xfId="2100"/>
    <cellStyle name="Normal 2 19 2 2 3" xfId="2101"/>
    <cellStyle name="Normal 2 19 2 2 3 2" xfId="2102"/>
    <cellStyle name="Normal 2 19 2 2 3 2 2" xfId="2103"/>
    <cellStyle name="Normal 2 19 2 2 3 2 3" xfId="2104"/>
    <cellStyle name="Normal 2 19 2 2 3 3" xfId="2105"/>
    <cellStyle name="Normal 2 19 2 2 3 4" xfId="2106"/>
    <cellStyle name="Normal 2 19 2 2 4" xfId="2107"/>
    <cellStyle name="Normal 2 19 2 2 4 2" xfId="2108"/>
    <cellStyle name="Normal 2 19 2 2 4 3" xfId="2109"/>
    <cellStyle name="Normal 2 19 2 2 5" xfId="2110"/>
    <cellStyle name="Normal 2 19 2 2 6" xfId="2111"/>
    <cellStyle name="Normal 2 19 2 3" xfId="2112"/>
    <cellStyle name="Normal 2 19 2 3 2" xfId="2113"/>
    <cellStyle name="Normal 2 19 2 3 2 2" xfId="2114"/>
    <cellStyle name="Normal 2 19 2 3 2 2 2" xfId="2115"/>
    <cellStyle name="Normal 2 19 2 3 2 2 3" xfId="2116"/>
    <cellStyle name="Normal 2 19 2 3 2 3" xfId="2117"/>
    <cellStyle name="Normal 2 19 2 3 2 4" xfId="2118"/>
    <cellStyle name="Normal 2 19 2 3 3" xfId="2119"/>
    <cellStyle name="Normal 2 19 2 3 3 2" xfId="2120"/>
    <cellStyle name="Normal 2 19 2 3 3 2 2" xfId="2121"/>
    <cellStyle name="Normal 2 19 2 3 3 2 3" xfId="2122"/>
    <cellStyle name="Normal 2 19 2 3 3 3" xfId="2123"/>
    <cellStyle name="Normal 2 19 2 3 3 4" xfId="2124"/>
    <cellStyle name="Normal 2 19 2 3 4" xfId="2125"/>
    <cellStyle name="Normal 2 19 2 3 4 2" xfId="2126"/>
    <cellStyle name="Normal 2 19 2 3 4 3" xfId="2127"/>
    <cellStyle name="Normal 2 19 2 3 5" xfId="2128"/>
    <cellStyle name="Normal 2 19 2 3 6" xfId="2129"/>
    <cellStyle name="Normal 2 19 2 4" xfId="2130"/>
    <cellStyle name="Normal 2 19 2 4 2" xfId="2131"/>
    <cellStyle name="Normal 2 19 2 4 2 2" xfId="2132"/>
    <cellStyle name="Normal 2 19 2 4 2 2 2" xfId="2133"/>
    <cellStyle name="Normal 2 19 2 4 2 2 3" xfId="2134"/>
    <cellStyle name="Normal 2 19 2 4 2 3" xfId="2135"/>
    <cellStyle name="Normal 2 19 2 4 2 4" xfId="2136"/>
    <cellStyle name="Normal 2 19 2 4 3" xfId="2137"/>
    <cellStyle name="Normal 2 19 2 4 3 2" xfId="2138"/>
    <cellStyle name="Normal 2 19 2 4 3 2 2" xfId="2139"/>
    <cellStyle name="Normal 2 19 2 4 3 2 3" xfId="2140"/>
    <cellStyle name="Normal 2 19 2 4 3 3" xfId="2141"/>
    <cellStyle name="Normal 2 19 2 4 3 4" xfId="2142"/>
    <cellStyle name="Normal 2 19 2 4 4" xfId="2143"/>
    <cellStyle name="Normal 2 19 2 4 4 2" xfId="2144"/>
    <cellStyle name="Normal 2 19 2 4 4 3" xfId="2145"/>
    <cellStyle name="Normal 2 19 2 4 5" xfId="2146"/>
    <cellStyle name="Normal 2 19 2 4 6" xfId="2147"/>
    <cellStyle name="Normal 2 19 2 5" xfId="2148"/>
    <cellStyle name="Normal 2 19 2 5 2" xfId="2149"/>
    <cellStyle name="Normal 2 19 2 5 2 2" xfId="2150"/>
    <cellStyle name="Normal 2 19 2 5 2 2 2" xfId="2151"/>
    <cellStyle name="Normal 2 19 2 5 2 2 3" xfId="2152"/>
    <cellStyle name="Normal 2 19 2 5 2 3" xfId="2153"/>
    <cellStyle name="Normal 2 19 2 5 2 4" xfId="2154"/>
    <cellStyle name="Normal 2 19 2 5 3" xfId="2155"/>
    <cellStyle name="Normal 2 19 2 5 3 2" xfId="2156"/>
    <cellStyle name="Normal 2 19 2 5 3 2 2" xfId="2157"/>
    <cellStyle name="Normal 2 19 2 5 3 2 3" xfId="2158"/>
    <cellStyle name="Normal 2 19 2 5 3 3" xfId="2159"/>
    <cellStyle name="Normal 2 19 2 5 3 4" xfId="2160"/>
    <cellStyle name="Normal 2 19 2 5 4" xfId="2161"/>
    <cellStyle name="Normal 2 19 2 5 4 2" xfId="2162"/>
    <cellStyle name="Normal 2 19 2 5 4 3" xfId="2163"/>
    <cellStyle name="Normal 2 19 2 5 5" xfId="2164"/>
    <cellStyle name="Normal 2 19 2 5 6" xfId="2165"/>
    <cellStyle name="Normal 2 19 2 6" xfId="2166"/>
    <cellStyle name="Normal 2 19 2 6 2" xfId="2167"/>
    <cellStyle name="Normal 2 19 2 6 2 2" xfId="2168"/>
    <cellStyle name="Normal 2 19 2 6 2 2 2" xfId="2169"/>
    <cellStyle name="Normal 2 19 2 6 2 2 3" xfId="2170"/>
    <cellStyle name="Normal 2 19 2 6 2 3" xfId="2171"/>
    <cellStyle name="Normal 2 19 2 6 2 4" xfId="2172"/>
    <cellStyle name="Normal 2 19 2 6 3" xfId="2173"/>
    <cellStyle name="Normal 2 19 2 6 3 2" xfId="2174"/>
    <cellStyle name="Normal 2 19 2 6 3 2 2" xfId="2175"/>
    <cellStyle name="Normal 2 19 2 6 3 2 3" xfId="2176"/>
    <cellStyle name="Normal 2 19 2 6 3 3" xfId="2177"/>
    <cellStyle name="Normal 2 19 2 6 3 4" xfId="2178"/>
    <cellStyle name="Normal 2 19 2 6 4" xfId="2179"/>
    <cellStyle name="Normal 2 19 2 6 4 2" xfId="2180"/>
    <cellStyle name="Normal 2 19 2 6 4 3" xfId="2181"/>
    <cellStyle name="Normal 2 19 2 6 5" xfId="2182"/>
    <cellStyle name="Normal 2 19 2 6 6" xfId="2183"/>
    <cellStyle name="Normal 2 19 2 7" xfId="2184"/>
    <cellStyle name="Normal 2 19 2 7 2" xfId="2185"/>
    <cellStyle name="Normal 2 19 2 7 2 2" xfId="2186"/>
    <cellStyle name="Normal 2 19 2 7 2 2 2" xfId="2187"/>
    <cellStyle name="Normal 2 19 2 7 2 2 3" xfId="2188"/>
    <cellStyle name="Normal 2 19 2 7 2 3" xfId="2189"/>
    <cellStyle name="Normal 2 19 2 7 2 4" xfId="2190"/>
    <cellStyle name="Normal 2 19 2 7 3" xfId="2191"/>
    <cellStyle name="Normal 2 19 2 7 3 2" xfId="2192"/>
    <cellStyle name="Normal 2 19 2 7 3 2 2" xfId="2193"/>
    <cellStyle name="Normal 2 19 2 7 3 2 3" xfId="2194"/>
    <cellStyle name="Normal 2 19 2 7 3 3" xfId="2195"/>
    <cellStyle name="Normal 2 19 2 7 3 4" xfId="2196"/>
    <cellStyle name="Normal 2 19 2 7 4" xfId="2197"/>
    <cellStyle name="Normal 2 19 2 7 4 2" xfId="2198"/>
    <cellStyle name="Normal 2 19 2 7 4 3" xfId="2199"/>
    <cellStyle name="Normal 2 19 2 7 5" xfId="2200"/>
    <cellStyle name="Normal 2 19 2 7 6" xfId="2201"/>
    <cellStyle name="Normal 2 19 2 8" xfId="2202"/>
    <cellStyle name="Normal 2 19 2 8 2" xfId="2203"/>
    <cellStyle name="Normal 2 19 2 8 2 2" xfId="2204"/>
    <cellStyle name="Normal 2 19 2 8 2 2 2" xfId="2205"/>
    <cellStyle name="Normal 2 19 2 8 2 2 3" xfId="2206"/>
    <cellStyle name="Normal 2 19 2 8 2 3" xfId="2207"/>
    <cellStyle name="Normal 2 19 2 8 2 4" xfId="2208"/>
    <cellStyle name="Normal 2 19 2 8 3" xfId="2209"/>
    <cellStyle name="Normal 2 19 2 8 3 2" xfId="2210"/>
    <cellStyle name="Normal 2 19 2 8 3 2 2" xfId="2211"/>
    <cellStyle name="Normal 2 19 2 8 3 2 3" xfId="2212"/>
    <cellStyle name="Normal 2 19 2 8 3 3" xfId="2213"/>
    <cellStyle name="Normal 2 19 2 8 3 4" xfId="2214"/>
    <cellStyle name="Normal 2 19 2 8 4" xfId="2215"/>
    <cellStyle name="Normal 2 19 2 8 4 2" xfId="2216"/>
    <cellStyle name="Normal 2 19 2 8 4 3" xfId="2217"/>
    <cellStyle name="Normal 2 19 2 8 5" xfId="2218"/>
    <cellStyle name="Normal 2 19 2 8 6" xfId="2219"/>
    <cellStyle name="Normal 2 19 2 9" xfId="2220"/>
    <cellStyle name="Normal 2 19 2 9 2" xfId="2221"/>
    <cellStyle name="Normal 2 19 2 9 2 2" xfId="2222"/>
    <cellStyle name="Normal 2 19 2 9 2 2 2" xfId="2223"/>
    <cellStyle name="Normal 2 19 2 9 2 2 3" xfId="2224"/>
    <cellStyle name="Normal 2 19 2 9 2 3" xfId="2225"/>
    <cellStyle name="Normal 2 19 2 9 2 4" xfId="2226"/>
    <cellStyle name="Normal 2 19 2 9 3" xfId="2227"/>
    <cellStyle name="Normal 2 19 2 9 3 2" xfId="2228"/>
    <cellStyle name="Normal 2 19 2 9 3 2 2" xfId="2229"/>
    <cellStyle name="Normal 2 19 2 9 3 2 3" xfId="2230"/>
    <cellStyle name="Normal 2 19 2 9 3 3" xfId="2231"/>
    <cellStyle name="Normal 2 19 2 9 3 4" xfId="2232"/>
    <cellStyle name="Normal 2 19 2 9 4" xfId="2233"/>
    <cellStyle name="Normal 2 19 2 9 4 2" xfId="2234"/>
    <cellStyle name="Normal 2 19 2 9 4 3" xfId="2235"/>
    <cellStyle name="Normal 2 19 2 9 5" xfId="2236"/>
    <cellStyle name="Normal 2 19 2 9 6" xfId="2237"/>
    <cellStyle name="Normal 2 19 20" xfId="2238"/>
    <cellStyle name="Normal 2 19 20 2" xfId="2239"/>
    <cellStyle name="Normal 2 19 20 2 2" xfId="2240"/>
    <cellStyle name="Normal 2 19 20 2 2 2" xfId="2241"/>
    <cellStyle name="Normal 2 19 20 2 2 3" xfId="2242"/>
    <cellStyle name="Normal 2 19 20 2 3" xfId="2243"/>
    <cellStyle name="Normal 2 19 20 2 4" xfId="2244"/>
    <cellStyle name="Normal 2 19 20 3" xfId="2245"/>
    <cellStyle name="Normal 2 19 20 3 2" xfId="2246"/>
    <cellStyle name="Normal 2 19 20 3 2 2" xfId="2247"/>
    <cellStyle name="Normal 2 19 20 3 2 3" xfId="2248"/>
    <cellStyle name="Normal 2 19 20 3 3" xfId="2249"/>
    <cellStyle name="Normal 2 19 20 3 4" xfId="2250"/>
    <cellStyle name="Normal 2 19 20 4" xfId="2251"/>
    <cellStyle name="Normal 2 19 20 4 2" xfId="2252"/>
    <cellStyle name="Normal 2 19 20 4 3" xfId="2253"/>
    <cellStyle name="Normal 2 19 20 5" xfId="2254"/>
    <cellStyle name="Normal 2 19 20 6" xfId="2255"/>
    <cellStyle name="Normal 2 19 21" xfId="2256"/>
    <cellStyle name="Normal 2 19 21 2" xfId="2257"/>
    <cellStyle name="Normal 2 19 21 2 2" xfId="2258"/>
    <cellStyle name="Normal 2 19 21 2 2 2" xfId="2259"/>
    <cellStyle name="Normal 2 19 21 2 2 3" xfId="2260"/>
    <cellStyle name="Normal 2 19 21 2 3" xfId="2261"/>
    <cellStyle name="Normal 2 19 21 2 4" xfId="2262"/>
    <cellStyle name="Normal 2 19 21 3" xfId="2263"/>
    <cellStyle name="Normal 2 19 21 3 2" xfId="2264"/>
    <cellStyle name="Normal 2 19 21 3 2 2" xfId="2265"/>
    <cellStyle name="Normal 2 19 21 3 2 3" xfId="2266"/>
    <cellStyle name="Normal 2 19 21 3 3" xfId="2267"/>
    <cellStyle name="Normal 2 19 21 3 4" xfId="2268"/>
    <cellStyle name="Normal 2 19 21 4" xfId="2269"/>
    <cellStyle name="Normal 2 19 21 4 2" xfId="2270"/>
    <cellStyle name="Normal 2 19 21 4 3" xfId="2271"/>
    <cellStyle name="Normal 2 19 21 5" xfId="2272"/>
    <cellStyle name="Normal 2 19 21 6" xfId="2273"/>
    <cellStyle name="Normal 2 19 22" xfId="2274"/>
    <cellStyle name="Normal 2 19 22 2" xfId="2275"/>
    <cellStyle name="Normal 2 19 22 2 2" xfId="2276"/>
    <cellStyle name="Normal 2 19 22 2 3" xfId="2277"/>
    <cellStyle name="Normal 2 19 22 3" xfId="2278"/>
    <cellStyle name="Normal 2 19 22 4" xfId="2279"/>
    <cellStyle name="Normal 2 19 23" xfId="2280"/>
    <cellStyle name="Normal 2 19 23 2" xfId="2281"/>
    <cellStyle name="Normal 2 19 23 2 2" xfId="2282"/>
    <cellStyle name="Normal 2 19 23 2 3" xfId="2283"/>
    <cellStyle name="Normal 2 19 23 3" xfId="2284"/>
    <cellStyle name="Normal 2 19 23 4" xfId="2285"/>
    <cellStyle name="Normal 2 19 24" xfId="2286"/>
    <cellStyle name="Normal 2 19 24 2" xfId="2287"/>
    <cellStyle name="Normal 2 19 24 3" xfId="2288"/>
    <cellStyle name="Normal 2 19 25" xfId="2289"/>
    <cellStyle name="Normal 2 19 26" xfId="2290"/>
    <cellStyle name="Normal 2 19 3" xfId="2291"/>
    <cellStyle name="Normal 2 19 3 10" xfId="2292"/>
    <cellStyle name="Normal 2 19 3 10 2" xfId="2293"/>
    <cellStyle name="Normal 2 19 3 10 2 2" xfId="2294"/>
    <cellStyle name="Normal 2 19 3 10 2 3" xfId="2295"/>
    <cellStyle name="Normal 2 19 3 10 3" xfId="2296"/>
    <cellStyle name="Normal 2 19 3 10 4" xfId="2297"/>
    <cellStyle name="Normal 2 19 3 11" xfId="2298"/>
    <cellStyle name="Normal 2 19 3 11 2" xfId="2299"/>
    <cellStyle name="Normal 2 19 3 11 3" xfId="2300"/>
    <cellStyle name="Normal 2 19 3 12" xfId="2301"/>
    <cellStyle name="Normal 2 19 3 13" xfId="2302"/>
    <cellStyle name="Normal 2 19 3 2" xfId="2303"/>
    <cellStyle name="Normal 2 19 3 2 2" xfId="2304"/>
    <cellStyle name="Normal 2 19 3 2 2 2" xfId="2305"/>
    <cellStyle name="Normal 2 19 3 2 2 2 2" xfId="2306"/>
    <cellStyle name="Normal 2 19 3 2 2 2 3" xfId="2307"/>
    <cellStyle name="Normal 2 19 3 2 2 3" xfId="2308"/>
    <cellStyle name="Normal 2 19 3 2 2 4" xfId="2309"/>
    <cellStyle name="Normal 2 19 3 2 3" xfId="2310"/>
    <cellStyle name="Normal 2 19 3 2 3 2" xfId="2311"/>
    <cellStyle name="Normal 2 19 3 2 3 2 2" xfId="2312"/>
    <cellStyle name="Normal 2 19 3 2 3 2 3" xfId="2313"/>
    <cellStyle name="Normal 2 19 3 2 3 3" xfId="2314"/>
    <cellStyle name="Normal 2 19 3 2 3 4" xfId="2315"/>
    <cellStyle name="Normal 2 19 3 2 4" xfId="2316"/>
    <cellStyle name="Normal 2 19 3 2 4 2" xfId="2317"/>
    <cellStyle name="Normal 2 19 3 2 4 3" xfId="2318"/>
    <cellStyle name="Normal 2 19 3 2 5" xfId="2319"/>
    <cellStyle name="Normal 2 19 3 2 6" xfId="2320"/>
    <cellStyle name="Normal 2 19 3 3" xfId="2321"/>
    <cellStyle name="Normal 2 19 3 3 2" xfId="2322"/>
    <cellStyle name="Normal 2 19 3 3 2 2" xfId="2323"/>
    <cellStyle name="Normal 2 19 3 3 2 2 2" xfId="2324"/>
    <cellStyle name="Normal 2 19 3 3 2 2 3" xfId="2325"/>
    <cellStyle name="Normal 2 19 3 3 2 3" xfId="2326"/>
    <cellStyle name="Normal 2 19 3 3 2 4" xfId="2327"/>
    <cellStyle name="Normal 2 19 3 3 3" xfId="2328"/>
    <cellStyle name="Normal 2 19 3 3 3 2" xfId="2329"/>
    <cellStyle name="Normal 2 19 3 3 3 2 2" xfId="2330"/>
    <cellStyle name="Normal 2 19 3 3 3 2 3" xfId="2331"/>
    <cellStyle name="Normal 2 19 3 3 3 3" xfId="2332"/>
    <cellStyle name="Normal 2 19 3 3 3 4" xfId="2333"/>
    <cellStyle name="Normal 2 19 3 3 4" xfId="2334"/>
    <cellStyle name="Normal 2 19 3 3 4 2" xfId="2335"/>
    <cellStyle name="Normal 2 19 3 3 4 3" xfId="2336"/>
    <cellStyle name="Normal 2 19 3 3 5" xfId="2337"/>
    <cellStyle name="Normal 2 19 3 3 6" xfId="2338"/>
    <cellStyle name="Normal 2 19 3 4" xfId="2339"/>
    <cellStyle name="Normal 2 19 3 4 2" xfId="2340"/>
    <cellStyle name="Normal 2 19 3 4 2 2" xfId="2341"/>
    <cellStyle name="Normal 2 19 3 4 2 2 2" xfId="2342"/>
    <cellStyle name="Normal 2 19 3 4 2 2 3" xfId="2343"/>
    <cellStyle name="Normal 2 19 3 4 2 3" xfId="2344"/>
    <cellStyle name="Normal 2 19 3 4 2 4" xfId="2345"/>
    <cellStyle name="Normal 2 19 3 4 3" xfId="2346"/>
    <cellStyle name="Normal 2 19 3 4 3 2" xfId="2347"/>
    <cellStyle name="Normal 2 19 3 4 3 2 2" xfId="2348"/>
    <cellStyle name="Normal 2 19 3 4 3 2 3" xfId="2349"/>
    <cellStyle name="Normal 2 19 3 4 3 3" xfId="2350"/>
    <cellStyle name="Normal 2 19 3 4 3 4" xfId="2351"/>
    <cellStyle name="Normal 2 19 3 4 4" xfId="2352"/>
    <cellStyle name="Normal 2 19 3 4 4 2" xfId="2353"/>
    <cellStyle name="Normal 2 19 3 4 4 3" xfId="2354"/>
    <cellStyle name="Normal 2 19 3 4 5" xfId="2355"/>
    <cellStyle name="Normal 2 19 3 4 6" xfId="2356"/>
    <cellStyle name="Normal 2 19 3 5" xfId="2357"/>
    <cellStyle name="Normal 2 19 3 5 2" xfId="2358"/>
    <cellStyle name="Normal 2 19 3 5 2 2" xfId="2359"/>
    <cellStyle name="Normal 2 19 3 5 2 2 2" xfId="2360"/>
    <cellStyle name="Normal 2 19 3 5 2 2 3" xfId="2361"/>
    <cellStyle name="Normal 2 19 3 5 2 3" xfId="2362"/>
    <cellStyle name="Normal 2 19 3 5 2 4" xfId="2363"/>
    <cellStyle name="Normal 2 19 3 5 3" xfId="2364"/>
    <cellStyle name="Normal 2 19 3 5 3 2" xfId="2365"/>
    <cellStyle name="Normal 2 19 3 5 3 2 2" xfId="2366"/>
    <cellStyle name="Normal 2 19 3 5 3 2 3" xfId="2367"/>
    <cellStyle name="Normal 2 19 3 5 3 3" xfId="2368"/>
    <cellStyle name="Normal 2 19 3 5 3 4" xfId="2369"/>
    <cellStyle name="Normal 2 19 3 5 4" xfId="2370"/>
    <cellStyle name="Normal 2 19 3 5 4 2" xfId="2371"/>
    <cellStyle name="Normal 2 19 3 5 4 3" xfId="2372"/>
    <cellStyle name="Normal 2 19 3 5 5" xfId="2373"/>
    <cellStyle name="Normal 2 19 3 5 6" xfId="2374"/>
    <cellStyle name="Normal 2 19 3 6" xfId="2375"/>
    <cellStyle name="Normal 2 19 3 6 2" xfId="2376"/>
    <cellStyle name="Normal 2 19 3 6 2 2" xfId="2377"/>
    <cellStyle name="Normal 2 19 3 6 2 2 2" xfId="2378"/>
    <cellStyle name="Normal 2 19 3 6 2 2 3" xfId="2379"/>
    <cellStyle name="Normal 2 19 3 6 2 3" xfId="2380"/>
    <cellStyle name="Normal 2 19 3 6 2 4" xfId="2381"/>
    <cellStyle name="Normal 2 19 3 6 3" xfId="2382"/>
    <cellStyle name="Normal 2 19 3 6 3 2" xfId="2383"/>
    <cellStyle name="Normal 2 19 3 6 3 2 2" xfId="2384"/>
    <cellStyle name="Normal 2 19 3 6 3 2 3" xfId="2385"/>
    <cellStyle name="Normal 2 19 3 6 3 3" xfId="2386"/>
    <cellStyle name="Normal 2 19 3 6 3 4" xfId="2387"/>
    <cellStyle name="Normal 2 19 3 6 4" xfId="2388"/>
    <cellStyle name="Normal 2 19 3 6 4 2" xfId="2389"/>
    <cellStyle name="Normal 2 19 3 6 4 3" xfId="2390"/>
    <cellStyle name="Normal 2 19 3 6 5" xfId="2391"/>
    <cellStyle name="Normal 2 19 3 6 6" xfId="2392"/>
    <cellStyle name="Normal 2 19 3 7" xfId="2393"/>
    <cellStyle name="Normal 2 19 3 7 2" xfId="2394"/>
    <cellStyle name="Normal 2 19 3 7 2 2" xfId="2395"/>
    <cellStyle name="Normal 2 19 3 7 2 2 2" xfId="2396"/>
    <cellStyle name="Normal 2 19 3 7 2 2 3" xfId="2397"/>
    <cellStyle name="Normal 2 19 3 7 2 3" xfId="2398"/>
    <cellStyle name="Normal 2 19 3 7 2 4" xfId="2399"/>
    <cellStyle name="Normal 2 19 3 7 3" xfId="2400"/>
    <cellStyle name="Normal 2 19 3 7 3 2" xfId="2401"/>
    <cellStyle name="Normal 2 19 3 7 3 2 2" xfId="2402"/>
    <cellStyle name="Normal 2 19 3 7 3 2 3" xfId="2403"/>
    <cellStyle name="Normal 2 19 3 7 3 3" xfId="2404"/>
    <cellStyle name="Normal 2 19 3 7 3 4" xfId="2405"/>
    <cellStyle name="Normal 2 19 3 7 4" xfId="2406"/>
    <cellStyle name="Normal 2 19 3 7 4 2" xfId="2407"/>
    <cellStyle name="Normal 2 19 3 7 4 3" xfId="2408"/>
    <cellStyle name="Normal 2 19 3 7 5" xfId="2409"/>
    <cellStyle name="Normal 2 19 3 7 6" xfId="2410"/>
    <cellStyle name="Normal 2 19 3 8" xfId="2411"/>
    <cellStyle name="Normal 2 19 3 8 2" xfId="2412"/>
    <cellStyle name="Normal 2 19 3 8 2 2" xfId="2413"/>
    <cellStyle name="Normal 2 19 3 8 2 2 2" xfId="2414"/>
    <cellStyle name="Normal 2 19 3 8 2 2 3" xfId="2415"/>
    <cellStyle name="Normal 2 19 3 8 2 3" xfId="2416"/>
    <cellStyle name="Normal 2 19 3 8 2 4" xfId="2417"/>
    <cellStyle name="Normal 2 19 3 8 3" xfId="2418"/>
    <cellStyle name="Normal 2 19 3 8 3 2" xfId="2419"/>
    <cellStyle name="Normal 2 19 3 8 3 2 2" xfId="2420"/>
    <cellStyle name="Normal 2 19 3 8 3 2 3" xfId="2421"/>
    <cellStyle name="Normal 2 19 3 8 3 3" xfId="2422"/>
    <cellStyle name="Normal 2 19 3 8 3 4" xfId="2423"/>
    <cellStyle name="Normal 2 19 3 8 4" xfId="2424"/>
    <cellStyle name="Normal 2 19 3 8 4 2" xfId="2425"/>
    <cellStyle name="Normal 2 19 3 8 4 3" xfId="2426"/>
    <cellStyle name="Normal 2 19 3 8 5" xfId="2427"/>
    <cellStyle name="Normal 2 19 3 8 6" xfId="2428"/>
    <cellStyle name="Normal 2 19 3 9" xfId="2429"/>
    <cellStyle name="Normal 2 19 3 9 2" xfId="2430"/>
    <cellStyle name="Normal 2 19 3 9 2 2" xfId="2431"/>
    <cellStyle name="Normal 2 19 3 9 2 3" xfId="2432"/>
    <cellStyle name="Normal 2 19 3 9 3" xfId="2433"/>
    <cellStyle name="Normal 2 19 3 9 4" xfId="2434"/>
    <cellStyle name="Normal 2 19 4" xfId="2435"/>
    <cellStyle name="Normal 2 19 4 10" xfId="2436"/>
    <cellStyle name="Normal 2 19 4 10 2" xfId="2437"/>
    <cellStyle name="Normal 2 19 4 10 2 2" xfId="2438"/>
    <cellStyle name="Normal 2 19 4 10 2 3" xfId="2439"/>
    <cellStyle name="Normal 2 19 4 10 3" xfId="2440"/>
    <cellStyle name="Normal 2 19 4 10 4" xfId="2441"/>
    <cellStyle name="Normal 2 19 4 11" xfId="2442"/>
    <cellStyle name="Normal 2 19 4 11 2" xfId="2443"/>
    <cellStyle name="Normal 2 19 4 11 3" xfId="2444"/>
    <cellStyle name="Normal 2 19 4 12" xfId="2445"/>
    <cellStyle name="Normal 2 19 4 13" xfId="2446"/>
    <cellStyle name="Normal 2 19 4 2" xfId="2447"/>
    <cellStyle name="Normal 2 19 4 2 2" xfId="2448"/>
    <cellStyle name="Normal 2 19 4 2 2 2" xfId="2449"/>
    <cellStyle name="Normal 2 19 4 2 2 2 2" xfId="2450"/>
    <cellStyle name="Normal 2 19 4 2 2 2 3" xfId="2451"/>
    <cellStyle name="Normal 2 19 4 2 2 3" xfId="2452"/>
    <cellStyle name="Normal 2 19 4 2 2 4" xfId="2453"/>
    <cellStyle name="Normal 2 19 4 2 3" xfId="2454"/>
    <cellStyle name="Normal 2 19 4 2 3 2" xfId="2455"/>
    <cellStyle name="Normal 2 19 4 2 3 2 2" xfId="2456"/>
    <cellStyle name="Normal 2 19 4 2 3 2 3" xfId="2457"/>
    <cellStyle name="Normal 2 19 4 2 3 3" xfId="2458"/>
    <cellStyle name="Normal 2 19 4 2 3 4" xfId="2459"/>
    <cellStyle name="Normal 2 19 4 2 4" xfId="2460"/>
    <cellStyle name="Normal 2 19 4 2 4 2" xfId="2461"/>
    <cellStyle name="Normal 2 19 4 2 4 3" xfId="2462"/>
    <cellStyle name="Normal 2 19 4 2 5" xfId="2463"/>
    <cellStyle name="Normal 2 19 4 2 6" xfId="2464"/>
    <cellStyle name="Normal 2 19 4 3" xfId="2465"/>
    <cellStyle name="Normal 2 19 4 3 2" xfId="2466"/>
    <cellStyle name="Normal 2 19 4 3 2 2" xfId="2467"/>
    <cellStyle name="Normal 2 19 4 3 2 2 2" xfId="2468"/>
    <cellStyle name="Normal 2 19 4 3 2 2 3" xfId="2469"/>
    <cellStyle name="Normal 2 19 4 3 2 3" xfId="2470"/>
    <cellStyle name="Normal 2 19 4 3 2 4" xfId="2471"/>
    <cellStyle name="Normal 2 19 4 3 3" xfId="2472"/>
    <cellStyle name="Normal 2 19 4 3 3 2" xfId="2473"/>
    <cellStyle name="Normal 2 19 4 3 3 2 2" xfId="2474"/>
    <cellStyle name="Normal 2 19 4 3 3 2 3" xfId="2475"/>
    <cellStyle name="Normal 2 19 4 3 3 3" xfId="2476"/>
    <cellStyle name="Normal 2 19 4 3 3 4" xfId="2477"/>
    <cellStyle name="Normal 2 19 4 3 4" xfId="2478"/>
    <cellStyle name="Normal 2 19 4 3 4 2" xfId="2479"/>
    <cellStyle name="Normal 2 19 4 3 4 3" xfId="2480"/>
    <cellStyle name="Normal 2 19 4 3 5" xfId="2481"/>
    <cellStyle name="Normal 2 19 4 3 6" xfId="2482"/>
    <cellStyle name="Normal 2 19 4 4" xfId="2483"/>
    <cellStyle name="Normal 2 19 4 4 2" xfId="2484"/>
    <cellStyle name="Normal 2 19 4 4 2 2" xfId="2485"/>
    <cellStyle name="Normal 2 19 4 4 2 2 2" xfId="2486"/>
    <cellStyle name="Normal 2 19 4 4 2 2 3" xfId="2487"/>
    <cellStyle name="Normal 2 19 4 4 2 3" xfId="2488"/>
    <cellStyle name="Normal 2 19 4 4 2 4" xfId="2489"/>
    <cellStyle name="Normal 2 19 4 4 3" xfId="2490"/>
    <cellStyle name="Normal 2 19 4 4 3 2" xfId="2491"/>
    <cellStyle name="Normal 2 19 4 4 3 2 2" xfId="2492"/>
    <cellStyle name="Normal 2 19 4 4 3 2 3" xfId="2493"/>
    <cellStyle name="Normal 2 19 4 4 3 3" xfId="2494"/>
    <cellStyle name="Normal 2 19 4 4 3 4" xfId="2495"/>
    <cellStyle name="Normal 2 19 4 4 4" xfId="2496"/>
    <cellStyle name="Normal 2 19 4 4 4 2" xfId="2497"/>
    <cellStyle name="Normal 2 19 4 4 4 3" xfId="2498"/>
    <cellStyle name="Normal 2 19 4 4 5" xfId="2499"/>
    <cellStyle name="Normal 2 19 4 4 6" xfId="2500"/>
    <cellStyle name="Normal 2 19 4 5" xfId="2501"/>
    <cellStyle name="Normal 2 19 4 5 2" xfId="2502"/>
    <cellStyle name="Normal 2 19 4 5 2 2" xfId="2503"/>
    <cellStyle name="Normal 2 19 4 5 2 2 2" xfId="2504"/>
    <cellStyle name="Normal 2 19 4 5 2 2 3" xfId="2505"/>
    <cellStyle name="Normal 2 19 4 5 2 3" xfId="2506"/>
    <cellStyle name="Normal 2 19 4 5 2 4" xfId="2507"/>
    <cellStyle name="Normal 2 19 4 5 3" xfId="2508"/>
    <cellStyle name="Normal 2 19 4 5 3 2" xfId="2509"/>
    <cellStyle name="Normal 2 19 4 5 3 2 2" xfId="2510"/>
    <cellStyle name="Normal 2 19 4 5 3 2 3" xfId="2511"/>
    <cellStyle name="Normal 2 19 4 5 3 3" xfId="2512"/>
    <cellStyle name="Normal 2 19 4 5 3 4" xfId="2513"/>
    <cellStyle name="Normal 2 19 4 5 4" xfId="2514"/>
    <cellStyle name="Normal 2 19 4 5 4 2" xfId="2515"/>
    <cellStyle name="Normal 2 19 4 5 4 3" xfId="2516"/>
    <cellStyle name="Normal 2 19 4 5 5" xfId="2517"/>
    <cellStyle name="Normal 2 19 4 5 6" xfId="2518"/>
    <cellStyle name="Normal 2 19 4 6" xfId="2519"/>
    <cellStyle name="Normal 2 19 4 6 2" xfId="2520"/>
    <cellStyle name="Normal 2 19 4 6 2 2" xfId="2521"/>
    <cellStyle name="Normal 2 19 4 6 2 2 2" xfId="2522"/>
    <cellStyle name="Normal 2 19 4 6 2 2 3" xfId="2523"/>
    <cellStyle name="Normal 2 19 4 6 2 3" xfId="2524"/>
    <cellStyle name="Normal 2 19 4 6 2 4" xfId="2525"/>
    <cellStyle name="Normal 2 19 4 6 3" xfId="2526"/>
    <cellStyle name="Normal 2 19 4 6 3 2" xfId="2527"/>
    <cellStyle name="Normal 2 19 4 6 3 2 2" xfId="2528"/>
    <cellStyle name="Normal 2 19 4 6 3 2 3" xfId="2529"/>
    <cellStyle name="Normal 2 19 4 6 3 3" xfId="2530"/>
    <cellStyle name="Normal 2 19 4 6 3 4" xfId="2531"/>
    <cellStyle name="Normal 2 19 4 6 4" xfId="2532"/>
    <cellStyle name="Normal 2 19 4 6 4 2" xfId="2533"/>
    <cellStyle name="Normal 2 19 4 6 4 3" xfId="2534"/>
    <cellStyle name="Normal 2 19 4 6 5" xfId="2535"/>
    <cellStyle name="Normal 2 19 4 6 6" xfId="2536"/>
    <cellStyle name="Normal 2 19 4 7" xfId="2537"/>
    <cellStyle name="Normal 2 19 4 7 2" xfId="2538"/>
    <cellStyle name="Normal 2 19 4 7 2 2" xfId="2539"/>
    <cellStyle name="Normal 2 19 4 7 2 2 2" xfId="2540"/>
    <cellStyle name="Normal 2 19 4 7 2 2 3" xfId="2541"/>
    <cellStyle name="Normal 2 19 4 7 2 3" xfId="2542"/>
    <cellStyle name="Normal 2 19 4 7 2 4" xfId="2543"/>
    <cellStyle name="Normal 2 19 4 7 3" xfId="2544"/>
    <cellStyle name="Normal 2 19 4 7 3 2" xfId="2545"/>
    <cellStyle name="Normal 2 19 4 7 3 2 2" xfId="2546"/>
    <cellStyle name="Normal 2 19 4 7 3 2 3" xfId="2547"/>
    <cellStyle name="Normal 2 19 4 7 3 3" xfId="2548"/>
    <cellStyle name="Normal 2 19 4 7 3 4" xfId="2549"/>
    <cellStyle name="Normal 2 19 4 7 4" xfId="2550"/>
    <cellStyle name="Normal 2 19 4 7 4 2" xfId="2551"/>
    <cellStyle name="Normal 2 19 4 7 4 3" xfId="2552"/>
    <cellStyle name="Normal 2 19 4 7 5" xfId="2553"/>
    <cellStyle name="Normal 2 19 4 7 6" xfId="2554"/>
    <cellStyle name="Normal 2 19 4 8" xfId="2555"/>
    <cellStyle name="Normal 2 19 4 8 2" xfId="2556"/>
    <cellStyle name="Normal 2 19 4 8 2 2" xfId="2557"/>
    <cellStyle name="Normal 2 19 4 8 2 2 2" xfId="2558"/>
    <cellStyle name="Normal 2 19 4 8 2 2 3" xfId="2559"/>
    <cellStyle name="Normal 2 19 4 8 2 3" xfId="2560"/>
    <cellStyle name="Normal 2 19 4 8 2 4" xfId="2561"/>
    <cellStyle name="Normal 2 19 4 8 3" xfId="2562"/>
    <cellStyle name="Normal 2 19 4 8 3 2" xfId="2563"/>
    <cellStyle name="Normal 2 19 4 8 3 2 2" xfId="2564"/>
    <cellStyle name="Normal 2 19 4 8 3 2 3" xfId="2565"/>
    <cellStyle name="Normal 2 19 4 8 3 3" xfId="2566"/>
    <cellStyle name="Normal 2 19 4 8 3 4" xfId="2567"/>
    <cellStyle name="Normal 2 19 4 8 4" xfId="2568"/>
    <cellStyle name="Normal 2 19 4 8 4 2" xfId="2569"/>
    <cellStyle name="Normal 2 19 4 8 4 3" xfId="2570"/>
    <cellStyle name="Normal 2 19 4 8 5" xfId="2571"/>
    <cellStyle name="Normal 2 19 4 8 6" xfId="2572"/>
    <cellStyle name="Normal 2 19 4 9" xfId="2573"/>
    <cellStyle name="Normal 2 19 4 9 2" xfId="2574"/>
    <cellStyle name="Normal 2 19 4 9 2 2" xfId="2575"/>
    <cellStyle name="Normal 2 19 4 9 2 3" xfId="2576"/>
    <cellStyle name="Normal 2 19 4 9 3" xfId="2577"/>
    <cellStyle name="Normal 2 19 4 9 4" xfId="2578"/>
    <cellStyle name="Normal 2 19 5" xfId="2579"/>
    <cellStyle name="Normal 2 19 5 2" xfId="2580"/>
    <cellStyle name="Normal 2 19 5 2 2" xfId="2581"/>
    <cellStyle name="Normal 2 19 5 2 2 2" xfId="2582"/>
    <cellStyle name="Normal 2 19 5 2 2 2 2" xfId="2583"/>
    <cellStyle name="Normal 2 19 5 2 2 2 3" xfId="2584"/>
    <cellStyle name="Normal 2 19 5 2 2 3" xfId="2585"/>
    <cellStyle name="Normal 2 19 5 2 2 4" xfId="2586"/>
    <cellStyle name="Normal 2 19 5 2 3" xfId="2587"/>
    <cellStyle name="Normal 2 19 5 2 3 2" xfId="2588"/>
    <cellStyle name="Normal 2 19 5 2 3 2 2" xfId="2589"/>
    <cellStyle name="Normal 2 19 5 2 3 2 3" xfId="2590"/>
    <cellStyle name="Normal 2 19 5 2 3 3" xfId="2591"/>
    <cellStyle name="Normal 2 19 5 2 3 4" xfId="2592"/>
    <cellStyle name="Normal 2 19 5 2 4" xfId="2593"/>
    <cellStyle name="Normal 2 19 5 2 4 2" xfId="2594"/>
    <cellStyle name="Normal 2 19 5 2 4 3" xfId="2595"/>
    <cellStyle name="Normal 2 19 5 2 5" xfId="2596"/>
    <cellStyle name="Normal 2 19 5 2 6" xfId="2597"/>
    <cellStyle name="Normal 2 19 5 3" xfId="2598"/>
    <cellStyle name="Normal 2 19 5 3 2" xfId="2599"/>
    <cellStyle name="Normal 2 19 5 3 2 2" xfId="2600"/>
    <cellStyle name="Normal 2 19 5 3 2 2 2" xfId="2601"/>
    <cellStyle name="Normal 2 19 5 3 2 2 3" xfId="2602"/>
    <cellStyle name="Normal 2 19 5 3 2 3" xfId="2603"/>
    <cellStyle name="Normal 2 19 5 3 2 4" xfId="2604"/>
    <cellStyle name="Normal 2 19 5 3 3" xfId="2605"/>
    <cellStyle name="Normal 2 19 5 3 3 2" xfId="2606"/>
    <cellStyle name="Normal 2 19 5 3 3 2 2" xfId="2607"/>
    <cellStyle name="Normal 2 19 5 3 3 2 3" xfId="2608"/>
    <cellStyle name="Normal 2 19 5 3 3 3" xfId="2609"/>
    <cellStyle name="Normal 2 19 5 3 3 4" xfId="2610"/>
    <cellStyle name="Normal 2 19 5 3 4" xfId="2611"/>
    <cellStyle name="Normal 2 19 5 3 4 2" xfId="2612"/>
    <cellStyle name="Normal 2 19 5 3 4 3" xfId="2613"/>
    <cellStyle name="Normal 2 19 5 3 5" xfId="2614"/>
    <cellStyle name="Normal 2 19 5 3 6" xfId="2615"/>
    <cellStyle name="Normal 2 19 5 4" xfId="2616"/>
    <cellStyle name="Normal 2 19 5 4 2" xfId="2617"/>
    <cellStyle name="Normal 2 19 5 4 2 2" xfId="2618"/>
    <cellStyle name="Normal 2 19 5 4 2 3" xfId="2619"/>
    <cellStyle name="Normal 2 19 5 4 3" xfId="2620"/>
    <cellStyle name="Normal 2 19 5 4 4" xfId="2621"/>
    <cellStyle name="Normal 2 19 5 5" xfId="2622"/>
    <cellStyle name="Normal 2 19 5 5 2" xfId="2623"/>
    <cellStyle name="Normal 2 19 5 5 2 2" xfId="2624"/>
    <cellStyle name="Normal 2 19 5 5 2 3" xfId="2625"/>
    <cellStyle name="Normal 2 19 5 5 3" xfId="2626"/>
    <cellStyle name="Normal 2 19 5 5 4" xfId="2627"/>
    <cellStyle name="Normal 2 19 5 6" xfId="2628"/>
    <cellStyle name="Normal 2 19 5 6 2" xfId="2629"/>
    <cellStyle name="Normal 2 19 5 6 3" xfId="2630"/>
    <cellStyle name="Normal 2 19 5 7" xfId="2631"/>
    <cellStyle name="Normal 2 19 5 8" xfId="2632"/>
    <cellStyle name="Normal 2 19 6" xfId="2633"/>
    <cellStyle name="Normal 2 19 6 2" xfId="2634"/>
    <cellStyle name="Normal 2 19 6 2 2" xfId="2635"/>
    <cellStyle name="Normal 2 19 6 2 2 2" xfId="2636"/>
    <cellStyle name="Normal 2 19 6 2 2 2 2" xfId="2637"/>
    <cellStyle name="Normal 2 19 6 2 2 2 3" xfId="2638"/>
    <cellStyle name="Normal 2 19 6 2 2 3" xfId="2639"/>
    <cellStyle name="Normal 2 19 6 2 2 4" xfId="2640"/>
    <cellStyle name="Normal 2 19 6 2 3" xfId="2641"/>
    <cellStyle name="Normal 2 19 6 2 3 2" xfId="2642"/>
    <cellStyle name="Normal 2 19 6 2 3 2 2" xfId="2643"/>
    <cellStyle name="Normal 2 19 6 2 3 2 3" xfId="2644"/>
    <cellStyle name="Normal 2 19 6 2 3 3" xfId="2645"/>
    <cellStyle name="Normal 2 19 6 2 3 4" xfId="2646"/>
    <cellStyle name="Normal 2 19 6 2 4" xfId="2647"/>
    <cellStyle name="Normal 2 19 6 2 4 2" xfId="2648"/>
    <cellStyle name="Normal 2 19 6 2 4 3" xfId="2649"/>
    <cellStyle name="Normal 2 19 6 2 5" xfId="2650"/>
    <cellStyle name="Normal 2 19 6 2 6" xfId="2651"/>
    <cellStyle name="Normal 2 19 6 3" xfId="2652"/>
    <cellStyle name="Normal 2 19 6 3 2" xfId="2653"/>
    <cellStyle name="Normal 2 19 6 3 2 2" xfId="2654"/>
    <cellStyle name="Normal 2 19 6 3 2 2 2" xfId="2655"/>
    <cellStyle name="Normal 2 19 6 3 2 2 3" xfId="2656"/>
    <cellStyle name="Normal 2 19 6 3 2 3" xfId="2657"/>
    <cellStyle name="Normal 2 19 6 3 2 4" xfId="2658"/>
    <cellStyle name="Normal 2 19 6 3 3" xfId="2659"/>
    <cellStyle name="Normal 2 19 6 3 3 2" xfId="2660"/>
    <cellStyle name="Normal 2 19 6 3 3 2 2" xfId="2661"/>
    <cellStyle name="Normal 2 19 6 3 3 2 3" xfId="2662"/>
    <cellStyle name="Normal 2 19 6 3 3 3" xfId="2663"/>
    <cellStyle name="Normal 2 19 6 3 3 4" xfId="2664"/>
    <cellStyle name="Normal 2 19 6 3 4" xfId="2665"/>
    <cellStyle name="Normal 2 19 6 3 4 2" xfId="2666"/>
    <cellStyle name="Normal 2 19 6 3 4 3" xfId="2667"/>
    <cellStyle name="Normal 2 19 6 3 5" xfId="2668"/>
    <cellStyle name="Normal 2 19 6 3 6" xfId="2669"/>
    <cellStyle name="Normal 2 19 6 4" xfId="2670"/>
    <cellStyle name="Normal 2 19 6 4 2" xfId="2671"/>
    <cellStyle name="Normal 2 19 6 4 2 2" xfId="2672"/>
    <cellStyle name="Normal 2 19 6 4 2 3" xfId="2673"/>
    <cellStyle name="Normal 2 19 6 4 3" xfId="2674"/>
    <cellStyle name="Normal 2 19 6 4 4" xfId="2675"/>
    <cellStyle name="Normal 2 19 6 5" xfId="2676"/>
    <cellStyle name="Normal 2 19 6 5 2" xfId="2677"/>
    <cellStyle name="Normal 2 19 6 5 2 2" xfId="2678"/>
    <cellStyle name="Normal 2 19 6 5 2 3" xfId="2679"/>
    <cellStyle name="Normal 2 19 6 5 3" xfId="2680"/>
    <cellStyle name="Normal 2 19 6 5 4" xfId="2681"/>
    <cellStyle name="Normal 2 19 6 6" xfId="2682"/>
    <cellStyle name="Normal 2 19 6 6 2" xfId="2683"/>
    <cellStyle name="Normal 2 19 6 6 3" xfId="2684"/>
    <cellStyle name="Normal 2 19 6 7" xfId="2685"/>
    <cellStyle name="Normal 2 19 6 8" xfId="2686"/>
    <cellStyle name="Normal 2 19 7" xfId="2687"/>
    <cellStyle name="Normal 2 19 7 2" xfId="2688"/>
    <cellStyle name="Normal 2 19 7 2 2" xfId="2689"/>
    <cellStyle name="Normal 2 19 7 2 2 2" xfId="2690"/>
    <cellStyle name="Normal 2 19 7 2 2 2 2" xfId="2691"/>
    <cellStyle name="Normal 2 19 7 2 2 2 3" xfId="2692"/>
    <cellStyle name="Normal 2 19 7 2 2 3" xfId="2693"/>
    <cellStyle name="Normal 2 19 7 2 2 4" xfId="2694"/>
    <cellStyle name="Normal 2 19 7 2 3" xfId="2695"/>
    <cellStyle name="Normal 2 19 7 2 3 2" xfId="2696"/>
    <cellStyle name="Normal 2 19 7 2 3 2 2" xfId="2697"/>
    <cellStyle name="Normal 2 19 7 2 3 2 3" xfId="2698"/>
    <cellStyle name="Normal 2 19 7 2 3 3" xfId="2699"/>
    <cellStyle name="Normal 2 19 7 2 3 4" xfId="2700"/>
    <cellStyle name="Normal 2 19 7 2 4" xfId="2701"/>
    <cellStyle name="Normal 2 19 7 2 4 2" xfId="2702"/>
    <cellStyle name="Normal 2 19 7 2 4 3" xfId="2703"/>
    <cellStyle name="Normal 2 19 7 2 5" xfId="2704"/>
    <cellStyle name="Normal 2 19 7 2 6" xfId="2705"/>
    <cellStyle name="Normal 2 19 7 3" xfId="2706"/>
    <cellStyle name="Normal 2 19 7 3 2" xfId="2707"/>
    <cellStyle name="Normal 2 19 7 3 2 2" xfId="2708"/>
    <cellStyle name="Normal 2 19 7 3 2 2 2" xfId="2709"/>
    <cellStyle name="Normal 2 19 7 3 2 2 3" xfId="2710"/>
    <cellStyle name="Normal 2 19 7 3 2 3" xfId="2711"/>
    <cellStyle name="Normal 2 19 7 3 2 4" xfId="2712"/>
    <cellStyle name="Normal 2 19 7 3 3" xfId="2713"/>
    <cellStyle name="Normal 2 19 7 3 3 2" xfId="2714"/>
    <cellStyle name="Normal 2 19 7 3 3 2 2" xfId="2715"/>
    <cellStyle name="Normal 2 19 7 3 3 2 3" xfId="2716"/>
    <cellStyle name="Normal 2 19 7 3 3 3" xfId="2717"/>
    <cellStyle name="Normal 2 19 7 3 3 4" xfId="2718"/>
    <cellStyle name="Normal 2 19 7 3 4" xfId="2719"/>
    <cellStyle name="Normal 2 19 7 3 4 2" xfId="2720"/>
    <cellStyle name="Normal 2 19 7 3 4 3" xfId="2721"/>
    <cellStyle name="Normal 2 19 7 3 5" xfId="2722"/>
    <cellStyle name="Normal 2 19 7 3 6" xfId="2723"/>
    <cellStyle name="Normal 2 19 7 4" xfId="2724"/>
    <cellStyle name="Normal 2 19 7 4 2" xfId="2725"/>
    <cellStyle name="Normal 2 19 7 4 2 2" xfId="2726"/>
    <cellStyle name="Normal 2 19 7 4 2 3" xfId="2727"/>
    <cellStyle name="Normal 2 19 7 4 3" xfId="2728"/>
    <cellStyle name="Normal 2 19 7 4 4" xfId="2729"/>
    <cellStyle name="Normal 2 19 7 5" xfId="2730"/>
    <cellStyle name="Normal 2 19 7 5 2" xfId="2731"/>
    <cellStyle name="Normal 2 19 7 5 2 2" xfId="2732"/>
    <cellStyle name="Normal 2 19 7 5 2 3" xfId="2733"/>
    <cellStyle name="Normal 2 19 7 5 3" xfId="2734"/>
    <cellStyle name="Normal 2 19 7 5 4" xfId="2735"/>
    <cellStyle name="Normal 2 19 7 6" xfId="2736"/>
    <cellStyle name="Normal 2 19 7 6 2" xfId="2737"/>
    <cellStyle name="Normal 2 19 7 6 3" xfId="2738"/>
    <cellStyle name="Normal 2 19 7 7" xfId="2739"/>
    <cellStyle name="Normal 2 19 7 8" xfId="2740"/>
    <cellStyle name="Normal 2 19 8" xfId="2741"/>
    <cellStyle name="Normal 2 19 8 2" xfId="2742"/>
    <cellStyle name="Normal 2 19 8 2 2" xfId="2743"/>
    <cellStyle name="Normal 2 19 8 2 2 2" xfId="2744"/>
    <cellStyle name="Normal 2 19 8 2 2 2 2" xfId="2745"/>
    <cellStyle name="Normal 2 19 8 2 2 2 3" xfId="2746"/>
    <cellStyle name="Normal 2 19 8 2 2 3" xfId="2747"/>
    <cellStyle name="Normal 2 19 8 2 2 4" xfId="2748"/>
    <cellStyle name="Normal 2 19 8 2 3" xfId="2749"/>
    <cellStyle name="Normal 2 19 8 2 3 2" xfId="2750"/>
    <cellStyle name="Normal 2 19 8 2 3 2 2" xfId="2751"/>
    <cellStyle name="Normal 2 19 8 2 3 2 3" xfId="2752"/>
    <cellStyle name="Normal 2 19 8 2 3 3" xfId="2753"/>
    <cellStyle name="Normal 2 19 8 2 3 4" xfId="2754"/>
    <cellStyle name="Normal 2 19 8 2 4" xfId="2755"/>
    <cellStyle name="Normal 2 19 8 2 4 2" xfId="2756"/>
    <cellStyle name="Normal 2 19 8 2 4 3" xfId="2757"/>
    <cellStyle name="Normal 2 19 8 2 5" xfId="2758"/>
    <cellStyle name="Normal 2 19 8 2 6" xfId="2759"/>
    <cellStyle name="Normal 2 19 8 3" xfId="2760"/>
    <cellStyle name="Normal 2 19 8 3 2" xfId="2761"/>
    <cellStyle name="Normal 2 19 8 3 2 2" xfId="2762"/>
    <cellStyle name="Normal 2 19 8 3 2 2 2" xfId="2763"/>
    <cellStyle name="Normal 2 19 8 3 2 2 3" xfId="2764"/>
    <cellStyle name="Normal 2 19 8 3 2 3" xfId="2765"/>
    <cellStyle name="Normal 2 19 8 3 2 4" xfId="2766"/>
    <cellStyle name="Normal 2 19 8 3 3" xfId="2767"/>
    <cellStyle name="Normal 2 19 8 3 3 2" xfId="2768"/>
    <cellStyle name="Normal 2 19 8 3 3 2 2" xfId="2769"/>
    <cellStyle name="Normal 2 19 8 3 3 2 3" xfId="2770"/>
    <cellStyle name="Normal 2 19 8 3 3 3" xfId="2771"/>
    <cellStyle name="Normal 2 19 8 3 3 4" xfId="2772"/>
    <cellStyle name="Normal 2 19 8 3 4" xfId="2773"/>
    <cellStyle name="Normal 2 19 8 3 4 2" xfId="2774"/>
    <cellStyle name="Normal 2 19 8 3 4 3" xfId="2775"/>
    <cellStyle name="Normal 2 19 8 3 5" xfId="2776"/>
    <cellStyle name="Normal 2 19 8 3 6" xfId="2777"/>
    <cellStyle name="Normal 2 19 8 4" xfId="2778"/>
    <cellStyle name="Normal 2 19 8 4 2" xfId="2779"/>
    <cellStyle name="Normal 2 19 8 4 2 2" xfId="2780"/>
    <cellStyle name="Normal 2 19 8 4 2 3" xfId="2781"/>
    <cellStyle name="Normal 2 19 8 4 3" xfId="2782"/>
    <cellStyle name="Normal 2 19 8 4 4" xfId="2783"/>
    <cellStyle name="Normal 2 19 8 5" xfId="2784"/>
    <cellStyle name="Normal 2 19 8 5 2" xfId="2785"/>
    <cellStyle name="Normal 2 19 8 5 2 2" xfId="2786"/>
    <cellStyle name="Normal 2 19 8 5 2 3" xfId="2787"/>
    <cellStyle name="Normal 2 19 8 5 3" xfId="2788"/>
    <cellStyle name="Normal 2 19 8 5 4" xfId="2789"/>
    <cellStyle name="Normal 2 19 8 6" xfId="2790"/>
    <cellStyle name="Normal 2 19 8 6 2" xfId="2791"/>
    <cellStyle name="Normal 2 19 8 6 3" xfId="2792"/>
    <cellStyle name="Normal 2 19 8 7" xfId="2793"/>
    <cellStyle name="Normal 2 19 8 8" xfId="2794"/>
    <cellStyle name="Normal 2 19 9" xfId="2795"/>
    <cellStyle name="Normal 2 19 9 2" xfId="2796"/>
    <cellStyle name="Normal 2 19 9 2 2" xfId="2797"/>
    <cellStyle name="Normal 2 19 9 2 2 2" xfId="2798"/>
    <cellStyle name="Normal 2 19 9 2 2 2 2" xfId="2799"/>
    <cellStyle name="Normal 2 19 9 2 2 2 3" xfId="2800"/>
    <cellStyle name="Normal 2 19 9 2 2 3" xfId="2801"/>
    <cellStyle name="Normal 2 19 9 2 2 4" xfId="2802"/>
    <cellStyle name="Normal 2 19 9 2 3" xfId="2803"/>
    <cellStyle name="Normal 2 19 9 2 3 2" xfId="2804"/>
    <cellStyle name="Normal 2 19 9 2 3 2 2" xfId="2805"/>
    <cellStyle name="Normal 2 19 9 2 3 2 3" xfId="2806"/>
    <cellStyle name="Normal 2 19 9 2 3 3" xfId="2807"/>
    <cellStyle name="Normal 2 19 9 2 3 4" xfId="2808"/>
    <cellStyle name="Normal 2 19 9 2 4" xfId="2809"/>
    <cellStyle name="Normal 2 19 9 2 4 2" xfId="2810"/>
    <cellStyle name="Normal 2 19 9 2 4 3" xfId="2811"/>
    <cellStyle name="Normal 2 19 9 2 5" xfId="2812"/>
    <cellStyle name="Normal 2 19 9 2 6" xfId="2813"/>
    <cellStyle name="Normal 2 19 9 3" xfId="2814"/>
    <cellStyle name="Normal 2 19 9 3 2" xfId="2815"/>
    <cellStyle name="Normal 2 19 9 3 2 2" xfId="2816"/>
    <cellStyle name="Normal 2 19 9 3 2 2 2" xfId="2817"/>
    <cellStyle name="Normal 2 19 9 3 2 2 3" xfId="2818"/>
    <cellStyle name="Normal 2 19 9 3 2 3" xfId="2819"/>
    <cellStyle name="Normal 2 19 9 3 2 4" xfId="2820"/>
    <cellStyle name="Normal 2 19 9 3 3" xfId="2821"/>
    <cellStyle name="Normal 2 19 9 3 3 2" xfId="2822"/>
    <cellStyle name="Normal 2 19 9 3 3 2 2" xfId="2823"/>
    <cellStyle name="Normal 2 19 9 3 3 2 3" xfId="2824"/>
    <cellStyle name="Normal 2 19 9 3 3 3" xfId="2825"/>
    <cellStyle name="Normal 2 19 9 3 3 4" xfId="2826"/>
    <cellStyle name="Normal 2 19 9 3 4" xfId="2827"/>
    <cellStyle name="Normal 2 19 9 3 4 2" xfId="2828"/>
    <cellStyle name="Normal 2 19 9 3 4 3" xfId="2829"/>
    <cellStyle name="Normal 2 19 9 3 5" xfId="2830"/>
    <cellStyle name="Normal 2 19 9 3 6" xfId="2831"/>
    <cellStyle name="Normal 2 19 9 4" xfId="2832"/>
    <cellStyle name="Normal 2 19 9 4 2" xfId="2833"/>
    <cellStyle name="Normal 2 19 9 4 2 2" xfId="2834"/>
    <cellStyle name="Normal 2 19 9 4 2 3" xfId="2835"/>
    <cellStyle name="Normal 2 19 9 4 3" xfId="2836"/>
    <cellStyle name="Normal 2 19 9 4 4" xfId="2837"/>
    <cellStyle name="Normal 2 19 9 5" xfId="2838"/>
    <cellStyle name="Normal 2 19 9 5 2" xfId="2839"/>
    <cellStyle name="Normal 2 19 9 5 2 2" xfId="2840"/>
    <cellStyle name="Normal 2 19 9 5 2 3" xfId="2841"/>
    <cellStyle name="Normal 2 19 9 5 3" xfId="2842"/>
    <cellStyle name="Normal 2 19 9 5 4" xfId="2843"/>
    <cellStyle name="Normal 2 19 9 6" xfId="2844"/>
    <cellStyle name="Normal 2 19 9 6 2" xfId="2845"/>
    <cellStyle name="Normal 2 19 9 6 3" xfId="2846"/>
    <cellStyle name="Normal 2 19 9 7" xfId="2847"/>
    <cellStyle name="Normal 2 19 9 8" xfId="2848"/>
    <cellStyle name="Normal 2 2" xfId="2849"/>
    <cellStyle name="Normal 2 2 2" xfId="2850"/>
    <cellStyle name="Normal 2 2 3" xfId="2851"/>
    <cellStyle name="Normal 2 20" xfId="2852"/>
    <cellStyle name="Normal 2 20 10" xfId="2853"/>
    <cellStyle name="Normal 2 20 10 2" xfId="2854"/>
    <cellStyle name="Normal 2 20 10 2 2" xfId="2855"/>
    <cellStyle name="Normal 2 20 10 2 2 2" xfId="2856"/>
    <cellStyle name="Normal 2 20 10 2 2 2 2" xfId="2857"/>
    <cellStyle name="Normal 2 20 10 2 2 2 3" xfId="2858"/>
    <cellStyle name="Normal 2 20 10 2 2 3" xfId="2859"/>
    <cellStyle name="Normal 2 20 10 2 2 4" xfId="2860"/>
    <cellStyle name="Normal 2 20 10 2 3" xfId="2861"/>
    <cellStyle name="Normal 2 20 10 2 3 2" xfId="2862"/>
    <cellStyle name="Normal 2 20 10 2 3 2 2" xfId="2863"/>
    <cellStyle name="Normal 2 20 10 2 3 2 3" xfId="2864"/>
    <cellStyle name="Normal 2 20 10 2 3 3" xfId="2865"/>
    <cellStyle name="Normal 2 20 10 2 3 4" xfId="2866"/>
    <cellStyle name="Normal 2 20 10 2 4" xfId="2867"/>
    <cellStyle name="Normal 2 20 10 2 4 2" xfId="2868"/>
    <cellStyle name="Normal 2 20 10 2 4 3" xfId="2869"/>
    <cellStyle name="Normal 2 20 10 2 5" xfId="2870"/>
    <cellStyle name="Normal 2 20 10 2 6" xfId="2871"/>
    <cellStyle name="Normal 2 20 10 3" xfId="2872"/>
    <cellStyle name="Normal 2 20 10 3 2" xfId="2873"/>
    <cellStyle name="Normal 2 20 10 3 2 2" xfId="2874"/>
    <cellStyle name="Normal 2 20 10 3 2 2 2" xfId="2875"/>
    <cellStyle name="Normal 2 20 10 3 2 2 3" xfId="2876"/>
    <cellStyle name="Normal 2 20 10 3 2 3" xfId="2877"/>
    <cellStyle name="Normal 2 20 10 3 2 4" xfId="2878"/>
    <cellStyle name="Normal 2 20 10 3 3" xfId="2879"/>
    <cellStyle name="Normal 2 20 10 3 3 2" xfId="2880"/>
    <cellStyle name="Normal 2 20 10 3 3 2 2" xfId="2881"/>
    <cellStyle name="Normal 2 20 10 3 3 2 3" xfId="2882"/>
    <cellStyle name="Normal 2 20 10 3 3 3" xfId="2883"/>
    <cellStyle name="Normal 2 20 10 3 3 4" xfId="2884"/>
    <cellStyle name="Normal 2 20 10 3 4" xfId="2885"/>
    <cellStyle name="Normal 2 20 10 3 4 2" xfId="2886"/>
    <cellStyle name="Normal 2 20 10 3 4 3" xfId="2887"/>
    <cellStyle name="Normal 2 20 10 3 5" xfId="2888"/>
    <cellStyle name="Normal 2 20 10 3 6" xfId="2889"/>
    <cellStyle name="Normal 2 20 10 4" xfId="2890"/>
    <cellStyle name="Normal 2 20 10 4 2" xfId="2891"/>
    <cellStyle name="Normal 2 20 10 4 2 2" xfId="2892"/>
    <cellStyle name="Normal 2 20 10 4 2 3" xfId="2893"/>
    <cellStyle name="Normal 2 20 10 4 3" xfId="2894"/>
    <cellStyle name="Normal 2 20 10 4 4" xfId="2895"/>
    <cellStyle name="Normal 2 20 10 5" xfId="2896"/>
    <cellStyle name="Normal 2 20 10 5 2" xfId="2897"/>
    <cellStyle name="Normal 2 20 10 5 2 2" xfId="2898"/>
    <cellStyle name="Normal 2 20 10 5 2 3" xfId="2899"/>
    <cellStyle name="Normal 2 20 10 5 3" xfId="2900"/>
    <cellStyle name="Normal 2 20 10 5 4" xfId="2901"/>
    <cellStyle name="Normal 2 20 10 6" xfId="2902"/>
    <cellStyle name="Normal 2 20 10 6 2" xfId="2903"/>
    <cellStyle name="Normal 2 20 10 6 3" xfId="2904"/>
    <cellStyle name="Normal 2 20 10 7" xfId="2905"/>
    <cellStyle name="Normal 2 20 10 8" xfId="2906"/>
    <cellStyle name="Normal 2 20 11" xfId="2907"/>
    <cellStyle name="Normal 2 20 11 2" xfId="2908"/>
    <cellStyle name="Normal 2 20 11 2 2" xfId="2909"/>
    <cellStyle name="Normal 2 20 11 2 2 2" xfId="2910"/>
    <cellStyle name="Normal 2 20 11 2 2 2 2" xfId="2911"/>
    <cellStyle name="Normal 2 20 11 2 2 2 3" xfId="2912"/>
    <cellStyle name="Normal 2 20 11 2 2 3" xfId="2913"/>
    <cellStyle name="Normal 2 20 11 2 2 4" xfId="2914"/>
    <cellStyle name="Normal 2 20 11 2 3" xfId="2915"/>
    <cellStyle name="Normal 2 20 11 2 3 2" xfId="2916"/>
    <cellStyle name="Normal 2 20 11 2 3 2 2" xfId="2917"/>
    <cellStyle name="Normal 2 20 11 2 3 2 3" xfId="2918"/>
    <cellStyle name="Normal 2 20 11 2 3 3" xfId="2919"/>
    <cellStyle name="Normal 2 20 11 2 3 4" xfId="2920"/>
    <cellStyle name="Normal 2 20 11 2 4" xfId="2921"/>
    <cellStyle name="Normal 2 20 11 2 4 2" xfId="2922"/>
    <cellStyle name="Normal 2 20 11 2 4 3" xfId="2923"/>
    <cellStyle name="Normal 2 20 11 2 5" xfId="2924"/>
    <cellStyle name="Normal 2 20 11 2 6" xfId="2925"/>
    <cellStyle name="Normal 2 20 11 3" xfId="2926"/>
    <cellStyle name="Normal 2 20 11 3 2" xfId="2927"/>
    <cellStyle name="Normal 2 20 11 3 2 2" xfId="2928"/>
    <cellStyle name="Normal 2 20 11 3 2 2 2" xfId="2929"/>
    <cellStyle name="Normal 2 20 11 3 2 2 3" xfId="2930"/>
    <cellStyle name="Normal 2 20 11 3 2 3" xfId="2931"/>
    <cellStyle name="Normal 2 20 11 3 2 4" xfId="2932"/>
    <cellStyle name="Normal 2 20 11 3 3" xfId="2933"/>
    <cellStyle name="Normal 2 20 11 3 3 2" xfId="2934"/>
    <cellStyle name="Normal 2 20 11 3 3 2 2" xfId="2935"/>
    <cellStyle name="Normal 2 20 11 3 3 2 3" xfId="2936"/>
    <cellStyle name="Normal 2 20 11 3 3 3" xfId="2937"/>
    <cellStyle name="Normal 2 20 11 3 3 4" xfId="2938"/>
    <cellStyle name="Normal 2 20 11 3 4" xfId="2939"/>
    <cellStyle name="Normal 2 20 11 3 4 2" xfId="2940"/>
    <cellStyle name="Normal 2 20 11 3 4 3" xfId="2941"/>
    <cellStyle name="Normal 2 20 11 3 5" xfId="2942"/>
    <cellStyle name="Normal 2 20 11 3 6" xfId="2943"/>
    <cellStyle name="Normal 2 20 11 4" xfId="2944"/>
    <cellStyle name="Normal 2 20 11 4 2" xfId="2945"/>
    <cellStyle name="Normal 2 20 11 4 2 2" xfId="2946"/>
    <cellStyle name="Normal 2 20 11 4 2 3" xfId="2947"/>
    <cellStyle name="Normal 2 20 11 4 3" xfId="2948"/>
    <cellStyle name="Normal 2 20 11 4 4" xfId="2949"/>
    <cellStyle name="Normal 2 20 11 5" xfId="2950"/>
    <cellStyle name="Normal 2 20 11 5 2" xfId="2951"/>
    <cellStyle name="Normal 2 20 11 5 2 2" xfId="2952"/>
    <cellStyle name="Normal 2 20 11 5 2 3" xfId="2953"/>
    <cellStyle name="Normal 2 20 11 5 3" xfId="2954"/>
    <cellStyle name="Normal 2 20 11 5 4" xfId="2955"/>
    <cellStyle name="Normal 2 20 11 6" xfId="2956"/>
    <cellStyle name="Normal 2 20 11 6 2" xfId="2957"/>
    <cellStyle name="Normal 2 20 11 6 3" xfId="2958"/>
    <cellStyle name="Normal 2 20 11 7" xfId="2959"/>
    <cellStyle name="Normal 2 20 11 8" xfId="2960"/>
    <cellStyle name="Normal 2 20 12" xfId="2961"/>
    <cellStyle name="Normal 2 20 12 2" xfId="2962"/>
    <cellStyle name="Normal 2 20 12 2 2" xfId="2963"/>
    <cellStyle name="Normal 2 20 12 2 2 2" xfId="2964"/>
    <cellStyle name="Normal 2 20 12 2 2 2 2" xfId="2965"/>
    <cellStyle name="Normal 2 20 12 2 2 2 3" xfId="2966"/>
    <cellStyle name="Normal 2 20 12 2 2 3" xfId="2967"/>
    <cellStyle name="Normal 2 20 12 2 2 4" xfId="2968"/>
    <cellStyle name="Normal 2 20 12 2 3" xfId="2969"/>
    <cellStyle name="Normal 2 20 12 2 3 2" xfId="2970"/>
    <cellStyle name="Normal 2 20 12 2 3 2 2" xfId="2971"/>
    <cellStyle name="Normal 2 20 12 2 3 2 3" xfId="2972"/>
    <cellStyle name="Normal 2 20 12 2 3 3" xfId="2973"/>
    <cellStyle name="Normal 2 20 12 2 3 4" xfId="2974"/>
    <cellStyle name="Normal 2 20 12 2 4" xfId="2975"/>
    <cellStyle name="Normal 2 20 12 2 4 2" xfId="2976"/>
    <cellStyle name="Normal 2 20 12 2 4 3" xfId="2977"/>
    <cellStyle name="Normal 2 20 12 2 5" xfId="2978"/>
    <cellStyle name="Normal 2 20 12 2 6" xfId="2979"/>
    <cellStyle name="Normal 2 20 12 3" xfId="2980"/>
    <cellStyle name="Normal 2 20 12 3 2" xfId="2981"/>
    <cellStyle name="Normal 2 20 12 3 2 2" xfId="2982"/>
    <cellStyle name="Normal 2 20 12 3 2 2 2" xfId="2983"/>
    <cellStyle name="Normal 2 20 12 3 2 2 3" xfId="2984"/>
    <cellStyle name="Normal 2 20 12 3 2 3" xfId="2985"/>
    <cellStyle name="Normal 2 20 12 3 2 4" xfId="2986"/>
    <cellStyle name="Normal 2 20 12 3 3" xfId="2987"/>
    <cellStyle name="Normal 2 20 12 3 3 2" xfId="2988"/>
    <cellStyle name="Normal 2 20 12 3 3 2 2" xfId="2989"/>
    <cellStyle name="Normal 2 20 12 3 3 2 3" xfId="2990"/>
    <cellStyle name="Normal 2 20 12 3 3 3" xfId="2991"/>
    <cellStyle name="Normal 2 20 12 3 3 4" xfId="2992"/>
    <cellStyle name="Normal 2 20 12 3 4" xfId="2993"/>
    <cellStyle name="Normal 2 20 12 3 4 2" xfId="2994"/>
    <cellStyle name="Normal 2 20 12 3 4 3" xfId="2995"/>
    <cellStyle name="Normal 2 20 12 3 5" xfId="2996"/>
    <cellStyle name="Normal 2 20 12 3 6" xfId="2997"/>
    <cellStyle name="Normal 2 20 12 4" xfId="2998"/>
    <cellStyle name="Normal 2 20 12 4 2" xfId="2999"/>
    <cellStyle name="Normal 2 20 12 4 2 2" xfId="3000"/>
    <cellStyle name="Normal 2 20 12 4 2 3" xfId="3001"/>
    <cellStyle name="Normal 2 20 12 4 3" xfId="3002"/>
    <cellStyle name="Normal 2 20 12 4 4" xfId="3003"/>
    <cellStyle name="Normal 2 20 12 5" xfId="3004"/>
    <cellStyle name="Normal 2 20 12 5 2" xfId="3005"/>
    <cellStyle name="Normal 2 20 12 5 2 2" xfId="3006"/>
    <cellStyle name="Normal 2 20 12 5 2 3" xfId="3007"/>
    <cellStyle name="Normal 2 20 12 5 3" xfId="3008"/>
    <cellStyle name="Normal 2 20 12 5 4" xfId="3009"/>
    <cellStyle name="Normal 2 20 12 6" xfId="3010"/>
    <cellStyle name="Normal 2 20 12 6 2" xfId="3011"/>
    <cellStyle name="Normal 2 20 12 6 3" xfId="3012"/>
    <cellStyle name="Normal 2 20 12 7" xfId="3013"/>
    <cellStyle name="Normal 2 20 12 8" xfId="3014"/>
    <cellStyle name="Normal 2 20 13" xfId="3015"/>
    <cellStyle name="Normal 2 20 13 2" xfId="3016"/>
    <cellStyle name="Normal 2 20 13 2 2" xfId="3017"/>
    <cellStyle name="Normal 2 20 13 2 2 2" xfId="3018"/>
    <cellStyle name="Normal 2 20 13 2 2 2 2" xfId="3019"/>
    <cellStyle name="Normal 2 20 13 2 2 2 3" xfId="3020"/>
    <cellStyle name="Normal 2 20 13 2 2 3" xfId="3021"/>
    <cellStyle name="Normal 2 20 13 2 2 4" xfId="3022"/>
    <cellStyle name="Normal 2 20 13 2 3" xfId="3023"/>
    <cellStyle name="Normal 2 20 13 2 3 2" xfId="3024"/>
    <cellStyle name="Normal 2 20 13 2 3 2 2" xfId="3025"/>
    <cellStyle name="Normal 2 20 13 2 3 2 3" xfId="3026"/>
    <cellStyle name="Normal 2 20 13 2 3 3" xfId="3027"/>
    <cellStyle name="Normal 2 20 13 2 3 4" xfId="3028"/>
    <cellStyle name="Normal 2 20 13 2 4" xfId="3029"/>
    <cellStyle name="Normal 2 20 13 2 4 2" xfId="3030"/>
    <cellStyle name="Normal 2 20 13 2 4 3" xfId="3031"/>
    <cellStyle name="Normal 2 20 13 2 5" xfId="3032"/>
    <cellStyle name="Normal 2 20 13 2 6" xfId="3033"/>
    <cellStyle name="Normal 2 20 13 3" xfId="3034"/>
    <cellStyle name="Normal 2 20 13 3 2" xfId="3035"/>
    <cellStyle name="Normal 2 20 13 3 2 2" xfId="3036"/>
    <cellStyle name="Normal 2 20 13 3 2 2 2" xfId="3037"/>
    <cellStyle name="Normal 2 20 13 3 2 2 3" xfId="3038"/>
    <cellStyle name="Normal 2 20 13 3 2 3" xfId="3039"/>
    <cellStyle name="Normal 2 20 13 3 2 4" xfId="3040"/>
    <cellStyle name="Normal 2 20 13 3 3" xfId="3041"/>
    <cellStyle name="Normal 2 20 13 3 3 2" xfId="3042"/>
    <cellStyle name="Normal 2 20 13 3 3 2 2" xfId="3043"/>
    <cellStyle name="Normal 2 20 13 3 3 2 3" xfId="3044"/>
    <cellStyle name="Normal 2 20 13 3 3 3" xfId="3045"/>
    <cellStyle name="Normal 2 20 13 3 3 4" xfId="3046"/>
    <cellStyle name="Normal 2 20 13 3 4" xfId="3047"/>
    <cellStyle name="Normal 2 20 13 3 4 2" xfId="3048"/>
    <cellStyle name="Normal 2 20 13 3 4 3" xfId="3049"/>
    <cellStyle name="Normal 2 20 13 3 5" xfId="3050"/>
    <cellStyle name="Normal 2 20 13 3 6" xfId="3051"/>
    <cellStyle name="Normal 2 20 13 4" xfId="3052"/>
    <cellStyle name="Normal 2 20 13 4 2" xfId="3053"/>
    <cellStyle name="Normal 2 20 13 4 2 2" xfId="3054"/>
    <cellStyle name="Normal 2 20 13 4 2 3" xfId="3055"/>
    <cellStyle name="Normal 2 20 13 4 3" xfId="3056"/>
    <cellStyle name="Normal 2 20 13 4 4" xfId="3057"/>
    <cellStyle name="Normal 2 20 13 5" xfId="3058"/>
    <cellStyle name="Normal 2 20 13 5 2" xfId="3059"/>
    <cellStyle name="Normal 2 20 13 5 2 2" xfId="3060"/>
    <cellStyle name="Normal 2 20 13 5 2 3" xfId="3061"/>
    <cellStyle name="Normal 2 20 13 5 3" xfId="3062"/>
    <cellStyle name="Normal 2 20 13 5 4" xfId="3063"/>
    <cellStyle name="Normal 2 20 13 6" xfId="3064"/>
    <cellStyle name="Normal 2 20 13 6 2" xfId="3065"/>
    <cellStyle name="Normal 2 20 13 6 3" xfId="3066"/>
    <cellStyle name="Normal 2 20 13 7" xfId="3067"/>
    <cellStyle name="Normal 2 20 13 8" xfId="3068"/>
    <cellStyle name="Normal 2 20 14" xfId="3069"/>
    <cellStyle name="Normal 2 20 14 2" xfId="3070"/>
    <cellStyle name="Normal 2 20 14 2 2" xfId="3071"/>
    <cellStyle name="Normal 2 20 14 2 2 2" xfId="3072"/>
    <cellStyle name="Normal 2 20 14 2 2 2 2" xfId="3073"/>
    <cellStyle name="Normal 2 20 14 2 2 2 3" xfId="3074"/>
    <cellStyle name="Normal 2 20 14 2 2 3" xfId="3075"/>
    <cellStyle name="Normal 2 20 14 2 2 4" xfId="3076"/>
    <cellStyle name="Normal 2 20 14 2 3" xfId="3077"/>
    <cellStyle name="Normal 2 20 14 2 3 2" xfId="3078"/>
    <cellStyle name="Normal 2 20 14 2 3 2 2" xfId="3079"/>
    <cellStyle name="Normal 2 20 14 2 3 2 3" xfId="3080"/>
    <cellStyle name="Normal 2 20 14 2 3 3" xfId="3081"/>
    <cellStyle name="Normal 2 20 14 2 3 4" xfId="3082"/>
    <cellStyle name="Normal 2 20 14 2 4" xfId="3083"/>
    <cellStyle name="Normal 2 20 14 2 4 2" xfId="3084"/>
    <cellStyle name="Normal 2 20 14 2 4 3" xfId="3085"/>
    <cellStyle name="Normal 2 20 14 2 5" xfId="3086"/>
    <cellStyle name="Normal 2 20 14 2 6" xfId="3087"/>
    <cellStyle name="Normal 2 20 14 3" xfId="3088"/>
    <cellStyle name="Normal 2 20 14 3 2" xfId="3089"/>
    <cellStyle name="Normal 2 20 14 3 2 2" xfId="3090"/>
    <cellStyle name="Normal 2 20 14 3 2 2 2" xfId="3091"/>
    <cellStyle name="Normal 2 20 14 3 2 2 3" xfId="3092"/>
    <cellStyle name="Normal 2 20 14 3 2 3" xfId="3093"/>
    <cellStyle name="Normal 2 20 14 3 2 4" xfId="3094"/>
    <cellStyle name="Normal 2 20 14 3 3" xfId="3095"/>
    <cellStyle name="Normal 2 20 14 3 3 2" xfId="3096"/>
    <cellStyle name="Normal 2 20 14 3 3 2 2" xfId="3097"/>
    <cellStyle name="Normal 2 20 14 3 3 2 3" xfId="3098"/>
    <cellStyle name="Normal 2 20 14 3 3 3" xfId="3099"/>
    <cellStyle name="Normal 2 20 14 3 3 4" xfId="3100"/>
    <cellStyle name="Normal 2 20 14 3 4" xfId="3101"/>
    <cellStyle name="Normal 2 20 14 3 4 2" xfId="3102"/>
    <cellStyle name="Normal 2 20 14 3 4 3" xfId="3103"/>
    <cellStyle name="Normal 2 20 14 3 5" xfId="3104"/>
    <cellStyle name="Normal 2 20 14 3 6" xfId="3105"/>
    <cellStyle name="Normal 2 20 14 4" xfId="3106"/>
    <cellStyle name="Normal 2 20 14 4 2" xfId="3107"/>
    <cellStyle name="Normal 2 20 14 4 2 2" xfId="3108"/>
    <cellStyle name="Normal 2 20 14 4 2 3" xfId="3109"/>
    <cellStyle name="Normal 2 20 14 4 3" xfId="3110"/>
    <cellStyle name="Normal 2 20 14 4 4" xfId="3111"/>
    <cellStyle name="Normal 2 20 14 5" xfId="3112"/>
    <cellStyle name="Normal 2 20 14 5 2" xfId="3113"/>
    <cellStyle name="Normal 2 20 14 5 2 2" xfId="3114"/>
    <cellStyle name="Normal 2 20 14 5 2 3" xfId="3115"/>
    <cellStyle name="Normal 2 20 14 5 3" xfId="3116"/>
    <cellStyle name="Normal 2 20 14 5 4" xfId="3117"/>
    <cellStyle name="Normal 2 20 14 6" xfId="3118"/>
    <cellStyle name="Normal 2 20 14 6 2" xfId="3119"/>
    <cellStyle name="Normal 2 20 14 6 3" xfId="3120"/>
    <cellStyle name="Normal 2 20 14 7" xfId="3121"/>
    <cellStyle name="Normal 2 20 14 8" xfId="3122"/>
    <cellStyle name="Normal 2 20 15" xfId="3123"/>
    <cellStyle name="Normal 2 20 15 2" xfId="3124"/>
    <cellStyle name="Normal 2 20 15 2 2" xfId="3125"/>
    <cellStyle name="Normal 2 20 15 2 2 2" xfId="3126"/>
    <cellStyle name="Normal 2 20 15 2 2 2 2" xfId="3127"/>
    <cellStyle name="Normal 2 20 15 2 2 2 3" xfId="3128"/>
    <cellStyle name="Normal 2 20 15 2 2 3" xfId="3129"/>
    <cellStyle name="Normal 2 20 15 2 2 4" xfId="3130"/>
    <cellStyle name="Normal 2 20 15 2 3" xfId="3131"/>
    <cellStyle name="Normal 2 20 15 2 3 2" xfId="3132"/>
    <cellStyle name="Normal 2 20 15 2 3 2 2" xfId="3133"/>
    <cellStyle name="Normal 2 20 15 2 3 2 3" xfId="3134"/>
    <cellStyle name="Normal 2 20 15 2 3 3" xfId="3135"/>
    <cellStyle name="Normal 2 20 15 2 3 4" xfId="3136"/>
    <cellStyle name="Normal 2 20 15 2 4" xfId="3137"/>
    <cellStyle name="Normal 2 20 15 2 4 2" xfId="3138"/>
    <cellStyle name="Normal 2 20 15 2 4 3" xfId="3139"/>
    <cellStyle name="Normal 2 20 15 2 5" xfId="3140"/>
    <cellStyle name="Normal 2 20 15 2 6" xfId="3141"/>
    <cellStyle name="Normal 2 20 15 3" xfId="3142"/>
    <cellStyle name="Normal 2 20 15 3 2" xfId="3143"/>
    <cellStyle name="Normal 2 20 15 3 2 2" xfId="3144"/>
    <cellStyle name="Normal 2 20 15 3 2 2 2" xfId="3145"/>
    <cellStyle name="Normal 2 20 15 3 2 2 3" xfId="3146"/>
    <cellStyle name="Normal 2 20 15 3 2 3" xfId="3147"/>
    <cellStyle name="Normal 2 20 15 3 2 4" xfId="3148"/>
    <cellStyle name="Normal 2 20 15 3 3" xfId="3149"/>
    <cellStyle name="Normal 2 20 15 3 3 2" xfId="3150"/>
    <cellStyle name="Normal 2 20 15 3 3 2 2" xfId="3151"/>
    <cellStyle name="Normal 2 20 15 3 3 2 3" xfId="3152"/>
    <cellStyle name="Normal 2 20 15 3 3 3" xfId="3153"/>
    <cellStyle name="Normal 2 20 15 3 3 4" xfId="3154"/>
    <cellStyle name="Normal 2 20 15 3 4" xfId="3155"/>
    <cellStyle name="Normal 2 20 15 3 4 2" xfId="3156"/>
    <cellStyle name="Normal 2 20 15 3 4 3" xfId="3157"/>
    <cellStyle name="Normal 2 20 15 3 5" xfId="3158"/>
    <cellStyle name="Normal 2 20 15 3 6" xfId="3159"/>
    <cellStyle name="Normal 2 20 15 4" xfId="3160"/>
    <cellStyle name="Normal 2 20 15 4 2" xfId="3161"/>
    <cellStyle name="Normal 2 20 15 4 2 2" xfId="3162"/>
    <cellStyle name="Normal 2 20 15 4 2 3" xfId="3163"/>
    <cellStyle name="Normal 2 20 15 4 3" xfId="3164"/>
    <cellStyle name="Normal 2 20 15 4 4" xfId="3165"/>
    <cellStyle name="Normal 2 20 15 5" xfId="3166"/>
    <cellStyle name="Normal 2 20 15 5 2" xfId="3167"/>
    <cellStyle name="Normal 2 20 15 5 2 2" xfId="3168"/>
    <cellStyle name="Normal 2 20 15 5 2 3" xfId="3169"/>
    <cellStyle name="Normal 2 20 15 5 3" xfId="3170"/>
    <cellStyle name="Normal 2 20 15 5 4" xfId="3171"/>
    <cellStyle name="Normal 2 20 15 6" xfId="3172"/>
    <cellStyle name="Normal 2 20 15 6 2" xfId="3173"/>
    <cellStyle name="Normal 2 20 15 6 3" xfId="3174"/>
    <cellStyle name="Normal 2 20 15 7" xfId="3175"/>
    <cellStyle name="Normal 2 20 15 8" xfId="3176"/>
    <cellStyle name="Normal 2 20 16" xfId="3177"/>
    <cellStyle name="Normal 2 20 16 2" xfId="3178"/>
    <cellStyle name="Normal 2 20 16 2 2" xfId="3179"/>
    <cellStyle name="Normal 2 20 16 2 2 2" xfId="3180"/>
    <cellStyle name="Normal 2 20 16 2 2 3" xfId="3181"/>
    <cellStyle name="Normal 2 20 16 2 3" xfId="3182"/>
    <cellStyle name="Normal 2 20 16 2 4" xfId="3183"/>
    <cellStyle name="Normal 2 20 16 3" xfId="3184"/>
    <cellStyle name="Normal 2 20 16 3 2" xfId="3185"/>
    <cellStyle name="Normal 2 20 16 3 2 2" xfId="3186"/>
    <cellStyle name="Normal 2 20 16 3 2 3" xfId="3187"/>
    <cellStyle name="Normal 2 20 16 3 3" xfId="3188"/>
    <cellStyle name="Normal 2 20 16 3 4" xfId="3189"/>
    <cellStyle name="Normal 2 20 16 4" xfId="3190"/>
    <cellStyle name="Normal 2 20 16 4 2" xfId="3191"/>
    <cellStyle name="Normal 2 20 16 4 3" xfId="3192"/>
    <cellStyle name="Normal 2 20 16 5" xfId="3193"/>
    <cellStyle name="Normal 2 20 16 6" xfId="3194"/>
    <cellStyle name="Normal 2 20 17" xfId="3195"/>
    <cellStyle name="Normal 2 20 17 2" xfId="3196"/>
    <cellStyle name="Normal 2 20 17 2 2" xfId="3197"/>
    <cellStyle name="Normal 2 20 17 2 2 2" xfId="3198"/>
    <cellStyle name="Normal 2 20 17 2 2 3" xfId="3199"/>
    <cellStyle name="Normal 2 20 17 2 3" xfId="3200"/>
    <cellStyle name="Normal 2 20 17 2 4" xfId="3201"/>
    <cellStyle name="Normal 2 20 17 3" xfId="3202"/>
    <cellStyle name="Normal 2 20 17 3 2" xfId="3203"/>
    <cellStyle name="Normal 2 20 17 3 2 2" xfId="3204"/>
    <cellStyle name="Normal 2 20 17 3 2 3" xfId="3205"/>
    <cellStyle name="Normal 2 20 17 3 3" xfId="3206"/>
    <cellStyle name="Normal 2 20 17 3 4" xfId="3207"/>
    <cellStyle name="Normal 2 20 17 4" xfId="3208"/>
    <cellStyle name="Normal 2 20 17 4 2" xfId="3209"/>
    <cellStyle name="Normal 2 20 17 4 3" xfId="3210"/>
    <cellStyle name="Normal 2 20 17 5" xfId="3211"/>
    <cellStyle name="Normal 2 20 17 6" xfId="3212"/>
    <cellStyle name="Normal 2 20 18" xfId="3213"/>
    <cellStyle name="Normal 2 20 18 2" xfId="3214"/>
    <cellStyle name="Normal 2 20 18 2 2" xfId="3215"/>
    <cellStyle name="Normal 2 20 18 2 2 2" xfId="3216"/>
    <cellStyle name="Normal 2 20 18 2 2 3" xfId="3217"/>
    <cellStyle name="Normal 2 20 18 2 3" xfId="3218"/>
    <cellStyle name="Normal 2 20 18 2 4" xfId="3219"/>
    <cellStyle name="Normal 2 20 18 3" xfId="3220"/>
    <cellStyle name="Normal 2 20 18 3 2" xfId="3221"/>
    <cellStyle name="Normal 2 20 18 3 2 2" xfId="3222"/>
    <cellStyle name="Normal 2 20 18 3 2 3" xfId="3223"/>
    <cellStyle name="Normal 2 20 18 3 3" xfId="3224"/>
    <cellStyle name="Normal 2 20 18 3 4" xfId="3225"/>
    <cellStyle name="Normal 2 20 18 4" xfId="3226"/>
    <cellStyle name="Normal 2 20 18 4 2" xfId="3227"/>
    <cellStyle name="Normal 2 20 18 4 3" xfId="3228"/>
    <cellStyle name="Normal 2 20 18 5" xfId="3229"/>
    <cellStyle name="Normal 2 20 18 6" xfId="3230"/>
    <cellStyle name="Normal 2 20 19" xfId="3231"/>
    <cellStyle name="Normal 2 20 19 2" xfId="3232"/>
    <cellStyle name="Normal 2 20 19 2 2" xfId="3233"/>
    <cellStyle name="Normal 2 20 19 2 2 2" xfId="3234"/>
    <cellStyle name="Normal 2 20 19 2 2 3" xfId="3235"/>
    <cellStyle name="Normal 2 20 19 2 3" xfId="3236"/>
    <cellStyle name="Normal 2 20 19 2 4" xfId="3237"/>
    <cellStyle name="Normal 2 20 19 3" xfId="3238"/>
    <cellStyle name="Normal 2 20 19 3 2" xfId="3239"/>
    <cellStyle name="Normal 2 20 19 3 2 2" xfId="3240"/>
    <cellStyle name="Normal 2 20 19 3 2 3" xfId="3241"/>
    <cellStyle name="Normal 2 20 19 3 3" xfId="3242"/>
    <cellStyle name="Normal 2 20 19 3 4" xfId="3243"/>
    <cellStyle name="Normal 2 20 19 4" xfId="3244"/>
    <cellStyle name="Normal 2 20 19 4 2" xfId="3245"/>
    <cellStyle name="Normal 2 20 19 4 3" xfId="3246"/>
    <cellStyle name="Normal 2 20 19 5" xfId="3247"/>
    <cellStyle name="Normal 2 20 19 6" xfId="3248"/>
    <cellStyle name="Normal 2 20 2" xfId="3249"/>
    <cellStyle name="Normal 2 20 2 10" xfId="3250"/>
    <cellStyle name="Normal 2 20 2 10 2" xfId="3251"/>
    <cellStyle name="Normal 2 20 2 10 2 2" xfId="3252"/>
    <cellStyle name="Normal 2 20 2 10 2 3" xfId="3253"/>
    <cellStyle name="Normal 2 20 2 10 3" xfId="3254"/>
    <cellStyle name="Normal 2 20 2 10 4" xfId="3255"/>
    <cellStyle name="Normal 2 20 2 11" xfId="3256"/>
    <cellStyle name="Normal 2 20 2 11 2" xfId="3257"/>
    <cellStyle name="Normal 2 20 2 11 2 2" xfId="3258"/>
    <cellStyle name="Normal 2 20 2 11 2 3" xfId="3259"/>
    <cellStyle name="Normal 2 20 2 11 3" xfId="3260"/>
    <cellStyle name="Normal 2 20 2 11 4" xfId="3261"/>
    <cellStyle name="Normal 2 20 2 12" xfId="3262"/>
    <cellStyle name="Normal 2 20 2 12 2" xfId="3263"/>
    <cellStyle name="Normal 2 20 2 12 3" xfId="3264"/>
    <cellStyle name="Normal 2 20 2 13" xfId="3265"/>
    <cellStyle name="Normal 2 20 2 14" xfId="3266"/>
    <cellStyle name="Normal 2 20 2 2" xfId="3267"/>
    <cellStyle name="Normal 2 20 2 2 2" xfId="3268"/>
    <cellStyle name="Normal 2 20 2 2 2 2" xfId="3269"/>
    <cellStyle name="Normal 2 20 2 2 2 2 2" xfId="3270"/>
    <cellStyle name="Normal 2 20 2 2 2 2 3" xfId="3271"/>
    <cellStyle name="Normal 2 20 2 2 2 3" xfId="3272"/>
    <cellStyle name="Normal 2 20 2 2 2 4" xfId="3273"/>
    <cellStyle name="Normal 2 20 2 2 3" xfId="3274"/>
    <cellStyle name="Normal 2 20 2 2 3 2" xfId="3275"/>
    <cellStyle name="Normal 2 20 2 2 3 2 2" xfId="3276"/>
    <cellStyle name="Normal 2 20 2 2 3 2 3" xfId="3277"/>
    <cellStyle name="Normal 2 20 2 2 3 3" xfId="3278"/>
    <cellStyle name="Normal 2 20 2 2 3 4" xfId="3279"/>
    <cellStyle name="Normal 2 20 2 2 4" xfId="3280"/>
    <cellStyle name="Normal 2 20 2 2 4 2" xfId="3281"/>
    <cellStyle name="Normal 2 20 2 2 4 3" xfId="3282"/>
    <cellStyle name="Normal 2 20 2 2 5" xfId="3283"/>
    <cellStyle name="Normal 2 20 2 2 6" xfId="3284"/>
    <cellStyle name="Normal 2 20 2 3" xfId="3285"/>
    <cellStyle name="Normal 2 20 2 3 2" xfId="3286"/>
    <cellStyle name="Normal 2 20 2 3 2 2" xfId="3287"/>
    <cellStyle name="Normal 2 20 2 3 2 2 2" xfId="3288"/>
    <cellStyle name="Normal 2 20 2 3 2 2 3" xfId="3289"/>
    <cellStyle name="Normal 2 20 2 3 2 3" xfId="3290"/>
    <cellStyle name="Normal 2 20 2 3 2 4" xfId="3291"/>
    <cellStyle name="Normal 2 20 2 3 3" xfId="3292"/>
    <cellStyle name="Normal 2 20 2 3 3 2" xfId="3293"/>
    <cellStyle name="Normal 2 20 2 3 3 2 2" xfId="3294"/>
    <cellStyle name="Normal 2 20 2 3 3 2 3" xfId="3295"/>
    <cellStyle name="Normal 2 20 2 3 3 3" xfId="3296"/>
    <cellStyle name="Normal 2 20 2 3 3 4" xfId="3297"/>
    <cellStyle name="Normal 2 20 2 3 4" xfId="3298"/>
    <cellStyle name="Normal 2 20 2 3 4 2" xfId="3299"/>
    <cellStyle name="Normal 2 20 2 3 4 3" xfId="3300"/>
    <cellStyle name="Normal 2 20 2 3 5" xfId="3301"/>
    <cellStyle name="Normal 2 20 2 3 6" xfId="3302"/>
    <cellStyle name="Normal 2 20 2 4" xfId="3303"/>
    <cellStyle name="Normal 2 20 2 4 2" xfId="3304"/>
    <cellStyle name="Normal 2 20 2 4 2 2" xfId="3305"/>
    <cellStyle name="Normal 2 20 2 4 2 2 2" xfId="3306"/>
    <cellStyle name="Normal 2 20 2 4 2 2 3" xfId="3307"/>
    <cellStyle name="Normal 2 20 2 4 2 3" xfId="3308"/>
    <cellStyle name="Normal 2 20 2 4 2 4" xfId="3309"/>
    <cellStyle name="Normal 2 20 2 4 3" xfId="3310"/>
    <cellStyle name="Normal 2 20 2 4 3 2" xfId="3311"/>
    <cellStyle name="Normal 2 20 2 4 3 2 2" xfId="3312"/>
    <cellStyle name="Normal 2 20 2 4 3 2 3" xfId="3313"/>
    <cellStyle name="Normal 2 20 2 4 3 3" xfId="3314"/>
    <cellStyle name="Normal 2 20 2 4 3 4" xfId="3315"/>
    <cellStyle name="Normal 2 20 2 4 4" xfId="3316"/>
    <cellStyle name="Normal 2 20 2 4 4 2" xfId="3317"/>
    <cellStyle name="Normal 2 20 2 4 4 3" xfId="3318"/>
    <cellStyle name="Normal 2 20 2 4 5" xfId="3319"/>
    <cellStyle name="Normal 2 20 2 4 6" xfId="3320"/>
    <cellStyle name="Normal 2 20 2 5" xfId="3321"/>
    <cellStyle name="Normal 2 20 2 5 2" xfId="3322"/>
    <cellStyle name="Normal 2 20 2 5 2 2" xfId="3323"/>
    <cellStyle name="Normal 2 20 2 5 2 2 2" xfId="3324"/>
    <cellStyle name="Normal 2 20 2 5 2 2 3" xfId="3325"/>
    <cellStyle name="Normal 2 20 2 5 2 3" xfId="3326"/>
    <cellStyle name="Normal 2 20 2 5 2 4" xfId="3327"/>
    <cellStyle name="Normal 2 20 2 5 3" xfId="3328"/>
    <cellStyle name="Normal 2 20 2 5 3 2" xfId="3329"/>
    <cellStyle name="Normal 2 20 2 5 3 2 2" xfId="3330"/>
    <cellStyle name="Normal 2 20 2 5 3 2 3" xfId="3331"/>
    <cellStyle name="Normal 2 20 2 5 3 3" xfId="3332"/>
    <cellStyle name="Normal 2 20 2 5 3 4" xfId="3333"/>
    <cellStyle name="Normal 2 20 2 5 4" xfId="3334"/>
    <cellStyle name="Normal 2 20 2 5 4 2" xfId="3335"/>
    <cellStyle name="Normal 2 20 2 5 4 3" xfId="3336"/>
    <cellStyle name="Normal 2 20 2 5 5" xfId="3337"/>
    <cellStyle name="Normal 2 20 2 5 6" xfId="3338"/>
    <cellStyle name="Normal 2 20 2 6" xfId="3339"/>
    <cellStyle name="Normal 2 20 2 6 2" xfId="3340"/>
    <cellStyle name="Normal 2 20 2 6 2 2" xfId="3341"/>
    <cellStyle name="Normal 2 20 2 6 2 2 2" xfId="3342"/>
    <cellStyle name="Normal 2 20 2 6 2 2 3" xfId="3343"/>
    <cellStyle name="Normal 2 20 2 6 2 3" xfId="3344"/>
    <cellStyle name="Normal 2 20 2 6 2 4" xfId="3345"/>
    <cellStyle name="Normal 2 20 2 6 3" xfId="3346"/>
    <cellStyle name="Normal 2 20 2 6 3 2" xfId="3347"/>
    <cellStyle name="Normal 2 20 2 6 3 2 2" xfId="3348"/>
    <cellStyle name="Normal 2 20 2 6 3 2 3" xfId="3349"/>
    <cellStyle name="Normal 2 20 2 6 3 3" xfId="3350"/>
    <cellStyle name="Normal 2 20 2 6 3 4" xfId="3351"/>
    <cellStyle name="Normal 2 20 2 6 4" xfId="3352"/>
    <cellStyle name="Normal 2 20 2 6 4 2" xfId="3353"/>
    <cellStyle name="Normal 2 20 2 6 4 3" xfId="3354"/>
    <cellStyle name="Normal 2 20 2 6 5" xfId="3355"/>
    <cellStyle name="Normal 2 20 2 6 6" xfId="3356"/>
    <cellStyle name="Normal 2 20 2 7" xfId="3357"/>
    <cellStyle name="Normal 2 20 2 7 2" xfId="3358"/>
    <cellStyle name="Normal 2 20 2 7 2 2" xfId="3359"/>
    <cellStyle name="Normal 2 20 2 7 2 2 2" xfId="3360"/>
    <cellStyle name="Normal 2 20 2 7 2 2 3" xfId="3361"/>
    <cellStyle name="Normal 2 20 2 7 2 3" xfId="3362"/>
    <cellStyle name="Normal 2 20 2 7 2 4" xfId="3363"/>
    <cellStyle name="Normal 2 20 2 7 3" xfId="3364"/>
    <cellStyle name="Normal 2 20 2 7 3 2" xfId="3365"/>
    <cellStyle name="Normal 2 20 2 7 3 2 2" xfId="3366"/>
    <cellStyle name="Normal 2 20 2 7 3 2 3" xfId="3367"/>
    <cellStyle name="Normal 2 20 2 7 3 3" xfId="3368"/>
    <cellStyle name="Normal 2 20 2 7 3 4" xfId="3369"/>
    <cellStyle name="Normal 2 20 2 7 4" xfId="3370"/>
    <cellStyle name="Normal 2 20 2 7 4 2" xfId="3371"/>
    <cellStyle name="Normal 2 20 2 7 4 3" xfId="3372"/>
    <cellStyle name="Normal 2 20 2 7 5" xfId="3373"/>
    <cellStyle name="Normal 2 20 2 7 6" xfId="3374"/>
    <cellStyle name="Normal 2 20 2 8" xfId="3375"/>
    <cellStyle name="Normal 2 20 2 8 2" xfId="3376"/>
    <cellStyle name="Normal 2 20 2 8 2 2" xfId="3377"/>
    <cellStyle name="Normal 2 20 2 8 2 2 2" xfId="3378"/>
    <cellStyle name="Normal 2 20 2 8 2 2 3" xfId="3379"/>
    <cellStyle name="Normal 2 20 2 8 2 3" xfId="3380"/>
    <cellStyle name="Normal 2 20 2 8 2 4" xfId="3381"/>
    <cellStyle name="Normal 2 20 2 8 3" xfId="3382"/>
    <cellStyle name="Normal 2 20 2 8 3 2" xfId="3383"/>
    <cellStyle name="Normal 2 20 2 8 3 2 2" xfId="3384"/>
    <cellStyle name="Normal 2 20 2 8 3 2 3" xfId="3385"/>
    <cellStyle name="Normal 2 20 2 8 3 3" xfId="3386"/>
    <cellStyle name="Normal 2 20 2 8 3 4" xfId="3387"/>
    <cellStyle name="Normal 2 20 2 8 4" xfId="3388"/>
    <cellStyle name="Normal 2 20 2 8 4 2" xfId="3389"/>
    <cellStyle name="Normal 2 20 2 8 4 3" xfId="3390"/>
    <cellStyle name="Normal 2 20 2 8 5" xfId="3391"/>
    <cellStyle name="Normal 2 20 2 8 6" xfId="3392"/>
    <cellStyle name="Normal 2 20 2 9" xfId="3393"/>
    <cellStyle name="Normal 2 20 2 9 2" xfId="3394"/>
    <cellStyle name="Normal 2 20 2 9 2 2" xfId="3395"/>
    <cellStyle name="Normal 2 20 2 9 2 2 2" xfId="3396"/>
    <cellStyle name="Normal 2 20 2 9 2 2 3" xfId="3397"/>
    <cellStyle name="Normal 2 20 2 9 2 3" xfId="3398"/>
    <cellStyle name="Normal 2 20 2 9 2 4" xfId="3399"/>
    <cellStyle name="Normal 2 20 2 9 3" xfId="3400"/>
    <cellStyle name="Normal 2 20 2 9 3 2" xfId="3401"/>
    <cellStyle name="Normal 2 20 2 9 3 2 2" xfId="3402"/>
    <cellStyle name="Normal 2 20 2 9 3 2 3" xfId="3403"/>
    <cellStyle name="Normal 2 20 2 9 3 3" xfId="3404"/>
    <cellStyle name="Normal 2 20 2 9 3 4" xfId="3405"/>
    <cellStyle name="Normal 2 20 2 9 4" xfId="3406"/>
    <cellStyle name="Normal 2 20 2 9 4 2" xfId="3407"/>
    <cellStyle name="Normal 2 20 2 9 4 3" xfId="3408"/>
    <cellStyle name="Normal 2 20 2 9 5" xfId="3409"/>
    <cellStyle name="Normal 2 20 2 9 6" xfId="3410"/>
    <cellStyle name="Normal 2 20 20" xfId="3411"/>
    <cellStyle name="Normal 2 20 20 2" xfId="3412"/>
    <cellStyle name="Normal 2 20 20 2 2" xfId="3413"/>
    <cellStyle name="Normal 2 20 20 2 2 2" xfId="3414"/>
    <cellStyle name="Normal 2 20 20 2 2 3" xfId="3415"/>
    <cellStyle name="Normal 2 20 20 2 3" xfId="3416"/>
    <cellStyle name="Normal 2 20 20 2 4" xfId="3417"/>
    <cellStyle name="Normal 2 20 20 3" xfId="3418"/>
    <cellStyle name="Normal 2 20 20 3 2" xfId="3419"/>
    <cellStyle name="Normal 2 20 20 3 2 2" xfId="3420"/>
    <cellStyle name="Normal 2 20 20 3 2 3" xfId="3421"/>
    <cellStyle name="Normal 2 20 20 3 3" xfId="3422"/>
    <cellStyle name="Normal 2 20 20 3 4" xfId="3423"/>
    <cellStyle name="Normal 2 20 20 4" xfId="3424"/>
    <cellStyle name="Normal 2 20 20 4 2" xfId="3425"/>
    <cellStyle name="Normal 2 20 20 4 3" xfId="3426"/>
    <cellStyle name="Normal 2 20 20 5" xfId="3427"/>
    <cellStyle name="Normal 2 20 20 6" xfId="3428"/>
    <cellStyle name="Normal 2 20 21" xfId="3429"/>
    <cellStyle name="Normal 2 20 21 2" xfId="3430"/>
    <cellStyle name="Normal 2 20 21 2 2" xfId="3431"/>
    <cellStyle name="Normal 2 20 21 2 2 2" xfId="3432"/>
    <cellStyle name="Normal 2 20 21 2 2 3" xfId="3433"/>
    <cellStyle name="Normal 2 20 21 2 3" xfId="3434"/>
    <cellStyle name="Normal 2 20 21 2 4" xfId="3435"/>
    <cellStyle name="Normal 2 20 21 3" xfId="3436"/>
    <cellStyle name="Normal 2 20 21 3 2" xfId="3437"/>
    <cellStyle name="Normal 2 20 21 3 2 2" xfId="3438"/>
    <cellStyle name="Normal 2 20 21 3 2 3" xfId="3439"/>
    <cellStyle name="Normal 2 20 21 3 3" xfId="3440"/>
    <cellStyle name="Normal 2 20 21 3 4" xfId="3441"/>
    <cellStyle name="Normal 2 20 21 4" xfId="3442"/>
    <cellStyle name="Normal 2 20 21 4 2" xfId="3443"/>
    <cellStyle name="Normal 2 20 21 4 3" xfId="3444"/>
    <cellStyle name="Normal 2 20 21 5" xfId="3445"/>
    <cellStyle name="Normal 2 20 21 6" xfId="3446"/>
    <cellStyle name="Normal 2 20 22" xfId="3447"/>
    <cellStyle name="Normal 2 20 22 2" xfId="3448"/>
    <cellStyle name="Normal 2 20 22 2 2" xfId="3449"/>
    <cellStyle name="Normal 2 20 22 2 3" xfId="3450"/>
    <cellStyle name="Normal 2 20 22 3" xfId="3451"/>
    <cellStyle name="Normal 2 20 22 4" xfId="3452"/>
    <cellStyle name="Normal 2 20 23" xfId="3453"/>
    <cellStyle name="Normal 2 20 23 2" xfId="3454"/>
    <cellStyle name="Normal 2 20 23 2 2" xfId="3455"/>
    <cellStyle name="Normal 2 20 23 2 3" xfId="3456"/>
    <cellStyle name="Normal 2 20 23 3" xfId="3457"/>
    <cellStyle name="Normal 2 20 23 4" xfId="3458"/>
    <cellStyle name="Normal 2 20 24" xfId="3459"/>
    <cellStyle name="Normal 2 20 24 2" xfId="3460"/>
    <cellStyle name="Normal 2 20 24 3" xfId="3461"/>
    <cellStyle name="Normal 2 20 25" xfId="3462"/>
    <cellStyle name="Normal 2 20 26" xfId="3463"/>
    <cellStyle name="Normal 2 20 3" xfId="3464"/>
    <cellStyle name="Normal 2 20 3 10" xfId="3465"/>
    <cellStyle name="Normal 2 20 3 10 2" xfId="3466"/>
    <cellStyle name="Normal 2 20 3 10 2 2" xfId="3467"/>
    <cellStyle name="Normal 2 20 3 10 2 3" xfId="3468"/>
    <cellStyle name="Normal 2 20 3 10 3" xfId="3469"/>
    <cellStyle name="Normal 2 20 3 10 4" xfId="3470"/>
    <cellStyle name="Normal 2 20 3 11" xfId="3471"/>
    <cellStyle name="Normal 2 20 3 11 2" xfId="3472"/>
    <cellStyle name="Normal 2 20 3 11 3" xfId="3473"/>
    <cellStyle name="Normal 2 20 3 12" xfId="3474"/>
    <cellStyle name="Normal 2 20 3 13" xfId="3475"/>
    <cellStyle name="Normal 2 20 3 2" xfId="3476"/>
    <cellStyle name="Normal 2 20 3 2 2" xfId="3477"/>
    <cellStyle name="Normal 2 20 3 2 2 2" xfId="3478"/>
    <cellStyle name="Normal 2 20 3 2 2 2 2" xfId="3479"/>
    <cellStyle name="Normal 2 20 3 2 2 2 3" xfId="3480"/>
    <cellStyle name="Normal 2 20 3 2 2 3" xfId="3481"/>
    <cellStyle name="Normal 2 20 3 2 2 4" xfId="3482"/>
    <cellStyle name="Normal 2 20 3 2 3" xfId="3483"/>
    <cellStyle name="Normal 2 20 3 2 3 2" xfId="3484"/>
    <cellStyle name="Normal 2 20 3 2 3 2 2" xfId="3485"/>
    <cellStyle name="Normal 2 20 3 2 3 2 3" xfId="3486"/>
    <cellStyle name="Normal 2 20 3 2 3 3" xfId="3487"/>
    <cellStyle name="Normal 2 20 3 2 3 4" xfId="3488"/>
    <cellStyle name="Normal 2 20 3 2 4" xfId="3489"/>
    <cellStyle name="Normal 2 20 3 2 4 2" xfId="3490"/>
    <cellStyle name="Normal 2 20 3 2 4 3" xfId="3491"/>
    <cellStyle name="Normal 2 20 3 2 5" xfId="3492"/>
    <cellStyle name="Normal 2 20 3 2 6" xfId="3493"/>
    <cellStyle name="Normal 2 20 3 3" xfId="3494"/>
    <cellStyle name="Normal 2 20 3 3 2" xfId="3495"/>
    <cellStyle name="Normal 2 20 3 3 2 2" xfId="3496"/>
    <cellStyle name="Normal 2 20 3 3 2 2 2" xfId="3497"/>
    <cellStyle name="Normal 2 20 3 3 2 2 3" xfId="3498"/>
    <cellStyle name="Normal 2 20 3 3 2 3" xfId="3499"/>
    <cellStyle name="Normal 2 20 3 3 2 4" xfId="3500"/>
    <cellStyle name="Normal 2 20 3 3 3" xfId="3501"/>
    <cellStyle name="Normal 2 20 3 3 3 2" xfId="3502"/>
    <cellStyle name="Normal 2 20 3 3 3 2 2" xfId="3503"/>
    <cellStyle name="Normal 2 20 3 3 3 2 3" xfId="3504"/>
    <cellStyle name="Normal 2 20 3 3 3 3" xfId="3505"/>
    <cellStyle name="Normal 2 20 3 3 3 4" xfId="3506"/>
    <cellStyle name="Normal 2 20 3 3 4" xfId="3507"/>
    <cellStyle name="Normal 2 20 3 3 4 2" xfId="3508"/>
    <cellStyle name="Normal 2 20 3 3 4 3" xfId="3509"/>
    <cellStyle name="Normal 2 20 3 3 5" xfId="3510"/>
    <cellStyle name="Normal 2 20 3 3 6" xfId="3511"/>
    <cellStyle name="Normal 2 20 3 4" xfId="3512"/>
    <cellStyle name="Normal 2 20 3 4 2" xfId="3513"/>
    <cellStyle name="Normal 2 20 3 4 2 2" xfId="3514"/>
    <cellStyle name="Normal 2 20 3 4 2 2 2" xfId="3515"/>
    <cellStyle name="Normal 2 20 3 4 2 2 3" xfId="3516"/>
    <cellStyle name="Normal 2 20 3 4 2 3" xfId="3517"/>
    <cellStyle name="Normal 2 20 3 4 2 4" xfId="3518"/>
    <cellStyle name="Normal 2 20 3 4 3" xfId="3519"/>
    <cellStyle name="Normal 2 20 3 4 3 2" xfId="3520"/>
    <cellStyle name="Normal 2 20 3 4 3 2 2" xfId="3521"/>
    <cellStyle name="Normal 2 20 3 4 3 2 3" xfId="3522"/>
    <cellStyle name="Normal 2 20 3 4 3 3" xfId="3523"/>
    <cellStyle name="Normal 2 20 3 4 3 4" xfId="3524"/>
    <cellStyle name="Normal 2 20 3 4 4" xfId="3525"/>
    <cellStyle name="Normal 2 20 3 4 4 2" xfId="3526"/>
    <cellStyle name="Normal 2 20 3 4 4 3" xfId="3527"/>
    <cellStyle name="Normal 2 20 3 4 5" xfId="3528"/>
    <cellStyle name="Normal 2 20 3 4 6" xfId="3529"/>
    <cellStyle name="Normal 2 20 3 5" xfId="3530"/>
    <cellStyle name="Normal 2 20 3 5 2" xfId="3531"/>
    <cellStyle name="Normal 2 20 3 5 2 2" xfId="3532"/>
    <cellStyle name="Normal 2 20 3 5 2 2 2" xfId="3533"/>
    <cellStyle name="Normal 2 20 3 5 2 2 3" xfId="3534"/>
    <cellStyle name="Normal 2 20 3 5 2 3" xfId="3535"/>
    <cellStyle name="Normal 2 20 3 5 2 4" xfId="3536"/>
    <cellStyle name="Normal 2 20 3 5 3" xfId="3537"/>
    <cellStyle name="Normal 2 20 3 5 3 2" xfId="3538"/>
    <cellStyle name="Normal 2 20 3 5 3 2 2" xfId="3539"/>
    <cellStyle name="Normal 2 20 3 5 3 2 3" xfId="3540"/>
    <cellStyle name="Normal 2 20 3 5 3 3" xfId="3541"/>
    <cellStyle name="Normal 2 20 3 5 3 4" xfId="3542"/>
    <cellStyle name="Normal 2 20 3 5 4" xfId="3543"/>
    <cellStyle name="Normal 2 20 3 5 4 2" xfId="3544"/>
    <cellStyle name="Normal 2 20 3 5 4 3" xfId="3545"/>
    <cellStyle name="Normal 2 20 3 5 5" xfId="3546"/>
    <cellStyle name="Normal 2 20 3 5 6" xfId="3547"/>
    <cellStyle name="Normal 2 20 3 6" xfId="3548"/>
    <cellStyle name="Normal 2 20 3 6 2" xfId="3549"/>
    <cellStyle name="Normal 2 20 3 6 2 2" xfId="3550"/>
    <cellStyle name="Normal 2 20 3 6 2 2 2" xfId="3551"/>
    <cellStyle name="Normal 2 20 3 6 2 2 3" xfId="3552"/>
    <cellStyle name="Normal 2 20 3 6 2 3" xfId="3553"/>
    <cellStyle name="Normal 2 20 3 6 2 4" xfId="3554"/>
    <cellStyle name="Normal 2 20 3 6 3" xfId="3555"/>
    <cellStyle name="Normal 2 20 3 6 3 2" xfId="3556"/>
    <cellStyle name="Normal 2 20 3 6 3 2 2" xfId="3557"/>
    <cellStyle name="Normal 2 20 3 6 3 2 3" xfId="3558"/>
    <cellStyle name="Normal 2 20 3 6 3 3" xfId="3559"/>
    <cellStyle name="Normal 2 20 3 6 3 4" xfId="3560"/>
    <cellStyle name="Normal 2 20 3 6 4" xfId="3561"/>
    <cellStyle name="Normal 2 20 3 6 4 2" xfId="3562"/>
    <cellStyle name="Normal 2 20 3 6 4 3" xfId="3563"/>
    <cellStyle name="Normal 2 20 3 6 5" xfId="3564"/>
    <cellStyle name="Normal 2 20 3 6 6" xfId="3565"/>
    <cellStyle name="Normal 2 20 3 7" xfId="3566"/>
    <cellStyle name="Normal 2 20 3 7 2" xfId="3567"/>
    <cellStyle name="Normal 2 20 3 7 2 2" xfId="3568"/>
    <cellStyle name="Normal 2 20 3 7 2 2 2" xfId="3569"/>
    <cellStyle name="Normal 2 20 3 7 2 2 3" xfId="3570"/>
    <cellStyle name="Normal 2 20 3 7 2 3" xfId="3571"/>
    <cellStyle name="Normal 2 20 3 7 2 4" xfId="3572"/>
    <cellStyle name="Normal 2 20 3 7 3" xfId="3573"/>
    <cellStyle name="Normal 2 20 3 7 3 2" xfId="3574"/>
    <cellStyle name="Normal 2 20 3 7 3 2 2" xfId="3575"/>
    <cellStyle name="Normal 2 20 3 7 3 2 3" xfId="3576"/>
    <cellStyle name="Normal 2 20 3 7 3 3" xfId="3577"/>
    <cellStyle name="Normal 2 20 3 7 3 4" xfId="3578"/>
    <cellStyle name="Normal 2 20 3 7 4" xfId="3579"/>
    <cellStyle name="Normal 2 20 3 7 4 2" xfId="3580"/>
    <cellStyle name="Normal 2 20 3 7 4 3" xfId="3581"/>
    <cellStyle name="Normal 2 20 3 7 5" xfId="3582"/>
    <cellStyle name="Normal 2 20 3 7 6" xfId="3583"/>
    <cellStyle name="Normal 2 20 3 8" xfId="3584"/>
    <cellStyle name="Normal 2 20 3 8 2" xfId="3585"/>
    <cellStyle name="Normal 2 20 3 8 2 2" xfId="3586"/>
    <cellStyle name="Normal 2 20 3 8 2 2 2" xfId="3587"/>
    <cellStyle name="Normal 2 20 3 8 2 2 3" xfId="3588"/>
    <cellStyle name="Normal 2 20 3 8 2 3" xfId="3589"/>
    <cellStyle name="Normal 2 20 3 8 2 4" xfId="3590"/>
    <cellStyle name="Normal 2 20 3 8 3" xfId="3591"/>
    <cellStyle name="Normal 2 20 3 8 3 2" xfId="3592"/>
    <cellStyle name="Normal 2 20 3 8 3 2 2" xfId="3593"/>
    <cellStyle name="Normal 2 20 3 8 3 2 3" xfId="3594"/>
    <cellStyle name="Normal 2 20 3 8 3 3" xfId="3595"/>
    <cellStyle name="Normal 2 20 3 8 3 4" xfId="3596"/>
    <cellStyle name="Normal 2 20 3 8 4" xfId="3597"/>
    <cellStyle name="Normal 2 20 3 8 4 2" xfId="3598"/>
    <cellStyle name="Normal 2 20 3 8 4 3" xfId="3599"/>
    <cellStyle name="Normal 2 20 3 8 5" xfId="3600"/>
    <cellStyle name="Normal 2 20 3 8 6" xfId="3601"/>
    <cellStyle name="Normal 2 20 3 9" xfId="3602"/>
    <cellStyle name="Normal 2 20 3 9 2" xfId="3603"/>
    <cellStyle name="Normal 2 20 3 9 2 2" xfId="3604"/>
    <cellStyle name="Normal 2 20 3 9 2 3" xfId="3605"/>
    <cellStyle name="Normal 2 20 3 9 3" xfId="3606"/>
    <cellStyle name="Normal 2 20 3 9 4" xfId="3607"/>
    <cellStyle name="Normal 2 20 4" xfId="3608"/>
    <cellStyle name="Normal 2 20 4 10" xfId="3609"/>
    <cellStyle name="Normal 2 20 4 10 2" xfId="3610"/>
    <cellStyle name="Normal 2 20 4 10 2 2" xfId="3611"/>
    <cellStyle name="Normal 2 20 4 10 2 3" xfId="3612"/>
    <cellStyle name="Normal 2 20 4 10 3" xfId="3613"/>
    <cellStyle name="Normal 2 20 4 10 4" xfId="3614"/>
    <cellStyle name="Normal 2 20 4 11" xfId="3615"/>
    <cellStyle name="Normal 2 20 4 11 2" xfId="3616"/>
    <cellStyle name="Normal 2 20 4 11 3" xfId="3617"/>
    <cellStyle name="Normal 2 20 4 12" xfId="3618"/>
    <cellStyle name="Normal 2 20 4 13" xfId="3619"/>
    <cellStyle name="Normal 2 20 4 2" xfId="3620"/>
    <cellStyle name="Normal 2 20 4 2 2" xfId="3621"/>
    <cellStyle name="Normal 2 20 4 2 2 2" xfId="3622"/>
    <cellStyle name="Normal 2 20 4 2 2 2 2" xfId="3623"/>
    <cellStyle name="Normal 2 20 4 2 2 2 3" xfId="3624"/>
    <cellStyle name="Normal 2 20 4 2 2 3" xfId="3625"/>
    <cellStyle name="Normal 2 20 4 2 2 4" xfId="3626"/>
    <cellStyle name="Normal 2 20 4 2 3" xfId="3627"/>
    <cellStyle name="Normal 2 20 4 2 3 2" xfId="3628"/>
    <cellStyle name="Normal 2 20 4 2 3 2 2" xfId="3629"/>
    <cellStyle name="Normal 2 20 4 2 3 2 3" xfId="3630"/>
    <cellStyle name="Normal 2 20 4 2 3 3" xfId="3631"/>
    <cellStyle name="Normal 2 20 4 2 3 4" xfId="3632"/>
    <cellStyle name="Normal 2 20 4 2 4" xfId="3633"/>
    <cellStyle name="Normal 2 20 4 2 4 2" xfId="3634"/>
    <cellStyle name="Normal 2 20 4 2 4 3" xfId="3635"/>
    <cellStyle name="Normal 2 20 4 2 5" xfId="3636"/>
    <cellStyle name="Normal 2 20 4 2 6" xfId="3637"/>
    <cellStyle name="Normal 2 20 4 3" xfId="3638"/>
    <cellStyle name="Normal 2 20 4 3 2" xfId="3639"/>
    <cellStyle name="Normal 2 20 4 3 2 2" xfId="3640"/>
    <cellStyle name="Normal 2 20 4 3 2 2 2" xfId="3641"/>
    <cellStyle name="Normal 2 20 4 3 2 2 3" xfId="3642"/>
    <cellStyle name="Normal 2 20 4 3 2 3" xfId="3643"/>
    <cellStyle name="Normal 2 20 4 3 2 4" xfId="3644"/>
    <cellStyle name="Normal 2 20 4 3 3" xfId="3645"/>
    <cellStyle name="Normal 2 20 4 3 3 2" xfId="3646"/>
    <cellStyle name="Normal 2 20 4 3 3 2 2" xfId="3647"/>
    <cellStyle name="Normal 2 20 4 3 3 2 3" xfId="3648"/>
    <cellStyle name="Normal 2 20 4 3 3 3" xfId="3649"/>
    <cellStyle name="Normal 2 20 4 3 3 4" xfId="3650"/>
    <cellStyle name="Normal 2 20 4 3 4" xfId="3651"/>
    <cellStyle name="Normal 2 20 4 3 4 2" xfId="3652"/>
    <cellStyle name="Normal 2 20 4 3 4 3" xfId="3653"/>
    <cellStyle name="Normal 2 20 4 3 5" xfId="3654"/>
    <cellStyle name="Normal 2 20 4 3 6" xfId="3655"/>
    <cellStyle name="Normal 2 20 4 4" xfId="3656"/>
    <cellStyle name="Normal 2 20 4 4 2" xfId="3657"/>
    <cellStyle name="Normal 2 20 4 4 2 2" xfId="3658"/>
    <cellStyle name="Normal 2 20 4 4 2 2 2" xfId="3659"/>
    <cellStyle name="Normal 2 20 4 4 2 2 3" xfId="3660"/>
    <cellStyle name="Normal 2 20 4 4 2 3" xfId="3661"/>
    <cellStyle name="Normal 2 20 4 4 2 4" xfId="3662"/>
    <cellStyle name="Normal 2 20 4 4 3" xfId="3663"/>
    <cellStyle name="Normal 2 20 4 4 3 2" xfId="3664"/>
    <cellStyle name="Normal 2 20 4 4 3 2 2" xfId="3665"/>
    <cellStyle name="Normal 2 20 4 4 3 2 3" xfId="3666"/>
    <cellStyle name="Normal 2 20 4 4 3 3" xfId="3667"/>
    <cellStyle name="Normal 2 20 4 4 3 4" xfId="3668"/>
    <cellStyle name="Normal 2 20 4 4 4" xfId="3669"/>
    <cellStyle name="Normal 2 20 4 4 4 2" xfId="3670"/>
    <cellStyle name="Normal 2 20 4 4 4 3" xfId="3671"/>
    <cellStyle name="Normal 2 20 4 4 5" xfId="3672"/>
    <cellStyle name="Normal 2 20 4 4 6" xfId="3673"/>
    <cellStyle name="Normal 2 20 4 5" xfId="3674"/>
    <cellStyle name="Normal 2 20 4 5 2" xfId="3675"/>
    <cellStyle name="Normal 2 20 4 5 2 2" xfId="3676"/>
    <cellStyle name="Normal 2 20 4 5 2 2 2" xfId="3677"/>
    <cellStyle name="Normal 2 20 4 5 2 2 3" xfId="3678"/>
    <cellStyle name="Normal 2 20 4 5 2 3" xfId="3679"/>
    <cellStyle name="Normal 2 20 4 5 2 4" xfId="3680"/>
    <cellStyle name="Normal 2 20 4 5 3" xfId="3681"/>
    <cellStyle name="Normal 2 20 4 5 3 2" xfId="3682"/>
    <cellStyle name="Normal 2 20 4 5 3 2 2" xfId="3683"/>
    <cellStyle name="Normal 2 20 4 5 3 2 3" xfId="3684"/>
    <cellStyle name="Normal 2 20 4 5 3 3" xfId="3685"/>
    <cellStyle name="Normal 2 20 4 5 3 4" xfId="3686"/>
    <cellStyle name="Normal 2 20 4 5 4" xfId="3687"/>
    <cellStyle name="Normal 2 20 4 5 4 2" xfId="3688"/>
    <cellStyle name="Normal 2 20 4 5 4 3" xfId="3689"/>
    <cellStyle name="Normal 2 20 4 5 5" xfId="3690"/>
    <cellStyle name="Normal 2 20 4 5 6" xfId="3691"/>
    <cellStyle name="Normal 2 20 4 6" xfId="3692"/>
    <cellStyle name="Normal 2 20 4 6 2" xfId="3693"/>
    <cellStyle name="Normal 2 20 4 6 2 2" xfId="3694"/>
    <cellStyle name="Normal 2 20 4 6 2 2 2" xfId="3695"/>
    <cellStyle name="Normal 2 20 4 6 2 2 3" xfId="3696"/>
    <cellStyle name="Normal 2 20 4 6 2 3" xfId="3697"/>
    <cellStyle name="Normal 2 20 4 6 2 4" xfId="3698"/>
    <cellStyle name="Normal 2 20 4 6 3" xfId="3699"/>
    <cellStyle name="Normal 2 20 4 6 3 2" xfId="3700"/>
    <cellStyle name="Normal 2 20 4 6 3 2 2" xfId="3701"/>
    <cellStyle name="Normal 2 20 4 6 3 2 3" xfId="3702"/>
    <cellStyle name="Normal 2 20 4 6 3 3" xfId="3703"/>
    <cellStyle name="Normal 2 20 4 6 3 4" xfId="3704"/>
    <cellStyle name="Normal 2 20 4 6 4" xfId="3705"/>
    <cellStyle name="Normal 2 20 4 6 4 2" xfId="3706"/>
    <cellStyle name="Normal 2 20 4 6 4 3" xfId="3707"/>
    <cellStyle name="Normal 2 20 4 6 5" xfId="3708"/>
    <cellStyle name="Normal 2 20 4 6 6" xfId="3709"/>
    <cellStyle name="Normal 2 20 4 7" xfId="3710"/>
    <cellStyle name="Normal 2 20 4 7 2" xfId="3711"/>
    <cellStyle name="Normal 2 20 4 7 2 2" xfId="3712"/>
    <cellStyle name="Normal 2 20 4 7 2 2 2" xfId="3713"/>
    <cellStyle name="Normal 2 20 4 7 2 2 3" xfId="3714"/>
    <cellStyle name="Normal 2 20 4 7 2 3" xfId="3715"/>
    <cellStyle name="Normal 2 20 4 7 2 4" xfId="3716"/>
    <cellStyle name="Normal 2 20 4 7 3" xfId="3717"/>
    <cellStyle name="Normal 2 20 4 7 3 2" xfId="3718"/>
    <cellStyle name="Normal 2 20 4 7 3 2 2" xfId="3719"/>
    <cellStyle name="Normal 2 20 4 7 3 2 3" xfId="3720"/>
    <cellStyle name="Normal 2 20 4 7 3 3" xfId="3721"/>
    <cellStyle name="Normal 2 20 4 7 3 4" xfId="3722"/>
    <cellStyle name="Normal 2 20 4 7 4" xfId="3723"/>
    <cellStyle name="Normal 2 20 4 7 4 2" xfId="3724"/>
    <cellStyle name="Normal 2 20 4 7 4 3" xfId="3725"/>
    <cellStyle name="Normal 2 20 4 7 5" xfId="3726"/>
    <cellStyle name="Normal 2 20 4 7 6" xfId="3727"/>
    <cellStyle name="Normal 2 20 4 8" xfId="3728"/>
    <cellStyle name="Normal 2 20 4 8 2" xfId="3729"/>
    <cellStyle name="Normal 2 20 4 8 2 2" xfId="3730"/>
    <cellStyle name="Normal 2 20 4 8 2 2 2" xfId="3731"/>
    <cellStyle name="Normal 2 20 4 8 2 2 3" xfId="3732"/>
    <cellStyle name="Normal 2 20 4 8 2 3" xfId="3733"/>
    <cellStyle name="Normal 2 20 4 8 2 4" xfId="3734"/>
    <cellStyle name="Normal 2 20 4 8 3" xfId="3735"/>
    <cellStyle name="Normal 2 20 4 8 3 2" xfId="3736"/>
    <cellStyle name="Normal 2 20 4 8 3 2 2" xfId="3737"/>
    <cellStyle name="Normal 2 20 4 8 3 2 3" xfId="3738"/>
    <cellStyle name="Normal 2 20 4 8 3 3" xfId="3739"/>
    <cellStyle name="Normal 2 20 4 8 3 4" xfId="3740"/>
    <cellStyle name="Normal 2 20 4 8 4" xfId="3741"/>
    <cellStyle name="Normal 2 20 4 8 4 2" xfId="3742"/>
    <cellStyle name="Normal 2 20 4 8 4 3" xfId="3743"/>
    <cellStyle name="Normal 2 20 4 8 5" xfId="3744"/>
    <cellStyle name="Normal 2 20 4 8 6" xfId="3745"/>
    <cellStyle name="Normal 2 20 4 9" xfId="3746"/>
    <cellStyle name="Normal 2 20 4 9 2" xfId="3747"/>
    <cellStyle name="Normal 2 20 4 9 2 2" xfId="3748"/>
    <cellStyle name="Normal 2 20 4 9 2 3" xfId="3749"/>
    <cellStyle name="Normal 2 20 4 9 3" xfId="3750"/>
    <cellStyle name="Normal 2 20 4 9 4" xfId="3751"/>
    <cellStyle name="Normal 2 20 5" xfId="3752"/>
    <cellStyle name="Normal 2 20 5 2" xfId="3753"/>
    <cellStyle name="Normal 2 20 5 2 2" xfId="3754"/>
    <cellStyle name="Normal 2 20 5 2 2 2" xfId="3755"/>
    <cellStyle name="Normal 2 20 5 2 2 2 2" xfId="3756"/>
    <cellStyle name="Normal 2 20 5 2 2 2 3" xfId="3757"/>
    <cellStyle name="Normal 2 20 5 2 2 3" xfId="3758"/>
    <cellStyle name="Normal 2 20 5 2 2 4" xfId="3759"/>
    <cellStyle name="Normal 2 20 5 2 3" xfId="3760"/>
    <cellStyle name="Normal 2 20 5 2 3 2" xfId="3761"/>
    <cellStyle name="Normal 2 20 5 2 3 2 2" xfId="3762"/>
    <cellStyle name="Normal 2 20 5 2 3 2 3" xfId="3763"/>
    <cellStyle name="Normal 2 20 5 2 3 3" xfId="3764"/>
    <cellStyle name="Normal 2 20 5 2 3 4" xfId="3765"/>
    <cellStyle name="Normal 2 20 5 2 4" xfId="3766"/>
    <cellStyle name="Normal 2 20 5 2 4 2" xfId="3767"/>
    <cellStyle name="Normal 2 20 5 2 4 3" xfId="3768"/>
    <cellStyle name="Normal 2 20 5 2 5" xfId="3769"/>
    <cellStyle name="Normal 2 20 5 2 6" xfId="3770"/>
    <cellStyle name="Normal 2 20 5 3" xfId="3771"/>
    <cellStyle name="Normal 2 20 5 3 2" xfId="3772"/>
    <cellStyle name="Normal 2 20 5 3 2 2" xfId="3773"/>
    <cellStyle name="Normal 2 20 5 3 2 2 2" xfId="3774"/>
    <cellStyle name="Normal 2 20 5 3 2 2 3" xfId="3775"/>
    <cellStyle name="Normal 2 20 5 3 2 3" xfId="3776"/>
    <cellStyle name="Normal 2 20 5 3 2 4" xfId="3777"/>
    <cellStyle name="Normal 2 20 5 3 3" xfId="3778"/>
    <cellStyle name="Normal 2 20 5 3 3 2" xfId="3779"/>
    <cellStyle name="Normal 2 20 5 3 3 2 2" xfId="3780"/>
    <cellStyle name="Normal 2 20 5 3 3 2 3" xfId="3781"/>
    <cellStyle name="Normal 2 20 5 3 3 3" xfId="3782"/>
    <cellStyle name="Normal 2 20 5 3 3 4" xfId="3783"/>
    <cellStyle name="Normal 2 20 5 3 4" xfId="3784"/>
    <cellStyle name="Normal 2 20 5 3 4 2" xfId="3785"/>
    <cellStyle name="Normal 2 20 5 3 4 3" xfId="3786"/>
    <cellStyle name="Normal 2 20 5 3 5" xfId="3787"/>
    <cellStyle name="Normal 2 20 5 3 6" xfId="3788"/>
    <cellStyle name="Normal 2 20 5 4" xfId="3789"/>
    <cellStyle name="Normal 2 20 5 4 2" xfId="3790"/>
    <cellStyle name="Normal 2 20 5 4 2 2" xfId="3791"/>
    <cellStyle name="Normal 2 20 5 4 2 3" xfId="3792"/>
    <cellStyle name="Normal 2 20 5 4 3" xfId="3793"/>
    <cellStyle name="Normal 2 20 5 4 4" xfId="3794"/>
    <cellStyle name="Normal 2 20 5 5" xfId="3795"/>
    <cellStyle name="Normal 2 20 5 5 2" xfId="3796"/>
    <cellStyle name="Normal 2 20 5 5 2 2" xfId="3797"/>
    <cellStyle name="Normal 2 20 5 5 2 3" xfId="3798"/>
    <cellStyle name="Normal 2 20 5 5 3" xfId="3799"/>
    <cellStyle name="Normal 2 20 5 5 4" xfId="3800"/>
    <cellStyle name="Normal 2 20 5 6" xfId="3801"/>
    <cellStyle name="Normal 2 20 5 6 2" xfId="3802"/>
    <cellStyle name="Normal 2 20 5 6 3" xfId="3803"/>
    <cellStyle name="Normal 2 20 5 7" xfId="3804"/>
    <cellStyle name="Normal 2 20 5 8" xfId="3805"/>
    <cellStyle name="Normal 2 20 6" xfId="3806"/>
    <cellStyle name="Normal 2 20 6 2" xfId="3807"/>
    <cellStyle name="Normal 2 20 6 2 2" xfId="3808"/>
    <cellStyle name="Normal 2 20 6 2 2 2" xfId="3809"/>
    <cellStyle name="Normal 2 20 6 2 2 2 2" xfId="3810"/>
    <cellStyle name="Normal 2 20 6 2 2 2 3" xfId="3811"/>
    <cellStyle name="Normal 2 20 6 2 2 3" xfId="3812"/>
    <cellStyle name="Normal 2 20 6 2 2 4" xfId="3813"/>
    <cellStyle name="Normal 2 20 6 2 3" xfId="3814"/>
    <cellStyle name="Normal 2 20 6 2 3 2" xfId="3815"/>
    <cellStyle name="Normal 2 20 6 2 3 2 2" xfId="3816"/>
    <cellStyle name="Normal 2 20 6 2 3 2 3" xfId="3817"/>
    <cellStyle name="Normal 2 20 6 2 3 3" xfId="3818"/>
    <cellStyle name="Normal 2 20 6 2 3 4" xfId="3819"/>
    <cellStyle name="Normal 2 20 6 2 4" xfId="3820"/>
    <cellStyle name="Normal 2 20 6 2 4 2" xfId="3821"/>
    <cellStyle name="Normal 2 20 6 2 4 3" xfId="3822"/>
    <cellStyle name="Normal 2 20 6 2 5" xfId="3823"/>
    <cellStyle name="Normal 2 20 6 2 6" xfId="3824"/>
    <cellStyle name="Normal 2 20 6 3" xfId="3825"/>
    <cellStyle name="Normal 2 20 6 3 2" xfId="3826"/>
    <cellStyle name="Normal 2 20 6 3 2 2" xfId="3827"/>
    <cellStyle name="Normal 2 20 6 3 2 2 2" xfId="3828"/>
    <cellStyle name="Normal 2 20 6 3 2 2 3" xfId="3829"/>
    <cellStyle name="Normal 2 20 6 3 2 3" xfId="3830"/>
    <cellStyle name="Normal 2 20 6 3 2 4" xfId="3831"/>
    <cellStyle name="Normal 2 20 6 3 3" xfId="3832"/>
    <cellStyle name="Normal 2 20 6 3 3 2" xfId="3833"/>
    <cellStyle name="Normal 2 20 6 3 3 2 2" xfId="3834"/>
    <cellStyle name="Normal 2 20 6 3 3 2 3" xfId="3835"/>
    <cellStyle name="Normal 2 20 6 3 3 3" xfId="3836"/>
    <cellStyle name="Normal 2 20 6 3 3 4" xfId="3837"/>
    <cellStyle name="Normal 2 20 6 3 4" xfId="3838"/>
    <cellStyle name="Normal 2 20 6 3 4 2" xfId="3839"/>
    <cellStyle name="Normal 2 20 6 3 4 3" xfId="3840"/>
    <cellStyle name="Normal 2 20 6 3 5" xfId="3841"/>
    <cellStyle name="Normal 2 20 6 3 6" xfId="3842"/>
    <cellStyle name="Normal 2 20 6 4" xfId="3843"/>
    <cellStyle name="Normal 2 20 6 4 2" xfId="3844"/>
    <cellStyle name="Normal 2 20 6 4 2 2" xfId="3845"/>
    <cellStyle name="Normal 2 20 6 4 2 3" xfId="3846"/>
    <cellStyle name="Normal 2 20 6 4 3" xfId="3847"/>
    <cellStyle name="Normal 2 20 6 4 4" xfId="3848"/>
    <cellStyle name="Normal 2 20 6 5" xfId="3849"/>
    <cellStyle name="Normal 2 20 6 5 2" xfId="3850"/>
    <cellStyle name="Normal 2 20 6 5 2 2" xfId="3851"/>
    <cellStyle name="Normal 2 20 6 5 2 3" xfId="3852"/>
    <cellStyle name="Normal 2 20 6 5 3" xfId="3853"/>
    <cellStyle name="Normal 2 20 6 5 4" xfId="3854"/>
    <cellStyle name="Normal 2 20 6 6" xfId="3855"/>
    <cellStyle name="Normal 2 20 6 6 2" xfId="3856"/>
    <cellStyle name="Normal 2 20 6 6 3" xfId="3857"/>
    <cellStyle name="Normal 2 20 6 7" xfId="3858"/>
    <cellStyle name="Normal 2 20 6 8" xfId="3859"/>
    <cellStyle name="Normal 2 20 7" xfId="3860"/>
    <cellStyle name="Normal 2 20 7 2" xfId="3861"/>
    <cellStyle name="Normal 2 20 7 2 2" xfId="3862"/>
    <cellStyle name="Normal 2 20 7 2 2 2" xfId="3863"/>
    <cellStyle name="Normal 2 20 7 2 2 2 2" xfId="3864"/>
    <cellStyle name="Normal 2 20 7 2 2 2 3" xfId="3865"/>
    <cellStyle name="Normal 2 20 7 2 2 3" xfId="3866"/>
    <cellStyle name="Normal 2 20 7 2 2 4" xfId="3867"/>
    <cellStyle name="Normal 2 20 7 2 3" xfId="3868"/>
    <cellStyle name="Normal 2 20 7 2 3 2" xfId="3869"/>
    <cellStyle name="Normal 2 20 7 2 3 2 2" xfId="3870"/>
    <cellStyle name="Normal 2 20 7 2 3 2 3" xfId="3871"/>
    <cellStyle name="Normal 2 20 7 2 3 3" xfId="3872"/>
    <cellStyle name="Normal 2 20 7 2 3 4" xfId="3873"/>
    <cellStyle name="Normal 2 20 7 2 4" xfId="3874"/>
    <cellStyle name="Normal 2 20 7 2 4 2" xfId="3875"/>
    <cellStyle name="Normal 2 20 7 2 4 3" xfId="3876"/>
    <cellStyle name="Normal 2 20 7 2 5" xfId="3877"/>
    <cellStyle name="Normal 2 20 7 2 6" xfId="3878"/>
    <cellStyle name="Normal 2 20 7 3" xfId="3879"/>
    <cellStyle name="Normal 2 20 7 3 2" xfId="3880"/>
    <cellStyle name="Normal 2 20 7 3 2 2" xfId="3881"/>
    <cellStyle name="Normal 2 20 7 3 2 2 2" xfId="3882"/>
    <cellStyle name="Normal 2 20 7 3 2 2 3" xfId="3883"/>
    <cellStyle name="Normal 2 20 7 3 2 3" xfId="3884"/>
    <cellStyle name="Normal 2 20 7 3 2 4" xfId="3885"/>
    <cellStyle name="Normal 2 20 7 3 3" xfId="3886"/>
    <cellStyle name="Normal 2 20 7 3 3 2" xfId="3887"/>
    <cellStyle name="Normal 2 20 7 3 3 2 2" xfId="3888"/>
    <cellStyle name="Normal 2 20 7 3 3 2 3" xfId="3889"/>
    <cellStyle name="Normal 2 20 7 3 3 3" xfId="3890"/>
    <cellStyle name="Normal 2 20 7 3 3 4" xfId="3891"/>
    <cellStyle name="Normal 2 20 7 3 4" xfId="3892"/>
    <cellStyle name="Normal 2 20 7 3 4 2" xfId="3893"/>
    <cellStyle name="Normal 2 20 7 3 4 3" xfId="3894"/>
    <cellStyle name="Normal 2 20 7 3 5" xfId="3895"/>
    <cellStyle name="Normal 2 20 7 3 6" xfId="3896"/>
    <cellStyle name="Normal 2 20 7 4" xfId="3897"/>
    <cellStyle name="Normal 2 20 7 4 2" xfId="3898"/>
    <cellStyle name="Normal 2 20 7 4 2 2" xfId="3899"/>
    <cellStyle name="Normal 2 20 7 4 2 3" xfId="3900"/>
    <cellStyle name="Normal 2 20 7 4 3" xfId="3901"/>
    <cellStyle name="Normal 2 20 7 4 4" xfId="3902"/>
    <cellStyle name="Normal 2 20 7 5" xfId="3903"/>
    <cellStyle name="Normal 2 20 7 5 2" xfId="3904"/>
    <cellStyle name="Normal 2 20 7 5 2 2" xfId="3905"/>
    <cellStyle name="Normal 2 20 7 5 2 3" xfId="3906"/>
    <cellStyle name="Normal 2 20 7 5 3" xfId="3907"/>
    <cellStyle name="Normal 2 20 7 5 4" xfId="3908"/>
    <cellStyle name="Normal 2 20 7 6" xfId="3909"/>
    <cellStyle name="Normal 2 20 7 6 2" xfId="3910"/>
    <cellStyle name="Normal 2 20 7 6 3" xfId="3911"/>
    <cellStyle name="Normal 2 20 7 7" xfId="3912"/>
    <cellStyle name="Normal 2 20 7 8" xfId="3913"/>
    <cellStyle name="Normal 2 20 8" xfId="3914"/>
    <cellStyle name="Normal 2 20 8 2" xfId="3915"/>
    <cellStyle name="Normal 2 20 8 2 2" xfId="3916"/>
    <cellStyle name="Normal 2 20 8 2 2 2" xfId="3917"/>
    <cellStyle name="Normal 2 20 8 2 2 2 2" xfId="3918"/>
    <cellStyle name="Normal 2 20 8 2 2 2 3" xfId="3919"/>
    <cellStyle name="Normal 2 20 8 2 2 3" xfId="3920"/>
    <cellStyle name="Normal 2 20 8 2 2 4" xfId="3921"/>
    <cellStyle name="Normal 2 20 8 2 3" xfId="3922"/>
    <cellStyle name="Normal 2 20 8 2 3 2" xfId="3923"/>
    <cellStyle name="Normal 2 20 8 2 3 2 2" xfId="3924"/>
    <cellStyle name="Normal 2 20 8 2 3 2 3" xfId="3925"/>
    <cellStyle name="Normal 2 20 8 2 3 3" xfId="3926"/>
    <cellStyle name="Normal 2 20 8 2 3 4" xfId="3927"/>
    <cellStyle name="Normal 2 20 8 2 4" xfId="3928"/>
    <cellStyle name="Normal 2 20 8 2 4 2" xfId="3929"/>
    <cellStyle name="Normal 2 20 8 2 4 3" xfId="3930"/>
    <cellStyle name="Normal 2 20 8 2 5" xfId="3931"/>
    <cellStyle name="Normal 2 20 8 2 6" xfId="3932"/>
    <cellStyle name="Normal 2 20 8 3" xfId="3933"/>
    <cellStyle name="Normal 2 20 8 3 2" xfId="3934"/>
    <cellStyle name="Normal 2 20 8 3 2 2" xfId="3935"/>
    <cellStyle name="Normal 2 20 8 3 2 2 2" xfId="3936"/>
    <cellStyle name="Normal 2 20 8 3 2 2 3" xfId="3937"/>
    <cellStyle name="Normal 2 20 8 3 2 3" xfId="3938"/>
    <cellStyle name="Normal 2 20 8 3 2 4" xfId="3939"/>
    <cellStyle name="Normal 2 20 8 3 3" xfId="3940"/>
    <cellStyle name="Normal 2 20 8 3 3 2" xfId="3941"/>
    <cellStyle name="Normal 2 20 8 3 3 2 2" xfId="3942"/>
    <cellStyle name="Normal 2 20 8 3 3 2 3" xfId="3943"/>
    <cellStyle name="Normal 2 20 8 3 3 3" xfId="3944"/>
    <cellStyle name="Normal 2 20 8 3 3 4" xfId="3945"/>
    <cellStyle name="Normal 2 20 8 3 4" xfId="3946"/>
    <cellStyle name="Normal 2 20 8 3 4 2" xfId="3947"/>
    <cellStyle name="Normal 2 20 8 3 4 3" xfId="3948"/>
    <cellStyle name="Normal 2 20 8 3 5" xfId="3949"/>
    <cellStyle name="Normal 2 20 8 3 6" xfId="3950"/>
    <cellStyle name="Normal 2 20 8 4" xfId="3951"/>
    <cellStyle name="Normal 2 20 8 4 2" xfId="3952"/>
    <cellStyle name="Normal 2 20 8 4 2 2" xfId="3953"/>
    <cellStyle name="Normal 2 20 8 4 2 3" xfId="3954"/>
    <cellStyle name="Normal 2 20 8 4 3" xfId="3955"/>
    <cellStyle name="Normal 2 20 8 4 4" xfId="3956"/>
    <cellStyle name="Normal 2 20 8 5" xfId="3957"/>
    <cellStyle name="Normal 2 20 8 5 2" xfId="3958"/>
    <cellStyle name="Normal 2 20 8 5 2 2" xfId="3959"/>
    <cellStyle name="Normal 2 20 8 5 2 3" xfId="3960"/>
    <cellStyle name="Normal 2 20 8 5 3" xfId="3961"/>
    <cellStyle name="Normal 2 20 8 5 4" xfId="3962"/>
    <cellStyle name="Normal 2 20 8 6" xfId="3963"/>
    <cellStyle name="Normal 2 20 8 6 2" xfId="3964"/>
    <cellStyle name="Normal 2 20 8 6 3" xfId="3965"/>
    <cellStyle name="Normal 2 20 8 7" xfId="3966"/>
    <cellStyle name="Normal 2 20 8 8" xfId="3967"/>
    <cellStyle name="Normal 2 20 9" xfId="3968"/>
    <cellStyle name="Normal 2 20 9 2" xfId="3969"/>
    <cellStyle name="Normal 2 20 9 2 2" xfId="3970"/>
    <cellStyle name="Normal 2 20 9 2 2 2" xfId="3971"/>
    <cellStyle name="Normal 2 20 9 2 2 2 2" xfId="3972"/>
    <cellStyle name="Normal 2 20 9 2 2 2 3" xfId="3973"/>
    <cellStyle name="Normal 2 20 9 2 2 3" xfId="3974"/>
    <cellStyle name="Normal 2 20 9 2 2 4" xfId="3975"/>
    <cellStyle name="Normal 2 20 9 2 3" xfId="3976"/>
    <cellStyle name="Normal 2 20 9 2 3 2" xfId="3977"/>
    <cellStyle name="Normal 2 20 9 2 3 2 2" xfId="3978"/>
    <cellStyle name="Normal 2 20 9 2 3 2 3" xfId="3979"/>
    <cellStyle name="Normal 2 20 9 2 3 3" xfId="3980"/>
    <cellStyle name="Normal 2 20 9 2 3 4" xfId="3981"/>
    <cellStyle name="Normal 2 20 9 2 4" xfId="3982"/>
    <cellStyle name="Normal 2 20 9 2 4 2" xfId="3983"/>
    <cellStyle name="Normal 2 20 9 2 4 3" xfId="3984"/>
    <cellStyle name="Normal 2 20 9 2 5" xfId="3985"/>
    <cellStyle name="Normal 2 20 9 2 6" xfId="3986"/>
    <cellStyle name="Normal 2 20 9 3" xfId="3987"/>
    <cellStyle name="Normal 2 20 9 3 2" xfId="3988"/>
    <cellStyle name="Normal 2 20 9 3 2 2" xfId="3989"/>
    <cellStyle name="Normal 2 20 9 3 2 2 2" xfId="3990"/>
    <cellStyle name="Normal 2 20 9 3 2 2 3" xfId="3991"/>
    <cellStyle name="Normal 2 20 9 3 2 3" xfId="3992"/>
    <cellStyle name="Normal 2 20 9 3 2 4" xfId="3993"/>
    <cellStyle name="Normal 2 20 9 3 3" xfId="3994"/>
    <cellStyle name="Normal 2 20 9 3 3 2" xfId="3995"/>
    <cellStyle name="Normal 2 20 9 3 3 2 2" xfId="3996"/>
    <cellStyle name="Normal 2 20 9 3 3 2 3" xfId="3997"/>
    <cellStyle name="Normal 2 20 9 3 3 3" xfId="3998"/>
    <cellStyle name="Normal 2 20 9 3 3 4" xfId="3999"/>
    <cellStyle name="Normal 2 20 9 3 4" xfId="4000"/>
    <cellStyle name="Normal 2 20 9 3 4 2" xfId="4001"/>
    <cellStyle name="Normal 2 20 9 3 4 3" xfId="4002"/>
    <cellStyle name="Normal 2 20 9 3 5" xfId="4003"/>
    <cellStyle name="Normal 2 20 9 3 6" xfId="4004"/>
    <cellStyle name="Normal 2 20 9 4" xfId="4005"/>
    <cellStyle name="Normal 2 20 9 4 2" xfId="4006"/>
    <cellStyle name="Normal 2 20 9 4 2 2" xfId="4007"/>
    <cellStyle name="Normal 2 20 9 4 2 3" xfId="4008"/>
    <cellStyle name="Normal 2 20 9 4 3" xfId="4009"/>
    <cellStyle name="Normal 2 20 9 4 4" xfId="4010"/>
    <cellStyle name="Normal 2 20 9 5" xfId="4011"/>
    <cellStyle name="Normal 2 20 9 5 2" xfId="4012"/>
    <cellStyle name="Normal 2 20 9 5 2 2" xfId="4013"/>
    <cellStyle name="Normal 2 20 9 5 2 3" xfId="4014"/>
    <cellStyle name="Normal 2 20 9 5 3" xfId="4015"/>
    <cellStyle name="Normal 2 20 9 5 4" xfId="4016"/>
    <cellStyle name="Normal 2 20 9 6" xfId="4017"/>
    <cellStyle name="Normal 2 20 9 6 2" xfId="4018"/>
    <cellStyle name="Normal 2 20 9 6 3" xfId="4019"/>
    <cellStyle name="Normal 2 20 9 7" xfId="4020"/>
    <cellStyle name="Normal 2 20 9 8" xfId="4021"/>
    <cellStyle name="Normal 2 21" xfId="4022"/>
    <cellStyle name="Normal 2 22" xfId="4023"/>
    <cellStyle name="Normal 2 23" xfId="4024"/>
    <cellStyle name="Normal 2 24" xfId="4025"/>
    <cellStyle name="Normal 2 25" xfId="4026"/>
    <cellStyle name="Normal 2 25 2" xfId="4027"/>
    <cellStyle name="Normal 2 25 2 2" xfId="4028"/>
    <cellStyle name="Normal 2 25 2 3" xfId="4029"/>
    <cellStyle name="Normal 2 25 3" xfId="4030"/>
    <cellStyle name="Normal 2 25 4" xfId="4031"/>
    <cellStyle name="Normal 2 26" xfId="4032"/>
    <cellStyle name="Normal 2 26 2" xfId="4033"/>
    <cellStyle name="Normal 2 26 2 2" xfId="4034"/>
    <cellStyle name="Normal 2 26 2 3" xfId="4035"/>
    <cellStyle name="Normal 2 26 3" xfId="4036"/>
    <cellStyle name="Normal 2 26 4" xfId="4037"/>
    <cellStyle name="Normal 2 27" xfId="4038"/>
    <cellStyle name="Normal 2 27 2" xfId="4039"/>
    <cellStyle name="Normal 2 27 3" xfId="4040"/>
    <cellStyle name="Normal 2 3" xfId="4041"/>
    <cellStyle name="Normal 2 4" xfId="4042"/>
    <cellStyle name="Normal 2 5" xfId="4043"/>
    <cellStyle name="Normal 2 6" xfId="4044"/>
    <cellStyle name="Normal 2 6 2" xfId="4045"/>
    <cellStyle name="Normal 2 7" xfId="4046"/>
    <cellStyle name="Normal 2 8" xfId="4047"/>
    <cellStyle name="Normal 2 9" xfId="4048"/>
    <cellStyle name="Normal 20" xfId="4049"/>
    <cellStyle name="Normal 20 10" xfId="4050"/>
    <cellStyle name="Normal 20 11" xfId="4051"/>
    <cellStyle name="Normal 20 12" xfId="4052"/>
    <cellStyle name="Normal 20 13" xfId="4053"/>
    <cellStyle name="Normal 20 14" xfId="4054"/>
    <cellStyle name="Normal 20 15" xfId="4055"/>
    <cellStyle name="Normal 20 16" xfId="4056"/>
    <cellStyle name="Normal 20 17" xfId="4057"/>
    <cellStyle name="Normal 20 2" xfId="4058"/>
    <cellStyle name="Normal 20 3" xfId="4059"/>
    <cellStyle name="Normal 20 4" xfId="4060"/>
    <cellStyle name="Normal 20 5" xfId="4061"/>
    <cellStyle name="Normal 20 6" xfId="4062"/>
    <cellStyle name="Normal 20 7" xfId="4063"/>
    <cellStyle name="Normal 20 8" xfId="4064"/>
    <cellStyle name="Normal 20 9" xfId="4065"/>
    <cellStyle name="Normal 21" xfId="4066"/>
    <cellStyle name="Normal 22" xfId="4067"/>
    <cellStyle name="Normal 23" xfId="4068"/>
    <cellStyle name="Normal 24" xfId="4069"/>
    <cellStyle name="Normal 25" xfId="4070"/>
    <cellStyle name="Normal 26" xfId="4071"/>
    <cellStyle name="Normal 27" xfId="4072"/>
    <cellStyle name="Normal 27 2" xfId="4073"/>
    <cellStyle name="Normal 27 3" xfId="4074"/>
    <cellStyle name="Normal 28" xfId="4075"/>
    <cellStyle name="Normal 28 2" xfId="4076"/>
    <cellStyle name="Normal 29" xfId="4077"/>
    <cellStyle name="Normal 3" xfId="4078"/>
    <cellStyle name="Normal 3 10" xfId="4079"/>
    <cellStyle name="Normal 3 11" xfId="4080"/>
    <cellStyle name="Normal 3 12" xfId="4081"/>
    <cellStyle name="Normal 3 13" xfId="4082"/>
    <cellStyle name="Normal 3 14" xfId="4083"/>
    <cellStyle name="Normal 3 15" xfId="4084"/>
    <cellStyle name="Normal 3 16" xfId="4085"/>
    <cellStyle name="Normal 3 17" xfId="4086"/>
    <cellStyle name="Normal 3 2" xfId="4087"/>
    <cellStyle name="Normal 3 3" xfId="4088"/>
    <cellStyle name="Normal 3 4" xfId="4089"/>
    <cellStyle name="Normal 3 5" xfId="4090"/>
    <cellStyle name="Normal 3 6" xfId="4091"/>
    <cellStyle name="Normal 3 7" xfId="4092"/>
    <cellStyle name="Normal 3 8" xfId="4093"/>
    <cellStyle name="Normal 3 9" xfId="4094"/>
    <cellStyle name="Normal 30" xfId="4095"/>
    <cellStyle name="Normal 30 2" xfId="4096"/>
    <cellStyle name="Normal 30 3" xfId="4097"/>
    <cellStyle name="Normal 31" xfId="4098"/>
    <cellStyle name="Normal 31 2" xfId="4099"/>
    <cellStyle name="Normal 31 3" xfId="4100"/>
    <cellStyle name="Normal 32" xfId="4101"/>
    <cellStyle name="Normal 33" xfId="4102"/>
    <cellStyle name="Normal 34" xfId="4103"/>
    <cellStyle name="Normal 34 2" xfId="4104"/>
    <cellStyle name="Normal 34 2 2" xfId="4105"/>
    <cellStyle name="Normal 34 2 2 2" xfId="4106"/>
    <cellStyle name="Normal 34 2 2 3" xfId="4107"/>
    <cellStyle name="Normal 34 2 3" xfId="4108"/>
    <cellStyle name="Normal 34 2 4" xfId="4109"/>
    <cellStyle name="Normal 34 3" xfId="4110"/>
    <cellStyle name="Normal 34 3 2" xfId="4111"/>
    <cellStyle name="Normal 34 4" xfId="4112"/>
    <cellStyle name="Normal 34 4 2" xfId="4113"/>
    <cellStyle name="Normal 34 4 3" xfId="4114"/>
    <cellStyle name="Normal 34 5" xfId="4115"/>
    <cellStyle name="Normal 34 6" xfId="4116"/>
    <cellStyle name="Normal 35" xfId="4117"/>
    <cellStyle name="Normal 36" xfId="3"/>
    <cellStyle name="Normal 4" xfId="4118"/>
    <cellStyle name="Normal 4 10" xfId="4119"/>
    <cellStyle name="Normal 4 11" xfId="4120"/>
    <cellStyle name="Normal 4 12" xfId="4121"/>
    <cellStyle name="Normal 4 13" xfId="4122"/>
    <cellStyle name="Normal 4 14" xfId="4123"/>
    <cellStyle name="Normal 4 15" xfId="4124"/>
    <cellStyle name="Normal 4 16" xfId="4125"/>
    <cellStyle name="Normal 4 17" xfId="4126"/>
    <cellStyle name="Normal 4 2" xfId="4127"/>
    <cellStyle name="Normal 4 3" xfId="4128"/>
    <cellStyle name="Normal 4 4" xfId="4129"/>
    <cellStyle name="Normal 4 5" xfId="4130"/>
    <cellStyle name="Normal 4 6" xfId="4131"/>
    <cellStyle name="Normal 4 7" xfId="4132"/>
    <cellStyle name="Normal 4 8" xfId="4133"/>
    <cellStyle name="Normal 4 9" xfId="4134"/>
    <cellStyle name="Normal 5" xfId="4135"/>
    <cellStyle name="Normal 5 10" xfId="4136"/>
    <cellStyle name="Normal 5 11" xfId="4137"/>
    <cellStyle name="Normal 5 12" xfId="4138"/>
    <cellStyle name="Normal 5 13" xfId="4139"/>
    <cellStyle name="Normal 5 14" xfId="4140"/>
    <cellStyle name="Normal 5 15" xfId="4141"/>
    <cellStyle name="Normal 5 16" xfId="4142"/>
    <cellStyle name="Normal 5 17" xfId="4143"/>
    <cellStyle name="Normal 5 2" xfId="4144"/>
    <cellStyle name="Normal 5 3" xfId="4145"/>
    <cellStyle name="Normal 5 4" xfId="4146"/>
    <cellStyle name="Normal 5 5" xfId="4147"/>
    <cellStyle name="Normal 5 6" xfId="4148"/>
    <cellStyle name="Normal 5 7" xfId="4149"/>
    <cellStyle name="Normal 5 8" xfId="4150"/>
    <cellStyle name="Normal 5 9" xfId="4151"/>
    <cellStyle name="Normal 6" xfId="4152"/>
    <cellStyle name="Normal 6 10" xfId="4153"/>
    <cellStyle name="Normal 6 11" xfId="4154"/>
    <cellStyle name="Normal 6 12" xfId="4155"/>
    <cellStyle name="Normal 6 13" xfId="4156"/>
    <cellStyle name="Normal 6 14" xfId="4157"/>
    <cellStyle name="Normal 6 15" xfId="4158"/>
    <cellStyle name="Normal 6 16" xfId="4159"/>
    <cellStyle name="Normal 6 17" xfId="4160"/>
    <cellStyle name="Normal 6 2" xfId="4161"/>
    <cellStyle name="Normal 6 3" xfId="4162"/>
    <cellStyle name="Normal 6 4" xfId="4163"/>
    <cellStyle name="Normal 6 5" xfId="4164"/>
    <cellStyle name="Normal 6 6" xfId="4165"/>
    <cellStyle name="Normal 6 7" xfId="4166"/>
    <cellStyle name="Normal 6 8" xfId="4167"/>
    <cellStyle name="Normal 6 9" xfId="4168"/>
    <cellStyle name="Normal 7" xfId="4169"/>
    <cellStyle name="Normal 7 2" xfId="4170"/>
    <cellStyle name="Normal 8" xfId="4171"/>
    <cellStyle name="Normal 8 10" xfId="4172"/>
    <cellStyle name="Normal 8 11" xfId="4173"/>
    <cellStyle name="Normal 8 12" xfId="4174"/>
    <cellStyle name="Normal 8 13" xfId="4175"/>
    <cellStyle name="Normal 8 14" xfId="4176"/>
    <cellStyle name="Normal 8 15" xfId="4177"/>
    <cellStyle name="Normal 8 16" xfId="4178"/>
    <cellStyle name="Normal 8 17" xfId="4179"/>
    <cellStyle name="Normal 8 18" xfId="4180"/>
    <cellStyle name="Normal 8 19" xfId="4181"/>
    <cellStyle name="Normal 8 2" xfId="4182"/>
    <cellStyle name="Normal 8 20" xfId="4183"/>
    <cellStyle name="Normal 8 21" xfId="4184"/>
    <cellStyle name="Normal 8 22" xfId="4185"/>
    <cellStyle name="Normal 8 23" xfId="4186"/>
    <cellStyle name="Normal 8 24" xfId="4187"/>
    <cellStyle name="Normal 8 25" xfId="4188"/>
    <cellStyle name="Normal 8 26" xfId="4189"/>
    <cellStyle name="Normal 8 27" xfId="4190"/>
    <cellStyle name="Normal 8 28" xfId="4191"/>
    <cellStyle name="Normal 8 29" xfId="4192"/>
    <cellStyle name="Normal 8 3" xfId="4193"/>
    <cellStyle name="Normal 8 4" xfId="4194"/>
    <cellStyle name="Normal 8 5" xfId="4195"/>
    <cellStyle name="Normal 8 6" xfId="4196"/>
    <cellStyle name="Normal 8 7" xfId="4197"/>
    <cellStyle name="Normal 8 8" xfId="4198"/>
    <cellStyle name="Normal 8 9" xfId="4199"/>
    <cellStyle name="Normal 9" xfId="4200"/>
    <cellStyle name="Normal 9 10" xfId="4201"/>
    <cellStyle name="Normal 9 11" xfId="4202"/>
    <cellStyle name="Normal 9 12" xfId="4203"/>
    <cellStyle name="Normal 9 13" xfId="4204"/>
    <cellStyle name="Normal 9 14" xfId="4205"/>
    <cellStyle name="Normal 9 15" xfId="4206"/>
    <cellStyle name="Normal 9 16" xfId="4207"/>
    <cellStyle name="Normal 9 17" xfId="4208"/>
    <cellStyle name="Normal 9 2" xfId="4209"/>
    <cellStyle name="Normal 9 3" xfId="4210"/>
    <cellStyle name="Normal 9 4" xfId="4211"/>
    <cellStyle name="Normal 9 5" xfId="4212"/>
    <cellStyle name="Normal 9 6" xfId="4213"/>
    <cellStyle name="Normal 9 7" xfId="4214"/>
    <cellStyle name="Normal 9 8" xfId="4215"/>
    <cellStyle name="Normal 9 9" xfId="4216"/>
    <cellStyle name="Normal_FDD Workbook Template1" xfId="2"/>
    <cellStyle name="Normal_Sheet1" xfId="1"/>
    <cellStyle name="Percent 2" xfId="4217"/>
  </cellStyles>
  <dxfs count="0"/>
  <tableStyles count="0" defaultTableStyle="TableStyleMedium2" defaultPivotStyle="PivotStyleLight16"/>
  <colors>
    <mruColors>
      <color rgb="FFFFCC99"/>
      <color rgb="FF006600"/>
      <color rgb="FF0000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GEOINT\Registry\_Registry%20Manager\_AS%20Registry\__Export\Workbooks\ANAS%20(v1.0_draft3)%20EC.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FDD%20Workbook%20Template1"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EOINT%20Registry\_Registry%20Manager\_DCS\TDS\NAS%20Profile\_Export\Workbooks\Templates\GSIP-style%20AS%20Template.xlt"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nfstl02\office3\Documents%20and%20Settings\pbirkel\Desktop\Feature-level%20Map%20v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Entity_Views"/>
      <sheetName val="Entities"/>
      <sheetName val="Entity_Types"/>
      <sheetName val="Entity_Attributes"/>
      <sheetName val="Listed_Values"/>
      <sheetName val="Associations"/>
      <sheetName val="Thematic_Groups"/>
      <sheetName val="View_Groups"/>
      <sheetName val="View_Type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ature Types"/>
      <sheetName val="Feature Attributes"/>
      <sheetName val="Attribute Listed Values"/>
    </sheetNames>
    <sheetDataSet>
      <sheetData sheetId="0"/>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tity_Views"/>
      <sheetName val="Entities"/>
      <sheetName val="Info_Types"/>
      <sheetName val="Info_Attributes"/>
      <sheetName val="Info_Datatypes"/>
      <sheetName val="Info_DatatypeListedValues"/>
      <sheetName val="View_Groups"/>
      <sheetName val="View_Types"/>
      <sheetName val="Shape_Encoding"/>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GIFD_Map"/>
      <sheetName val="GNDB_Map"/>
      <sheetName val="DVOF_Map"/>
      <sheetName val="NFDD_Features"/>
      <sheetName val="NFDD_Attributes"/>
      <sheetName val="NFDD_Enumerants"/>
      <sheetName val="FACC_Features"/>
      <sheetName val="FACC_Attributes"/>
      <sheetName val="FACC_Enumerants"/>
    </sheetNames>
    <sheetDataSet>
      <sheetData sheetId="0"/>
      <sheetData sheetId="1"/>
      <sheetData sheetId="2"/>
      <sheetData sheetId="3">
        <row r="1">
          <cell r="A1" t="str">
            <v>count</v>
          </cell>
          <cell r="B1" t="str">
            <v>DVOF</v>
          </cell>
          <cell r="C1" t="str">
            <v>Primary Name</v>
          </cell>
          <cell r="D1" t="str">
            <v>Secondary Name</v>
          </cell>
          <cell r="E1" t="str">
            <v>NFDD</v>
          </cell>
          <cell r="F1" t="str">
            <v>NSG FC Entity Name</v>
          </cell>
          <cell r="H1" t="str">
            <v>Code</v>
          </cell>
          <cell r="I1" t="str">
            <v>Code</v>
          </cell>
          <cell r="J1" t="str">
            <v>Attribute1</v>
          </cell>
          <cell r="K1" t="str">
            <v>Enum1</v>
          </cell>
          <cell r="M1" t="str">
            <v>Code</v>
          </cell>
          <cell r="N1" t="str">
            <v>Code</v>
          </cell>
          <cell r="O1" t="str">
            <v>Attribute2</v>
          </cell>
          <cell r="P1" t="str">
            <v>Enum2</v>
          </cell>
          <cell r="R1" t="str">
            <v>Code</v>
          </cell>
          <cell r="S1" t="str">
            <v>Code</v>
          </cell>
          <cell r="T1" t="str">
            <v>Attribute3</v>
          </cell>
          <cell r="U1" t="str">
            <v>Enum3</v>
          </cell>
          <cell r="V1" t="str">
            <v>Notes</v>
          </cell>
        </row>
        <row r="2">
          <cell r="B2" t="str">
            <v>&lt;0&gt;</v>
          </cell>
          <cell r="C2" t="str">
            <v>Place</v>
          </cell>
          <cell r="D2" t="str">
            <v>(See Data Item Palace)</v>
          </cell>
          <cell r="G2" t="str">
            <v>_</v>
          </cell>
          <cell r="L2" t="str">
            <v>_</v>
          </cell>
          <cell r="Q2" t="str">
            <v>_</v>
          </cell>
          <cell r="V2" t="str">
            <v>Provided for reference from the DVOF specification.</v>
          </cell>
        </row>
        <row r="3">
          <cell r="B3" t="str">
            <v>&lt;1&gt;</v>
          </cell>
          <cell r="C3" t="str">
            <v>House of Religious Worship</v>
          </cell>
          <cell r="D3" t="str">
            <v>(See Data Item Church)</v>
          </cell>
          <cell r="G3" t="str">
            <v>_</v>
          </cell>
          <cell r="L3" t="str">
            <v>_</v>
          </cell>
          <cell r="Q3" t="str">
            <v>_</v>
          </cell>
          <cell r="V3" t="str">
            <v>Provided for reference from the DVOF specification.</v>
          </cell>
        </row>
        <row r="4">
          <cell r="B4" t="str">
            <v>&lt;2&gt;</v>
          </cell>
          <cell r="C4" t="str">
            <v>Industrial Building</v>
          </cell>
          <cell r="D4" t="str">
            <v>(See Data Item Industrial Plant)</v>
          </cell>
          <cell r="G4" t="str">
            <v>_</v>
          </cell>
          <cell r="L4" t="str">
            <v>_</v>
          </cell>
          <cell r="Q4" t="str">
            <v>_</v>
          </cell>
          <cell r="V4" t="str">
            <v>Provided for reference from the DVOF specification.</v>
          </cell>
        </row>
        <row r="5">
          <cell r="B5" t="str">
            <v>&lt;3&gt;</v>
          </cell>
          <cell r="C5" t="str">
            <v>Water- Tower Building</v>
          </cell>
          <cell r="D5" t="str">
            <v>(See Data Item Water Tower</v>
          </cell>
          <cell r="G5" t="str">
            <v>_</v>
          </cell>
          <cell r="L5" t="str">
            <v>_</v>
          </cell>
          <cell r="Q5" t="str">
            <v>_</v>
          </cell>
          <cell r="V5" t="str">
            <v>Provided for reference from the DVOF specification.</v>
          </cell>
        </row>
        <row r="6">
          <cell r="B6" t="str">
            <v>&lt;4&gt;</v>
          </cell>
          <cell r="C6" t="str">
            <v>Thermal Power Plant</v>
          </cell>
          <cell r="D6" t="str">
            <v>(See Data Item Smokestack)</v>
          </cell>
          <cell r="G6" t="str">
            <v>_</v>
          </cell>
          <cell r="L6" t="str">
            <v>_</v>
          </cell>
          <cell r="Q6" t="str">
            <v>_</v>
          </cell>
          <cell r="V6" t="str">
            <v>Provided for reference from the DVOF specification.</v>
          </cell>
        </row>
        <row r="7">
          <cell r="B7" t="str">
            <v>&lt;5&gt;</v>
          </cell>
          <cell r="C7" t="str">
            <v>Powerplant</v>
          </cell>
          <cell r="D7" t="str">
            <v>(See Data Item Industrial Plant, and Smokestack)</v>
          </cell>
          <cell r="G7" t="str">
            <v>_</v>
          </cell>
          <cell r="L7" t="str">
            <v>_</v>
          </cell>
          <cell r="Q7" t="str">
            <v>_</v>
          </cell>
          <cell r="V7" t="str">
            <v>Provided for reference from the DVOF specification.</v>
          </cell>
        </row>
        <row r="8">
          <cell r="B8" t="str">
            <v>&lt;6&gt;</v>
          </cell>
          <cell r="C8" t="str">
            <v>Power Transmission Line</v>
          </cell>
          <cell r="D8" t="str">
            <v>(See Data Item Aerial Cable)</v>
          </cell>
          <cell r="G8" t="str">
            <v>_</v>
          </cell>
          <cell r="L8" t="str">
            <v>_</v>
          </cell>
          <cell r="Q8" t="str">
            <v>_</v>
          </cell>
          <cell r="V8" t="str">
            <v>Provided for reference from the DVOF specification.</v>
          </cell>
        </row>
        <row r="9">
          <cell r="B9" t="str">
            <v>&lt;7&gt;</v>
          </cell>
          <cell r="C9" t="str">
            <v>Tank, Telescoping Gasholder (Gasometer)</v>
          </cell>
          <cell r="D9" t="str">
            <v>(See Data Item Gasholder)</v>
          </cell>
          <cell r="G9" t="str">
            <v>_</v>
          </cell>
          <cell r="L9" t="str">
            <v>_</v>
          </cell>
          <cell r="Q9" t="str">
            <v>_</v>
          </cell>
          <cell r="V9" t="str">
            <v>Provided for reference from the DVOF specification.</v>
          </cell>
        </row>
        <row r="10">
          <cell r="B10" t="str">
            <v>&lt;8&gt;</v>
          </cell>
          <cell r="C10" t="str">
            <v>Microwave Tower, Type I</v>
          </cell>
          <cell r="D10" t="str">
            <v>(See Data Item Mast)</v>
          </cell>
          <cell r="G10" t="str">
            <v>_</v>
          </cell>
          <cell r="L10" t="str">
            <v>_</v>
          </cell>
          <cell r="Q10" t="str">
            <v>_</v>
          </cell>
          <cell r="V10" t="str">
            <v>Provided for reference from the DVOF specification.</v>
          </cell>
        </row>
        <row r="11">
          <cell r="B11" t="str">
            <v>&lt;9&gt;</v>
          </cell>
          <cell r="C11" t="str">
            <v>Radio/TV Tower, Type I</v>
          </cell>
          <cell r="D11" t="str">
            <v>(See Data Item Mast)</v>
          </cell>
          <cell r="G11" t="str">
            <v>_</v>
          </cell>
          <cell r="L11" t="str">
            <v>_</v>
          </cell>
          <cell r="Q11" t="str">
            <v>_</v>
          </cell>
          <cell r="V11" t="str">
            <v>Provided for reference from the DVOF specification.</v>
          </cell>
        </row>
        <row r="12">
          <cell r="A12">
            <v>48246</v>
          </cell>
          <cell r="B12" t="str">
            <v>099</v>
          </cell>
          <cell r="C12" t="str">
            <v>Building</v>
          </cell>
          <cell r="D12" t="str">
            <v>General  (All types)</v>
          </cell>
          <cell r="E12" t="str">
            <v>AL013</v>
          </cell>
          <cell r="F12" t="str">
            <v>Building</v>
          </cell>
          <cell r="G12" t="str">
            <v>_</v>
          </cell>
          <cell r="L12" t="str">
            <v>_</v>
          </cell>
          <cell r="Q12" t="str">
            <v>_</v>
          </cell>
        </row>
        <row r="13">
          <cell r="A13">
            <v>283</v>
          </cell>
          <cell r="B13" t="str">
            <v>101</v>
          </cell>
          <cell r="C13" t="str">
            <v>Industrial Structure</v>
          </cell>
          <cell r="D13" t="str">
            <v>Structure, General, Extraction Industry</v>
          </cell>
          <cell r="E13" t="str">
            <v>AL014</v>
          </cell>
          <cell r="F13" t="str">
            <v>Non-building Structure</v>
          </cell>
          <cell r="G13" t="str">
            <v>FFN_40</v>
          </cell>
          <cell r="H13" t="str">
            <v>FFN</v>
          </cell>
          <cell r="I13">
            <v>40</v>
          </cell>
          <cell r="J13" t="str">
            <v>Feature Function(s)</v>
          </cell>
          <cell r="K13" t="str">
            <v>Mining and Quarrying</v>
          </cell>
          <cell r="L13" t="str">
            <v>_</v>
          </cell>
          <cell r="Q13" t="str">
            <v>_</v>
          </cell>
          <cell r="V13" t="str">
            <v>[PVA]: "Could be crushers, powderhouses, explosive magazines." *however* BB states "part of an Industrial Complex" implying that the extraction aspect is ignored in practice.</v>
          </cell>
        </row>
        <row r="14">
          <cell r="A14">
            <v>5835</v>
          </cell>
          <cell r="B14" t="str">
            <v>103</v>
          </cell>
          <cell r="C14" t="str">
            <v>Tower</v>
          </cell>
          <cell r="D14" t="str">
            <v>Derrick, Gas/Oil</v>
          </cell>
          <cell r="E14" t="str">
            <v>AA040</v>
          </cell>
          <cell r="F14" t="str">
            <v>Rig</v>
          </cell>
          <cell r="G14" t="str">
            <v>PPO_157</v>
          </cell>
          <cell r="H14" t="str">
            <v>PPO</v>
          </cell>
          <cell r="I14">
            <v>157</v>
          </cell>
          <cell r="J14" t="str">
            <v>Product</v>
          </cell>
          <cell r="K14" t="str">
            <v>Petroleum and/or Natural Gas</v>
          </cell>
          <cell r="L14" t="str">
            <v>_</v>
          </cell>
          <cell r="Q14" t="str">
            <v>_</v>
          </cell>
        </row>
        <row r="15">
          <cell r="A15">
            <v>1023</v>
          </cell>
          <cell r="B15" t="str">
            <v>104</v>
          </cell>
          <cell r="C15" t="str">
            <v>Platform</v>
          </cell>
          <cell r="D15" t="str">
            <v>Offshore Platform, General</v>
          </cell>
          <cell r="E15" t="str">
            <v>BD110</v>
          </cell>
          <cell r="F15" t="str">
            <v>Offshore Platform</v>
          </cell>
          <cell r="G15" t="str">
            <v>_</v>
          </cell>
          <cell r="L15" t="str">
            <v>_</v>
          </cell>
          <cell r="Q15" t="str">
            <v>_</v>
          </cell>
        </row>
        <row r="16">
          <cell r="A16">
            <v>678</v>
          </cell>
          <cell r="B16" t="str">
            <v>105</v>
          </cell>
          <cell r="C16" t="str">
            <v>Platform</v>
          </cell>
          <cell r="D16" t="str">
            <v>Offshore Platform with Derrick</v>
          </cell>
          <cell r="E16" t="str">
            <v>AA040</v>
          </cell>
          <cell r="F16" t="str">
            <v>Rig</v>
          </cell>
          <cell r="G16" t="str">
            <v>_</v>
          </cell>
          <cell r="L16" t="str">
            <v>_</v>
          </cell>
          <cell r="Q16" t="str">
            <v>_</v>
          </cell>
          <cell r="V16" t="str">
            <v>[NCGIS]: Model as a 'Rig' with association 'isComponentOf' either 'Offshore Platform' or 'Mobile Offshore Drilling Unit' to capture how the derrick and the offshore platform/MODU are related to each other. The associated 'Offshore Platform' feature instan</v>
          </cell>
        </row>
        <row r="17">
          <cell r="A17">
            <v>281</v>
          </cell>
          <cell r="B17" t="str">
            <v>106</v>
          </cell>
          <cell r="C17" t="str">
            <v>Mining Structure</v>
          </cell>
          <cell r="D17" t="str">
            <v>Mine Shaft Superstructure</v>
          </cell>
          <cell r="E17" t="str">
            <v>AA020</v>
          </cell>
          <cell r="F17" t="str">
            <v>Mine Shaft Superstructure</v>
          </cell>
          <cell r="G17" t="str">
            <v>_</v>
          </cell>
          <cell r="L17" t="str">
            <v>_</v>
          </cell>
          <cell r="Q17" t="str">
            <v>_</v>
          </cell>
        </row>
        <row r="18">
          <cell r="A18">
            <v>563</v>
          </cell>
          <cell r="B18" t="str">
            <v>107</v>
          </cell>
          <cell r="C18" t="str">
            <v>Platform</v>
          </cell>
          <cell r="D18" t="str">
            <v>Offshore Platform with Helipad</v>
          </cell>
          <cell r="E18" t="str">
            <v>BD110</v>
          </cell>
          <cell r="F18" t="str">
            <v>Offshore Platform</v>
          </cell>
          <cell r="G18" t="str">
            <v>HEL_</v>
          </cell>
          <cell r="H18" t="str">
            <v>HEL</v>
          </cell>
          <cell r="J18" t="str">
            <v>Helipad Present</v>
          </cell>
          <cell r="L18" t="str">
            <v>_</v>
          </cell>
          <cell r="Q18" t="str">
            <v>_</v>
          </cell>
        </row>
        <row r="19">
          <cell r="A19">
            <v>589</v>
          </cell>
          <cell r="B19" t="str">
            <v>110</v>
          </cell>
          <cell r="C19" t="str">
            <v>Industrial Structure</v>
          </cell>
          <cell r="D19" t="str">
            <v>Structure, General, Processing Industry</v>
          </cell>
          <cell r="E19" t="str">
            <v>AL014</v>
          </cell>
          <cell r="F19" t="str">
            <v>Non-building Structure</v>
          </cell>
          <cell r="G19" t="str">
            <v>FFN_99</v>
          </cell>
          <cell r="H19" t="str">
            <v>FFN</v>
          </cell>
          <cell r="I19">
            <v>99</v>
          </cell>
          <cell r="J19" t="str">
            <v>Feature Function(s)</v>
          </cell>
          <cell r="K19" t="str">
            <v>Manufacturing</v>
          </cell>
          <cell r="L19" t="str">
            <v>_</v>
          </cell>
          <cell r="Q19" t="str">
            <v>_</v>
          </cell>
          <cell r="V19" t="str">
            <v>[PVA]: "Treat as a general industrial structure that is used when more specific structures (e.g., catalytic cracker, blast furnace, flare pipe) do not apply."</v>
          </cell>
        </row>
        <row r="20">
          <cell r="A20">
            <v>144</v>
          </cell>
          <cell r="B20" t="str">
            <v>111</v>
          </cell>
          <cell r="C20" t="str">
            <v>Industrial Plant</v>
          </cell>
          <cell r="D20" t="str">
            <v>Chemical Processing Plant</v>
          </cell>
          <cell r="E20" t="str">
            <v>AC000</v>
          </cell>
          <cell r="F20" t="str">
            <v>Processing Facility</v>
          </cell>
          <cell r="G20" t="str">
            <v>PPO_16</v>
          </cell>
          <cell r="H20" t="str">
            <v>PPO</v>
          </cell>
          <cell r="I20">
            <v>16</v>
          </cell>
          <cell r="J20" t="str">
            <v>Product</v>
          </cell>
          <cell r="K20" t="str">
            <v>Chemical</v>
          </cell>
          <cell r="L20" t="str">
            <v>_</v>
          </cell>
          <cell r="Q20" t="str">
            <v>_</v>
          </cell>
        </row>
        <row r="21">
          <cell r="A21">
            <v>116</v>
          </cell>
          <cell r="B21" t="str">
            <v>112</v>
          </cell>
          <cell r="C21" t="str">
            <v>Industrial Plant</v>
          </cell>
          <cell r="D21" t="str">
            <v>Metal Processing Plant</v>
          </cell>
          <cell r="E21" t="str">
            <v>AC000</v>
          </cell>
          <cell r="F21" t="str">
            <v>Processing Facility</v>
          </cell>
          <cell r="G21" t="str">
            <v>PPO_69</v>
          </cell>
          <cell r="H21" t="str">
            <v>PPO</v>
          </cell>
          <cell r="I21">
            <v>69</v>
          </cell>
          <cell r="J21" t="str">
            <v>Product</v>
          </cell>
          <cell r="K21" t="str">
            <v>Metal</v>
          </cell>
          <cell r="L21" t="str">
            <v>_</v>
          </cell>
          <cell r="Q21" t="str">
            <v>_</v>
          </cell>
        </row>
        <row r="22">
          <cell r="A22">
            <v>21</v>
          </cell>
          <cell r="B22" t="str">
            <v>115</v>
          </cell>
          <cell r="C22" t="str">
            <v>Industrial Plant</v>
          </cell>
          <cell r="D22" t="str">
            <v>Coke Plant</v>
          </cell>
          <cell r="E22" t="str">
            <v>AC000</v>
          </cell>
          <cell r="F22" t="str">
            <v>Processing Facility</v>
          </cell>
          <cell r="G22" t="str">
            <v>PPO_21</v>
          </cell>
          <cell r="H22" t="str">
            <v>PPO</v>
          </cell>
          <cell r="I22">
            <v>21</v>
          </cell>
          <cell r="J22" t="str">
            <v>Product</v>
          </cell>
          <cell r="K22" t="str">
            <v>Coke</v>
          </cell>
          <cell r="L22" t="str">
            <v>_</v>
          </cell>
          <cell r="Q22" t="str">
            <v>_</v>
          </cell>
        </row>
        <row r="23">
          <cell r="A23">
            <v>66</v>
          </cell>
          <cell r="B23" t="str">
            <v>116</v>
          </cell>
          <cell r="C23" t="str">
            <v>Industrial Structure</v>
          </cell>
          <cell r="D23" t="str">
            <v>Blast Furnace</v>
          </cell>
          <cell r="E23" t="str">
            <v>AC010</v>
          </cell>
          <cell r="F23" t="str">
            <v>Blast-furnace</v>
          </cell>
          <cell r="G23" t="str">
            <v>_</v>
          </cell>
          <cell r="L23" t="str">
            <v>_</v>
          </cell>
          <cell r="Q23" t="str">
            <v>_</v>
          </cell>
        </row>
        <row r="24">
          <cell r="A24">
            <v>186</v>
          </cell>
          <cell r="B24" t="str">
            <v>120</v>
          </cell>
          <cell r="C24" t="str">
            <v>Industrial Plant</v>
          </cell>
          <cell r="D24" t="str">
            <v>Refinery</v>
          </cell>
          <cell r="E24" t="str">
            <v>AC040</v>
          </cell>
          <cell r="F24" t="str">
            <v>Hydrocarbon Products Facility</v>
          </cell>
          <cell r="G24" t="str">
            <v>_</v>
          </cell>
          <cell r="L24" t="str">
            <v>_</v>
          </cell>
          <cell r="Q24" t="str">
            <v>_</v>
          </cell>
        </row>
        <row r="25">
          <cell r="A25">
            <v>501</v>
          </cell>
          <cell r="B25" t="str">
            <v>121</v>
          </cell>
          <cell r="C25" t="str">
            <v>Industrial Structure</v>
          </cell>
          <cell r="D25" t="str">
            <v>Catalytic Cracker</v>
          </cell>
          <cell r="E25" t="str">
            <v>AC020</v>
          </cell>
          <cell r="F25" t="str">
            <v>Catalytic Cracker</v>
          </cell>
          <cell r="G25" t="str">
            <v>_</v>
          </cell>
          <cell r="L25" t="str">
            <v>_</v>
          </cell>
          <cell r="Q25" t="str">
            <v>_</v>
          </cell>
        </row>
        <row r="26">
          <cell r="A26">
            <v>1528</v>
          </cell>
          <cell r="B26" t="str">
            <v>122</v>
          </cell>
          <cell r="C26" t="str">
            <v>Industrial Structure</v>
          </cell>
          <cell r="D26" t="str">
            <v>Flare Pipe - Located On Land (in refinery)</v>
          </cell>
          <cell r="E26" t="str">
            <v>AF070</v>
          </cell>
          <cell r="F26" t="str">
            <v>Flare Pipe</v>
          </cell>
          <cell r="G26" t="str">
            <v>SRL_2</v>
          </cell>
          <cell r="H26" t="str">
            <v>SRL</v>
          </cell>
          <cell r="I26">
            <v>2</v>
          </cell>
          <cell r="J26" t="str">
            <v>Location Referenced to Shoreline</v>
          </cell>
          <cell r="K26" t="str">
            <v>Inland</v>
          </cell>
          <cell r="L26" t="str">
            <v>_</v>
          </cell>
          <cell r="Q26" t="str">
            <v>_</v>
          </cell>
        </row>
        <row r="27">
          <cell r="A27">
            <v>1</v>
          </cell>
          <cell r="B27" t="str">
            <v>123</v>
          </cell>
          <cell r="C27" t="str">
            <v>Industrial Structure</v>
          </cell>
          <cell r="D27" t="str">
            <v>Flare Pipe - Located Off Shore</v>
          </cell>
          <cell r="E27" t="str">
            <v>AF070</v>
          </cell>
          <cell r="F27" t="str">
            <v>Flare Pipe</v>
          </cell>
          <cell r="G27" t="str">
            <v>SRL_1</v>
          </cell>
          <cell r="H27" t="str">
            <v>SRL</v>
          </cell>
          <cell r="I27">
            <v>1</v>
          </cell>
          <cell r="J27" t="str">
            <v>Location Referenced to Shoreline</v>
          </cell>
          <cell r="K27" t="str">
            <v>Offshore</v>
          </cell>
          <cell r="L27" t="str">
            <v>_</v>
          </cell>
          <cell r="Q27" t="str">
            <v>_</v>
          </cell>
        </row>
        <row r="28">
          <cell r="A28">
            <v>2052</v>
          </cell>
          <cell r="B28" t="str">
            <v>130</v>
          </cell>
          <cell r="C28" t="str">
            <v>Industrial Plant</v>
          </cell>
          <cell r="D28" t="str">
            <v>Power Plant</v>
          </cell>
          <cell r="E28" t="str">
            <v>AD010</v>
          </cell>
          <cell r="F28" t="str">
            <v>Power Station</v>
          </cell>
          <cell r="G28" t="str">
            <v>_</v>
          </cell>
          <cell r="L28" t="str">
            <v>_</v>
          </cell>
          <cell r="Q28" t="str">
            <v>_</v>
          </cell>
        </row>
        <row r="29">
          <cell r="A29">
            <v>1582</v>
          </cell>
          <cell r="B29" t="str">
            <v>136</v>
          </cell>
          <cell r="C29" t="str">
            <v>Smokestack</v>
          </cell>
          <cell r="D29" t="str">
            <v>Thermal Power-Plant Smokestack</v>
          </cell>
          <cell r="E29" t="str">
            <v>AF010</v>
          </cell>
          <cell r="F29" t="str">
            <v>Smokestack</v>
          </cell>
          <cell r="G29" t="str">
            <v>_</v>
          </cell>
          <cell r="L29" t="str">
            <v>_</v>
          </cell>
          <cell r="Q29" t="str">
            <v>_</v>
          </cell>
          <cell r="V29" t="str">
            <v>[PVA]: "Need to distinguish from 182 (smokestack, general); these are not only the highest point at the power station but also typically provide end-points for power line features." [NCGIS]: Model as a 'Smokestack' with association 'isSmokeStackOf' to a '</v>
          </cell>
        </row>
        <row r="30">
          <cell r="A30">
            <v>12682</v>
          </cell>
          <cell r="B30" t="str">
            <v>137</v>
          </cell>
          <cell r="C30" t="str">
            <v>Pylon</v>
          </cell>
          <cell r="D30" t="str">
            <v>Transformer Yard</v>
          </cell>
          <cell r="E30" t="str">
            <v>AD030</v>
          </cell>
          <cell r="F30" t="str">
            <v>Power Substation</v>
          </cell>
          <cell r="G30" t="str">
            <v>_</v>
          </cell>
          <cell r="L30" t="str">
            <v>_</v>
          </cell>
          <cell r="Q30" t="str">
            <v>_</v>
          </cell>
          <cell r="V30" t="str">
            <v>[PVA]: "Agree to map to a 'Power Substation' rather than a specialized type of 'Pylon'."</v>
          </cell>
        </row>
        <row r="31">
          <cell r="A31">
            <v>0</v>
          </cell>
          <cell r="B31" t="str">
            <v>145</v>
          </cell>
          <cell r="C31" t="str">
            <v>Industrial Structure</v>
          </cell>
          <cell r="D31" t="str">
            <v>Solar Energy Electrical Collection Panels</v>
          </cell>
          <cell r="E31" t="str">
            <v>AD025</v>
          </cell>
          <cell r="F31" t="str">
            <v>Solar Farm</v>
          </cell>
          <cell r="G31" t="str">
            <v>PPO_37</v>
          </cell>
          <cell r="H31" t="str">
            <v>PPO</v>
          </cell>
          <cell r="I31">
            <v>37</v>
          </cell>
          <cell r="J31" t="str">
            <v>Product</v>
          </cell>
          <cell r="K31" t="str">
            <v>Electric Power</v>
          </cell>
          <cell r="L31" t="str">
            <v>_</v>
          </cell>
          <cell r="Q31" t="str">
            <v>_</v>
          </cell>
        </row>
        <row r="32">
          <cell r="A32">
            <v>0</v>
          </cell>
          <cell r="B32" t="str">
            <v>146</v>
          </cell>
          <cell r="C32" t="str">
            <v>Industrial Structure</v>
          </cell>
          <cell r="D32" t="str">
            <v>Solar Energy Heat Collection Panels</v>
          </cell>
          <cell r="E32" t="str">
            <v>AD025</v>
          </cell>
          <cell r="F32" t="str">
            <v>Solar Farm</v>
          </cell>
          <cell r="G32" t="str">
            <v>PPO_146</v>
          </cell>
          <cell r="H32" t="str">
            <v>PPO</v>
          </cell>
          <cell r="I32">
            <v>146</v>
          </cell>
          <cell r="J32" t="str">
            <v>Product</v>
          </cell>
          <cell r="K32" t="str">
            <v>Heating Steam and/or Water</v>
          </cell>
          <cell r="L32" t="str">
            <v>_</v>
          </cell>
          <cell r="Q32" t="str">
            <v>_</v>
          </cell>
        </row>
        <row r="33">
          <cell r="A33">
            <v>87</v>
          </cell>
          <cell r="B33" t="str">
            <v>150</v>
          </cell>
          <cell r="C33" t="str">
            <v>Industrial Plant</v>
          </cell>
          <cell r="D33" t="str">
            <v>Building, Heavy Fabrication Industry, General</v>
          </cell>
          <cell r="E33" t="str">
            <v>AL013</v>
          </cell>
          <cell r="F33" t="str">
            <v>Building</v>
          </cell>
          <cell r="G33" t="str">
            <v>FFN_99</v>
          </cell>
          <cell r="H33" t="str">
            <v>FFN</v>
          </cell>
          <cell r="I33">
            <v>99</v>
          </cell>
          <cell r="J33" t="str">
            <v>Feature Function(s)</v>
          </cell>
          <cell r="K33" t="str">
            <v>Manufacturing</v>
          </cell>
          <cell r="L33" t="str">
            <v>FTP_2</v>
          </cell>
          <cell r="M33" t="str">
            <v>FTP</v>
          </cell>
          <cell r="N33">
            <v>2</v>
          </cell>
          <cell r="O33" t="str">
            <v>Fabrication Facility Type</v>
          </cell>
          <cell r="P33" t="str">
            <v>Heavy</v>
          </cell>
          <cell r="Q33" t="str">
            <v>_</v>
          </cell>
        </row>
        <row r="34">
          <cell r="A34">
            <v>94</v>
          </cell>
          <cell r="B34" t="str">
            <v>151</v>
          </cell>
          <cell r="C34" t="str">
            <v>Industrial Plant</v>
          </cell>
          <cell r="D34" t="str">
            <v>Building with Flat Roof, Heavy Fabrication Industry</v>
          </cell>
          <cell r="E34" t="str">
            <v>AL013</v>
          </cell>
          <cell r="F34" t="str">
            <v>Building</v>
          </cell>
          <cell r="G34" t="str">
            <v>FFN_99</v>
          </cell>
          <cell r="H34" t="str">
            <v>FFN</v>
          </cell>
          <cell r="I34">
            <v>99</v>
          </cell>
          <cell r="J34" t="str">
            <v>Feature Function(s)</v>
          </cell>
          <cell r="K34" t="str">
            <v>Manufacturing</v>
          </cell>
          <cell r="L34" t="str">
            <v>FTP_2</v>
          </cell>
          <cell r="M34" t="str">
            <v>FTP</v>
          </cell>
          <cell r="N34">
            <v>2</v>
          </cell>
          <cell r="O34" t="str">
            <v>Fabrication Facility Type</v>
          </cell>
          <cell r="P34" t="str">
            <v>Heavy</v>
          </cell>
          <cell r="Q34" t="str">
            <v>SSR_41</v>
          </cell>
          <cell r="R34" t="str">
            <v>SSR</v>
          </cell>
          <cell r="S34">
            <v>41</v>
          </cell>
          <cell r="T34" t="str">
            <v>Roof Shape</v>
          </cell>
          <cell r="U34" t="str">
            <v>Flat</v>
          </cell>
        </row>
        <row r="35">
          <cell r="A35">
            <v>28</v>
          </cell>
          <cell r="B35" t="str">
            <v>152</v>
          </cell>
          <cell r="C35" t="str">
            <v>Industrial Plant</v>
          </cell>
          <cell r="D35" t="str">
            <v>Building with Flat Roof and Monitor, Heavy Fabrication Industry (same as type 151 with monitor)</v>
          </cell>
          <cell r="E35" t="str">
            <v>AL013</v>
          </cell>
          <cell r="F35" t="str">
            <v>Building</v>
          </cell>
          <cell r="G35" t="str">
            <v>FFN_99</v>
          </cell>
          <cell r="H35" t="str">
            <v>FFN</v>
          </cell>
          <cell r="I35">
            <v>99</v>
          </cell>
          <cell r="J35" t="str">
            <v>Feature Function(s)</v>
          </cell>
          <cell r="K35" t="str">
            <v>Manufacturing</v>
          </cell>
          <cell r="L35" t="str">
            <v>FTP_2</v>
          </cell>
          <cell r="M35" t="str">
            <v>FTP</v>
          </cell>
          <cell r="N35">
            <v>2</v>
          </cell>
          <cell r="O35" t="str">
            <v>Fabrication Facility Type</v>
          </cell>
          <cell r="P35" t="str">
            <v>Heavy</v>
          </cell>
          <cell r="Q35" t="str">
            <v>SSR_55</v>
          </cell>
          <cell r="R35" t="str">
            <v>SSR</v>
          </cell>
          <cell r="S35">
            <v>55</v>
          </cell>
          <cell r="T35" t="str">
            <v>Roof Shape</v>
          </cell>
          <cell r="U35" t="str">
            <v>Flat with Clerestory</v>
          </cell>
        </row>
        <row r="36">
          <cell r="A36">
            <v>20</v>
          </cell>
          <cell r="B36" t="str">
            <v>153</v>
          </cell>
          <cell r="C36" t="str">
            <v>Industrial Plant</v>
          </cell>
          <cell r="D36" t="str">
            <v>Building with Gable Roof (pitched), Heavy Fabrication Industry</v>
          </cell>
          <cell r="E36" t="str">
            <v>AL013</v>
          </cell>
          <cell r="F36" t="str">
            <v>Building</v>
          </cell>
          <cell r="G36" t="str">
            <v>FFN_99</v>
          </cell>
          <cell r="H36" t="str">
            <v>FFN</v>
          </cell>
          <cell r="I36">
            <v>99</v>
          </cell>
          <cell r="J36" t="str">
            <v>Feature Function(s)</v>
          </cell>
          <cell r="K36" t="str">
            <v>Manufacturing</v>
          </cell>
          <cell r="L36" t="str">
            <v>FTP_2</v>
          </cell>
          <cell r="M36" t="str">
            <v>FTP</v>
          </cell>
          <cell r="N36">
            <v>2</v>
          </cell>
          <cell r="O36" t="str">
            <v>Fabrication Facility Type</v>
          </cell>
          <cell r="P36" t="str">
            <v>Heavy</v>
          </cell>
          <cell r="Q36" t="str">
            <v>SSR_42</v>
          </cell>
          <cell r="R36" t="str">
            <v>SSR</v>
          </cell>
          <cell r="S36">
            <v>42</v>
          </cell>
          <cell r="T36" t="str">
            <v>Roof Shape</v>
          </cell>
          <cell r="U36" t="str">
            <v>Pitched</v>
          </cell>
        </row>
        <row r="37">
          <cell r="A37">
            <v>17</v>
          </cell>
          <cell r="B37" t="str">
            <v>154</v>
          </cell>
          <cell r="C37" t="str">
            <v>Industrial Plant</v>
          </cell>
          <cell r="D37" t="str">
            <v>Building with Gable Roof (pitched) and Monitor, Heavy Fabrication Industry / Fabrication Industry (same as type 153 with monitor)</v>
          </cell>
          <cell r="E37" t="str">
            <v>AL013</v>
          </cell>
          <cell r="F37" t="str">
            <v>Building</v>
          </cell>
          <cell r="G37" t="str">
            <v>FFN_99</v>
          </cell>
          <cell r="H37" t="str">
            <v>FFN</v>
          </cell>
          <cell r="I37">
            <v>99</v>
          </cell>
          <cell r="J37" t="str">
            <v>Feature Function(s)</v>
          </cell>
          <cell r="K37" t="str">
            <v>Manufacturing</v>
          </cell>
          <cell r="L37" t="str">
            <v>FTP_2</v>
          </cell>
          <cell r="M37" t="str">
            <v>FTP</v>
          </cell>
          <cell r="N37">
            <v>2</v>
          </cell>
          <cell r="O37" t="str">
            <v>Fabrication Facility Type</v>
          </cell>
          <cell r="P37" t="str">
            <v>Heavy</v>
          </cell>
          <cell r="Q37" t="str">
            <v>SSR_64</v>
          </cell>
          <cell r="R37" t="str">
            <v>SSR</v>
          </cell>
          <cell r="S37">
            <v>64</v>
          </cell>
          <cell r="T37" t="str">
            <v>Roof Shape</v>
          </cell>
          <cell r="U37" t="str">
            <v>Pitched with Clerestory</v>
          </cell>
        </row>
        <row r="38">
          <cell r="A38">
            <v>2</v>
          </cell>
          <cell r="B38" t="str">
            <v>155</v>
          </cell>
          <cell r="C38" t="str">
            <v>Industrial Plant</v>
          </cell>
          <cell r="D38" t="str">
            <v>Building with Sawtooth Roof, Heavy Fabrication Industry</v>
          </cell>
          <cell r="E38" t="str">
            <v>AL013</v>
          </cell>
          <cell r="F38" t="str">
            <v>Building</v>
          </cell>
          <cell r="G38" t="str">
            <v>FFN_99</v>
          </cell>
          <cell r="H38" t="str">
            <v>FFN</v>
          </cell>
          <cell r="I38">
            <v>99</v>
          </cell>
          <cell r="J38" t="str">
            <v>Feature Function(s)</v>
          </cell>
          <cell r="K38" t="str">
            <v>Manufacturing</v>
          </cell>
          <cell r="L38" t="str">
            <v>FTP_2</v>
          </cell>
          <cell r="M38" t="str">
            <v>FTP</v>
          </cell>
          <cell r="N38">
            <v>2</v>
          </cell>
          <cell r="O38" t="str">
            <v>Fabrication Facility Type</v>
          </cell>
          <cell r="P38" t="str">
            <v>Heavy</v>
          </cell>
          <cell r="Q38" t="str">
            <v>SSR_47</v>
          </cell>
          <cell r="R38" t="str">
            <v>SSR</v>
          </cell>
          <cell r="S38">
            <v>47</v>
          </cell>
          <cell r="T38" t="str">
            <v>Roof Shape</v>
          </cell>
          <cell r="U38" t="str">
            <v>Sawtoothed</v>
          </cell>
        </row>
        <row r="39">
          <cell r="A39">
            <v>2</v>
          </cell>
          <cell r="B39" t="str">
            <v>156</v>
          </cell>
          <cell r="C39" t="str">
            <v>Industrial Plant</v>
          </cell>
          <cell r="D39" t="str">
            <v>Building with Curved Roof, Heavy Fabrication Industry</v>
          </cell>
          <cell r="E39" t="str">
            <v>AL013</v>
          </cell>
          <cell r="F39" t="str">
            <v>Building</v>
          </cell>
          <cell r="G39" t="str">
            <v>FFN_99</v>
          </cell>
          <cell r="H39" t="str">
            <v>FFN</v>
          </cell>
          <cell r="I39">
            <v>99</v>
          </cell>
          <cell r="J39" t="str">
            <v>Feature Function(s)</v>
          </cell>
          <cell r="K39" t="str">
            <v>Manufacturing</v>
          </cell>
          <cell r="L39" t="str">
            <v>FTP_2</v>
          </cell>
          <cell r="M39" t="str">
            <v>FTP</v>
          </cell>
          <cell r="N39">
            <v>2</v>
          </cell>
          <cell r="O39" t="str">
            <v>Fabrication Facility Type</v>
          </cell>
          <cell r="P39" t="str">
            <v>Heavy</v>
          </cell>
          <cell r="Q39" t="str">
            <v>SSR_38</v>
          </cell>
          <cell r="R39" t="str">
            <v>SSR</v>
          </cell>
          <cell r="S39">
            <v>38</v>
          </cell>
          <cell r="T39" t="str">
            <v>Roof Shape</v>
          </cell>
          <cell r="U39" t="str">
            <v>Semi-cylindrical</v>
          </cell>
          <cell r="V39" t="str">
            <v>[PVA]: "Most likely a half-cylinder -- quonset-like -- but there might be unimportant variation; the important information is the heavy/light distinction."</v>
          </cell>
        </row>
        <row r="40">
          <cell r="A40">
            <v>133</v>
          </cell>
          <cell r="B40" t="str">
            <v>160</v>
          </cell>
          <cell r="C40" t="str">
            <v>Industrial Plant</v>
          </cell>
          <cell r="D40" t="str">
            <v>Building, Light Fabrication Industry, General</v>
          </cell>
          <cell r="E40" t="str">
            <v>AL013</v>
          </cell>
          <cell r="F40" t="str">
            <v>Building</v>
          </cell>
          <cell r="G40" t="str">
            <v>FFN_99</v>
          </cell>
          <cell r="H40" t="str">
            <v>FFN</v>
          </cell>
          <cell r="I40">
            <v>99</v>
          </cell>
          <cell r="J40" t="str">
            <v>Feature Function(s)</v>
          </cell>
          <cell r="K40" t="str">
            <v>Manufacturing</v>
          </cell>
          <cell r="L40" t="str">
            <v>FTP_1</v>
          </cell>
          <cell r="M40" t="str">
            <v>FTP</v>
          </cell>
          <cell r="N40">
            <v>1</v>
          </cell>
          <cell r="O40" t="str">
            <v>Fabrication Facility Type</v>
          </cell>
          <cell r="P40" t="str">
            <v>Light</v>
          </cell>
          <cell r="Q40" t="str">
            <v>_</v>
          </cell>
        </row>
        <row r="41">
          <cell r="A41">
            <v>267</v>
          </cell>
          <cell r="B41" t="str">
            <v>161</v>
          </cell>
          <cell r="C41" t="str">
            <v>Industrial Plant</v>
          </cell>
          <cell r="D41" t="str">
            <v>Building with Flat Roof, Light Fabrication Industry</v>
          </cell>
          <cell r="E41" t="str">
            <v>AL013</v>
          </cell>
          <cell r="F41" t="str">
            <v>Building</v>
          </cell>
          <cell r="G41" t="str">
            <v>FFN_99</v>
          </cell>
          <cell r="H41" t="str">
            <v>FFN</v>
          </cell>
          <cell r="I41">
            <v>99</v>
          </cell>
          <cell r="J41" t="str">
            <v>Feature Function(s)</v>
          </cell>
          <cell r="K41" t="str">
            <v>Manufacturing</v>
          </cell>
          <cell r="L41" t="str">
            <v>FTP_1</v>
          </cell>
          <cell r="M41" t="str">
            <v>FTP</v>
          </cell>
          <cell r="N41">
            <v>1</v>
          </cell>
          <cell r="O41" t="str">
            <v>Fabrication Facility Type</v>
          </cell>
          <cell r="P41" t="str">
            <v>Light</v>
          </cell>
          <cell r="Q41" t="str">
            <v>SSR_41</v>
          </cell>
          <cell r="R41" t="str">
            <v>SSR</v>
          </cell>
          <cell r="S41">
            <v>41</v>
          </cell>
          <cell r="T41" t="str">
            <v>Roof Shape</v>
          </cell>
          <cell r="U41" t="str">
            <v>Flat</v>
          </cell>
        </row>
        <row r="42">
          <cell r="A42">
            <v>42</v>
          </cell>
          <cell r="B42" t="str">
            <v>162</v>
          </cell>
          <cell r="C42" t="str">
            <v>Industrial Plant</v>
          </cell>
          <cell r="D42" t="str">
            <v>Building with Flat Roof and Monitor, Light Fabrication Industry (same as type 161 with monitor)</v>
          </cell>
          <cell r="E42" t="str">
            <v>AL013</v>
          </cell>
          <cell r="F42" t="str">
            <v>Building</v>
          </cell>
          <cell r="G42" t="str">
            <v>FFN_99</v>
          </cell>
          <cell r="H42" t="str">
            <v>FFN</v>
          </cell>
          <cell r="I42">
            <v>99</v>
          </cell>
          <cell r="J42" t="str">
            <v>Feature Function(s)</v>
          </cell>
          <cell r="K42" t="str">
            <v>Manufacturing</v>
          </cell>
          <cell r="L42" t="str">
            <v>FTP_1</v>
          </cell>
          <cell r="M42" t="str">
            <v>FTP</v>
          </cell>
          <cell r="N42">
            <v>1</v>
          </cell>
          <cell r="O42" t="str">
            <v>Fabrication Facility Type</v>
          </cell>
          <cell r="P42" t="str">
            <v>Light</v>
          </cell>
          <cell r="Q42" t="str">
            <v>SSR_55</v>
          </cell>
          <cell r="R42" t="str">
            <v>SSR</v>
          </cell>
          <cell r="S42">
            <v>55</v>
          </cell>
          <cell r="T42" t="str">
            <v>Roof Shape</v>
          </cell>
          <cell r="U42" t="str">
            <v>Flat with Clerestory</v>
          </cell>
        </row>
        <row r="43">
          <cell r="A43">
            <v>170</v>
          </cell>
          <cell r="B43" t="str">
            <v>163</v>
          </cell>
          <cell r="C43" t="str">
            <v>Industrial Plant</v>
          </cell>
          <cell r="D43" t="str">
            <v>Building with Gable Roof (pitched), Light Fabrication Industry</v>
          </cell>
          <cell r="E43" t="str">
            <v>AL013</v>
          </cell>
          <cell r="F43" t="str">
            <v>Building</v>
          </cell>
          <cell r="G43" t="str">
            <v>FFN_99</v>
          </cell>
          <cell r="H43" t="str">
            <v>FFN</v>
          </cell>
          <cell r="I43">
            <v>99</v>
          </cell>
          <cell r="J43" t="str">
            <v>Feature Function(s)</v>
          </cell>
          <cell r="K43" t="str">
            <v>Manufacturing</v>
          </cell>
          <cell r="L43" t="str">
            <v>FTP_1</v>
          </cell>
          <cell r="M43" t="str">
            <v>FTP</v>
          </cell>
          <cell r="N43">
            <v>1</v>
          </cell>
          <cell r="O43" t="str">
            <v>Fabrication Facility Type</v>
          </cell>
          <cell r="P43" t="str">
            <v>Light</v>
          </cell>
          <cell r="Q43" t="str">
            <v>SSR_42</v>
          </cell>
          <cell r="R43" t="str">
            <v>SSR</v>
          </cell>
          <cell r="S43">
            <v>42</v>
          </cell>
          <cell r="T43" t="str">
            <v>Roof Shape</v>
          </cell>
          <cell r="U43" t="str">
            <v>Pitched</v>
          </cell>
        </row>
        <row r="44">
          <cell r="A44">
            <v>22</v>
          </cell>
          <cell r="B44" t="str">
            <v>164</v>
          </cell>
          <cell r="C44" t="str">
            <v>Industrial Plant</v>
          </cell>
          <cell r="D44" t="str">
            <v>Building with Gable Roof (pitched) and Monitor, Light Fabrication Industry (same as type 1631 with monitor)</v>
          </cell>
          <cell r="E44" t="str">
            <v>AL013</v>
          </cell>
          <cell r="F44" t="str">
            <v>Building</v>
          </cell>
          <cell r="G44" t="str">
            <v>FFN_99</v>
          </cell>
          <cell r="H44" t="str">
            <v>FFN</v>
          </cell>
          <cell r="I44">
            <v>99</v>
          </cell>
          <cell r="J44" t="str">
            <v>Feature Function(s)</v>
          </cell>
          <cell r="K44" t="str">
            <v>Manufacturing</v>
          </cell>
          <cell r="L44" t="str">
            <v>FTP_1</v>
          </cell>
          <cell r="M44" t="str">
            <v>FTP</v>
          </cell>
          <cell r="N44">
            <v>1</v>
          </cell>
          <cell r="O44" t="str">
            <v>Fabrication Facility Type</v>
          </cell>
          <cell r="P44" t="str">
            <v>Light</v>
          </cell>
          <cell r="Q44" t="str">
            <v>SSR_64</v>
          </cell>
          <cell r="R44" t="str">
            <v>SSR</v>
          </cell>
          <cell r="S44">
            <v>64</v>
          </cell>
          <cell r="T44" t="str">
            <v>Roof Shape</v>
          </cell>
          <cell r="U44" t="str">
            <v>Pitched with Clerestory</v>
          </cell>
        </row>
        <row r="45">
          <cell r="A45">
            <v>30</v>
          </cell>
          <cell r="B45" t="str">
            <v>165</v>
          </cell>
          <cell r="C45" t="str">
            <v>Industrial Plant</v>
          </cell>
          <cell r="D45" t="str">
            <v>Building with Sawtooth Roof, Light Fabrication Industry</v>
          </cell>
          <cell r="E45" t="str">
            <v>AL013</v>
          </cell>
          <cell r="F45" t="str">
            <v>Building</v>
          </cell>
          <cell r="G45" t="str">
            <v>FFN_99</v>
          </cell>
          <cell r="H45" t="str">
            <v>FFN</v>
          </cell>
          <cell r="I45">
            <v>99</v>
          </cell>
          <cell r="J45" t="str">
            <v>Feature Function(s)</v>
          </cell>
          <cell r="K45" t="str">
            <v>Manufacturing</v>
          </cell>
          <cell r="L45" t="str">
            <v>FTP_1</v>
          </cell>
          <cell r="M45" t="str">
            <v>FTP</v>
          </cell>
          <cell r="N45">
            <v>1</v>
          </cell>
          <cell r="O45" t="str">
            <v>Fabrication Facility Type</v>
          </cell>
          <cell r="P45" t="str">
            <v>Light</v>
          </cell>
          <cell r="Q45" t="str">
            <v>SSR_47</v>
          </cell>
          <cell r="R45" t="str">
            <v>SSR</v>
          </cell>
          <cell r="S45">
            <v>47</v>
          </cell>
          <cell r="T45" t="str">
            <v>Roof Shape</v>
          </cell>
          <cell r="U45" t="str">
            <v>Sawtoothed</v>
          </cell>
        </row>
        <row r="46">
          <cell r="A46">
            <v>20</v>
          </cell>
          <cell r="B46" t="str">
            <v>166</v>
          </cell>
          <cell r="C46" t="str">
            <v>Industrial Plant</v>
          </cell>
          <cell r="D46" t="str">
            <v>Building with Curved Roof, Light Fabrication Industry</v>
          </cell>
          <cell r="E46" t="str">
            <v>AL013</v>
          </cell>
          <cell r="F46" t="str">
            <v>Building</v>
          </cell>
          <cell r="G46" t="str">
            <v>FFN_99</v>
          </cell>
          <cell r="H46" t="str">
            <v>FFN</v>
          </cell>
          <cell r="I46">
            <v>99</v>
          </cell>
          <cell r="J46" t="str">
            <v>Feature Function(s)</v>
          </cell>
          <cell r="K46" t="str">
            <v>Manufacturing</v>
          </cell>
          <cell r="L46" t="str">
            <v>FTP_1</v>
          </cell>
          <cell r="M46" t="str">
            <v>FTP</v>
          </cell>
          <cell r="N46">
            <v>1</v>
          </cell>
          <cell r="O46" t="str">
            <v>Fabrication Facility Type</v>
          </cell>
          <cell r="P46" t="str">
            <v>Light</v>
          </cell>
          <cell r="Q46" t="str">
            <v>SSR_38</v>
          </cell>
          <cell r="R46" t="str">
            <v>SSR</v>
          </cell>
          <cell r="S46">
            <v>38</v>
          </cell>
          <cell r="T46" t="str">
            <v>Roof Shape</v>
          </cell>
          <cell r="U46" t="str">
            <v>Semi-cylindrical</v>
          </cell>
          <cell r="V46" t="str">
            <v>[PVA]: "Most likely a half-cylinder -- quonset-like -- but there might be unimportant variation; the important information is the heavy/light distinction."</v>
          </cell>
        </row>
        <row r="47">
          <cell r="A47">
            <v>199</v>
          </cell>
          <cell r="B47" t="str">
            <v>170</v>
          </cell>
          <cell r="C47" t="str">
            <v>Waste Pile</v>
          </cell>
          <cell r="D47" t="str">
            <v>Disposal, General Dump</v>
          </cell>
          <cell r="E47" t="str">
            <v>AB000</v>
          </cell>
          <cell r="F47" t="str">
            <v>Disposal Site</v>
          </cell>
          <cell r="G47" t="str">
            <v>PBY_8</v>
          </cell>
          <cell r="H47" t="str">
            <v>PBY</v>
          </cell>
          <cell r="I47">
            <v>8</v>
          </cell>
          <cell r="J47" t="str">
            <v>By-product</v>
          </cell>
          <cell r="K47" t="str">
            <v>Refuse</v>
          </cell>
          <cell r="L47" t="str">
            <v>_</v>
          </cell>
          <cell r="Q47" t="str">
            <v>_</v>
          </cell>
        </row>
        <row r="48">
          <cell r="A48">
            <v>56</v>
          </cell>
          <cell r="B48" t="str">
            <v>172</v>
          </cell>
          <cell r="C48" t="str">
            <v>Slag Pile</v>
          </cell>
          <cell r="D48" t="str">
            <v>Metal Ore Slag Dump</v>
          </cell>
          <cell r="E48" t="str">
            <v>AB000</v>
          </cell>
          <cell r="F48" t="str">
            <v>Disposal Site</v>
          </cell>
          <cell r="G48" t="str">
            <v>PBY_15</v>
          </cell>
          <cell r="H48" t="str">
            <v>PBY</v>
          </cell>
          <cell r="I48">
            <v>15</v>
          </cell>
          <cell r="J48" t="str">
            <v>By-product</v>
          </cell>
          <cell r="K48" t="str">
            <v>Slag</v>
          </cell>
          <cell r="L48" t="str">
            <v>_</v>
          </cell>
          <cell r="Q48" t="str">
            <v>_</v>
          </cell>
        </row>
        <row r="49">
          <cell r="A49">
            <v>400</v>
          </cell>
          <cell r="B49" t="str">
            <v>173</v>
          </cell>
          <cell r="C49" t="str">
            <v>Waste Pile</v>
          </cell>
          <cell r="D49" t="str">
            <v>Tailing/Waste Pile</v>
          </cell>
          <cell r="E49" t="str">
            <v>AB000</v>
          </cell>
          <cell r="F49" t="str">
            <v>Disposal Site</v>
          </cell>
          <cell r="G49" t="str">
            <v>PBY_17</v>
          </cell>
          <cell r="H49" t="str">
            <v>PBY</v>
          </cell>
          <cell r="I49">
            <v>17</v>
          </cell>
          <cell r="J49" t="str">
            <v>By-product</v>
          </cell>
          <cell r="K49" t="str">
            <v>Spoil</v>
          </cell>
          <cell r="L49" t="str">
            <v>_</v>
          </cell>
          <cell r="Q49" t="str">
            <v>_</v>
          </cell>
        </row>
        <row r="50">
          <cell r="A50">
            <v>1020</v>
          </cell>
          <cell r="B50" t="str">
            <v>180</v>
          </cell>
          <cell r="C50" t="str">
            <v>Industrial Structure</v>
          </cell>
          <cell r="D50" t="str">
            <v>Industrial Structure, General</v>
          </cell>
          <cell r="E50" t="str">
            <v>AL014</v>
          </cell>
          <cell r="F50" t="str">
            <v>Non-building Structure</v>
          </cell>
          <cell r="G50" t="str">
            <v>FFN_99</v>
          </cell>
          <cell r="H50" t="str">
            <v>FFN</v>
          </cell>
          <cell r="I50">
            <v>99</v>
          </cell>
          <cell r="J50" t="str">
            <v>Feature Function(s)</v>
          </cell>
          <cell r="K50" t="str">
            <v>Manufacturing</v>
          </cell>
          <cell r="L50" t="str">
            <v>_</v>
          </cell>
          <cell r="Q50" t="str">
            <v>_</v>
          </cell>
          <cell r="V50" t="str">
            <v>[PVA]: "Wording of structure vs. plant/building may be an artifact of sources and may be dropped, if necessary, thus merging 180/181."</v>
          </cell>
        </row>
        <row r="51">
          <cell r="A51">
            <v>1090</v>
          </cell>
          <cell r="B51" t="str">
            <v>181</v>
          </cell>
          <cell r="C51" t="str">
            <v>Industrial Plant</v>
          </cell>
          <cell r="D51" t="str">
            <v>Building, General Industrial</v>
          </cell>
          <cell r="E51" t="str">
            <v>AL013</v>
          </cell>
          <cell r="F51" t="str">
            <v>Building</v>
          </cell>
          <cell r="G51" t="str">
            <v>FFN_99</v>
          </cell>
          <cell r="H51" t="str">
            <v>FFN</v>
          </cell>
          <cell r="I51">
            <v>99</v>
          </cell>
          <cell r="J51" t="str">
            <v>Feature Function(s)</v>
          </cell>
          <cell r="K51" t="str">
            <v>Manufacturing</v>
          </cell>
          <cell r="L51" t="str">
            <v>_</v>
          </cell>
          <cell r="Q51" t="str">
            <v>_</v>
          </cell>
        </row>
        <row r="52">
          <cell r="A52">
            <v>55232</v>
          </cell>
          <cell r="B52" t="str">
            <v>182</v>
          </cell>
          <cell r="C52" t="str">
            <v>Smokestack</v>
          </cell>
          <cell r="D52" t="str">
            <v>Smokestack, General</v>
          </cell>
          <cell r="E52" t="str">
            <v>AF010</v>
          </cell>
          <cell r="F52" t="str">
            <v>Smokestack</v>
          </cell>
          <cell r="G52" t="str">
            <v>_</v>
          </cell>
          <cell r="L52" t="str">
            <v>_</v>
          </cell>
          <cell r="Q52" t="str">
            <v>_</v>
          </cell>
        </row>
        <row r="53">
          <cell r="A53">
            <v>246</v>
          </cell>
          <cell r="B53" t="str">
            <v>183</v>
          </cell>
          <cell r="C53" t="str">
            <v>Industrial Structure</v>
          </cell>
          <cell r="D53" t="str">
            <v>Conveyor, Industrial</v>
          </cell>
          <cell r="E53" t="str">
            <v>AF020</v>
          </cell>
          <cell r="F53" t="str">
            <v>Conveyor</v>
          </cell>
          <cell r="G53" t="str">
            <v>_</v>
          </cell>
          <cell r="L53" t="str">
            <v>_</v>
          </cell>
          <cell r="Q53" t="str">
            <v>_</v>
          </cell>
        </row>
        <row r="54">
          <cell r="A54">
            <v>544</v>
          </cell>
          <cell r="B54" t="str">
            <v>185</v>
          </cell>
          <cell r="C54" t="str">
            <v>Crane</v>
          </cell>
          <cell r="D54" t="str">
            <v>Bridge Crane, Industrial</v>
          </cell>
          <cell r="E54" t="str">
            <v>AF040</v>
          </cell>
          <cell r="F54" t="str">
            <v>Crane</v>
          </cell>
          <cell r="G54" t="str">
            <v>CRA_2</v>
          </cell>
          <cell r="H54" t="str">
            <v>CRA</v>
          </cell>
          <cell r="I54">
            <v>2</v>
          </cell>
          <cell r="J54" t="str">
            <v>Crane Type</v>
          </cell>
          <cell r="K54" t="str">
            <v>Bridge Crane</v>
          </cell>
          <cell r="L54" t="str">
            <v>_</v>
          </cell>
          <cell r="Q54" t="str">
            <v>_</v>
          </cell>
        </row>
        <row r="55">
          <cell r="A55">
            <v>3681</v>
          </cell>
          <cell r="B55" t="str">
            <v>186</v>
          </cell>
          <cell r="C55" t="str">
            <v>Crane</v>
          </cell>
          <cell r="D55" t="str">
            <v>Rotating Crane, Industrial</v>
          </cell>
          <cell r="E55" t="str">
            <v>AF040</v>
          </cell>
          <cell r="F55" t="str">
            <v>Crane</v>
          </cell>
          <cell r="G55" t="str">
            <v>CRA_3</v>
          </cell>
          <cell r="H55" t="str">
            <v>CRA</v>
          </cell>
          <cell r="I55">
            <v>3</v>
          </cell>
          <cell r="J55" t="str">
            <v>Crane Type</v>
          </cell>
          <cell r="K55" t="str">
            <v>Rotating Crane</v>
          </cell>
          <cell r="L55" t="str">
            <v>_</v>
          </cell>
          <cell r="Q55" t="str">
            <v>_</v>
          </cell>
        </row>
        <row r="56">
          <cell r="A56">
            <v>1393</v>
          </cell>
          <cell r="B56" t="str">
            <v>187</v>
          </cell>
          <cell r="C56" t="str">
            <v>Crane</v>
          </cell>
          <cell r="D56" t="str">
            <v>Rotating Crane on Tower, Industrial (same as type 186 on a tower)</v>
          </cell>
          <cell r="E56" t="str">
            <v>AF040</v>
          </cell>
          <cell r="F56" t="str">
            <v>Crane</v>
          </cell>
          <cell r="G56" t="str">
            <v>CRA_7</v>
          </cell>
          <cell r="H56" t="str">
            <v>CRA</v>
          </cell>
          <cell r="I56">
            <v>7</v>
          </cell>
          <cell r="J56" t="str">
            <v>Crane Type</v>
          </cell>
          <cell r="K56" t="str">
            <v>Tower Crane</v>
          </cell>
          <cell r="L56" t="str">
            <v>_</v>
          </cell>
          <cell r="Q56" t="str">
            <v>_</v>
          </cell>
        </row>
        <row r="57">
          <cell r="A57">
            <v>1657</v>
          </cell>
          <cell r="B57" t="str">
            <v>188</v>
          </cell>
          <cell r="C57" t="str">
            <v>Cooling Tower</v>
          </cell>
          <cell r="D57" t="str">
            <v>Cooling Tower, Industrial</v>
          </cell>
          <cell r="E57" t="str">
            <v>AF030</v>
          </cell>
          <cell r="F57" t="str">
            <v>Cooling Tower</v>
          </cell>
          <cell r="G57" t="str">
            <v>_</v>
          </cell>
          <cell r="L57" t="str">
            <v>_</v>
          </cell>
          <cell r="Q57" t="str">
            <v>_</v>
          </cell>
        </row>
        <row r="58">
          <cell r="A58">
            <v>278</v>
          </cell>
          <cell r="B58" t="str">
            <v>189</v>
          </cell>
          <cell r="C58" t="str">
            <v>Industrial Structure</v>
          </cell>
          <cell r="D58" t="str">
            <v>Hopper, Industrial</v>
          </cell>
          <cell r="E58" t="str">
            <v>AF080</v>
          </cell>
          <cell r="F58" t="str">
            <v>Hopper</v>
          </cell>
          <cell r="G58" t="str">
            <v>_</v>
          </cell>
          <cell r="L58" t="str">
            <v>_</v>
          </cell>
          <cell r="Q58" t="str">
            <v>_</v>
          </cell>
        </row>
        <row r="59">
          <cell r="A59">
            <v>211</v>
          </cell>
          <cell r="B59" t="str">
            <v>190</v>
          </cell>
          <cell r="C59" t="str">
            <v>Industrial Structure</v>
          </cell>
          <cell r="D59" t="str">
            <v>Dragline/Powershovel Boom, Industrial</v>
          </cell>
          <cell r="E59" t="str">
            <v>AF050</v>
          </cell>
          <cell r="F59" t="str">
            <v>Excavating Machine</v>
          </cell>
          <cell r="G59" t="str">
            <v>_</v>
          </cell>
          <cell r="L59" t="str">
            <v>_</v>
          </cell>
          <cell r="Q59" t="str">
            <v>_</v>
          </cell>
        </row>
        <row r="60">
          <cell r="A60">
            <v>23</v>
          </cell>
          <cell r="B60" t="str">
            <v>211</v>
          </cell>
          <cell r="C60" t="str">
            <v>Building</v>
          </cell>
          <cell r="D60" t="str">
            <v>Railroad Terminal Building</v>
          </cell>
          <cell r="E60" t="str">
            <v>AL013</v>
          </cell>
          <cell r="F60" t="str">
            <v>Building</v>
          </cell>
          <cell r="G60" t="str">
            <v>FFN_490</v>
          </cell>
          <cell r="H60" t="str">
            <v>FFN</v>
          </cell>
          <cell r="I60">
            <v>490</v>
          </cell>
          <cell r="J60" t="str">
            <v>Feature Function(s)</v>
          </cell>
          <cell r="K60" t="str">
            <v>Railway Transport</v>
          </cell>
          <cell r="L60" t="str">
            <v>FFN_481</v>
          </cell>
          <cell r="M60" t="str">
            <v>FFN</v>
          </cell>
          <cell r="N60">
            <v>481</v>
          </cell>
          <cell r="O60" t="str">
            <v>Feature Function(s)</v>
          </cell>
          <cell r="P60" t="str">
            <v>Terminal</v>
          </cell>
          <cell r="Q60" t="str">
            <v>_</v>
          </cell>
        </row>
        <row r="61">
          <cell r="A61">
            <v>14</v>
          </cell>
          <cell r="B61" t="str">
            <v>222</v>
          </cell>
          <cell r="C61" t="str">
            <v>Building</v>
          </cell>
          <cell r="D61" t="str">
            <v>Railroad Station</v>
          </cell>
          <cell r="E61" t="str">
            <v>AQ125</v>
          </cell>
          <cell r="F61" t="str">
            <v>Transportation Station</v>
          </cell>
          <cell r="G61" t="str">
            <v>TRS_12</v>
          </cell>
          <cell r="H61" t="str">
            <v>TRS</v>
          </cell>
          <cell r="I61">
            <v>12</v>
          </cell>
          <cell r="J61" t="str">
            <v>Transportation System Type</v>
          </cell>
          <cell r="K61" t="str">
            <v>Railway</v>
          </cell>
          <cell r="L61" t="str">
            <v>_</v>
          </cell>
          <cell r="Q61" t="str">
            <v>_</v>
          </cell>
        </row>
        <row r="62">
          <cell r="A62">
            <v>39</v>
          </cell>
          <cell r="B62" t="str">
            <v>223</v>
          </cell>
          <cell r="C62" t="str">
            <v>Tower</v>
          </cell>
          <cell r="D62" t="str">
            <v>Railroad Control Tower</v>
          </cell>
          <cell r="E62" t="str">
            <v>AQ060</v>
          </cell>
          <cell r="F62" t="str">
            <v>Control Tower</v>
          </cell>
          <cell r="G62" t="str">
            <v>TRS_12</v>
          </cell>
          <cell r="H62" t="str">
            <v>TRS</v>
          </cell>
          <cell r="I62">
            <v>12</v>
          </cell>
          <cell r="J62" t="str">
            <v>Transportation System Type</v>
          </cell>
          <cell r="K62" t="str">
            <v>Railway</v>
          </cell>
          <cell r="L62" t="str">
            <v>_</v>
          </cell>
          <cell r="Q62" t="str">
            <v>_</v>
          </cell>
        </row>
        <row r="63">
          <cell r="A63">
            <v>5</v>
          </cell>
          <cell r="B63" t="str">
            <v>224</v>
          </cell>
          <cell r="C63" t="str">
            <v>Building</v>
          </cell>
          <cell r="D63" t="str">
            <v>Railroad Roundhouse</v>
          </cell>
          <cell r="E63" t="str">
            <v>AN076</v>
          </cell>
          <cell r="F63" t="str">
            <v xml:space="preserve">Roundhouse </v>
          </cell>
          <cell r="G63" t="str">
            <v>_</v>
          </cell>
          <cell r="L63" t="str">
            <v>_</v>
          </cell>
          <cell r="Q63" t="str">
            <v>_</v>
          </cell>
        </row>
        <row r="64">
          <cell r="A64">
            <v>840</v>
          </cell>
          <cell r="B64" t="str">
            <v>260</v>
          </cell>
          <cell r="C64" t="str">
            <v>Bridge</v>
          </cell>
          <cell r="D64" t="str">
            <v>Bridge, General</v>
          </cell>
          <cell r="E64" t="str">
            <v>AQ040</v>
          </cell>
          <cell r="F64" t="str">
            <v>Bridge</v>
          </cell>
          <cell r="G64" t="str">
            <v>_</v>
          </cell>
          <cell r="L64" t="str">
            <v>_</v>
          </cell>
          <cell r="Q64" t="str">
            <v>_</v>
          </cell>
        </row>
        <row r="65">
          <cell r="A65">
            <v>114</v>
          </cell>
          <cell r="B65" t="str">
            <v>261</v>
          </cell>
          <cell r="C65" t="str">
            <v>Bridge</v>
          </cell>
          <cell r="D65" t="str">
            <v>Suspension Bridge</v>
          </cell>
          <cell r="E65" t="str">
            <v>AQ040</v>
          </cell>
          <cell r="F65" t="str">
            <v>Bridge</v>
          </cell>
          <cell r="G65" t="str">
            <v>BSC_9</v>
          </cell>
          <cell r="H65" t="str">
            <v>BSC</v>
          </cell>
          <cell r="I65">
            <v>9</v>
          </cell>
          <cell r="J65" t="str">
            <v>Bridge Structure Type</v>
          </cell>
          <cell r="K65" t="str">
            <v>Suspension</v>
          </cell>
          <cell r="L65" t="str">
            <v>_</v>
          </cell>
          <cell r="Q65" t="str">
            <v>_</v>
          </cell>
        </row>
        <row r="66">
          <cell r="A66">
            <v>17</v>
          </cell>
          <cell r="B66" t="str">
            <v>262</v>
          </cell>
          <cell r="C66" t="str">
            <v>Bridge</v>
          </cell>
          <cell r="D66" t="str">
            <v>Cantilever Bridge</v>
          </cell>
          <cell r="E66" t="str">
            <v>AQ040</v>
          </cell>
          <cell r="F66" t="str">
            <v>Bridge</v>
          </cell>
          <cell r="G66" t="str">
            <v>BSC_2</v>
          </cell>
          <cell r="H66" t="str">
            <v>BSC</v>
          </cell>
          <cell r="I66">
            <v>2</v>
          </cell>
          <cell r="J66" t="str">
            <v>Bridge Structure Type</v>
          </cell>
          <cell r="K66" t="str">
            <v>Cantilever</v>
          </cell>
          <cell r="L66" t="str">
            <v>_</v>
          </cell>
          <cell r="Q66" t="str">
            <v>_</v>
          </cell>
        </row>
        <row r="67">
          <cell r="A67">
            <v>166</v>
          </cell>
          <cell r="B67" t="str">
            <v>263</v>
          </cell>
          <cell r="C67" t="str">
            <v>Bridge</v>
          </cell>
          <cell r="D67" t="str">
            <v>Arch Bridge</v>
          </cell>
          <cell r="E67" t="str">
            <v>AQ040</v>
          </cell>
          <cell r="F67" t="str">
            <v>Bridge</v>
          </cell>
          <cell r="G67" t="str">
            <v>BSC_1</v>
          </cell>
          <cell r="H67" t="str">
            <v>BSC</v>
          </cell>
          <cell r="I67">
            <v>1</v>
          </cell>
          <cell r="J67" t="str">
            <v>Bridge Structure Type</v>
          </cell>
          <cell r="K67" t="str">
            <v>Open Spandrel Arch</v>
          </cell>
          <cell r="L67" t="str">
            <v>_</v>
          </cell>
          <cell r="Q67" t="str">
            <v>_</v>
          </cell>
        </row>
        <row r="68">
          <cell r="A68">
            <v>47</v>
          </cell>
          <cell r="B68" t="str">
            <v>264</v>
          </cell>
          <cell r="C68" t="str">
            <v>Bridge</v>
          </cell>
          <cell r="D68" t="str">
            <v>Truss Bridge</v>
          </cell>
          <cell r="E68" t="str">
            <v>AQ040</v>
          </cell>
          <cell r="F68" t="str">
            <v>Bridge</v>
          </cell>
          <cell r="G68" t="str">
            <v>BSC_8</v>
          </cell>
          <cell r="H68" t="str">
            <v>BSC</v>
          </cell>
          <cell r="I68">
            <v>8</v>
          </cell>
          <cell r="J68" t="str">
            <v>Bridge Structure Type</v>
          </cell>
          <cell r="K68" t="str">
            <v>Truss</v>
          </cell>
          <cell r="L68" t="str">
            <v>_</v>
          </cell>
          <cell r="Q68" t="str">
            <v>_</v>
          </cell>
        </row>
        <row r="69">
          <cell r="A69">
            <v>21</v>
          </cell>
          <cell r="B69" t="str">
            <v>265</v>
          </cell>
          <cell r="C69" t="str">
            <v>Bridge</v>
          </cell>
          <cell r="D69" t="str">
            <v>Moveable-Span Bridge</v>
          </cell>
          <cell r="E69" t="str">
            <v>AQ040</v>
          </cell>
          <cell r="F69" t="str">
            <v>Bridge</v>
          </cell>
          <cell r="G69" t="str">
            <v>BOT_16</v>
          </cell>
          <cell r="H69" t="str">
            <v>BOT</v>
          </cell>
          <cell r="I69">
            <v>16</v>
          </cell>
          <cell r="J69" t="str">
            <v>Bridge Opening Type</v>
          </cell>
          <cell r="K69" t="str">
            <v>Opening</v>
          </cell>
          <cell r="L69" t="str">
            <v>_</v>
          </cell>
          <cell r="Q69" t="str">
            <v>_</v>
          </cell>
        </row>
        <row r="70">
          <cell r="A70">
            <v>296</v>
          </cell>
          <cell r="B70" t="str">
            <v>266</v>
          </cell>
          <cell r="C70" t="str">
            <v>Tower</v>
          </cell>
          <cell r="D70" t="str">
            <v>Bridge Tower (Note:266 was changed to 277 in Data.Collect)</v>
          </cell>
          <cell r="E70" t="str">
            <v>AQ055</v>
          </cell>
          <cell r="F70" t="str">
            <v>Bridge Tower</v>
          </cell>
          <cell r="G70" t="str">
            <v>_</v>
          </cell>
          <cell r="L70" t="str">
            <v>_</v>
          </cell>
          <cell r="Q70" t="str">
            <v>_</v>
          </cell>
        </row>
        <row r="71">
          <cell r="A71">
            <v>2020</v>
          </cell>
          <cell r="B71" t="str">
            <v>267</v>
          </cell>
          <cell r="C71" t="str">
            <v>Bridge</v>
          </cell>
          <cell r="D71" t="str">
            <v>Deck Bridge</v>
          </cell>
          <cell r="E71" t="str">
            <v>AQ040</v>
          </cell>
          <cell r="F71" t="str">
            <v>Bridge</v>
          </cell>
          <cell r="G71" t="str">
            <v>BSC_3</v>
          </cell>
          <cell r="H71" t="str">
            <v>BSC</v>
          </cell>
          <cell r="I71">
            <v>3</v>
          </cell>
          <cell r="J71" t="str">
            <v>Bridge Structure Type</v>
          </cell>
          <cell r="K71" t="str">
            <v>Deck</v>
          </cell>
          <cell r="L71" t="str">
            <v>_</v>
          </cell>
          <cell r="Q71" t="str">
            <v>_</v>
          </cell>
        </row>
        <row r="72">
          <cell r="A72">
            <v>8</v>
          </cell>
          <cell r="B72" t="str">
            <v>270</v>
          </cell>
          <cell r="C72" t="str">
            <v>Bridge (Superstr. General)</v>
          </cell>
          <cell r="D72" t="str">
            <v>Superstructure - General</v>
          </cell>
          <cell r="E72" t="str">
            <v>AQ050</v>
          </cell>
          <cell r="F72" t="str">
            <v>Bridge Superstructure</v>
          </cell>
          <cell r="G72" t="str">
            <v>_</v>
          </cell>
          <cell r="L72" t="str">
            <v>_</v>
          </cell>
          <cell r="Q72" t="str">
            <v>_</v>
          </cell>
        </row>
        <row r="73">
          <cell r="A73">
            <v>2</v>
          </cell>
          <cell r="B73" t="str">
            <v>271</v>
          </cell>
          <cell r="C73" t="str">
            <v>Bridge (Superst.Suspension)</v>
          </cell>
          <cell r="D73" t="str">
            <v>Superstructure - Suspension</v>
          </cell>
          <cell r="E73" t="str">
            <v>AQ050</v>
          </cell>
          <cell r="F73" t="str">
            <v>Bridge Superstructure</v>
          </cell>
          <cell r="G73" t="str">
            <v>BSC_9</v>
          </cell>
          <cell r="H73" t="str">
            <v>BSC</v>
          </cell>
          <cell r="I73">
            <v>9</v>
          </cell>
          <cell r="J73" t="str">
            <v>Bridge Structure Type</v>
          </cell>
          <cell r="K73" t="str">
            <v>Suspension</v>
          </cell>
          <cell r="L73" t="str">
            <v>_</v>
          </cell>
          <cell r="Q73" t="str">
            <v>_</v>
          </cell>
        </row>
        <row r="74">
          <cell r="A74">
            <v>9</v>
          </cell>
          <cell r="B74" t="str">
            <v>272</v>
          </cell>
          <cell r="C74" t="str">
            <v>Bridge (Superstr.Twr Suspen)</v>
          </cell>
          <cell r="D74" t="str">
            <v>Superstructure - Tower Suspension</v>
          </cell>
          <cell r="E74" t="str">
            <v>AQ050</v>
          </cell>
          <cell r="F74" t="str">
            <v>Bridge Superstructure</v>
          </cell>
          <cell r="G74" t="str">
            <v>BSC_7</v>
          </cell>
          <cell r="H74" t="str">
            <v>BSC</v>
          </cell>
          <cell r="I74">
            <v>7</v>
          </cell>
          <cell r="J74" t="str">
            <v>Bridge Structure Type</v>
          </cell>
          <cell r="K74" t="str">
            <v>Tower Suspension</v>
          </cell>
          <cell r="L74" t="str">
            <v>_</v>
          </cell>
          <cell r="Q74" t="str">
            <v>_</v>
          </cell>
        </row>
        <row r="75">
          <cell r="A75">
            <v>0</v>
          </cell>
          <cell r="B75" t="str">
            <v>273</v>
          </cell>
          <cell r="C75" t="str">
            <v>Bridge (Superstr.Cantilever)</v>
          </cell>
          <cell r="D75" t="str">
            <v>Superstructure - Cantilever</v>
          </cell>
          <cell r="E75" t="str">
            <v>AQ050</v>
          </cell>
          <cell r="F75" t="str">
            <v>Bridge Superstructure</v>
          </cell>
          <cell r="G75" t="str">
            <v>BSC_2</v>
          </cell>
          <cell r="H75" t="str">
            <v>BSC</v>
          </cell>
          <cell r="I75">
            <v>2</v>
          </cell>
          <cell r="J75" t="str">
            <v>Bridge Structure Type</v>
          </cell>
          <cell r="K75" t="str">
            <v>Cantilever</v>
          </cell>
          <cell r="L75" t="str">
            <v>_</v>
          </cell>
          <cell r="Q75" t="str">
            <v>_</v>
          </cell>
        </row>
        <row r="76">
          <cell r="A76">
            <v>0</v>
          </cell>
          <cell r="B76" t="str">
            <v>274</v>
          </cell>
          <cell r="C76" t="str">
            <v>Bridge (Superstr. Arch)</v>
          </cell>
          <cell r="D76" t="str">
            <v>Superstructure - Arch</v>
          </cell>
          <cell r="E76" t="str">
            <v>AQ050</v>
          </cell>
          <cell r="F76" t="str">
            <v>Bridge Superstructure</v>
          </cell>
          <cell r="G76" t="str">
            <v>BSC_31</v>
          </cell>
          <cell r="H76" t="str">
            <v>BSC</v>
          </cell>
          <cell r="I76">
            <v>31</v>
          </cell>
          <cell r="J76" t="str">
            <v>Bridge Structure Type</v>
          </cell>
          <cell r="K76" t="str">
            <v>Arch</v>
          </cell>
          <cell r="L76" t="str">
            <v>_</v>
          </cell>
          <cell r="Q76" t="str">
            <v>_</v>
          </cell>
        </row>
        <row r="77">
          <cell r="A77">
            <v>2</v>
          </cell>
          <cell r="B77" t="str">
            <v>275</v>
          </cell>
          <cell r="C77" t="str">
            <v>Bridge (Superstr. Truss)</v>
          </cell>
          <cell r="D77" t="str">
            <v>Superstructure - Truss</v>
          </cell>
          <cell r="E77" t="str">
            <v>AQ050</v>
          </cell>
          <cell r="F77" t="str">
            <v>Bridge Superstructure</v>
          </cell>
          <cell r="G77" t="str">
            <v>BSC_8</v>
          </cell>
          <cell r="H77" t="str">
            <v>BSC</v>
          </cell>
          <cell r="I77">
            <v>8</v>
          </cell>
          <cell r="J77" t="str">
            <v>Bridge Structure Type</v>
          </cell>
          <cell r="K77" t="str">
            <v>Truss</v>
          </cell>
          <cell r="L77" t="str">
            <v>_</v>
          </cell>
          <cell r="Q77" t="str">
            <v>_</v>
          </cell>
        </row>
        <row r="78">
          <cell r="A78">
            <v>0</v>
          </cell>
          <cell r="B78" t="str">
            <v>276</v>
          </cell>
          <cell r="C78" t="str">
            <v>Bridge (Superstr.Move Span)</v>
          </cell>
          <cell r="D78" t="str">
            <v>Superstructure - Moveable Span</v>
          </cell>
          <cell r="E78" t="str">
            <v>AQ040</v>
          </cell>
          <cell r="F78" t="str">
            <v>Bridge</v>
          </cell>
          <cell r="G78" t="str">
            <v>BOT_16</v>
          </cell>
          <cell r="H78" t="str">
            <v>BOT</v>
          </cell>
          <cell r="I78">
            <v>16</v>
          </cell>
          <cell r="J78" t="str">
            <v>Bridge Opening Type</v>
          </cell>
          <cell r="K78" t="str">
            <v>Opening</v>
          </cell>
          <cell r="L78" t="str">
            <v>_</v>
          </cell>
          <cell r="Q78" t="str">
            <v>_</v>
          </cell>
          <cell r="V78" t="str">
            <v>[NCGIS]: Merge with 265 (moveable-span bridge).</v>
          </cell>
        </row>
        <row r="79">
          <cell r="A79">
            <v>0</v>
          </cell>
          <cell r="B79" t="str">
            <v>277</v>
          </cell>
          <cell r="C79" t="str">
            <v>Tower</v>
          </cell>
          <cell r="D79" t="str">
            <v>Bridge Tower (Note:266 was changed to 277 in Data.Collect)</v>
          </cell>
          <cell r="E79" t="str">
            <v>AQ055</v>
          </cell>
          <cell r="F79" t="str">
            <v>Bridge Tower</v>
          </cell>
          <cell r="G79" t="str">
            <v>_</v>
          </cell>
          <cell r="L79" t="str">
            <v>_</v>
          </cell>
          <cell r="Q79" t="str">
            <v>_</v>
          </cell>
          <cell r="V79" t="str">
            <v>[NCGIS]: Merge with 266 (alternate code for same thing according to DVOF specification).</v>
          </cell>
        </row>
        <row r="80">
          <cell r="A80">
            <v>0</v>
          </cell>
          <cell r="B80" t="str">
            <v>280</v>
          </cell>
          <cell r="C80" t="str">
            <v>Conduit</v>
          </cell>
          <cell r="D80" t="str">
            <v>Conduit, General (Aqueduct, Overhead Pipeline)</v>
          </cell>
          <cell r="E80" t="str">
            <v>AQ113</v>
          </cell>
          <cell r="F80" t="str">
            <v>Pipeline</v>
          </cell>
          <cell r="G80" t="str">
            <v>LOC_45</v>
          </cell>
          <cell r="H80" t="str">
            <v>LOC</v>
          </cell>
          <cell r="I80">
            <v>45</v>
          </cell>
          <cell r="J80" t="str">
            <v>Vertical Relative Location</v>
          </cell>
          <cell r="K80" t="str">
            <v>Above Surface</v>
          </cell>
          <cell r="L80" t="str">
            <v>_</v>
          </cell>
          <cell r="Q80" t="str">
            <v>_</v>
          </cell>
          <cell r="V80" t="str">
            <v>[PVA]: "Agree with map to suspended pipeline since an aqueduct is captured separately (282)."</v>
          </cell>
        </row>
        <row r="81">
          <cell r="A81">
            <v>17</v>
          </cell>
          <cell r="B81" t="str">
            <v>281</v>
          </cell>
          <cell r="C81" t="str">
            <v>Conduit</v>
          </cell>
          <cell r="D81" t="str">
            <v>Pipeline (above ground)</v>
          </cell>
          <cell r="E81" t="str">
            <v>AQ113</v>
          </cell>
          <cell r="F81" t="str">
            <v>Pipeline</v>
          </cell>
          <cell r="G81" t="str">
            <v>LOC_44</v>
          </cell>
          <cell r="H81" t="str">
            <v>LOC</v>
          </cell>
          <cell r="I81">
            <v>44</v>
          </cell>
          <cell r="J81" t="str">
            <v>Vertical Relative Location</v>
          </cell>
          <cell r="K81" t="str">
            <v>On Surface</v>
          </cell>
          <cell r="L81" t="str">
            <v>_</v>
          </cell>
          <cell r="Q81" t="str">
            <v>_</v>
          </cell>
        </row>
        <row r="82">
          <cell r="A82">
            <v>559</v>
          </cell>
          <cell r="B82" t="str">
            <v>282</v>
          </cell>
          <cell r="C82" t="str">
            <v>Conduit</v>
          </cell>
          <cell r="D82" t="str">
            <v>Aqueduct</v>
          </cell>
          <cell r="E82" t="str">
            <v>BH010</v>
          </cell>
          <cell r="F82" t="str">
            <v>Aqueduct</v>
          </cell>
          <cell r="G82" t="str">
            <v>_</v>
          </cell>
          <cell r="L82" t="str">
            <v>_</v>
          </cell>
          <cell r="Q82" t="str">
            <v>_</v>
          </cell>
        </row>
        <row r="83">
          <cell r="A83">
            <v>158</v>
          </cell>
          <cell r="B83" t="str">
            <v>290</v>
          </cell>
          <cell r="C83" t="str">
            <v>Transportation</v>
          </cell>
          <cell r="D83" t="str">
            <v>Associated Structure, Transportation</v>
          </cell>
          <cell r="E83" t="str">
            <v>AL014</v>
          </cell>
          <cell r="F83" t="str">
            <v>Non-building Structure</v>
          </cell>
          <cell r="G83" t="str">
            <v>FFN_480</v>
          </cell>
          <cell r="H83" t="str">
            <v>FFN</v>
          </cell>
          <cell r="I83">
            <v>480</v>
          </cell>
          <cell r="J83" t="str">
            <v>Feature Function(s)</v>
          </cell>
          <cell r="K83" t="str">
            <v>Transport</v>
          </cell>
          <cell r="L83" t="str">
            <v>_</v>
          </cell>
          <cell r="Q83" t="str">
            <v>_</v>
          </cell>
        </row>
        <row r="84">
          <cell r="A84">
            <v>1431</v>
          </cell>
          <cell r="B84" t="str">
            <v>301</v>
          </cell>
          <cell r="C84" t="str">
            <v>Building</v>
          </cell>
          <cell r="D84" t="str">
            <v>Commercial Building, General</v>
          </cell>
          <cell r="E84" t="str">
            <v>AL013</v>
          </cell>
          <cell r="F84" t="str">
            <v>Building</v>
          </cell>
          <cell r="G84" t="str">
            <v>FFN_440</v>
          </cell>
          <cell r="H84" t="str">
            <v>FFN</v>
          </cell>
          <cell r="I84">
            <v>440</v>
          </cell>
          <cell r="J84" t="str">
            <v>Feature Function(s)</v>
          </cell>
          <cell r="K84" t="str">
            <v>Commerce</v>
          </cell>
          <cell r="L84" t="str">
            <v>_</v>
          </cell>
          <cell r="Q84" t="str">
            <v>_</v>
          </cell>
        </row>
        <row r="85">
          <cell r="A85">
            <v>5033</v>
          </cell>
          <cell r="B85" t="str">
            <v>302</v>
          </cell>
          <cell r="C85" t="str">
            <v>Building</v>
          </cell>
          <cell r="D85" t="str">
            <v>Commercial Building with Flat Roof (same as type 301 with flat roof)</v>
          </cell>
          <cell r="E85" t="str">
            <v>AL013</v>
          </cell>
          <cell r="F85" t="str">
            <v>Building</v>
          </cell>
          <cell r="G85" t="str">
            <v>FFN_440</v>
          </cell>
          <cell r="H85" t="str">
            <v>FFN</v>
          </cell>
          <cell r="I85">
            <v>440</v>
          </cell>
          <cell r="J85" t="str">
            <v>Feature Function(s)</v>
          </cell>
          <cell r="K85" t="str">
            <v>Commerce</v>
          </cell>
          <cell r="L85" t="str">
            <v>SSR_41</v>
          </cell>
          <cell r="M85" t="str">
            <v>SSR</v>
          </cell>
          <cell r="N85">
            <v>41</v>
          </cell>
          <cell r="O85" t="str">
            <v>Roof Shape</v>
          </cell>
          <cell r="P85" t="str">
            <v>Flat</v>
          </cell>
          <cell r="Q85" t="str">
            <v>_</v>
          </cell>
        </row>
        <row r="86">
          <cell r="A86">
            <v>120</v>
          </cell>
          <cell r="B86" t="str">
            <v>303</v>
          </cell>
          <cell r="C86" t="str">
            <v>Building</v>
          </cell>
          <cell r="D86" t="str">
            <v>Commercial Building, Circular with Flat Roof</v>
          </cell>
          <cell r="E86" t="str">
            <v>AL013</v>
          </cell>
          <cell r="F86" t="str">
            <v>Building</v>
          </cell>
          <cell r="G86" t="str">
            <v>FFN_440</v>
          </cell>
          <cell r="H86" t="str">
            <v>FFN</v>
          </cell>
          <cell r="I86">
            <v>440</v>
          </cell>
          <cell r="J86" t="str">
            <v>Feature Function(s)</v>
          </cell>
          <cell r="K86" t="str">
            <v>Commerce</v>
          </cell>
          <cell r="L86" t="str">
            <v>SSR_41</v>
          </cell>
          <cell r="M86" t="str">
            <v>SSR</v>
          </cell>
          <cell r="N86">
            <v>41</v>
          </cell>
          <cell r="O86" t="str">
            <v>Roof Shape</v>
          </cell>
          <cell r="P86" t="str">
            <v>Flat</v>
          </cell>
          <cell r="Q86" t="str">
            <v>CSS_4</v>
          </cell>
          <cell r="R86" t="str">
            <v>CSS</v>
          </cell>
          <cell r="S86">
            <v>4</v>
          </cell>
          <cell r="T86" t="str">
            <v>Cross-sectional Shape</v>
          </cell>
          <cell r="U86" t="str">
            <v>Circular</v>
          </cell>
        </row>
        <row r="87">
          <cell r="A87">
            <v>295</v>
          </cell>
          <cell r="B87" t="str">
            <v>304</v>
          </cell>
          <cell r="C87" t="str">
            <v>Building</v>
          </cell>
          <cell r="D87" t="str">
            <v>Commercial Building with Gable Roof (same as type 301 with gable roof)</v>
          </cell>
          <cell r="E87" t="str">
            <v>AL013</v>
          </cell>
          <cell r="F87" t="str">
            <v>Building</v>
          </cell>
          <cell r="G87" t="str">
            <v>FFN_440</v>
          </cell>
          <cell r="H87" t="str">
            <v>FFN</v>
          </cell>
          <cell r="I87">
            <v>440</v>
          </cell>
          <cell r="J87" t="str">
            <v>Feature Function(s)</v>
          </cell>
          <cell r="K87" t="str">
            <v>Commerce</v>
          </cell>
          <cell r="L87" t="str">
            <v>SSR_42</v>
          </cell>
          <cell r="M87" t="str">
            <v>SSR</v>
          </cell>
          <cell r="N87">
            <v>42</v>
          </cell>
          <cell r="O87" t="str">
            <v>Roof Shape</v>
          </cell>
          <cell r="P87" t="str">
            <v>Pitched</v>
          </cell>
          <cell r="Q87" t="str">
            <v>_</v>
          </cell>
        </row>
        <row r="88">
          <cell r="A88">
            <v>78</v>
          </cell>
          <cell r="B88" t="str">
            <v>305</v>
          </cell>
          <cell r="C88" t="str">
            <v>Building</v>
          </cell>
          <cell r="D88" t="str">
            <v>Commercial Building with Curved Roof (same as type 301 with curved roof)</v>
          </cell>
          <cell r="E88" t="str">
            <v>AL013</v>
          </cell>
          <cell r="F88" t="str">
            <v>Building</v>
          </cell>
          <cell r="G88" t="str">
            <v>FFN_440</v>
          </cell>
          <cell r="H88" t="str">
            <v>FFN</v>
          </cell>
          <cell r="I88">
            <v>440</v>
          </cell>
          <cell r="J88" t="str">
            <v>Feature Function(s)</v>
          </cell>
          <cell r="K88" t="str">
            <v>Commerce</v>
          </cell>
          <cell r="L88" t="str">
            <v>SSR_38</v>
          </cell>
          <cell r="M88" t="str">
            <v>SSR</v>
          </cell>
          <cell r="N88">
            <v>38</v>
          </cell>
          <cell r="O88" t="str">
            <v>Roof Shape</v>
          </cell>
          <cell r="P88" t="str">
            <v>Semi-cylindrical</v>
          </cell>
          <cell r="Q88" t="str">
            <v>_</v>
          </cell>
          <cell r="V88" t="str">
            <v>[PVA]: "Most likely a half-cylinder -- quonset-like -- but there might be unimportant variation."</v>
          </cell>
        </row>
        <row r="89">
          <cell r="A89">
            <v>30</v>
          </cell>
          <cell r="B89" t="str">
            <v>321</v>
          </cell>
          <cell r="C89" t="str">
            <v>Stadium</v>
          </cell>
          <cell r="D89" t="str">
            <v>Stadium, Enclosed</v>
          </cell>
          <cell r="E89" t="str">
            <v>AK160</v>
          </cell>
          <cell r="F89" t="str">
            <v>Stadium</v>
          </cell>
          <cell r="G89" t="str">
            <v>_</v>
          </cell>
          <cell r="L89" t="str">
            <v>_</v>
          </cell>
          <cell r="Q89" t="str">
            <v>_</v>
          </cell>
          <cell r="V89" t="str">
            <v>[PVA]: "No need to discriminate 'Enclosed' (four-sided) from 'Open' (facing grandstands)."</v>
          </cell>
        </row>
        <row r="90">
          <cell r="A90">
            <v>26</v>
          </cell>
          <cell r="B90" t="str">
            <v>322</v>
          </cell>
          <cell r="C90" t="str">
            <v>Stadium</v>
          </cell>
          <cell r="D90" t="str">
            <v>Stadium, Open-ended</v>
          </cell>
          <cell r="E90" t="str">
            <v>AK160</v>
          </cell>
          <cell r="F90" t="str">
            <v>Stadium</v>
          </cell>
          <cell r="G90" t="str">
            <v>_</v>
          </cell>
          <cell r="L90" t="str">
            <v>_</v>
          </cell>
          <cell r="Q90" t="str">
            <v>_</v>
          </cell>
          <cell r="V90" t="str">
            <v>[PVA]: "No need to discriminate 'Enclosed' (four-sided) from 'Open' (facing grandstands)."</v>
          </cell>
        </row>
        <row r="91">
          <cell r="A91">
            <v>6</v>
          </cell>
          <cell r="B91" t="str">
            <v>323</v>
          </cell>
          <cell r="C91" t="str">
            <v>Stadium</v>
          </cell>
          <cell r="D91" t="str">
            <v>Stadium, Domed</v>
          </cell>
          <cell r="E91" t="str">
            <v>AK160</v>
          </cell>
          <cell r="F91" t="str">
            <v>Stadium</v>
          </cell>
          <cell r="G91" t="str">
            <v>SSR_40</v>
          </cell>
          <cell r="H91" t="str">
            <v>SSR</v>
          </cell>
          <cell r="I91">
            <v>40</v>
          </cell>
          <cell r="J91" t="str">
            <v>Roof Shape</v>
          </cell>
          <cell r="K91" t="str">
            <v>Domed</v>
          </cell>
          <cell r="L91" t="str">
            <v>_</v>
          </cell>
          <cell r="Q91" t="str">
            <v>_</v>
          </cell>
        </row>
        <row r="92">
          <cell r="A92">
            <v>49</v>
          </cell>
          <cell r="B92" t="str">
            <v>324</v>
          </cell>
          <cell r="C92" t="str">
            <v>Stadium</v>
          </cell>
          <cell r="D92" t="str">
            <v>Grandstand</v>
          </cell>
          <cell r="E92" t="str">
            <v>AK110</v>
          </cell>
          <cell r="F92" t="str">
            <v>Grandstand</v>
          </cell>
          <cell r="G92" t="str">
            <v>_</v>
          </cell>
          <cell r="L92" t="str">
            <v>_</v>
          </cell>
          <cell r="Q92" t="str">
            <v>_</v>
          </cell>
        </row>
        <row r="93">
          <cell r="A93">
            <v>25</v>
          </cell>
          <cell r="B93" t="str">
            <v>331</v>
          </cell>
          <cell r="C93" t="str">
            <v>Amusement Park</v>
          </cell>
          <cell r="D93" t="str">
            <v>Roller Coaster Structure</v>
          </cell>
          <cell r="E93" t="str">
            <v>AK020</v>
          </cell>
          <cell r="F93" t="str">
            <v>Amusement Park Attraction</v>
          </cell>
          <cell r="G93" t="str">
            <v>AMA_3</v>
          </cell>
          <cell r="H93" t="str">
            <v>AMA</v>
          </cell>
          <cell r="I93">
            <v>3</v>
          </cell>
          <cell r="J93" t="str">
            <v>Amusement Attraction Type</v>
          </cell>
          <cell r="K93" t="str">
            <v>Roller-coaster</v>
          </cell>
          <cell r="L93" t="str">
            <v>_</v>
          </cell>
          <cell r="Q93" t="str">
            <v>_</v>
          </cell>
        </row>
        <row r="94">
          <cell r="A94">
            <v>21</v>
          </cell>
          <cell r="B94" t="str">
            <v>332</v>
          </cell>
          <cell r="C94" t="str">
            <v>Amusement Park</v>
          </cell>
          <cell r="D94" t="str">
            <v>Ferris Wheel Structure</v>
          </cell>
          <cell r="E94" t="str">
            <v>AK020</v>
          </cell>
          <cell r="F94" t="str">
            <v>Amusement Park Attraction</v>
          </cell>
          <cell r="G94" t="str">
            <v>AMA_2</v>
          </cell>
          <cell r="H94" t="str">
            <v>AMA</v>
          </cell>
          <cell r="I94">
            <v>2</v>
          </cell>
          <cell r="J94" t="str">
            <v>Amusement Attraction Type</v>
          </cell>
          <cell r="K94" t="str">
            <v>Ferris Wheel</v>
          </cell>
          <cell r="L94" t="str">
            <v>_</v>
          </cell>
          <cell r="Q94" t="str">
            <v>_</v>
          </cell>
        </row>
        <row r="95">
          <cell r="A95">
            <v>9</v>
          </cell>
          <cell r="B95" t="str">
            <v>334</v>
          </cell>
          <cell r="C95" t="str">
            <v>Amusement Park</v>
          </cell>
          <cell r="D95" t="str">
            <v>Artificial Mountain Structure</v>
          </cell>
          <cell r="E95" t="str">
            <v>AK020</v>
          </cell>
          <cell r="F95" t="str">
            <v>Amusement Park Attraction</v>
          </cell>
          <cell r="G95" t="str">
            <v>AMA_1</v>
          </cell>
          <cell r="H95" t="str">
            <v>AMA</v>
          </cell>
          <cell r="I95">
            <v>1</v>
          </cell>
          <cell r="J95" t="str">
            <v>Amusement Attraction Type</v>
          </cell>
          <cell r="K95" t="str">
            <v>Artificial Mountain</v>
          </cell>
          <cell r="L95" t="str">
            <v>_</v>
          </cell>
          <cell r="Q95" t="str">
            <v>_</v>
          </cell>
        </row>
        <row r="96">
          <cell r="A96">
            <v>2</v>
          </cell>
          <cell r="B96" t="str">
            <v>335</v>
          </cell>
          <cell r="C96" t="str">
            <v>Ski Jump</v>
          </cell>
          <cell r="D96" t="str">
            <v>Ski Jump</v>
          </cell>
          <cell r="E96" t="str">
            <v>AK150</v>
          </cell>
          <cell r="F96" t="str">
            <v>Ski-jump</v>
          </cell>
          <cell r="G96" t="str">
            <v>_</v>
          </cell>
          <cell r="L96" t="str">
            <v>_</v>
          </cell>
          <cell r="Q96" t="str">
            <v>_</v>
          </cell>
        </row>
        <row r="97">
          <cell r="A97">
            <v>107</v>
          </cell>
          <cell r="B97" t="str">
            <v>340</v>
          </cell>
          <cell r="C97" t="str">
            <v>Sign</v>
          </cell>
          <cell r="D97" t="str">
            <v>Display Sign, General</v>
          </cell>
          <cell r="E97" t="str">
            <v>AL050</v>
          </cell>
          <cell r="F97" t="str">
            <v>Display Sign</v>
          </cell>
          <cell r="G97" t="str">
            <v>_</v>
          </cell>
          <cell r="L97" t="str">
            <v>_</v>
          </cell>
          <cell r="Q97" t="str">
            <v>_</v>
          </cell>
        </row>
        <row r="98">
          <cell r="A98">
            <v>83</v>
          </cell>
          <cell r="B98" t="str">
            <v>350</v>
          </cell>
          <cell r="C98" t="str">
            <v>Recreational Structure</v>
          </cell>
          <cell r="D98" t="str">
            <v>Commercial/Recreational Structure, General</v>
          </cell>
          <cell r="E98" t="str">
            <v>AK020</v>
          </cell>
          <cell r="F98" t="str">
            <v>Amusement Park Attraction</v>
          </cell>
          <cell r="G98" t="str">
            <v>_</v>
          </cell>
          <cell r="L98" t="str">
            <v>_</v>
          </cell>
          <cell r="Q98" t="str">
            <v>_</v>
          </cell>
          <cell r="V98" t="str">
            <v>[PVA]: "Used to collect a significant structure at an amusement park."</v>
          </cell>
        </row>
        <row r="99">
          <cell r="A99">
            <v>4104</v>
          </cell>
          <cell r="B99" t="str">
            <v>401</v>
          </cell>
          <cell r="C99" t="str">
            <v>Building</v>
          </cell>
          <cell r="D99" t="str">
            <v>Dwelling, Multi-family</v>
          </cell>
          <cell r="E99" t="str">
            <v>AL013</v>
          </cell>
          <cell r="F99" t="str">
            <v>Building</v>
          </cell>
          <cell r="G99" t="str">
            <v>FFN_561</v>
          </cell>
          <cell r="H99" t="str">
            <v>FFN</v>
          </cell>
          <cell r="I99">
            <v>561</v>
          </cell>
          <cell r="J99" t="str">
            <v>Feature Function(s)</v>
          </cell>
          <cell r="K99" t="str">
            <v>Attached House</v>
          </cell>
          <cell r="L99" t="str">
            <v>_</v>
          </cell>
          <cell r="Q99" t="str">
            <v>_</v>
          </cell>
        </row>
        <row r="100">
          <cell r="A100">
            <v>15550</v>
          </cell>
          <cell r="B100" t="str">
            <v>402</v>
          </cell>
          <cell r="C100" t="str">
            <v>Building</v>
          </cell>
          <cell r="D100" t="str">
            <v>Apartment/Hotel with Flat Roof</v>
          </cell>
          <cell r="E100" t="str">
            <v>AL013</v>
          </cell>
          <cell r="F100" t="str">
            <v>Building</v>
          </cell>
          <cell r="G100" t="str">
            <v>FFN_559</v>
          </cell>
          <cell r="H100" t="str">
            <v>FFN</v>
          </cell>
          <cell r="I100">
            <v>559</v>
          </cell>
          <cell r="J100" t="str">
            <v>Feature Function(s)</v>
          </cell>
          <cell r="K100" t="str">
            <v>Apartment House</v>
          </cell>
          <cell r="L100" t="str">
            <v>SSR_41</v>
          </cell>
          <cell r="M100" t="str">
            <v>SSR</v>
          </cell>
          <cell r="N100">
            <v>41</v>
          </cell>
          <cell r="O100" t="str">
            <v>Roof Shape</v>
          </cell>
          <cell r="P100" t="str">
            <v>Flat</v>
          </cell>
          <cell r="Q100" t="str">
            <v>_</v>
          </cell>
        </row>
        <row r="101">
          <cell r="A101">
            <v>722</v>
          </cell>
          <cell r="B101" t="str">
            <v>403</v>
          </cell>
          <cell r="C101" t="str">
            <v>Building</v>
          </cell>
          <cell r="D101" t="str">
            <v>Apartment/Hotel with Gable Roof</v>
          </cell>
          <cell r="E101" t="str">
            <v>AL013</v>
          </cell>
          <cell r="F101" t="str">
            <v>Building</v>
          </cell>
          <cell r="G101" t="str">
            <v>FFN_559</v>
          </cell>
          <cell r="H101" t="str">
            <v>FFN</v>
          </cell>
          <cell r="I101">
            <v>559</v>
          </cell>
          <cell r="J101" t="str">
            <v>Feature Function(s)</v>
          </cell>
          <cell r="K101" t="str">
            <v>Apartment House</v>
          </cell>
          <cell r="L101" t="str">
            <v>SSR_42</v>
          </cell>
          <cell r="M101" t="str">
            <v>SSR</v>
          </cell>
          <cell r="N101">
            <v>42</v>
          </cell>
          <cell r="O101" t="str">
            <v>Roof Shape</v>
          </cell>
          <cell r="P101" t="str">
            <v>Pitched</v>
          </cell>
          <cell r="Q101" t="str">
            <v>_</v>
          </cell>
        </row>
        <row r="102">
          <cell r="A102">
            <v>157</v>
          </cell>
          <cell r="B102" t="str">
            <v>434</v>
          </cell>
          <cell r="C102" t="str">
            <v>Windmill</v>
          </cell>
          <cell r="D102" t="str">
            <v>Windmill, Truss</v>
          </cell>
          <cell r="E102" t="str">
            <v>AJ050</v>
          </cell>
          <cell r="F102" t="str">
            <v>Windmill</v>
          </cell>
          <cell r="G102" t="str">
            <v>TOS_12</v>
          </cell>
          <cell r="H102" t="str">
            <v>TOS</v>
          </cell>
          <cell r="I102">
            <v>12</v>
          </cell>
          <cell r="J102" t="str">
            <v>Tower Shape</v>
          </cell>
          <cell r="K102" t="str">
            <v>Truss</v>
          </cell>
          <cell r="L102" t="str">
            <v>_</v>
          </cell>
          <cell r="Q102" t="str">
            <v>_</v>
          </cell>
        </row>
        <row r="103">
          <cell r="A103">
            <v>4190</v>
          </cell>
          <cell r="B103" t="str">
            <v>435</v>
          </cell>
          <cell r="C103" t="str">
            <v>Windmill</v>
          </cell>
          <cell r="D103" t="str">
            <v>Windmill, Solid</v>
          </cell>
          <cell r="E103" t="str">
            <v>AJ050</v>
          </cell>
          <cell r="F103" t="str">
            <v>Windmill</v>
          </cell>
          <cell r="G103" t="str">
            <v>TOS_13</v>
          </cell>
          <cell r="H103" t="str">
            <v>TOS</v>
          </cell>
          <cell r="I103">
            <v>13</v>
          </cell>
          <cell r="J103" t="str">
            <v>Tower Shape</v>
          </cell>
          <cell r="K103" t="str">
            <v>Tubular</v>
          </cell>
          <cell r="L103" t="str">
            <v>_</v>
          </cell>
          <cell r="Q103" t="str">
            <v>_</v>
          </cell>
        </row>
        <row r="104">
          <cell r="A104">
            <v>11186</v>
          </cell>
          <cell r="B104" t="str">
            <v>437</v>
          </cell>
          <cell r="C104" t="str">
            <v>Windmill (Windmtr. On Land)</v>
          </cell>
          <cell r="D104" t="str">
            <v>Windmotor/Wind Power Generator - Located On Land</v>
          </cell>
          <cell r="E104" t="str">
            <v>AJ051</v>
          </cell>
          <cell r="F104" t="str">
            <v>Windmotor</v>
          </cell>
          <cell r="G104" t="str">
            <v>SRL_2</v>
          </cell>
          <cell r="H104" t="str">
            <v>SRL</v>
          </cell>
          <cell r="I104">
            <v>2</v>
          </cell>
          <cell r="J104" t="str">
            <v>Location Referenced to Shoreline</v>
          </cell>
          <cell r="K104" t="str">
            <v>Inland</v>
          </cell>
          <cell r="L104" t="str">
            <v>_</v>
          </cell>
          <cell r="Q104" t="str">
            <v>_</v>
          </cell>
        </row>
        <row r="105">
          <cell r="A105">
            <v>19</v>
          </cell>
          <cell r="B105" t="str">
            <v>438</v>
          </cell>
          <cell r="C105" t="str">
            <v>Windmill (Windmtr. Off Shore)</v>
          </cell>
          <cell r="D105" t="str">
            <v>Windmotor/Wind Power Generator - Located Off Shore</v>
          </cell>
          <cell r="E105" t="str">
            <v>AJ051</v>
          </cell>
          <cell r="F105" t="str">
            <v>Windmotor</v>
          </cell>
          <cell r="G105" t="str">
            <v>SRL_1</v>
          </cell>
          <cell r="H105" t="str">
            <v>SRL</v>
          </cell>
          <cell r="I105">
            <v>1</v>
          </cell>
          <cell r="J105" t="str">
            <v>Location Referenced to Shoreline</v>
          </cell>
          <cell r="K105" t="str">
            <v>Offshore</v>
          </cell>
          <cell r="L105" t="str">
            <v>_</v>
          </cell>
          <cell r="Q105" t="str">
            <v>_</v>
          </cell>
        </row>
        <row r="106">
          <cell r="A106">
            <v>75</v>
          </cell>
          <cell r="B106" t="str">
            <v>450</v>
          </cell>
          <cell r="C106" t="str">
            <v>Building</v>
          </cell>
          <cell r="D106" t="str">
            <v>Associated Structure, Agricultural/Residential</v>
          </cell>
          <cell r="E106" t="str">
            <v>AL014</v>
          </cell>
          <cell r="F106" t="str">
            <v>Non-building Structure</v>
          </cell>
          <cell r="G106" t="str">
            <v>FFN_2</v>
          </cell>
          <cell r="H106" t="str">
            <v>FFN</v>
          </cell>
          <cell r="I106">
            <v>2</v>
          </cell>
          <cell r="J106" t="str">
            <v>Feature Function(s)</v>
          </cell>
          <cell r="K106" t="str">
            <v>Agriculture</v>
          </cell>
          <cell r="L106" t="str">
            <v>_</v>
          </cell>
          <cell r="Q106" t="str">
            <v>_</v>
          </cell>
          <cell r="V106" t="str">
            <v>[PVA]: "Associated with an agricultural facility but something other than a Silo or Grain Elevator; not necessarily a building, e.g., shed, corn crib, ..."</v>
          </cell>
        </row>
        <row r="107">
          <cell r="A107">
            <v>63966</v>
          </cell>
          <cell r="B107" t="str">
            <v>501</v>
          </cell>
          <cell r="C107" t="str">
            <v>Tower</v>
          </cell>
          <cell r="D107" t="str">
            <v>Communication Tower, General</v>
          </cell>
          <cell r="E107" t="str">
            <v>AL241</v>
          </cell>
          <cell r="F107" t="str">
            <v>Tower</v>
          </cell>
          <cell r="G107" t="str">
            <v>TTC_20</v>
          </cell>
          <cell r="H107" t="str">
            <v>TTC</v>
          </cell>
          <cell r="I107">
            <v>20</v>
          </cell>
          <cell r="J107" t="str">
            <v>Tower Type</v>
          </cell>
          <cell r="K107" t="str">
            <v>Telecommunication Tower</v>
          </cell>
          <cell r="L107" t="str">
            <v>_</v>
          </cell>
          <cell r="Q107" t="str">
            <v>_</v>
          </cell>
        </row>
        <row r="108">
          <cell r="A108">
            <v>6742</v>
          </cell>
          <cell r="B108" t="str">
            <v>511</v>
          </cell>
          <cell r="C108" t="str">
            <v>Tower</v>
          </cell>
          <cell r="D108" t="str">
            <v>Radio/TV Tower, Type A</v>
          </cell>
          <cell r="E108" t="str">
            <v>AL241</v>
          </cell>
          <cell r="F108" t="str">
            <v>Tower</v>
          </cell>
          <cell r="G108" t="str">
            <v>TTC_20</v>
          </cell>
          <cell r="H108" t="str">
            <v>TTC</v>
          </cell>
          <cell r="I108">
            <v>20</v>
          </cell>
          <cell r="J108" t="str">
            <v>Tower Type</v>
          </cell>
          <cell r="K108" t="str">
            <v>Telecommunication Tower</v>
          </cell>
          <cell r="L108" t="str">
            <v>PYC_1</v>
          </cell>
          <cell r="M108" t="str">
            <v>PYC</v>
          </cell>
          <cell r="N108">
            <v>1</v>
          </cell>
          <cell r="O108" t="str">
            <v>Pylon Configuration</v>
          </cell>
          <cell r="P108" t="str">
            <v>'A'</v>
          </cell>
          <cell r="Q108" t="str">
            <v>_</v>
          </cell>
          <cell r="V108" t="str">
            <v>[NCGIS]: Ignoring Radio/TV aspect as the distinction really appears to be the visual one of "without reflector/cone".</v>
          </cell>
        </row>
        <row r="109">
          <cell r="A109">
            <v>26237</v>
          </cell>
          <cell r="B109" t="str">
            <v>512</v>
          </cell>
          <cell r="C109" t="str">
            <v>Mast</v>
          </cell>
          <cell r="D109" t="str">
            <v>Radio/TV Tower, Type I</v>
          </cell>
          <cell r="E109" t="str">
            <v>AL241</v>
          </cell>
          <cell r="F109" t="str">
            <v>Tower</v>
          </cell>
          <cell r="G109" t="str">
            <v>TTC_20</v>
          </cell>
          <cell r="H109" t="str">
            <v>TTC</v>
          </cell>
          <cell r="I109">
            <v>20</v>
          </cell>
          <cell r="J109" t="str">
            <v>Tower Type</v>
          </cell>
          <cell r="K109" t="str">
            <v>Telecommunication Tower</v>
          </cell>
          <cell r="L109" t="str">
            <v>PYC_3</v>
          </cell>
          <cell r="M109" t="str">
            <v>PYC</v>
          </cell>
          <cell r="N109">
            <v>3</v>
          </cell>
          <cell r="O109" t="str">
            <v>Pylon Configuration</v>
          </cell>
          <cell r="P109" t="str">
            <v>'I'</v>
          </cell>
          <cell r="Q109" t="str">
            <v>_</v>
          </cell>
          <cell r="V109" t="str">
            <v>[NCGIS]: Ignoring Radio/TV aspect as the distinction really appears to be the visual one of "without reflector/cone".</v>
          </cell>
        </row>
        <row r="110">
          <cell r="A110">
            <v>2880</v>
          </cell>
          <cell r="B110" t="str">
            <v>520</v>
          </cell>
          <cell r="C110" t="str">
            <v>Tower</v>
          </cell>
          <cell r="D110" t="str">
            <v>Microwave Tower, Type A (has reflector/cone)</v>
          </cell>
          <cell r="E110" t="str">
            <v>AL241</v>
          </cell>
          <cell r="F110" t="str">
            <v>Tower</v>
          </cell>
          <cell r="G110" t="str">
            <v>TTC_20</v>
          </cell>
          <cell r="H110" t="str">
            <v>TTC</v>
          </cell>
          <cell r="I110">
            <v>20</v>
          </cell>
          <cell r="J110" t="str">
            <v>Tower Type</v>
          </cell>
          <cell r="K110" t="str">
            <v>Telecommunication Tower</v>
          </cell>
          <cell r="L110" t="str">
            <v>PYC_1</v>
          </cell>
          <cell r="M110" t="str">
            <v>PYC</v>
          </cell>
          <cell r="N110">
            <v>1</v>
          </cell>
          <cell r="O110" t="str">
            <v>Pylon Configuration</v>
          </cell>
          <cell r="P110" t="str">
            <v>'A'</v>
          </cell>
          <cell r="Q110" t="str">
            <v>NST_16</v>
          </cell>
          <cell r="R110" t="str">
            <v>NST</v>
          </cell>
          <cell r="S110">
            <v>16</v>
          </cell>
          <cell r="T110" t="str">
            <v>Navigation System Type</v>
          </cell>
          <cell r="U110" t="str">
            <v>Microwave</v>
          </cell>
        </row>
        <row r="111">
          <cell r="A111">
            <v>2482</v>
          </cell>
          <cell r="B111" t="str">
            <v>521</v>
          </cell>
          <cell r="C111" t="str">
            <v>Mast</v>
          </cell>
          <cell r="D111" t="str">
            <v>Microwave Tower, Type I (has reflector/cone)</v>
          </cell>
          <cell r="E111" t="str">
            <v>AL241</v>
          </cell>
          <cell r="F111" t="str">
            <v>Tower</v>
          </cell>
          <cell r="G111" t="str">
            <v>TTC_20</v>
          </cell>
          <cell r="H111" t="str">
            <v>TTC</v>
          </cell>
          <cell r="I111">
            <v>20</v>
          </cell>
          <cell r="J111" t="str">
            <v>Tower Type</v>
          </cell>
          <cell r="K111" t="str">
            <v>Telecommunication Tower</v>
          </cell>
          <cell r="L111" t="str">
            <v>PYC_3</v>
          </cell>
          <cell r="M111" t="str">
            <v>PYC</v>
          </cell>
          <cell r="N111">
            <v>3</v>
          </cell>
          <cell r="O111" t="str">
            <v>Pylon Configuration</v>
          </cell>
          <cell r="P111" t="str">
            <v>'I'</v>
          </cell>
          <cell r="Q111" t="str">
            <v>NST_16</v>
          </cell>
          <cell r="R111" t="str">
            <v>NST</v>
          </cell>
          <cell r="S111">
            <v>16</v>
          </cell>
          <cell r="T111" t="str">
            <v>Navigation System Type</v>
          </cell>
          <cell r="U111" t="str">
            <v>Microwave</v>
          </cell>
        </row>
        <row r="112">
          <cell r="A112">
            <v>82477</v>
          </cell>
          <cell r="B112" t="str">
            <v>530</v>
          </cell>
          <cell r="C112" t="str">
            <v>Tower</v>
          </cell>
          <cell r="D112" t="str">
            <v>Miscellaneous Tower, General</v>
          </cell>
          <cell r="E112" t="str">
            <v>AL241</v>
          </cell>
          <cell r="F112" t="str">
            <v>Tower</v>
          </cell>
          <cell r="G112" t="str">
            <v>_</v>
          </cell>
          <cell r="L112" t="str">
            <v>_</v>
          </cell>
          <cell r="Q112" t="str">
            <v>_</v>
          </cell>
        </row>
        <row r="113">
          <cell r="A113">
            <v>570</v>
          </cell>
          <cell r="B113" t="str">
            <v>531</v>
          </cell>
          <cell r="C113" t="str">
            <v>Tower</v>
          </cell>
          <cell r="D113" t="str">
            <v>Observation Tower</v>
          </cell>
          <cell r="E113" t="str">
            <v>AL241</v>
          </cell>
          <cell r="F113" t="str">
            <v>Tower</v>
          </cell>
          <cell r="G113" t="str">
            <v>TTC_2</v>
          </cell>
          <cell r="H113" t="str">
            <v>TTC</v>
          </cell>
          <cell r="I113">
            <v>2</v>
          </cell>
          <cell r="J113" t="str">
            <v>Tower Type</v>
          </cell>
          <cell r="K113" t="str">
            <v>Observation Tower</v>
          </cell>
          <cell r="L113" t="str">
            <v>_</v>
          </cell>
          <cell r="Q113" t="str">
            <v>_</v>
          </cell>
        </row>
        <row r="114">
          <cell r="A114">
            <v>2064</v>
          </cell>
          <cell r="B114" t="str">
            <v>532</v>
          </cell>
          <cell r="C114" t="str">
            <v>Tower</v>
          </cell>
          <cell r="D114" t="str">
            <v>Tower on Structure</v>
          </cell>
          <cell r="E114" t="str">
            <v>AL241</v>
          </cell>
          <cell r="F114" t="str">
            <v>Tower</v>
          </cell>
          <cell r="G114" t="str">
            <v>SPT_</v>
          </cell>
          <cell r="H114" t="str">
            <v>SPT</v>
          </cell>
          <cell r="J114" t="str">
            <v>Supported</v>
          </cell>
          <cell r="K114" t="e">
            <v>#N/A</v>
          </cell>
          <cell r="L114" t="str">
            <v>_</v>
          </cell>
          <cell r="Q114" t="str">
            <v>_</v>
          </cell>
          <cell r="V114" t="str">
            <v>[PVA]: "Need to move to GIDI model of two separate features, e.g., antennas/towers mounted on and protruding above a 'Water Tower'." [NCGIS]: Modeled as explicit 'Tower' that is supported by another structure.</v>
          </cell>
        </row>
        <row r="115">
          <cell r="A115">
            <v>3</v>
          </cell>
          <cell r="B115" t="str">
            <v>533</v>
          </cell>
          <cell r="C115" t="str">
            <v>Tower (Rocket Launch)</v>
          </cell>
          <cell r="D115" t="str">
            <v>Rocket Launch Tower</v>
          </cell>
          <cell r="E115" t="str">
            <v>AL080</v>
          </cell>
          <cell r="F115" t="str">
            <v>Gantry</v>
          </cell>
          <cell r="G115" t="str">
            <v>_</v>
          </cell>
          <cell r="L115" t="str">
            <v>_</v>
          </cell>
          <cell r="Q115" t="str">
            <v>_</v>
          </cell>
          <cell r="V115" t="str">
            <v>[PVA]: "Traditionally mapped to 'Launch Pad' (GB040) however the feature actually collected is the gantry/tower and not the pad." [NCGIS]: Model as a 'Gantry' with association 'isRocketGantryOf' to a 'Launch Pad' to capture how the tower and the pad are r</v>
          </cell>
        </row>
        <row r="116">
          <cell r="A116">
            <v>2157</v>
          </cell>
          <cell r="B116" t="str">
            <v>535</v>
          </cell>
          <cell r="C116" t="str">
            <v>Tower</v>
          </cell>
          <cell r="D116" t="str">
            <v>Athletic Field Lights/Light Standards/Light Poles</v>
          </cell>
          <cell r="E116" t="str">
            <v>AL110</v>
          </cell>
          <cell r="F116" t="str">
            <v>Light Support Structure</v>
          </cell>
          <cell r="G116" t="str">
            <v>_</v>
          </cell>
          <cell r="L116" t="str">
            <v>_</v>
          </cell>
          <cell r="Q116" t="str">
            <v>_</v>
          </cell>
          <cell r="V116" t="str">
            <v>[PVA]: "Not specific to athletic field; also for light standards along roads, lights in parking lots and airport parking aprons."</v>
          </cell>
        </row>
        <row r="117">
          <cell r="A117">
            <v>109</v>
          </cell>
          <cell r="B117" t="str">
            <v>537</v>
          </cell>
          <cell r="C117" t="str">
            <v>Pylon</v>
          </cell>
          <cell r="D117" t="str">
            <v>Telephone Pylon/Poles</v>
          </cell>
          <cell r="E117" t="str">
            <v>AT070</v>
          </cell>
          <cell r="F117" t="str">
            <v>Communication Line Pylon</v>
          </cell>
          <cell r="G117" t="str">
            <v>_</v>
          </cell>
          <cell r="L117" t="str">
            <v>_</v>
          </cell>
          <cell r="Q117" t="str">
            <v>_</v>
          </cell>
        </row>
        <row r="118">
          <cell r="A118">
            <v>12</v>
          </cell>
          <cell r="B118" t="str">
            <v>538</v>
          </cell>
          <cell r="C118" t="str">
            <v>Pylon</v>
          </cell>
          <cell r="D118" t="str">
            <v>Aerial Cableway Pylons/Ski Lift Pylon</v>
          </cell>
          <cell r="E118" t="str">
            <v>AQ020</v>
          </cell>
          <cell r="F118" t="str">
            <v>Aerial Cable Pylon</v>
          </cell>
          <cell r="G118" t="str">
            <v>_</v>
          </cell>
          <cell r="L118" t="str">
            <v>_</v>
          </cell>
          <cell r="Q118" t="str">
            <v>_</v>
          </cell>
        </row>
        <row r="119">
          <cell r="A119">
            <v>1376111</v>
          </cell>
          <cell r="B119" t="str">
            <v>540</v>
          </cell>
          <cell r="C119" t="str">
            <v>Pylon</v>
          </cell>
          <cell r="D119" t="str">
            <v>Powerline Pylon, General</v>
          </cell>
          <cell r="E119" t="str">
            <v>AT040</v>
          </cell>
          <cell r="F119" t="str">
            <v>Power Line Pylon</v>
          </cell>
          <cell r="G119" t="str">
            <v>_</v>
          </cell>
          <cell r="L119" t="str">
            <v>_</v>
          </cell>
          <cell r="Q119" t="str">
            <v>_</v>
          </cell>
        </row>
        <row r="120">
          <cell r="A120">
            <v>929706</v>
          </cell>
          <cell r="B120" t="str">
            <v>541</v>
          </cell>
          <cell r="C120" t="str">
            <v>Pylon</v>
          </cell>
          <cell r="D120" t="str">
            <v>Powerline Pylon, Type A</v>
          </cell>
          <cell r="E120" t="str">
            <v>AT040</v>
          </cell>
          <cell r="F120" t="str">
            <v>Power Line Pylon</v>
          </cell>
          <cell r="G120" t="str">
            <v>PYC_1</v>
          </cell>
          <cell r="H120" t="str">
            <v>PYC</v>
          </cell>
          <cell r="I120">
            <v>1</v>
          </cell>
          <cell r="J120" t="str">
            <v>Pylon Configuration</v>
          </cell>
          <cell r="K120" t="str">
            <v>'A'</v>
          </cell>
          <cell r="L120" t="str">
            <v>_</v>
          </cell>
          <cell r="Q120" t="str">
            <v>_</v>
          </cell>
        </row>
        <row r="121">
          <cell r="A121">
            <v>444831</v>
          </cell>
          <cell r="B121" t="str">
            <v>542</v>
          </cell>
          <cell r="C121" t="str">
            <v>Pylon</v>
          </cell>
          <cell r="D121" t="str">
            <v>Powerline Pylon, Type H</v>
          </cell>
          <cell r="E121" t="str">
            <v>AT040</v>
          </cell>
          <cell r="F121" t="str">
            <v>Power Line Pylon</v>
          </cell>
          <cell r="G121" t="str">
            <v>PYC_2</v>
          </cell>
          <cell r="H121" t="str">
            <v>PYC</v>
          </cell>
          <cell r="I121">
            <v>2</v>
          </cell>
          <cell r="J121" t="str">
            <v>Pylon Configuration</v>
          </cell>
          <cell r="K121" t="str">
            <v>'H'</v>
          </cell>
          <cell r="L121" t="str">
            <v>_</v>
          </cell>
          <cell r="Q121" t="str">
            <v>_</v>
          </cell>
        </row>
        <row r="122">
          <cell r="A122">
            <v>1319956</v>
          </cell>
          <cell r="B122" t="str">
            <v>543</v>
          </cell>
          <cell r="C122" t="str">
            <v>Pylon</v>
          </cell>
          <cell r="D122" t="str">
            <v>Powerline Pylon, Type I</v>
          </cell>
          <cell r="E122" t="str">
            <v>AT040</v>
          </cell>
          <cell r="F122" t="str">
            <v>Power Line Pylon</v>
          </cell>
          <cell r="G122" t="str">
            <v>PYC_3</v>
          </cell>
          <cell r="H122" t="str">
            <v>PYC</v>
          </cell>
          <cell r="I122">
            <v>3</v>
          </cell>
          <cell r="J122" t="str">
            <v>Pylon Configuration</v>
          </cell>
          <cell r="K122" t="str">
            <v>'I'</v>
          </cell>
          <cell r="L122" t="str">
            <v>_</v>
          </cell>
          <cell r="Q122" t="str">
            <v>_</v>
          </cell>
        </row>
        <row r="123">
          <cell r="A123">
            <v>290529</v>
          </cell>
          <cell r="B123" t="str">
            <v>544</v>
          </cell>
          <cell r="C123" t="str">
            <v>Pylon</v>
          </cell>
          <cell r="D123" t="str">
            <v>Powerline Pylon, Type Y</v>
          </cell>
          <cell r="E123" t="str">
            <v>AT040</v>
          </cell>
          <cell r="F123" t="str">
            <v>Power Line Pylon</v>
          </cell>
          <cell r="G123" t="str">
            <v>PYC_4</v>
          </cell>
          <cell r="H123" t="str">
            <v>PYC</v>
          </cell>
          <cell r="I123">
            <v>4</v>
          </cell>
          <cell r="J123" t="str">
            <v>Pylon Configuration</v>
          </cell>
          <cell r="K123" t="str">
            <v>'Y'</v>
          </cell>
          <cell r="L123" t="str">
            <v>_</v>
          </cell>
          <cell r="Q123" t="str">
            <v>_</v>
          </cell>
        </row>
        <row r="124">
          <cell r="A124">
            <v>165</v>
          </cell>
          <cell r="B124" t="str">
            <v>561</v>
          </cell>
          <cell r="C124" t="str">
            <v>Building</v>
          </cell>
          <cell r="D124" t="str">
            <v>Communication Building</v>
          </cell>
          <cell r="E124" t="str">
            <v>AL013</v>
          </cell>
          <cell r="F124" t="str">
            <v>Building</v>
          </cell>
          <cell r="G124" t="str">
            <v>FFN_610</v>
          </cell>
          <cell r="H124" t="str">
            <v>FFN</v>
          </cell>
          <cell r="I124">
            <v>610</v>
          </cell>
          <cell r="J124" t="str">
            <v>Feature Function(s)</v>
          </cell>
          <cell r="K124" t="str">
            <v>Telecommunications</v>
          </cell>
          <cell r="L124" t="str">
            <v>_</v>
          </cell>
          <cell r="Q124" t="str">
            <v>_</v>
          </cell>
        </row>
        <row r="125">
          <cell r="A125">
            <v>420</v>
          </cell>
          <cell r="B125" t="str">
            <v>601</v>
          </cell>
          <cell r="C125" t="str">
            <v>Building</v>
          </cell>
          <cell r="D125" t="str">
            <v>Governmental Building, General</v>
          </cell>
          <cell r="E125" t="str">
            <v>AL013</v>
          </cell>
          <cell r="F125" t="str">
            <v>Building</v>
          </cell>
          <cell r="G125" t="str">
            <v>FFN_811</v>
          </cell>
          <cell r="H125" t="str">
            <v>FFN</v>
          </cell>
          <cell r="I125">
            <v>811</v>
          </cell>
          <cell r="J125" t="str">
            <v>Feature Function(s)</v>
          </cell>
          <cell r="K125" t="str">
            <v>Government</v>
          </cell>
          <cell r="L125" t="str">
            <v>_</v>
          </cell>
          <cell r="Q125" t="str">
            <v>_</v>
          </cell>
        </row>
        <row r="126">
          <cell r="A126">
            <v>25</v>
          </cell>
          <cell r="B126" t="str">
            <v>602</v>
          </cell>
          <cell r="C126" t="str">
            <v>Building</v>
          </cell>
          <cell r="D126" t="str">
            <v>Capitol Building</v>
          </cell>
          <cell r="E126" t="str">
            <v>AL013</v>
          </cell>
          <cell r="F126" t="str">
            <v>Building</v>
          </cell>
          <cell r="G126" t="str">
            <v>FFN_817</v>
          </cell>
          <cell r="H126" t="str">
            <v>FFN</v>
          </cell>
          <cell r="I126">
            <v>817</v>
          </cell>
          <cell r="J126" t="str">
            <v>Feature Function(s)</v>
          </cell>
          <cell r="K126" t="str">
            <v>Capitol</v>
          </cell>
          <cell r="L126" t="str">
            <v>_</v>
          </cell>
          <cell r="Q126" t="str">
            <v>_</v>
          </cell>
        </row>
        <row r="127">
          <cell r="A127">
            <v>519</v>
          </cell>
          <cell r="B127" t="str">
            <v>603</v>
          </cell>
          <cell r="C127" t="str">
            <v>Building</v>
          </cell>
          <cell r="D127" t="str">
            <v>Administrative Building, Governmental</v>
          </cell>
          <cell r="E127" t="str">
            <v>AL013</v>
          </cell>
          <cell r="F127" t="str">
            <v>Building</v>
          </cell>
          <cell r="G127" t="str">
            <v>FFN_822</v>
          </cell>
          <cell r="H127" t="str">
            <v>FFN</v>
          </cell>
          <cell r="I127">
            <v>822</v>
          </cell>
          <cell r="J127" t="str">
            <v>Feature Function(s)</v>
          </cell>
          <cell r="K127" t="str">
            <v>Civil Activities</v>
          </cell>
          <cell r="L127" t="str">
            <v>FFN_810</v>
          </cell>
          <cell r="M127" t="str">
            <v>FFN</v>
          </cell>
          <cell r="N127">
            <v>810</v>
          </cell>
          <cell r="O127" t="str">
            <v>Feature Function(s)</v>
          </cell>
          <cell r="P127" t="str">
            <v>Administration</v>
          </cell>
          <cell r="Q127" t="str">
            <v>_</v>
          </cell>
        </row>
        <row r="128">
          <cell r="A128">
            <v>10</v>
          </cell>
          <cell r="B128" t="str">
            <v>604</v>
          </cell>
          <cell r="C128" t="str">
            <v>Building</v>
          </cell>
          <cell r="D128" t="str">
            <v>Prison</v>
          </cell>
          <cell r="E128" t="str">
            <v>AL013</v>
          </cell>
          <cell r="F128" t="str">
            <v>Building</v>
          </cell>
          <cell r="G128" t="str">
            <v>FFN_843</v>
          </cell>
          <cell r="H128" t="str">
            <v>FFN</v>
          </cell>
          <cell r="I128">
            <v>843</v>
          </cell>
          <cell r="J128" t="str">
            <v>Feature Function(s)</v>
          </cell>
          <cell r="K128" t="str">
            <v>Imprisonment</v>
          </cell>
          <cell r="L128" t="str">
            <v>_</v>
          </cell>
          <cell r="Q128" t="str">
            <v>_</v>
          </cell>
        </row>
        <row r="129">
          <cell r="A129">
            <v>62</v>
          </cell>
          <cell r="B129" t="str">
            <v>605</v>
          </cell>
          <cell r="C129" t="str">
            <v>Palace</v>
          </cell>
          <cell r="D129" t="str">
            <v>Palace</v>
          </cell>
          <cell r="E129" t="str">
            <v>AL013</v>
          </cell>
          <cell r="F129" t="str">
            <v>Building</v>
          </cell>
          <cell r="G129" t="str">
            <v>FFN_815</v>
          </cell>
          <cell r="H129" t="str">
            <v>FFN</v>
          </cell>
          <cell r="I129">
            <v>815</v>
          </cell>
          <cell r="J129" t="str">
            <v>Feature Function(s)</v>
          </cell>
          <cell r="K129" t="str">
            <v>Palace</v>
          </cell>
          <cell r="L129" t="str">
            <v>_</v>
          </cell>
          <cell r="Q129" t="str">
            <v>_</v>
          </cell>
        </row>
        <row r="130">
          <cell r="A130">
            <v>381</v>
          </cell>
          <cell r="B130" t="str">
            <v>606</v>
          </cell>
          <cell r="C130" t="str">
            <v>Castle</v>
          </cell>
          <cell r="D130" t="str">
            <v>Castle</v>
          </cell>
          <cell r="E130" t="str">
            <v>AL375</v>
          </cell>
          <cell r="F130" t="str">
            <v xml:space="preserve">Castle </v>
          </cell>
          <cell r="G130" t="str">
            <v>_</v>
          </cell>
          <cell r="L130" t="str">
            <v>_</v>
          </cell>
          <cell r="Q130" t="str">
            <v>_</v>
          </cell>
        </row>
        <row r="131">
          <cell r="A131">
            <v>13</v>
          </cell>
          <cell r="B131" t="str">
            <v>607</v>
          </cell>
          <cell r="C131" t="str">
            <v>Castle</v>
          </cell>
          <cell r="D131" t="str">
            <v>Fortification - Constructed for Military Defense</v>
          </cell>
          <cell r="E131" t="str">
            <v>AH050</v>
          </cell>
          <cell r="F131" t="str">
            <v>Fortification</v>
          </cell>
          <cell r="G131" t="str">
            <v>_</v>
          </cell>
          <cell r="L131" t="str">
            <v>_</v>
          </cell>
          <cell r="Q131" t="str">
            <v>_</v>
          </cell>
        </row>
        <row r="132">
          <cell r="A132">
            <v>310</v>
          </cell>
          <cell r="B132" t="str">
            <v>610</v>
          </cell>
          <cell r="C132" t="str">
            <v>Building</v>
          </cell>
          <cell r="D132" t="str">
            <v>Institutional Building, General</v>
          </cell>
          <cell r="E132" t="str">
            <v>AL013</v>
          </cell>
          <cell r="F132" t="str">
            <v>Building</v>
          </cell>
          <cell r="G132" t="str">
            <v>FFN_859</v>
          </cell>
          <cell r="H132" t="str">
            <v>FFN</v>
          </cell>
          <cell r="I132">
            <v>859</v>
          </cell>
          <cell r="J132" t="str">
            <v>Feature Function(s)</v>
          </cell>
          <cell r="K132" t="str">
            <v>Institution</v>
          </cell>
          <cell r="L132" t="str">
            <v>_</v>
          </cell>
          <cell r="Q132" t="str">
            <v>_</v>
          </cell>
          <cell r="V132" t="str">
            <v>[NCGIS]: "Seems to be general case overarching school, hospital, observatory, ...; is this functional classification important?" [PVA]: "A generalized feature due to lack of better source material."</v>
          </cell>
        </row>
        <row r="133">
          <cell r="A133">
            <v>61</v>
          </cell>
          <cell r="B133" t="str">
            <v>620</v>
          </cell>
          <cell r="C133" t="str">
            <v>Building</v>
          </cell>
          <cell r="D133" t="str">
            <v>School, General</v>
          </cell>
          <cell r="E133" t="str">
            <v>AL013</v>
          </cell>
          <cell r="F133" t="str">
            <v>Building</v>
          </cell>
          <cell r="G133" t="str">
            <v>FFN_850</v>
          </cell>
          <cell r="H133" t="str">
            <v>FFN</v>
          </cell>
          <cell r="I133">
            <v>850</v>
          </cell>
          <cell r="J133" t="str">
            <v>Feature Function(s)</v>
          </cell>
          <cell r="K133" t="str">
            <v>Education</v>
          </cell>
          <cell r="L133" t="str">
            <v>_</v>
          </cell>
          <cell r="Q133" t="str">
            <v>_</v>
          </cell>
        </row>
        <row r="134">
          <cell r="A134">
            <v>93</v>
          </cell>
          <cell r="B134" t="str">
            <v>621</v>
          </cell>
          <cell r="C134" t="str">
            <v>Building</v>
          </cell>
          <cell r="D134" t="str">
            <v>School with Flat Roof (type 620 with flat roof)</v>
          </cell>
          <cell r="E134" t="str">
            <v>AL013</v>
          </cell>
          <cell r="F134" t="str">
            <v>Building</v>
          </cell>
          <cell r="G134" t="str">
            <v>FFN_850</v>
          </cell>
          <cell r="H134" t="str">
            <v>FFN</v>
          </cell>
          <cell r="I134">
            <v>850</v>
          </cell>
          <cell r="J134" t="str">
            <v>Feature Function(s)</v>
          </cell>
          <cell r="K134" t="str">
            <v>Education</v>
          </cell>
          <cell r="L134" t="str">
            <v>SSR_41</v>
          </cell>
          <cell r="M134" t="str">
            <v>SSR</v>
          </cell>
          <cell r="N134">
            <v>41</v>
          </cell>
          <cell r="O134" t="str">
            <v>Roof Shape</v>
          </cell>
          <cell r="P134" t="str">
            <v>Flat</v>
          </cell>
          <cell r="Q134" t="str">
            <v>_</v>
          </cell>
        </row>
        <row r="135">
          <cell r="A135">
            <v>30</v>
          </cell>
          <cell r="B135" t="str">
            <v>622</v>
          </cell>
          <cell r="C135" t="str">
            <v>Building</v>
          </cell>
          <cell r="D135" t="str">
            <v>School with Gable Roof (type 620 with gable roof)</v>
          </cell>
          <cell r="E135" t="str">
            <v>AL013</v>
          </cell>
          <cell r="F135" t="str">
            <v>Building</v>
          </cell>
          <cell r="G135" t="str">
            <v>FFN_850</v>
          </cell>
          <cell r="H135" t="str">
            <v>FFN</v>
          </cell>
          <cell r="I135">
            <v>850</v>
          </cell>
          <cell r="J135" t="str">
            <v>Feature Function(s)</v>
          </cell>
          <cell r="K135" t="str">
            <v>Education</v>
          </cell>
          <cell r="L135" t="str">
            <v>SSR_42</v>
          </cell>
          <cell r="M135" t="str">
            <v>SSR</v>
          </cell>
          <cell r="N135">
            <v>42</v>
          </cell>
          <cell r="O135" t="str">
            <v>Roof Shape</v>
          </cell>
          <cell r="P135" t="str">
            <v>Pitched</v>
          </cell>
          <cell r="Q135" t="str">
            <v>_</v>
          </cell>
        </row>
        <row r="136">
          <cell r="A136">
            <v>96</v>
          </cell>
          <cell r="B136" t="str">
            <v>630</v>
          </cell>
          <cell r="C136" t="str">
            <v>Building</v>
          </cell>
          <cell r="D136" t="str">
            <v>Hospital</v>
          </cell>
          <cell r="E136" t="str">
            <v>AL013</v>
          </cell>
          <cell r="F136" t="str">
            <v>Building</v>
          </cell>
          <cell r="G136" t="str">
            <v>FFN_861</v>
          </cell>
          <cell r="H136" t="str">
            <v>FFN</v>
          </cell>
          <cell r="I136">
            <v>861</v>
          </cell>
          <cell r="J136" t="str">
            <v>Feature Function(s)</v>
          </cell>
          <cell r="K136" t="str">
            <v>In-patient Care</v>
          </cell>
          <cell r="L136" t="str">
            <v>_</v>
          </cell>
          <cell r="Q136" t="str">
            <v>_</v>
          </cell>
        </row>
        <row r="137">
          <cell r="A137">
            <v>116</v>
          </cell>
          <cell r="B137" t="str">
            <v>631</v>
          </cell>
          <cell r="C137" t="str">
            <v>Building</v>
          </cell>
          <cell r="D137" t="str">
            <v>Hospital with Flat Roof (type 630 with flat roof)</v>
          </cell>
          <cell r="E137" t="str">
            <v>AL013</v>
          </cell>
          <cell r="F137" t="str">
            <v>Building</v>
          </cell>
          <cell r="G137" t="str">
            <v>FFN_861</v>
          </cell>
          <cell r="H137" t="str">
            <v>FFN</v>
          </cell>
          <cell r="I137">
            <v>861</v>
          </cell>
          <cell r="J137" t="str">
            <v>Feature Function(s)</v>
          </cell>
          <cell r="K137" t="str">
            <v>In-patient Care</v>
          </cell>
          <cell r="L137" t="str">
            <v>SSR_41</v>
          </cell>
          <cell r="M137" t="str">
            <v>SSR</v>
          </cell>
          <cell r="N137">
            <v>41</v>
          </cell>
          <cell r="O137" t="str">
            <v>Roof Shape</v>
          </cell>
          <cell r="P137" t="str">
            <v>Flat</v>
          </cell>
          <cell r="Q137" t="str">
            <v>_</v>
          </cell>
        </row>
        <row r="138">
          <cell r="A138">
            <v>19</v>
          </cell>
          <cell r="B138" t="str">
            <v>632</v>
          </cell>
          <cell r="C138" t="str">
            <v>Building</v>
          </cell>
          <cell r="D138" t="str">
            <v>Hospital with Gable Roof (type 630 with gable roof)</v>
          </cell>
          <cell r="E138" t="str">
            <v>AL013</v>
          </cell>
          <cell r="F138" t="str">
            <v>Building</v>
          </cell>
          <cell r="G138" t="str">
            <v>FFN_861</v>
          </cell>
          <cell r="H138" t="str">
            <v>FFN</v>
          </cell>
          <cell r="I138">
            <v>861</v>
          </cell>
          <cell r="J138" t="str">
            <v>Feature Function(s)</v>
          </cell>
          <cell r="K138" t="str">
            <v>In-patient Care</v>
          </cell>
          <cell r="L138" t="str">
            <v>SSR_42</v>
          </cell>
          <cell r="M138" t="str">
            <v>SSR</v>
          </cell>
          <cell r="N138">
            <v>42</v>
          </cell>
          <cell r="O138" t="str">
            <v>Roof Shape</v>
          </cell>
          <cell r="P138" t="str">
            <v>Pitched</v>
          </cell>
          <cell r="Q138" t="str">
            <v>_</v>
          </cell>
        </row>
        <row r="139">
          <cell r="A139">
            <v>20</v>
          </cell>
          <cell r="B139" t="str">
            <v>640</v>
          </cell>
          <cell r="C139" t="str">
            <v>Building</v>
          </cell>
          <cell r="D139" t="str">
            <v>Observatory</v>
          </cell>
          <cell r="E139" t="str">
            <v>AL142</v>
          </cell>
          <cell r="F139" t="str">
            <v>Astronomical Observatory</v>
          </cell>
          <cell r="G139" t="str">
            <v>_</v>
          </cell>
          <cell r="L139" t="str">
            <v>_</v>
          </cell>
          <cell r="Q139" t="str">
            <v>_</v>
          </cell>
        </row>
        <row r="140">
          <cell r="A140">
            <v>17</v>
          </cell>
          <cell r="B140" t="str">
            <v>641</v>
          </cell>
          <cell r="C140" t="str">
            <v>Building</v>
          </cell>
          <cell r="D140" t="str">
            <v>Observatory with Dome Roof (type 640 with dome roof)</v>
          </cell>
          <cell r="E140" t="str">
            <v>AL142</v>
          </cell>
          <cell r="F140" t="str">
            <v>Astronomical Observatory</v>
          </cell>
          <cell r="G140" t="str">
            <v>_</v>
          </cell>
          <cell r="L140" t="str">
            <v>_</v>
          </cell>
          <cell r="Q140" t="str">
            <v>_</v>
          </cell>
        </row>
        <row r="141">
          <cell r="A141">
            <v>2201</v>
          </cell>
          <cell r="B141" t="str">
            <v>650</v>
          </cell>
          <cell r="C141" t="str">
            <v>Church</v>
          </cell>
          <cell r="D141" t="str">
            <v>House of Religious Worship, General (Church, Mosque, Synagogue, Temple) :  Also see Steeple</v>
          </cell>
          <cell r="E141" t="str">
            <v>AL330</v>
          </cell>
          <cell r="F141" t="str">
            <v>Religious Facility</v>
          </cell>
          <cell r="G141" t="str">
            <v>RFA_0</v>
          </cell>
          <cell r="H141" t="str">
            <v>RFA</v>
          </cell>
          <cell r="I141">
            <v>0</v>
          </cell>
          <cell r="J141" t="str">
            <v>Religious Facility Type</v>
          </cell>
          <cell r="K141" t="e">
            <v>#N/A</v>
          </cell>
          <cell r="L141" t="str">
            <v>_</v>
          </cell>
          <cell r="Q141" t="str">
            <v>_</v>
          </cell>
        </row>
        <row r="142">
          <cell r="A142">
            <v>143</v>
          </cell>
          <cell r="B142" t="str">
            <v>651</v>
          </cell>
          <cell r="C142" t="str">
            <v>Church (Minaret)</v>
          </cell>
          <cell r="D142" t="str">
            <v>House of Religious Worship - Minaret</v>
          </cell>
          <cell r="E142" t="str">
            <v>AL330</v>
          </cell>
          <cell r="F142" t="str">
            <v>Religious Facility</v>
          </cell>
          <cell r="G142" t="str">
            <v>RFA_5</v>
          </cell>
          <cell r="H142" t="str">
            <v>RFA</v>
          </cell>
          <cell r="I142">
            <v>5</v>
          </cell>
          <cell r="J142" t="str">
            <v>Religious Facility Type</v>
          </cell>
          <cell r="K142" t="str">
            <v>Minaret</v>
          </cell>
          <cell r="L142" t="str">
            <v>SSR_80</v>
          </cell>
          <cell r="M142" t="str">
            <v>SSR</v>
          </cell>
          <cell r="N142">
            <v>80</v>
          </cell>
          <cell r="O142" t="str">
            <v>Roof Shape</v>
          </cell>
          <cell r="P142" t="str">
            <v>With Minaret</v>
          </cell>
          <cell r="Q142" t="str">
            <v>_</v>
          </cell>
        </row>
        <row r="143">
          <cell r="A143">
            <v>13</v>
          </cell>
          <cell r="B143" t="str">
            <v>652</v>
          </cell>
          <cell r="C143" t="str">
            <v>Church (Mosque)</v>
          </cell>
          <cell r="D143" t="str">
            <v>House of Religious Worship - Mosque</v>
          </cell>
          <cell r="E143" t="str">
            <v>AL330</v>
          </cell>
          <cell r="F143" t="str">
            <v>Religious Facility</v>
          </cell>
          <cell r="G143" t="str">
            <v>RFA_7</v>
          </cell>
          <cell r="H143" t="str">
            <v>RFA</v>
          </cell>
          <cell r="I143">
            <v>7</v>
          </cell>
          <cell r="J143" t="str">
            <v>Religious Facility Type</v>
          </cell>
          <cell r="K143" t="str">
            <v>Mosque</v>
          </cell>
          <cell r="L143" t="str">
            <v>_</v>
          </cell>
          <cell r="Q143" t="str">
            <v>_</v>
          </cell>
        </row>
        <row r="144">
          <cell r="A144">
            <v>0</v>
          </cell>
          <cell r="B144" t="str">
            <v>653</v>
          </cell>
          <cell r="C144" t="str">
            <v>Church (Synagogue)</v>
          </cell>
          <cell r="D144" t="str">
            <v>House of Religious Worship - Synagogue</v>
          </cell>
          <cell r="E144" t="str">
            <v>AL330</v>
          </cell>
          <cell r="F144" t="str">
            <v>Religious Facility</v>
          </cell>
          <cell r="G144" t="str">
            <v>RFA_13</v>
          </cell>
          <cell r="H144" t="str">
            <v>RFA</v>
          </cell>
          <cell r="I144">
            <v>13</v>
          </cell>
          <cell r="J144" t="str">
            <v>Religious Facility Type</v>
          </cell>
          <cell r="K144" t="str">
            <v>Synagogue</v>
          </cell>
          <cell r="L144" t="str">
            <v>_</v>
          </cell>
          <cell r="Q144" t="str">
            <v>_</v>
          </cell>
        </row>
        <row r="145">
          <cell r="A145">
            <v>6</v>
          </cell>
          <cell r="B145" t="str">
            <v>654</v>
          </cell>
          <cell r="C145" t="str">
            <v>Church (Temple)</v>
          </cell>
          <cell r="D145" t="str">
            <v>House of Religious Worship - Temple</v>
          </cell>
          <cell r="E145" t="str">
            <v>AL330</v>
          </cell>
          <cell r="F145" t="str">
            <v>Religious Facility</v>
          </cell>
          <cell r="G145" t="str">
            <v>RFA_15</v>
          </cell>
          <cell r="H145" t="str">
            <v>RFA</v>
          </cell>
          <cell r="I145">
            <v>15</v>
          </cell>
          <cell r="J145" t="str">
            <v>Religious Facility Type</v>
          </cell>
          <cell r="K145" t="str">
            <v>Temple</v>
          </cell>
          <cell r="L145" t="str">
            <v>_</v>
          </cell>
          <cell r="Q145" t="str">
            <v>_</v>
          </cell>
        </row>
        <row r="146">
          <cell r="A146">
            <v>310</v>
          </cell>
          <cell r="B146" t="str">
            <v>680</v>
          </cell>
          <cell r="C146" t="str">
            <v>Monument</v>
          </cell>
          <cell r="D146" t="str">
            <v>Government/Institutional/Religious Structure, General; DCHUM/ECHUM: "Monument (general - all types)"</v>
          </cell>
          <cell r="E146" t="str">
            <v>AL130</v>
          </cell>
          <cell r="F146" t="str">
            <v>Memorial Monument</v>
          </cell>
          <cell r="G146" t="str">
            <v>_</v>
          </cell>
          <cell r="L146" t="str">
            <v>_</v>
          </cell>
          <cell r="Q146" t="str">
            <v>_</v>
          </cell>
        </row>
        <row r="147">
          <cell r="A147">
            <v>18028</v>
          </cell>
          <cell r="B147" t="str">
            <v>681</v>
          </cell>
          <cell r="C147" t="str">
            <v>Steeple</v>
          </cell>
          <cell r="D147" t="str">
            <v>House of Religious Worship with Steeple</v>
          </cell>
          <cell r="E147" t="str">
            <v>AL330</v>
          </cell>
          <cell r="F147" t="str">
            <v>Religious Facility</v>
          </cell>
          <cell r="G147" t="str">
            <v>SSR_51</v>
          </cell>
          <cell r="H147" t="str">
            <v>SSR</v>
          </cell>
          <cell r="I147">
            <v>51</v>
          </cell>
          <cell r="J147" t="str">
            <v>Roof Shape</v>
          </cell>
          <cell r="K147" t="str">
            <v>With Steeple</v>
          </cell>
          <cell r="L147" t="str">
            <v>RFA_0</v>
          </cell>
          <cell r="M147" t="str">
            <v>RFA</v>
          </cell>
          <cell r="N147">
            <v>0</v>
          </cell>
          <cell r="O147" t="str">
            <v>Religious Facility Type</v>
          </cell>
          <cell r="P147" t="e">
            <v>#N/A</v>
          </cell>
          <cell r="Q147" t="str">
            <v>_</v>
          </cell>
        </row>
        <row r="148">
          <cell r="A148">
            <v>807</v>
          </cell>
          <cell r="B148" t="str">
            <v>682</v>
          </cell>
          <cell r="C148" t="str">
            <v>Monument</v>
          </cell>
          <cell r="D148" t="str">
            <v>Monument/Obelisk</v>
          </cell>
          <cell r="E148" t="str">
            <v>AL130</v>
          </cell>
          <cell r="F148" t="str">
            <v>Memorial Monument</v>
          </cell>
          <cell r="G148" t="str">
            <v>SSC_109</v>
          </cell>
          <cell r="H148" t="str">
            <v>SSC</v>
          </cell>
          <cell r="I148">
            <v>109</v>
          </cell>
          <cell r="J148" t="str">
            <v>Structure Shape</v>
          </cell>
          <cell r="K148" t="str">
            <v>Obelisk</v>
          </cell>
          <cell r="L148" t="str">
            <v>_</v>
          </cell>
          <cell r="Q148" t="str">
            <v>_</v>
          </cell>
        </row>
        <row r="149">
          <cell r="A149">
            <v>17</v>
          </cell>
          <cell r="B149" t="str">
            <v>683</v>
          </cell>
          <cell r="C149" t="str">
            <v>Arch</v>
          </cell>
          <cell r="D149" t="str">
            <v>Arch</v>
          </cell>
          <cell r="E149" t="str">
            <v>AL130</v>
          </cell>
          <cell r="F149" t="str">
            <v>Memorial Monument</v>
          </cell>
          <cell r="G149" t="str">
            <v>SSC_77</v>
          </cell>
          <cell r="H149" t="str">
            <v>SSC</v>
          </cell>
          <cell r="I149">
            <v>77</v>
          </cell>
          <cell r="J149" t="str">
            <v>Structure Shape</v>
          </cell>
          <cell r="K149" t="str">
            <v>Arched</v>
          </cell>
          <cell r="L149" t="str">
            <v>_</v>
          </cell>
          <cell r="Q149" t="str">
            <v>_</v>
          </cell>
        </row>
        <row r="150">
          <cell r="A150">
            <v>26</v>
          </cell>
          <cell r="B150" t="str">
            <v>684</v>
          </cell>
          <cell r="C150" t="str">
            <v>Pyramid</v>
          </cell>
          <cell r="D150" t="str">
            <v>Pyramid</v>
          </cell>
          <cell r="E150" t="str">
            <v>AL130</v>
          </cell>
          <cell r="F150" t="str">
            <v>Memorial Monument</v>
          </cell>
          <cell r="G150" t="str">
            <v>SSC_12</v>
          </cell>
          <cell r="H150" t="str">
            <v>SSC</v>
          </cell>
          <cell r="I150">
            <v>12</v>
          </cell>
          <cell r="J150" t="str">
            <v>Structure Shape</v>
          </cell>
          <cell r="K150" t="str">
            <v>Pyramidal</v>
          </cell>
          <cell r="L150" t="str">
            <v>_</v>
          </cell>
          <cell r="Q150" t="str">
            <v>_</v>
          </cell>
        </row>
        <row r="151">
          <cell r="A151">
            <v>3636</v>
          </cell>
          <cell r="B151" t="str">
            <v>702</v>
          </cell>
          <cell r="C151" t="str">
            <v>Tower</v>
          </cell>
          <cell r="D151" t="str">
            <v>Airport/Airbase Control Tower</v>
          </cell>
          <cell r="E151" t="str">
            <v>AQ060</v>
          </cell>
          <cell r="F151" t="str">
            <v>Control Tower</v>
          </cell>
          <cell r="G151" t="str">
            <v>TRS_1</v>
          </cell>
          <cell r="H151" t="str">
            <v>TRS</v>
          </cell>
          <cell r="I151">
            <v>1</v>
          </cell>
          <cell r="J151" t="str">
            <v>Transportation System Type</v>
          </cell>
          <cell r="K151" t="str">
            <v>Aeronautical</v>
          </cell>
          <cell r="L151" t="str">
            <v>_</v>
          </cell>
          <cell r="Q151" t="str">
            <v>_</v>
          </cell>
        </row>
        <row r="152">
          <cell r="A152">
            <v>33</v>
          </cell>
          <cell r="B152" t="str">
            <v>704</v>
          </cell>
          <cell r="C152" t="str">
            <v>Hanger (Flat Roof)</v>
          </cell>
          <cell r="D152" t="str">
            <v>Aircraft Hanger Building - Flat Roof</v>
          </cell>
          <cell r="E152" t="str">
            <v>GB230</v>
          </cell>
          <cell r="F152" t="str">
            <v>Aircraft Hangar</v>
          </cell>
          <cell r="G152" t="str">
            <v>SSR_41</v>
          </cell>
          <cell r="H152" t="str">
            <v>SSR</v>
          </cell>
          <cell r="I152">
            <v>41</v>
          </cell>
          <cell r="J152" t="str">
            <v>Roof Shape</v>
          </cell>
          <cell r="K152" t="str">
            <v>Flat</v>
          </cell>
          <cell r="L152" t="str">
            <v>_</v>
          </cell>
          <cell r="Q152" t="str">
            <v>_</v>
          </cell>
        </row>
        <row r="153">
          <cell r="A153">
            <v>44</v>
          </cell>
          <cell r="B153" t="str">
            <v>705</v>
          </cell>
          <cell r="C153" t="str">
            <v>Hanger (Curved Roof)</v>
          </cell>
          <cell r="D153" t="str">
            <v>Aircraft Hanger Building - Curved Roof</v>
          </cell>
          <cell r="E153" t="str">
            <v>GB230</v>
          </cell>
          <cell r="F153" t="str">
            <v>Aircraft Hangar</v>
          </cell>
          <cell r="G153" t="str">
            <v>SSR_38</v>
          </cell>
          <cell r="H153" t="str">
            <v>SSR</v>
          </cell>
          <cell r="I153">
            <v>38</v>
          </cell>
          <cell r="J153" t="str">
            <v>Roof Shape</v>
          </cell>
          <cell r="K153" t="str">
            <v>Semi-cylindrical</v>
          </cell>
          <cell r="L153" t="str">
            <v>_</v>
          </cell>
          <cell r="Q153" t="str">
            <v>_</v>
          </cell>
          <cell r="V153" t="str">
            <v>[PVA]: "Most likely a half-cylinder -- quonset-like -- but there might be unimportant variation."</v>
          </cell>
        </row>
        <row r="154">
          <cell r="A154">
            <v>226</v>
          </cell>
          <cell r="B154" t="str">
            <v>710</v>
          </cell>
          <cell r="C154" t="str">
            <v>Airbase NAVAID</v>
          </cell>
          <cell r="D154" t="str">
            <v>Airport NAVAID / Airbase Electronic/Navigation Aid</v>
          </cell>
          <cell r="E154" t="str">
            <v>GA035</v>
          </cell>
          <cell r="F154" t="str">
            <v>Aeronautical NAVAID</v>
          </cell>
          <cell r="G154" t="str">
            <v>_</v>
          </cell>
          <cell r="L154" t="str">
            <v>_</v>
          </cell>
          <cell r="Q154" t="str">
            <v>_</v>
          </cell>
          <cell r="V154" t="str">
            <v>[PVA]: "710-718 are from airfield surveys and are likely also in ADDE with much more atttribution."</v>
          </cell>
        </row>
        <row r="155">
          <cell r="A155">
            <v>46</v>
          </cell>
          <cell r="B155" t="str">
            <v>711</v>
          </cell>
          <cell r="C155" t="str">
            <v>Radar (Reflector)</v>
          </cell>
          <cell r="D155" t="str">
            <v>Radar Reflector</v>
          </cell>
          <cell r="E155" t="str">
            <v>GA035</v>
          </cell>
          <cell r="F155" t="str">
            <v>Aeronautical NAVAID</v>
          </cell>
          <cell r="G155" t="str">
            <v>NST_55</v>
          </cell>
          <cell r="H155" t="str">
            <v>NST</v>
          </cell>
          <cell r="I155">
            <v>55</v>
          </cell>
          <cell r="J155" t="str">
            <v>Navigation System Type</v>
          </cell>
          <cell r="K155" t="str">
            <v>Radar Reflector</v>
          </cell>
          <cell r="L155" t="str">
            <v>_</v>
          </cell>
          <cell r="Q155" t="str">
            <v>_</v>
          </cell>
        </row>
        <row r="156">
          <cell r="A156">
            <v>35</v>
          </cell>
          <cell r="B156" t="str">
            <v>714</v>
          </cell>
          <cell r="C156" t="str">
            <v>Radar (Antenna VORTAC)</v>
          </cell>
          <cell r="D156" t="str">
            <v>VOR/VORTAC/TACON Facility</v>
          </cell>
          <cell r="E156" t="str">
            <v>GA035</v>
          </cell>
          <cell r="F156" t="str">
            <v>Aeronautical NAVAID</v>
          </cell>
          <cell r="G156" t="str">
            <v>NST_22</v>
          </cell>
          <cell r="H156" t="str">
            <v>NST</v>
          </cell>
          <cell r="I156">
            <v>22</v>
          </cell>
          <cell r="J156" t="str">
            <v>Navigation System Type</v>
          </cell>
          <cell r="K156" t="str">
            <v>VHF Omni Directional Radio Range and TACAN (VORTAC)</v>
          </cell>
          <cell r="L156" t="str">
            <v>_</v>
          </cell>
          <cell r="Q156" t="str">
            <v>_</v>
          </cell>
        </row>
        <row r="157">
          <cell r="A157">
            <v>38</v>
          </cell>
          <cell r="B157" t="str">
            <v>715</v>
          </cell>
          <cell r="C157" t="str">
            <v>Radar (Antenna Radon)</v>
          </cell>
          <cell r="D157" t="str">
            <v>Antenna (Radar with Radome)</v>
          </cell>
          <cell r="E157" t="str">
            <v>GA035</v>
          </cell>
          <cell r="F157" t="str">
            <v>Aeronautical NAVAID</v>
          </cell>
          <cell r="G157" t="str">
            <v>NST_35</v>
          </cell>
          <cell r="H157" t="str">
            <v>NST</v>
          </cell>
          <cell r="I157">
            <v>35</v>
          </cell>
          <cell r="J157" t="str">
            <v>Navigation System Type</v>
          </cell>
          <cell r="K157" t="str">
            <v>Radar Antenna</v>
          </cell>
          <cell r="L157" t="str">
            <v>RAC_3</v>
          </cell>
          <cell r="M157" t="str">
            <v>RAC</v>
          </cell>
          <cell r="N157">
            <v>3</v>
          </cell>
          <cell r="O157" t="str">
            <v>Radar Antenna Configuration</v>
          </cell>
          <cell r="P157" t="str">
            <v>Radome</v>
          </cell>
          <cell r="Q157" t="str">
            <v>_</v>
          </cell>
        </row>
        <row r="158">
          <cell r="A158">
            <v>18</v>
          </cell>
          <cell r="B158" t="str">
            <v>716</v>
          </cell>
          <cell r="C158" t="str">
            <v>Radar (Ant.Twr. Mnt. Radon)</v>
          </cell>
          <cell r="D158" t="str">
            <v>Antenna (with Radar Tower Mounted with Radome)</v>
          </cell>
          <cell r="E158" t="str">
            <v>GA035</v>
          </cell>
          <cell r="F158" t="str">
            <v>Aeronautical NAVAID</v>
          </cell>
          <cell r="G158" t="str">
            <v>NST_35</v>
          </cell>
          <cell r="H158" t="str">
            <v>NST</v>
          </cell>
          <cell r="I158">
            <v>35</v>
          </cell>
          <cell r="J158" t="str">
            <v>Navigation System Type</v>
          </cell>
          <cell r="K158" t="str">
            <v>Radar Antenna</v>
          </cell>
          <cell r="L158" t="str">
            <v>RAC_4</v>
          </cell>
          <cell r="M158" t="str">
            <v>RAC</v>
          </cell>
          <cell r="N158">
            <v>4</v>
          </cell>
          <cell r="O158" t="str">
            <v>Radar Antenna Configuration</v>
          </cell>
          <cell r="P158" t="str">
            <v>Radome on Tower</v>
          </cell>
          <cell r="Q158" t="str">
            <v>_</v>
          </cell>
        </row>
        <row r="159">
          <cell r="A159">
            <v>552</v>
          </cell>
          <cell r="B159" t="str">
            <v>717</v>
          </cell>
          <cell r="C159" t="str">
            <v>Radar Antenna</v>
          </cell>
          <cell r="D159" t="str">
            <v>Antenna  Radar</v>
          </cell>
          <cell r="E159" t="str">
            <v>GA035</v>
          </cell>
          <cell r="F159" t="str">
            <v>Aeronautical NAVAID</v>
          </cell>
          <cell r="G159" t="str">
            <v>NST_35</v>
          </cell>
          <cell r="H159" t="str">
            <v>NST</v>
          </cell>
          <cell r="I159">
            <v>35</v>
          </cell>
          <cell r="J159" t="str">
            <v>Navigation System Type</v>
          </cell>
          <cell r="K159" t="str">
            <v>Radar Antenna</v>
          </cell>
          <cell r="L159" t="str">
            <v>_</v>
          </cell>
          <cell r="Q159" t="str">
            <v>_</v>
          </cell>
        </row>
        <row r="160">
          <cell r="A160">
            <v>33</v>
          </cell>
          <cell r="B160" t="str">
            <v>718</v>
          </cell>
          <cell r="C160" t="str">
            <v>Radar Antenna (Twr.Mnt.)</v>
          </cell>
          <cell r="D160" t="str">
            <v>Radar Antenna  (Tower Mounted)</v>
          </cell>
          <cell r="E160" t="str">
            <v>GA035</v>
          </cell>
          <cell r="F160" t="str">
            <v>Aeronautical NAVAID</v>
          </cell>
          <cell r="G160" t="str">
            <v>NST_35</v>
          </cell>
          <cell r="H160" t="str">
            <v>NST</v>
          </cell>
          <cell r="I160">
            <v>35</v>
          </cell>
          <cell r="J160" t="str">
            <v>Navigation System Type</v>
          </cell>
          <cell r="K160" t="str">
            <v>Radar Antenna</v>
          </cell>
          <cell r="L160" t="str">
            <v>RAC_6</v>
          </cell>
          <cell r="M160" t="str">
            <v>RAC</v>
          </cell>
          <cell r="N160">
            <v>6</v>
          </cell>
          <cell r="O160" t="str">
            <v>Radar Antenna Configuration</v>
          </cell>
          <cell r="P160" t="str">
            <v>Tower Mounted</v>
          </cell>
          <cell r="Q160" t="str">
            <v>_</v>
          </cell>
        </row>
        <row r="161">
          <cell r="A161">
            <v>427</v>
          </cell>
          <cell r="B161" t="str">
            <v>720</v>
          </cell>
          <cell r="C161" t="str">
            <v>Air Obstruction (Man Made)</v>
          </cell>
          <cell r="D161" t="str">
            <v>Miscellaneous Air Obstruction - Man-made</v>
          </cell>
          <cell r="G161" t="str">
            <v>_</v>
          </cell>
          <cell r="L161" t="str">
            <v>_</v>
          </cell>
          <cell r="Q161" t="str">
            <v>_</v>
          </cell>
          <cell r="V161" t="str">
            <v>[PVA]: "Many of the feature instances collected here do not have their own DVOF Code (e.g., windsock). They are most often associated with an airfield.  When the specific feature type is known it many be collected in the remarks field. The code didn't com</v>
          </cell>
        </row>
        <row r="162">
          <cell r="A162">
            <v>130</v>
          </cell>
          <cell r="B162" t="str">
            <v>755</v>
          </cell>
          <cell r="C162" t="str">
            <v>Offshore Structure</v>
          </cell>
          <cell r="D162" t="str">
            <v>Offshore Loading Facility</v>
          </cell>
          <cell r="E162" t="str">
            <v>BB170</v>
          </cell>
          <cell r="F162" t="str">
            <v>Single Point Mooring</v>
          </cell>
          <cell r="G162" t="str">
            <v>_</v>
          </cell>
          <cell r="L162" t="str">
            <v>_</v>
          </cell>
          <cell r="Q162" t="str">
            <v>_</v>
          </cell>
          <cell r="V162" t="str">
            <v>[PVA]: "These are platforms unconnected to land (except by pipeline) -- 'bunkering pier' is a colloquial expression; should follow the correct maritime perspective."</v>
          </cell>
        </row>
        <row r="163">
          <cell r="A163">
            <v>10</v>
          </cell>
          <cell r="B163" t="str">
            <v>761</v>
          </cell>
          <cell r="C163" t="str">
            <v>Lightship</v>
          </cell>
          <cell r="D163" t="str">
            <v>Navigation Lightship, Permanently Moored</v>
          </cell>
          <cell r="E163" t="str">
            <v>BC070</v>
          </cell>
          <cell r="F163" t="str">
            <v>Light Vessel</v>
          </cell>
          <cell r="G163" t="str">
            <v>_</v>
          </cell>
          <cell r="L163" t="str">
            <v>_</v>
          </cell>
          <cell r="Q163" t="str">
            <v>_</v>
          </cell>
        </row>
        <row r="164">
          <cell r="A164">
            <v>939</v>
          </cell>
          <cell r="B164" t="str">
            <v>765</v>
          </cell>
          <cell r="C164" t="str">
            <v>Lighthouse</v>
          </cell>
          <cell r="D164" t="str">
            <v>Lighthouse</v>
          </cell>
          <cell r="E164" t="str">
            <v>BC050</v>
          </cell>
          <cell r="F164" t="str">
            <v>Lighthouse</v>
          </cell>
          <cell r="G164" t="str">
            <v>_</v>
          </cell>
          <cell r="L164" t="str">
            <v>_</v>
          </cell>
          <cell r="Q164" t="str">
            <v>_</v>
          </cell>
        </row>
        <row r="165">
          <cell r="A165">
            <v>25</v>
          </cell>
          <cell r="B165" t="str">
            <v>785</v>
          </cell>
          <cell r="C165" t="str">
            <v>Tethered Balloon</v>
          </cell>
          <cell r="D165" t="str">
            <v>Tethered Balloon</v>
          </cell>
          <cell r="E165" t="str">
            <v>AL510</v>
          </cell>
          <cell r="F165" t="str">
            <v>Tethered Balloon</v>
          </cell>
          <cell r="G165" t="str">
            <v>_</v>
          </cell>
          <cell r="L165" t="str">
            <v>_</v>
          </cell>
          <cell r="Q165" t="str">
            <v>_</v>
          </cell>
          <cell r="V165" t="str">
            <v>[PVA]: "Anywhere between 50 and 3000 feet AGL."</v>
          </cell>
        </row>
        <row r="166">
          <cell r="A166">
            <v>6902</v>
          </cell>
          <cell r="B166" t="str">
            <v>801</v>
          </cell>
          <cell r="C166" t="str">
            <v>Tank</v>
          </cell>
          <cell r="D166" t="str">
            <v>Tank, General</v>
          </cell>
          <cell r="E166" t="str">
            <v>AM070</v>
          </cell>
          <cell r="F166" t="str">
            <v>Storage Tank</v>
          </cell>
          <cell r="G166" t="str">
            <v>_</v>
          </cell>
          <cell r="L166" t="str">
            <v>_</v>
          </cell>
          <cell r="Q166" t="str">
            <v>_</v>
          </cell>
        </row>
        <row r="167">
          <cell r="A167">
            <v>1111</v>
          </cell>
          <cell r="B167" t="str">
            <v>802</v>
          </cell>
          <cell r="C167" t="str">
            <v>Tank</v>
          </cell>
          <cell r="D167" t="str">
            <v>Tank, Cylindrical, Flat Top</v>
          </cell>
          <cell r="E167" t="str">
            <v>AM070</v>
          </cell>
          <cell r="F167" t="str">
            <v>Storage Tank</v>
          </cell>
          <cell r="G167" t="str">
            <v>SSC_65</v>
          </cell>
          <cell r="H167" t="str">
            <v>SSC</v>
          </cell>
          <cell r="I167">
            <v>65</v>
          </cell>
          <cell r="J167" t="str">
            <v>Structure Shape</v>
          </cell>
          <cell r="K167" t="str">
            <v>Cylindrical with Flat Top</v>
          </cell>
          <cell r="L167" t="str">
            <v>_</v>
          </cell>
          <cell r="Q167" t="str">
            <v>_</v>
          </cell>
        </row>
        <row r="168">
          <cell r="A168">
            <v>614</v>
          </cell>
          <cell r="B168" t="str">
            <v>803</v>
          </cell>
          <cell r="C168" t="str">
            <v>Tank</v>
          </cell>
          <cell r="D168" t="str">
            <v>Tank Cylindrical, Dome Top</v>
          </cell>
          <cell r="E168" t="str">
            <v>AM070</v>
          </cell>
          <cell r="F168" t="str">
            <v>Storage Tank</v>
          </cell>
          <cell r="G168" t="str">
            <v>SSC_66</v>
          </cell>
          <cell r="H168" t="str">
            <v>SSC</v>
          </cell>
          <cell r="I168">
            <v>66</v>
          </cell>
          <cell r="J168" t="str">
            <v>Structure Shape</v>
          </cell>
          <cell r="K168" t="str">
            <v>Cylindrical with Domed Top</v>
          </cell>
          <cell r="L168" t="str">
            <v>_</v>
          </cell>
          <cell r="Q168" t="str">
            <v>_</v>
          </cell>
        </row>
        <row r="169">
          <cell r="A169">
            <v>423</v>
          </cell>
          <cell r="B169" t="str">
            <v>804</v>
          </cell>
          <cell r="C169" t="str">
            <v>Tank</v>
          </cell>
          <cell r="D169" t="str">
            <v>Tank, Cylindrical, Peaked Top</v>
          </cell>
          <cell r="E169" t="str">
            <v>AM070</v>
          </cell>
          <cell r="F169" t="str">
            <v>Storage Tank</v>
          </cell>
          <cell r="G169" t="str">
            <v>SSC_71</v>
          </cell>
          <cell r="H169" t="str">
            <v>SSC</v>
          </cell>
          <cell r="I169">
            <v>71</v>
          </cell>
          <cell r="J169" t="str">
            <v>Structure Shape</v>
          </cell>
          <cell r="K169" t="str">
            <v>Cylindrical with Conical Top</v>
          </cell>
          <cell r="L169" t="str">
            <v>_</v>
          </cell>
          <cell r="Q169" t="str">
            <v>_</v>
          </cell>
        </row>
        <row r="170">
          <cell r="A170">
            <v>1983</v>
          </cell>
          <cell r="B170" t="str">
            <v>805</v>
          </cell>
          <cell r="C170" t="str">
            <v>Tank</v>
          </cell>
          <cell r="D170" t="str">
            <v>Tank, Cylindrical, Peaked Top, Tower Mounted (type 804 with tower mounted)</v>
          </cell>
          <cell r="E170" t="str">
            <v>AM070</v>
          </cell>
          <cell r="F170" t="str">
            <v>Storage Tank</v>
          </cell>
          <cell r="G170" t="str">
            <v>SSC_89</v>
          </cell>
          <cell r="H170" t="str">
            <v>SSC</v>
          </cell>
          <cell r="I170">
            <v>89</v>
          </cell>
          <cell r="J170" t="str">
            <v>Structure Shape</v>
          </cell>
          <cell r="K170" t="str">
            <v>Cylindrical on Tower</v>
          </cell>
          <cell r="L170" t="str">
            <v>_</v>
          </cell>
          <cell r="Q170" t="str">
            <v>_</v>
          </cell>
          <cell r="V170" t="str">
            <v>[NCGIS]: The peaked nature of the top doesn't appear to be as critical a discriminator as the on-tower aspect, so we believe that it can be dropped.</v>
          </cell>
        </row>
        <row r="171">
          <cell r="A171">
            <v>49</v>
          </cell>
          <cell r="B171" t="str">
            <v>806</v>
          </cell>
          <cell r="C171" t="str">
            <v>Tank</v>
          </cell>
          <cell r="D171" t="str">
            <v>Tank, Spherical</v>
          </cell>
          <cell r="E171" t="str">
            <v>AM070</v>
          </cell>
          <cell r="F171" t="str">
            <v>Storage Tank</v>
          </cell>
          <cell r="G171" t="str">
            <v>SSC_17</v>
          </cell>
          <cell r="H171" t="str">
            <v>SSC</v>
          </cell>
          <cell r="I171">
            <v>17</v>
          </cell>
          <cell r="J171" t="str">
            <v>Structure Shape</v>
          </cell>
          <cell r="K171" t="str">
            <v>Spherical</v>
          </cell>
          <cell r="L171" t="str">
            <v>_</v>
          </cell>
          <cell r="Q171" t="str">
            <v>_</v>
          </cell>
        </row>
        <row r="172">
          <cell r="A172">
            <v>1030</v>
          </cell>
          <cell r="B172" t="str">
            <v>807</v>
          </cell>
          <cell r="C172" t="str">
            <v>Tank</v>
          </cell>
          <cell r="D172" t="str">
            <v>Tank, Spherical with Column Support (type 806 with column supports)</v>
          </cell>
          <cell r="E172" t="str">
            <v>AM070</v>
          </cell>
          <cell r="F172" t="str">
            <v>Storage Tank</v>
          </cell>
          <cell r="G172" t="str">
            <v>SSC_88</v>
          </cell>
          <cell r="H172" t="str">
            <v>SSC</v>
          </cell>
          <cell r="I172">
            <v>88</v>
          </cell>
          <cell r="J172" t="str">
            <v>Structure Shape</v>
          </cell>
          <cell r="K172" t="str">
            <v>Spherical on Column</v>
          </cell>
          <cell r="L172" t="str">
            <v>_</v>
          </cell>
          <cell r="Q172" t="str">
            <v>_</v>
          </cell>
        </row>
        <row r="173">
          <cell r="A173">
            <v>74</v>
          </cell>
          <cell r="B173" t="str">
            <v>811</v>
          </cell>
          <cell r="C173" t="str">
            <v>Tank</v>
          </cell>
          <cell r="D173" t="str">
            <v>Tank, Bullet</v>
          </cell>
          <cell r="E173" t="str">
            <v>AM070</v>
          </cell>
          <cell r="F173" t="str">
            <v>Storage Tank</v>
          </cell>
          <cell r="G173" t="str">
            <v>SSC_4</v>
          </cell>
          <cell r="H173" t="str">
            <v>SSC</v>
          </cell>
          <cell r="I173">
            <v>4</v>
          </cell>
          <cell r="J173" t="str">
            <v>Structure Shape</v>
          </cell>
          <cell r="K173" t="str">
            <v>Vertical Capped Cylindrical</v>
          </cell>
          <cell r="L173" t="str">
            <v>_</v>
          </cell>
          <cell r="Q173" t="str">
            <v>_</v>
          </cell>
        </row>
        <row r="174">
          <cell r="A174">
            <v>281</v>
          </cell>
          <cell r="B174" t="str">
            <v>812</v>
          </cell>
          <cell r="C174" t="str">
            <v>Gasholder</v>
          </cell>
          <cell r="D174" t="str">
            <v>Tank, Telescoping Gasholder (Gasometer)</v>
          </cell>
          <cell r="E174" t="str">
            <v>AM070</v>
          </cell>
          <cell r="F174" t="str">
            <v>Storage Tank</v>
          </cell>
          <cell r="G174" t="str">
            <v>SSC_59</v>
          </cell>
          <cell r="H174" t="str">
            <v>SSC</v>
          </cell>
          <cell r="I174">
            <v>59</v>
          </cell>
          <cell r="J174" t="str">
            <v>Structure Shape</v>
          </cell>
          <cell r="K174" t="str">
            <v>Cylindrical with Framework</v>
          </cell>
          <cell r="L174" t="str">
            <v>_</v>
          </cell>
          <cell r="Q174" t="str">
            <v>_</v>
          </cell>
        </row>
        <row r="175">
          <cell r="A175">
            <v>488</v>
          </cell>
          <cell r="B175" t="str">
            <v>820</v>
          </cell>
          <cell r="C175" t="str">
            <v>Storage Structure</v>
          </cell>
          <cell r="D175" t="str">
            <v>Closed Storage Structure, General</v>
          </cell>
          <cell r="E175" t="str">
            <v>AL014</v>
          </cell>
          <cell r="F175" t="str">
            <v>Non-building Structure</v>
          </cell>
          <cell r="G175" t="str">
            <v>FFN_530</v>
          </cell>
          <cell r="H175" t="str">
            <v>FFN</v>
          </cell>
          <cell r="I175">
            <v>530</v>
          </cell>
          <cell r="J175" t="str">
            <v>Feature Function(s)</v>
          </cell>
          <cell r="K175" t="str">
            <v>Warehousing and Storage</v>
          </cell>
          <cell r="L175" t="str">
            <v>_</v>
          </cell>
          <cell r="Q175" t="str">
            <v>_</v>
          </cell>
          <cell r="V175" t="str">
            <v>[PVA]: "Agree that this just a building used for storage" and not a 'Storage Depot' as indicated in the current FACC mapping."</v>
          </cell>
        </row>
        <row r="176">
          <cell r="A176">
            <v>1708</v>
          </cell>
          <cell r="B176" t="str">
            <v>821</v>
          </cell>
          <cell r="C176" t="str">
            <v>Storage Structure</v>
          </cell>
          <cell r="D176" t="str">
            <v>Silo</v>
          </cell>
          <cell r="E176" t="str">
            <v>AM020</v>
          </cell>
          <cell r="F176" t="str">
            <v>Grain Storage Structure</v>
          </cell>
          <cell r="G176" t="str">
            <v>_</v>
          </cell>
          <cell r="L176" t="str">
            <v>_</v>
          </cell>
          <cell r="Q176" t="str">
            <v>_</v>
          </cell>
        </row>
        <row r="177">
          <cell r="A177">
            <v>2381</v>
          </cell>
          <cell r="B177" t="str">
            <v>822</v>
          </cell>
          <cell r="C177" t="str">
            <v>Storage Structure</v>
          </cell>
          <cell r="D177" t="str">
            <v>Grain Elevator</v>
          </cell>
          <cell r="E177" t="str">
            <v>AM030</v>
          </cell>
          <cell r="F177" t="str">
            <v>Grain Elevator</v>
          </cell>
          <cell r="G177" t="str">
            <v>_</v>
          </cell>
          <cell r="L177" t="str">
            <v>_</v>
          </cell>
          <cell r="Q177" t="str">
            <v>_</v>
          </cell>
        </row>
        <row r="178">
          <cell r="A178">
            <v>5672</v>
          </cell>
          <cell r="B178" t="str">
            <v>824</v>
          </cell>
          <cell r="C178" t="str">
            <v>Water Tower</v>
          </cell>
          <cell r="D178" t="str">
            <v>Water Tower Building, Masonry/Concrete</v>
          </cell>
          <cell r="E178" t="str">
            <v>AM080</v>
          </cell>
          <cell r="F178" t="str">
            <v>Water Tower</v>
          </cell>
          <cell r="G178" t="str">
            <v>_</v>
          </cell>
          <cell r="L178" t="str">
            <v>_</v>
          </cell>
          <cell r="Q178" t="str">
            <v>_</v>
          </cell>
          <cell r="V178" t="str">
            <v>[PVA]: "Most likely used to collect the Water Tower; field 'SurfaceMatCd' already collects the material so it can be ignored here."</v>
          </cell>
        </row>
        <row r="179">
          <cell r="A179">
            <v>20</v>
          </cell>
          <cell r="B179" t="str">
            <v>830</v>
          </cell>
          <cell r="C179" t="str">
            <v>Open Storage</v>
          </cell>
          <cell r="D179" t="str">
            <v>Open Storage, General</v>
          </cell>
          <cell r="E179" t="str">
            <v>AM010</v>
          </cell>
          <cell r="F179" t="str">
            <v>Storage Depot</v>
          </cell>
          <cell r="G179" t="str">
            <v>_</v>
          </cell>
          <cell r="L179" t="str">
            <v>_</v>
          </cell>
          <cell r="Q179" t="str">
            <v>_</v>
          </cell>
        </row>
        <row r="180">
          <cell r="A180">
            <v>112</v>
          </cell>
          <cell r="B180" t="str">
            <v>831</v>
          </cell>
          <cell r="C180" t="str">
            <v>Open Storage</v>
          </cell>
          <cell r="D180" t="str">
            <v>Open Storage, Mineral</v>
          </cell>
          <cell r="E180" t="str">
            <v>AM040</v>
          </cell>
          <cell r="F180" t="str">
            <v>Mineral Pile</v>
          </cell>
          <cell r="G180" t="str">
            <v>_</v>
          </cell>
          <cell r="L180" t="str">
            <v>_</v>
          </cell>
          <cell r="Q180" t="str">
            <v>_</v>
          </cell>
        </row>
        <row r="181">
          <cell r="A181">
            <v>335</v>
          </cell>
          <cell r="B181" t="str">
            <v>861</v>
          </cell>
          <cell r="C181" t="str">
            <v>Building</v>
          </cell>
          <cell r="D181" t="str">
            <v>Warehouse</v>
          </cell>
          <cell r="E181" t="str">
            <v>AL013</v>
          </cell>
          <cell r="F181" t="str">
            <v>Building</v>
          </cell>
          <cell r="G181" t="str">
            <v>FFN_530</v>
          </cell>
          <cell r="H181" t="str">
            <v>FFN</v>
          </cell>
          <cell r="I181">
            <v>530</v>
          </cell>
          <cell r="J181" t="str">
            <v>Feature Function(s)</v>
          </cell>
          <cell r="K181" t="str">
            <v>Warehousing and Storage</v>
          </cell>
          <cell r="L181" t="str">
            <v>_</v>
          </cell>
          <cell r="Q181" t="str">
            <v>_</v>
          </cell>
        </row>
        <row r="182">
          <cell r="A182">
            <v>7</v>
          </cell>
          <cell r="B182" t="str">
            <v>865</v>
          </cell>
          <cell r="C182" t="str">
            <v>Ship Storage</v>
          </cell>
          <cell r="D182" t="str">
            <v>Ship Storage (Semi-permanently moored ships)</v>
          </cell>
          <cell r="E182" t="str">
            <v>BB010</v>
          </cell>
          <cell r="F182" t="str">
            <v>Anchorage</v>
          </cell>
          <cell r="G182" t="str">
            <v>MAC_17</v>
          </cell>
          <cell r="H182" t="str">
            <v>MAC</v>
          </cell>
          <cell r="I182">
            <v>17</v>
          </cell>
          <cell r="J182" t="str">
            <v>Maritime Area Category</v>
          </cell>
          <cell r="K182" t="str">
            <v>Reserved Anchorage</v>
          </cell>
          <cell r="L182" t="str">
            <v>_</v>
          </cell>
          <cell r="Q182" t="str">
            <v>_</v>
          </cell>
          <cell r="V182" t="str">
            <v>[PVA]: "This most likely an off-shore moored collection of vessels, rather than tied up to the shore." [NCGIS]: Still need to capture the nature of the "reservation" at the anchorage.</v>
          </cell>
        </row>
        <row r="183">
          <cell r="A183">
            <v>24446</v>
          </cell>
          <cell r="B183" t="str">
            <v>900</v>
          </cell>
          <cell r="C183" t="str">
            <v>Aerial Cable</v>
          </cell>
          <cell r="D183" t="str">
            <v>Aerial Cable, Aerial Tramway, or Power Transmission Line (refers to the wire suspended over a valley body of water). -- (See CHUM code 540-544 for possible depiction of individual pylons)</v>
          </cell>
          <cell r="E183" t="str">
            <v>AT005</v>
          </cell>
          <cell r="F183" t="str">
            <v>Cable</v>
          </cell>
          <cell r="G183" t="str">
            <v>LOC_45</v>
          </cell>
          <cell r="H183" t="str">
            <v>LOC</v>
          </cell>
          <cell r="I183">
            <v>45</v>
          </cell>
          <cell r="J183" t="str">
            <v>Vertical Relative Location</v>
          </cell>
          <cell r="K183" t="str">
            <v>Above Surface</v>
          </cell>
          <cell r="L183" t="str">
            <v>_</v>
          </cell>
          <cell r="Q183" t="str">
            <v>_</v>
          </cell>
        </row>
        <row r="184">
          <cell r="A184">
            <v>1638</v>
          </cell>
          <cell r="B184" t="str">
            <v>925</v>
          </cell>
          <cell r="C184" t="str">
            <v>Dam</v>
          </cell>
          <cell r="D184" t="str">
            <v>Dam</v>
          </cell>
          <cell r="E184" t="str">
            <v>BI020</v>
          </cell>
          <cell r="F184" t="str">
            <v>Dam</v>
          </cell>
          <cell r="G184" t="str">
            <v>_</v>
          </cell>
          <cell r="L184" t="str">
            <v>_</v>
          </cell>
          <cell r="Q184" t="str">
            <v>_</v>
          </cell>
        </row>
        <row r="185">
          <cell r="A185">
            <v>264</v>
          </cell>
          <cell r="B185" t="str">
            <v>926</v>
          </cell>
          <cell r="C185" t="str">
            <v>Tower</v>
          </cell>
          <cell r="D185" t="str">
            <v>Water Intake Tower</v>
          </cell>
          <cell r="E185" t="str">
            <v>BI050</v>
          </cell>
          <cell r="F185" t="str">
            <v>Water Intake Tower</v>
          </cell>
          <cell r="G185" t="str">
            <v>_</v>
          </cell>
          <cell r="L185" t="str">
            <v>_</v>
          </cell>
          <cell r="Q185" t="str">
            <v>_</v>
          </cell>
        </row>
        <row r="186">
          <cell r="A186">
            <v>958</v>
          </cell>
          <cell r="B186" t="str">
            <v>954</v>
          </cell>
          <cell r="C186" t="str">
            <v>Air Obstruction (Natural )</v>
          </cell>
          <cell r="D186" t="str">
            <v>Miscellaneous Air Obstruction - Natural Growth (Tree)</v>
          </cell>
          <cell r="E186" t="str">
            <v>EC005</v>
          </cell>
          <cell r="F186" t="str">
            <v>Tree</v>
          </cell>
          <cell r="G186" t="str">
            <v>_</v>
          </cell>
          <cell r="L186" t="str">
            <v>_</v>
          </cell>
          <cell r="Q186" t="str">
            <v>_</v>
          </cell>
          <cell r="V186" t="str">
            <v>[PVA]: "These are collected as single trees, typically from an airfield survey, and only when directed to do so."</v>
          </cell>
        </row>
        <row r="187">
          <cell r="A187">
            <v>8636</v>
          </cell>
          <cell r="B187" t="str">
            <v>U</v>
          </cell>
          <cell r="C187" t="str">
            <v>Misc Man-made</v>
          </cell>
          <cell r="D187" t="str">
            <v>Miscellaneous Air Obstruction (Man-made)</v>
          </cell>
          <cell r="G187" t="str">
            <v>_</v>
          </cell>
          <cell r="L187" t="str">
            <v>_</v>
          </cell>
          <cell r="Q187" t="str">
            <v>_</v>
          </cell>
          <cell r="V187" t="str">
            <v>[PVA]: "Many of the feature instances collected here do not have their own DVOF Code (e.g., windsock). They are most often associated with an airfield.  When the specific feature type is known it many be collected in the remarks field." [NCGIS]: Need to c</v>
          </cell>
        </row>
      </sheetData>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nsgreg.nga.mil/genc" TargetMode="External"/><Relationship Id="rId1" Type="http://schemas.openxmlformats.org/officeDocument/2006/relationships/hyperlink" Target="http://www.gwg.nga.mil/ccwg.ph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7"/>
  <sheetViews>
    <sheetView tabSelected="1" topLeftCell="B1" zoomScale="80" zoomScaleNormal="80" workbookViewId="0">
      <pane ySplit="9" topLeftCell="A10" activePane="bottomLeft" state="frozen"/>
      <selection pane="bottomLeft"/>
    </sheetView>
  </sheetViews>
  <sheetFormatPr defaultRowHeight="12.75" x14ac:dyDescent="0.2"/>
  <cols>
    <col min="1" max="1" width="5.1640625" style="3" hidden="1" customWidth="1"/>
    <col min="2" max="2" width="12.1640625" style="3" customWidth="1"/>
    <col min="3" max="3" width="37.1640625" style="3" customWidth="1"/>
    <col min="4" max="4" width="162.1640625" style="3" customWidth="1"/>
    <col min="5" max="5" width="93.6640625" style="3" customWidth="1"/>
    <col min="6" max="6" width="40.6640625" style="3" customWidth="1"/>
    <col min="7" max="16384" width="9.33203125" style="3"/>
  </cols>
  <sheetData>
    <row r="1" spans="1:6" x14ac:dyDescent="0.2">
      <c r="B1" s="95"/>
      <c r="C1" s="95"/>
      <c r="D1" s="95"/>
      <c r="E1" s="95"/>
      <c r="F1" s="95"/>
    </row>
    <row r="2" spans="1:6" ht="23.25" x14ac:dyDescent="0.2">
      <c r="A2" s="3">
        <v>1</v>
      </c>
      <c r="B2" s="96" t="s">
        <v>156</v>
      </c>
      <c r="C2" s="96"/>
      <c r="D2" s="96"/>
      <c r="E2" s="5" t="s">
        <v>155</v>
      </c>
      <c r="F2" s="95"/>
    </row>
    <row r="3" spans="1:6" ht="12.75" customHeight="1" x14ac:dyDescent="0.2">
      <c r="A3" s="3">
        <v>2</v>
      </c>
      <c r="B3" s="97" t="s">
        <v>8</v>
      </c>
      <c r="C3" s="95"/>
      <c r="D3" s="95"/>
      <c r="E3" s="95"/>
      <c r="F3" s="95"/>
    </row>
    <row r="4" spans="1:6" ht="150" customHeight="1" thickBot="1" x14ac:dyDescent="0.25">
      <c r="A4" s="3">
        <v>3</v>
      </c>
      <c r="B4" s="97"/>
      <c r="C4" s="6" t="s">
        <v>9</v>
      </c>
      <c r="D4" s="95" t="s">
        <v>157</v>
      </c>
      <c r="E4" s="95"/>
      <c r="F4" s="95"/>
    </row>
    <row r="5" spans="1:6" ht="16.5" customHeight="1" thickBot="1" x14ac:dyDescent="0.25">
      <c r="A5" s="27">
        <v>4</v>
      </c>
      <c r="B5" s="97"/>
      <c r="C5" s="12" t="s">
        <v>10</v>
      </c>
      <c r="D5" s="13" t="s">
        <v>65</v>
      </c>
      <c r="F5" s="95"/>
    </row>
    <row r="6" spans="1:6" ht="16.5" customHeight="1" thickBot="1" x14ac:dyDescent="0.25">
      <c r="A6" s="27">
        <v>5</v>
      </c>
      <c r="B6" s="97"/>
      <c r="C6" s="12" t="s">
        <v>11</v>
      </c>
      <c r="D6" s="13" t="s">
        <v>154</v>
      </c>
      <c r="F6" s="95"/>
    </row>
    <row r="7" spans="1:6" x14ac:dyDescent="0.2">
      <c r="A7" s="27">
        <v>6</v>
      </c>
      <c r="B7" s="97"/>
      <c r="C7" s="7" t="s">
        <v>12</v>
      </c>
      <c r="D7" s="98"/>
      <c r="E7" s="98"/>
      <c r="F7" s="95"/>
    </row>
    <row r="8" spans="1:6" ht="28.5" customHeight="1" x14ac:dyDescent="0.2">
      <c r="A8" s="27">
        <v>7</v>
      </c>
      <c r="B8" s="97"/>
      <c r="C8" s="6" t="s">
        <v>13</v>
      </c>
      <c r="D8" s="95" t="s">
        <v>14</v>
      </c>
      <c r="E8" s="95"/>
      <c r="F8" s="95"/>
    </row>
    <row r="9" spans="1:6" ht="15.75" x14ac:dyDescent="0.2">
      <c r="A9" s="27">
        <v>8</v>
      </c>
      <c r="B9" s="38"/>
      <c r="C9" s="39" t="s">
        <v>15</v>
      </c>
      <c r="D9" s="40" t="s">
        <v>16</v>
      </c>
      <c r="E9" s="41" t="s">
        <v>17</v>
      </c>
      <c r="F9" s="95"/>
    </row>
    <row r="10" spans="1:6" ht="243" customHeight="1" x14ac:dyDescent="0.2">
      <c r="A10" s="3">
        <v>9</v>
      </c>
      <c r="B10" s="91" t="s">
        <v>79</v>
      </c>
      <c r="C10" s="42" t="s">
        <v>29</v>
      </c>
      <c r="D10" s="42" t="s">
        <v>150</v>
      </c>
      <c r="E10" s="43" t="s">
        <v>31</v>
      </c>
      <c r="F10" s="95"/>
    </row>
    <row r="11" spans="1:6" s="4" customFormat="1" ht="30" customHeight="1" x14ac:dyDescent="0.2">
      <c r="A11" s="4">
        <v>10</v>
      </c>
      <c r="B11" s="92"/>
      <c r="C11" s="29" t="s">
        <v>77</v>
      </c>
      <c r="D11" s="28" t="s">
        <v>33</v>
      </c>
      <c r="E11" s="44" t="s">
        <v>21</v>
      </c>
      <c r="F11" s="95"/>
    </row>
    <row r="12" spans="1:6" x14ac:dyDescent="0.2">
      <c r="A12" s="3">
        <v>11</v>
      </c>
      <c r="B12" s="92"/>
      <c r="C12" s="29" t="s">
        <v>53</v>
      </c>
      <c r="D12" s="30" t="s">
        <v>34</v>
      </c>
      <c r="E12" s="44" t="s">
        <v>18</v>
      </c>
      <c r="F12" s="95"/>
    </row>
    <row r="13" spans="1:6" ht="25.5" customHeight="1" x14ac:dyDescent="0.2">
      <c r="A13" s="27">
        <v>12</v>
      </c>
      <c r="B13" s="92"/>
      <c r="C13" s="29" t="s">
        <v>51</v>
      </c>
      <c r="D13" s="30" t="s">
        <v>35</v>
      </c>
      <c r="E13" s="44" t="s">
        <v>19</v>
      </c>
      <c r="F13" s="95"/>
    </row>
    <row r="14" spans="1:6" ht="26.25" customHeight="1" x14ac:dyDescent="0.2">
      <c r="A14" s="27">
        <v>13</v>
      </c>
      <c r="B14" s="92"/>
      <c r="C14" s="29" t="s">
        <v>54</v>
      </c>
      <c r="D14" s="30" t="s">
        <v>36</v>
      </c>
      <c r="E14" s="44" t="s">
        <v>20</v>
      </c>
      <c r="F14" s="95"/>
    </row>
    <row r="15" spans="1:6" ht="66" customHeight="1" x14ac:dyDescent="0.2">
      <c r="A15" s="27">
        <v>14</v>
      </c>
      <c r="B15" s="93"/>
      <c r="C15" s="31" t="s">
        <v>6</v>
      </c>
      <c r="D15" s="28" t="s">
        <v>25</v>
      </c>
      <c r="E15" s="44" t="s">
        <v>24</v>
      </c>
      <c r="F15" s="95"/>
    </row>
    <row r="16" spans="1:6" s="4" customFormat="1" ht="27.75" customHeight="1" x14ac:dyDescent="0.2">
      <c r="A16" s="27">
        <v>15</v>
      </c>
      <c r="B16" s="93"/>
      <c r="C16" s="29" t="s">
        <v>52</v>
      </c>
      <c r="D16" s="28" t="s">
        <v>41</v>
      </c>
      <c r="E16" s="44" t="s">
        <v>32</v>
      </c>
      <c r="F16" s="95"/>
    </row>
    <row r="17" spans="1:6" s="4" customFormat="1" ht="40.5" customHeight="1" x14ac:dyDescent="0.2">
      <c r="A17" s="27">
        <v>16</v>
      </c>
      <c r="B17" s="93"/>
      <c r="C17" s="29" t="s">
        <v>55</v>
      </c>
      <c r="D17" s="30" t="s">
        <v>37</v>
      </c>
      <c r="E17" s="44" t="s">
        <v>114</v>
      </c>
      <c r="F17" s="95"/>
    </row>
    <row r="18" spans="1:6" s="4" customFormat="1" ht="55.5" customHeight="1" x14ac:dyDescent="0.2">
      <c r="A18" s="27">
        <v>17</v>
      </c>
      <c r="B18" s="93"/>
      <c r="C18" s="29" t="s">
        <v>56</v>
      </c>
      <c r="D18" s="30" t="s">
        <v>38</v>
      </c>
      <c r="E18" s="44" t="s">
        <v>115</v>
      </c>
      <c r="F18" s="95"/>
    </row>
    <row r="19" spans="1:6" s="4" customFormat="1" ht="54" customHeight="1" x14ac:dyDescent="0.2">
      <c r="A19" s="27">
        <v>18</v>
      </c>
      <c r="B19" s="93"/>
      <c r="C19" s="29" t="s">
        <v>57</v>
      </c>
      <c r="D19" s="30" t="s">
        <v>39</v>
      </c>
      <c r="E19" s="44" t="s">
        <v>105</v>
      </c>
      <c r="F19" s="95"/>
    </row>
    <row r="20" spans="1:6" ht="54.75" customHeight="1" x14ac:dyDescent="0.2">
      <c r="A20" s="27">
        <v>19</v>
      </c>
      <c r="B20" s="93"/>
      <c r="C20" s="34" t="s">
        <v>78</v>
      </c>
      <c r="D20" s="33" t="s">
        <v>139</v>
      </c>
      <c r="E20" s="44" t="s">
        <v>116</v>
      </c>
      <c r="F20" s="95"/>
    </row>
    <row r="21" spans="1:6" ht="27.75" customHeight="1" x14ac:dyDescent="0.2">
      <c r="A21" s="27">
        <v>20</v>
      </c>
      <c r="B21" s="94"/>
      <c r="C21" s="35" t="s">
        <v>27</v>
      </c>
      <c r="D21" s="36" t="s">
        <v>26</v>
      </c>
      <c r="E21" s="45" t="s">
        <v>117</v>
      </c>
      <c r="F21" s="95"/>
    </row>
    <row r="22" spans="1:6" ht="12.75" customHeight="1" x14ac:dyDescent="0.2">
      <c r="A22" s="27">
        <v>21</v>
      </c>
      <c r="B22" s="37"/>
      <c r="C22" s="37"/>
      <c r="D22" s="37"/>
      <c r="E22" s="37"/>
      <c r="F22" s="95"/>
    </row>
    <row r="23" spans="1:6" s="26" customFormat="1" ht="59.25" customHeight="1" x14ac:dyDescent="0.2">
      <c r="A23" s="27">
        <v>22</v>
      </c>
      <c r="B23" s="91" t="s">
        <v>106</v>
      </c>
      <c r="C23" s="42" t="s">
        <v>29</v>
      </c>
      <c r="D23" s="42" t="s">
        <v>134</v>
      </c>
      <c r="E23" s="43" t="s">
        <v>80</v>
      </c>
      <c r="F23" s="95"/>
    </row>
    <row r="24" spans="1:6" s="26" customFormat="1" ht="30" customHeight="1" x14ac:dyDescent="0.2">
      <c r="A24" s="27">
        <v>23</v>
      </c>
      <c r="B24" s="92"/>
      <c r="C24" s="29" t="s">
        <v>77</v>
      </c>
      <c r="D24" s="28" t="s">
        <v>33</v>
      </c>
      <c r="E24" s="44" t="s">
        <v>85</v>
      </c>
      <c r="F24" s="95"/>
    </row>
    <row r="25" spans="1:6" s="26" customFormat="1" ht="27.75" customHeight="1" x14ac:dyDescent="0.2">
      <c r="A25" s="27">
        <v>24</v>
      </c>
      <c r="B25" s="92"/>
      <c r="C25" s="32" t="s">
        <v>81</v>
      </c>
      <c r="D25" s="33" t="s">
        <v>108</v>
      </c>
      <c r="E25" s="44" t="s">
        <v>86</v>
      </c>
      <c r="F25" s="95"/>
    </row>
    <row r="26" spans="1:6" s="26" customFormat="1" ht="15" customHeight="1" x14ac:dyDescent="0.2">
      <c r="A26" s="27">
        <v>25</v>
      </c>
      <c r="B26" s="92"/>
      <c r="C26" s="29" t="s">
        <v>82</v>
      </c>
      <c r="D26" s="30" t="s">
        <v>84</v>
      </c>
      <c r="E26" s="44" t="s">
        <v>87</v>
      </c>
      <c r="F26" s="95"/>
    </row>
    <row r="27" spans="1:6" s="26" customFormat="1" ht="15" customHeight="1" x14ac:dyDescent="0.2">
      <c r="A27" s="27">
        <v>26</v>
      </c>
      <c r="B27" s="92"/>
      <c r="C27" s="29" t="s">
        <v>83</v>
      </c>
      <c r="D27" s="30" t="s">
        <v>88</v>
      </c>
      <c r="E27" s="44" t="s">
        <v>89</v>
      </c>
      <c r="F27" s="95"/>
    </row>
    <row r="28" spans="1:6" s="26" customFormat="1" ht="30" customHeight="1" x14ac:dyDescent="0.2">
      <c r="A28" s="27">
        <v>27</v>
      </c>
      <c r="B28" s="93"/>
      <c r="C28" s="31" t="s">
        <v>6</v>
      </c>
      <c r="D28" s="28" t="s">
        <v>90</v>
      </c>
      <c r="E28" s="44" t="s">
        <v>91</v>
      </c>
      <c r="F28" s="95"/>
    </row>
    <row r="29" spans="1:6" s="26" customFormat="1" ht="27.75" customHeight="1" x14ac:dyDescent="0.2">
      <c r="A29" s="27">
        <v>28</v>
      </c>
      <c r="B29" s="93"/>
      <c r="C29" s="29" t="s">
        <v>93</v>
      </c>
      <c r="D29" s="28" t="s">
        <v>94</v>
      </c>
      <c r="E29" s="44" t="s">
        <v>92</v>
      </c>
      <c r="F29" s="95"/>
    </row>
    <row r="30" spans="1:6" s="26" customFormat="1" ht="42" customHeight="1" x14ac:dyDescent="0.2">
      <c r="A30" s="27">
        <v>29</v>
      </c>
      <c r="B30" s="93"/>
      <c r="C30" s="29" t="s">
        <v>95</v>
      </c>
      <c r="D30" s="28" t="s">
        <v>141</v>
      </c>
      <c r="E30" s="44" t="s">
        <v>118</v>
      </c>
      <c r="F30" s="95"/>
    </row>
    <row r="31" spans="1:6" s="26" customFormat="1" ht="42" customHeight="1" x14ac:dyDescent="0.2">
      <c r="A31" s="27">
        <v>30</v>
      </c>
      <c r="B31" s="93"/>
      <c r="C31" s="29" t="s">
        <v>82</v>
      </c>
      <c r="D31" s="30" t="s">
        <v>96</v>
      </c>
      <c r="E31" s="44" t="s">
        <v>119</v>
      </c>
      <c r="F31" s="95"/>
    </row>
    <row r="32" spans="1:6" s="26" customFormat="1" ht="40.5" customHeight="1" x14ac:dyDescent="0.2">
      <c r="A32" s="27">
        <v>31</v>
      </c>
      <c r="B32" s="93"/>
      <c r="C32" s="29" t="s">
        <v>78</v>
      </c>
      <c r="D32" s="30" t="s">
        <v>40</v>
      </c>
      <c r="E32" s="44" t="s">
        <v>120</v>
      </c>
      <c r="F32" s="95"/>
    </row>
    <row r="33" spans="1:6" s="26" customFormat="1" ht="41.25" customHeight="1" x14ac:dyDescent="0.2">
      <c r="A33" s="27">
        <v>32</v>
      </c>
      <c r="B33" s="93"/>
      <c r="C33" s="34" t="s">
        <v>55</v>
      </c>
      <c r="D33" s="33" t="s">
        <v>136</v>
      </c>
      <c r="E33" s="44" t="s">
        <v>121</v>
      </c>
      <c r="F33" s="95"/>
    </row>
    <row r="34" spans="1:6" s="26" customFormat="1" ht="54.75" customHeight="1" x14ac:dyDescent="0.2">
      <c r="A34" s="27">
        <v>33</v>
      </c>
      <c r="B34" s="93"/>
      <c r="C34" s="34" t="s">
        <v>56</v>
      </c>
      <c r="D34" s="33" t="s">
        <v>137</v>
      </c>
      <c r="E34" s="44" t="s">
        <v>135</v>
      </c>
      <c r="F34" s="95"/>
    </row>
    <row r="35" spans="1:6" s="26" customFormat="1" ht="55.5" customHeight="1" x14ac:dyDescent="0.2">
      <c r="A35" s="27">
        <v>34</v>
      </c>
      <c r="B35" s="93"/>
      <c r="C35" s="34" t="s">
        <v>57</v>
      </c>
      <c r="D35" s="33" t="s">
        <v>140</v>
      </c>
      <c r="E35" s="44" t="s">
        <v>122</v>
      </c>
      <c r="F35" s="95"/>
    </row>
    <row r="36" spans="1:6" s="26" customFormat="1" ht="27.75" customHeight="1" x14ac:dyDescent="0.2">
      <c r="A36" s="27">
        <v>35</v>
      </c>
      <c r="B36" s="94"/>
      <c r="C36" s="35" t="s">
        <v>27</v>
      </c>
      <c r="D36" s="36" t="s">
        <v>26</v>
      </c>
      <c r="E36" s="45" t="s">
        <v>117</v>
      </c>
      <c r="F36" s="95"/>
    </row>
    <row r="37" spans="1:6" s="26" customFormat="1" ht="12.75" customHeight="1" x14ac:dyDescent="0.2">
      <c r="A37" s="27">
        <v>36</v>
      </c>
      <c r="B37" s="28"/>
      <c r="C37" s="28"/>
      <c r="D37" s="28"/>
      <c r="E37" s="28"/>
      <c r="F37" s="95"/>
    </row>
    <row r="38" spans="1:6" s="4" customFormat="1" ht="186.75" customHeight="1" x14ac:dyDescent="0.2">
      <c r="A38" s="27">
        <v>37</v>
      </c>
      <c r="B38" s="91" t="s">
        <v>97</v>
      </c>
      <c r="C38" s="42" t="s">
        <v>29</v>
      </c>
      <c r="D38" s="42" t="s">
        <v>151</v>
      </c>
      <c r="E38" s="43" t="s">
        <v>30</v>
      </c>
      <c r="F38" s="95"/>
    </row>
    <row r="39" spans="1:6" s="4" customFormat="1" ht="28.5" customHeight="1" x14ac:dyDescent="0.2">
      <c r="A39" s="27">
        <v>38</v>
      </c>
      <c r="B39" s="92"/>
      <c r="C39" s="29" t="s">
        <v>50</v>
      </c>
      <c r="D39" s="28" t="s">
        <v>100</v>
      </c>
      <c r="E39" s="44" t="s">
        <v>21</v>
      </c>
      <c r="F39" s="95"/>
    </row>
    <row r="40" spans="1:6" s="4" customFormat="1" ht="25.5" x14ac:dyDescent="0.2">
      <c r="A40" s="27">
        <v>39</v>
      </c>
      <c r="B40" s="92"/>
      <c r="C40" s="29" t="s">
        <v>55</v>
      </c>
      <c r="D40" s="30" t="s">
        <v>42</v>
      </c>
      <c r="E40" s="44" t="s">
        <v>18</v>
      </c>
      <c r="F40" s="95"/>
    </row>
    <row r="41" spans="1:6" s="4" customFormat="1" ht="25.5" x14ac:dyDescent="0.2">
      <c r="A41" s="27">
        <v>40</v>
      </c>
      <c r="B41" s="92"/>
      <c r="C41" s="29" t="s">
        <v>56</v>
      </c>
      <c r="D41" s="30" t="s">
        <v>43</v>
      </c>
      <c r="E41" s="44" t="s">
        <v>19</v>
      </c>
      <c r="F41" s="95"/>
    </row>
    <row r="42" spans="1:6" s="4" customFormat="1" ht="25.5" x14ac:dyDescent="0.2">
      <c r="A42" s="27">
        <v>41</v>
      </c>
      <c r="B42" s="92"/>
      <c r="C42" s="29" t="s">
        <v>57</v>
      </c>
      <c r="D42" s="30" t="s">
        <v>44</v>
      </c>
      <c r="E42" s="44" t="s">
        <v>20</v>
      </c>
      <c r="F42" s="95"/>
    </row>
    <row r="43" spans="1:6" s="4" customFormat="1" ht="63.75" customHeight="1" x14ac:dyDescent="0.2">
      <c r="A43" s="27">
        <v>42</v>
      </c>
      <c r="B43" s="92"/>
      <c r="C43" s="31" t="s">
        <v>6</v>
      </c>
      <c r="D43" s="28" t="s">
        <v>25</v>
      </c>
      <c r="E43" s="44" t="s">
        <v>24</v>
      </c>
      <c r="F43" s="95"/>
    </row>
    <row r="44" spans="1:6" s="4" customFormat="1" ht="29.25" customHeight="1" x14ac:dyDescent="0.2">
      <c r="A44" s="27">
        <v>43</v>
      </c>
      <c r="B44" s="92"/>
      <c r="C44" s="29" t="s">
        <v>52</v>
      </c>
      <c r="D44" s="28" t="s">
        <v>46</v>
      </c>
      <c r="E44" s="44" t="s">
        <v>32</v>
      </c>
      <c r="F44" s="95"/>
    </row>
    <row r="45" spans="1:6" s="4" customFormat="1" ht="41.25" customHeight="1" x14ac:dyDescent="0.2">
      <c r="A45" s="27">
        <v>44</v>
      </c>
      <c r="B45" s="92"/>
      <c r="C45" s="29" t="s">
        <v>53</v>
      </c>
      <c r="D45" s="30" t="s">
        <v>47</v>
      </c>
      <c r="E45" s="44" t="s">
        <v>123</v>
      </c>
      <c r="F45" s="95"/>
    </row>
    <row r="46" spans="1:6" s="4" customFormat="1" ht="54" customHeight="1" x14ac:dyDescent="0.2">
      <c r="A46" s="27">
        <v>45</v>
      </c>
      <c r="B46" s="92"/>
      <c r="C46" s="29" t="s">
        <v>51</v>
      </c>
      <c r="D46" s="30" t="s">
        <v>48</v>
      </c>
      <c r="E46" s="44" t="s">
        <v>124</v>
      </c>
      <c r="F46" s="95"/>
    </row>
    <row r="47" spans="1:6" s="4" customFormat="1" ht="54.75" customHeight="1" x14ac:dyDescent="0.2">
      <c r="A47" s="27">
        <v>46</v>
      </c>
      <c r="B47" s="92"/>
      <c r="C47" s="29" t="s">
        <v>54</v>
      </c>
      <c r="D47" s="30" t="s">
        <v>49</v>
      </c>
      <c r="E47" s="44" t="s">
        <v>125</v>
      </c>
      <c r="F47" s="95"/>
    </row>
    <row r="48" spans="1:6" s="26" customFormat="1" ht="54.75" customHeight="1" x14ac:dyDescent="0.2">
      <c r="A48" s="27">
        <v>47</v>
      </c>
      <c r="B48" s="92"/>
      <c r="C48" s="34" t="s">
        <v>78</v>
      </c>
      <c r="D48" s="33" t="s">
        <v>138</v>
      </c>
      <c r="E48" s="44" t="s">
        <v>126</v>
      </c>
      <c r="F48" s="95"/>
    </row>
    <row r="49" spans="1:6" s="4" customFormat="1" ht="25.5" x14ac:dyDescent="0.2">
      <c r="A49" s="27">
        <v>48</v>
      </c>
      <c r="B49" s="94"/>
      <c r="C49" s="35" t="s">
        <v>27</v>
      </c>
      <c r="D49" s="36" t="s">
        <v>26</v>
      </c>
      <c r="E49" s="45" t="s">
        <v>117</v>
      </c>
      <c r="F49" s="95"/>
    </row>
    <row r="50" spans="1:6" s="4" customFormat="1" ht="12.75" customHeight="1" x14ac:dyDescent="0.2">
      <c r="A50" s="27">
        <v>49</v>
      </c>
      <c r="B50" s="28"/>
      <c r="C50" s="28"/>
      <c r="D50" s="28"/>
      <c r="E50" s="28"/>
      <c r="F50" s="95"/>
    </row>
    <row r="51" spans="1:6" s="26" customFormat="1" ht="35.25" customHeight="1" x14ac:dyDescent="0.2">
      <c r="A51" s="27">
        <v>50</v>
      </c>
      <c r="B51" s="91" t="s">
        <v>107</v>
      </c>
      <c r="C51" s="42" t="s">
        <v>29</v>
      </c>
      <c r="D51" s="42" t="s">
        <v>143</v>
      </c>
      <c r="E51" s="43" t="s">
        <v>98</v>
      </c>
      <c r="F51" s="95"/>
    </row>
    <row r="52" spans="1:6" s="26" customFormat="1" ht="27.75" customHeight="1" x14ac:dyDescent="0.2">
      <c r="A52" s="27">
        <v>51</v>
      </c>
      <c r="B52" s="92"/>
      <c r="C52" s="29" t="s">
        <v>99</v>
      </c>
      <c r="D52" s="28" t="s">
        <v>100</v>
      </c>
      <c r="E52" s="44" t="s">
        <v>92</v>
      </c>
      <c r="F52" s="95"/>
    </row>
    <row r="53" spans="1:6" s="26" customFormat="1" ht="27.75" customHeight="1" x14ac:dyDescent="0.2">
      <c r="A53" s="27">
        <v>52</v>
      </c>
      <c r="B53" s="92"/>
      <c r="C53" s="29" t="s">
        <v>95</v>
      </c>
      <c r="D53" s="28" t="s">
        <v>142</v>
      </c>
      <c r="E53" s="44" t="s">
        <v>113</v>
      </c>
      <c r="F53" s="95"/>
    </row>
    <row r="54" spans="1:6" s="26" customFormat="1" ht="15.75" customHeight="1" x14ac:dyDescent="0.2">
      <c r="A54" s="27">
        <v>53</v>
      </c>
      <c r="B54" s="92"/>
      <c r="C54" s="29" t="s">
        <v>82</v>
      </c>
      <c r="D54" s="30" t="s">
        <v>101</v>
      </c>
      <c r="E54" s="44" t="s">
        <v>87</v>
      </c>
      <c r="F54" s="95"/>
    </row>
    <row r="55" spans="1:6" s="26" customFormat="1" ht="42.75" customHeight="1" x14ac:dyDescent="0.2">
      <c r="A55" s="27">
        <v>54</v>
      </c>
      <c r="B55" s="92"/>
      <c r="C55" s="29" t="s">
        <v>78</v>
      </c>
      <c r="D55" s="30" t="s">
        <v>45</v>
      </c>
      <c r="E55" s="44" t="s">
        <v>127</v>
      </c>
      <c r="F55" s="95"/>
    </row>
    <row r="56" spans="1:6" s="26" customFormat="1" ht="30" customHeight="1" x14ac:dyDescent="0.2">
      <c r="A56" s="27">
        <v>55</v>
      </c>
      <c r="B56" s="92"/>
      <c r="C56" s="31" t="s">
        <v>6</v>
      </c>
      <c r="D56" s="28" t="s">
        <v>90</v>
      </c>
      <c r="E56" s="44" t="s">
        <v>91</v>
      </c>
      <c r="F56" s="95"/>
    </row>
    <row r="57" spans="1:6" s="26" customFormat="1" ht="30" customHeight="1" x14ac:dyDescent="0.2">
      <c r="A57" s="27">
        <v>56</v>
      </c>
      <c r="B57" s="92"/>
      <c r="C57" s="29" t="s">
        <v>102</v>
      </c>
      <c r="D57" s="28" t="s">
        <v>46</v>
      </c>
      <c r="E57" s="44" t="s">
        <v>92</v>
      </c>
      <c r="F57" s="95"/>
    </row>
    <row r="58" spans="1:6" s="26" customFormat="1" ht="42" customHeight="1" x14ac:dyDescent="0.2">
      <c r="A58" s="27">
        <v>57</v>
      </c>
      <c r="B58" s="92"/>
      <c r="C58" s="32" t="s">
        <v>81</v>
      </c>
      <c r="D58" s="33" t="s">
        <v>109</v>
      </c>
      <c r="E58" s="44" t="s">
        <v>128</v>
      </c>
      <c r="F58" s="95"/>
    </row>
    <row r="59" spans="1:6" s="26" customFormat="1" ht="42" customHeight="1" x14ac:dyDescent="0.2">
      <c r="A59" s="27">
        <v>58</v>
      </c>
      <c r="B59" s="92"/>
      <c r="C59" s="29" t="s">
        <v>82</v>
      </c>
      <c r="D59" s="30" t="s">
        <v>103</v>
      </c>
      <c r="E59" s="44" t="s">
        <v>129</v>
      </c>
      <c r="F59" s="95"/>
    </row>
    <row r="60" spans="1:6" s="26" customFormat="1" ht="42" customHeight="1" x14ac:dyDescent="0.2">
      <c r="A60" s="27">
        <v>59</v>
      </c>
      <c r="B60" s="92"/>
      <c r="C60" s="29" t="s">
        <v>83</v>
      </c>
      <c r="D60" s="30" t="s">
        <v>104</v>
      </c>
      <c r="E60" s="44" t="s">
        <v>130</v>
      </c>
      <c r="F60" s="95"/>
    </row>
    <row r="61" spans="1:6" s="26" customFormat="1" ht="29.25" customHeight="1" x14ac:dyDescent="0.2">
      <c r="A61" s="27">
        <v>60</v>
      </c>
      <c r="B61" s="93"/>
      <c r="C61" s="34" t="s">
        <v>55</v>
      </c>
      <c r="D61" s="33" t="s">
        <v>148</v>
      </c>
      <c r="E61" s="44" t="s">
        <v>144</v>
      </c>
      <c r="F61" s="95"/>
    </row>
    <row r="62" spans="1:6" s="26" customFormat="1" ht="40.5" customHeight="1" x14ac:dyDescent="0.2">
      <c r="A62" s="27">
        <v>61</v>
      </c>
      <c r="B62" s="93"/>
      <c r="C62" s="34" t="s">
        <v>56</v>
      </c>
      <c r="D62" s="33" t="s">
        <v>147</v>
      </c>
      <c r="E62" s="44" t="s">
        <v>145</v>
      </c>
      <c r="F62" s="95"/>
    </row>
    <row r="63" spans="1:6" s="26" customFormat="1" ht="55.5" customHeight="1" x14ac:dyDescent="0.2">
      <c r="A63" s="27">
        <v>62</v>
      </c>
      <c r="B63" s="93"/>
      <c r="C63" s="34" t="s">
        <v>57</v>
      </c>
      <c r="D63" s="33" t="s">
        <v>146</v>
      </c>
      <c r="E63" s="44" t="s">
        <v>131</v>
      </c>
      <c r="F63" s="95"/>
    </row>
    <row r="64" spans="1:6" s="26" customFormat="1" ht="27.75" customHeight="1" x14ac:dyDescent="0.2">
      <c r="A64" s="27">
        <v>63</v>
      </c>
      <c r="B64" s="94"/>
      <c r="C64" s="35" t="s">
        <v>27</v>
      </c>
      <c r="D64" s="36" t="s">
        <v>26</v>
      </c>
      <c r="E64" s="45" t="s">
        <v>117</v>
      </c>
      <c r="F64" s="95"/>
    </row>
    <row r="65" spans="1:6" s="4" customFormat="1" ht="12.75" customHeight="1" x14ac:dyDescent="0.2">
      <c r="A65" s="27">
        <v>114</v>
      </c>
      <c r="B65" s="46"/>
      <c r="C65" s="46"/>
      <c r="D65" s="46"/>
      <c r="E65" s="46"/>
      <c r="F65" s="47"/>
    </row>
    <row r="66" spans="1:6" s="11" customFormat="1" ht="168" customHeight="1" x14ac:dyDescent="0.2">
      <c r="A66" s="27">
        <v>115</v>
      </c>
      <c r="B66" s="91" t="s">
        <v>112</v>
      </c>
      <c r="C66" s="42" t="s">
        <v>29</v>
      </c>
      <c r="D66" s="42" t="s">
        <v>152</v>
      </c>
      <c r="E66" s="43" t="s">
        <v>58</v>
      </c>
      <c r="F66" s="95"/>
    </row>
    <row r="67" spans="1:6" s="11" customFormat="1" ht="27.75" x14ac:dyDescent="0.2">
      <c r="A67" s="27">
        <v>116</v>
      </c>
      <c r="B67" s="92"/>
      <c r="C67" s="29" t="s">
        <v>77</v>
      </c>
      <c r="D67" s="28" t="s">
        <v>33</v>
      </c>
      <c r="E67" s="44" t="s">
        <v>21</v>
      </c>
      <c r="F67" s="95"/>
    </row>
    <row r="68" spans="1:6" s="11" customFormat="1" x14ac:dyDescent="0.2">
      <c r="A68" s="27">
        <v>117</v>
      </c>
      <c r="B68" s="92"/>
      <c r="C68" s="29" t="s">
        <v>53</v>
      </c>
      <c r="D68" s="30" t="s">
        <v>34</v>
      </c>
      <c r="E68" s="44" t="s">
        <v>18</v>
      </c>
      <c r="F68" s="95"/>
    </row>
    <row r="69" spans="1:6" s="11" customFormat="1" ht="28.5" customHeight="1" x14ac:dyDescent="0.2">
      <c r="A69" s="27">
        <v>118</v>
      </c>
      <c r="B69" s="92"/>
      <c r="C69" s="29" t="s">
        <v>51</v>
      </c>
      <c r="D69" s="30" t="s">
        <v>35</v>
      </c>
      <c r="E69" s="44" t="s">
        <v>19</v>
      </c>
      <c r="F69" s="95"/>
    </row>
    <row r="70" spans="1:6" s="11" customFormat="1" ht="28.5" customHeight="1" x14ac:dyDescent="0.2">
      <c r="A70" s="27">
        <v>119</v>
      </c>
      <c r="B70" s="92"/>
      <c r="C70" s="29" t="s">
        <v>54</v>
      </c>
      <c r="D70" s="30" t="s">
        <v>36</v>
      </c>
      <c r="E70" s="44" t="s">
        <v>20</v>
      </c>
      <c r="F70" s="95"/>
    </row>
    <row r="71" spans="1:6" s="11" customFormat="1" ht="65.25" customHeight="1" x14ac:dyDescent="0.2">
      <c r="A71" s="27">
        <v>120</v>
      </c>
      <c r="B71" s="93"/>
      <c r="C71" s="31" t="s">
        <v>6</v>
      </c>
      <c r="D71" s="28" t="s">
        <v>25</v>
      </c>
      <c r="E71" s="44" t="s">
        <v>59</v>
      </c>
      <c r="F71" s="95"/>
    </row>
    <row r="72" spans="1:6" s="11" customFormat="1" ht="28.5" customHeight="1" x14ac:dyDescent="0.2">
      <c r="A72" s="27">
        <v>121</v>
      </c>
      <c r="B72" s="93"/>
      <c r="C72" s="29" t="s">
        <v>93</v>
      </c>
      <c r="D72" s="28" t="s">
        <v>110</v>
      </c>
      <c r="E72" s="44" t="s">
        <v>32</v>
      </c>
      <c r="F72" s="95"/>
    </row>
    <row r="73" spans="1:6" s="11" customFormat="1" ht="39.75" customHeight="1" x14ac:dyDescent="0.2">
      <c r="A73" s="27">
        <v>122</v>
      </c>
      <c r="B73" s="93"/>
      <c r="C73" s="29" t="s">
        <v>55</v>
      </c>
      <c r="D73" s="30" t="s">
        <v>60</v>
      </c>
      <c r="E73" s="44" t="s">
        <v>132</v>
      </c>
      <c r="F73" s="95"/>
    </row>
    <row r="74" spans="1:6" s="11" customFormat="1" ht="52.5" customHeight="1" x14ac:dyDescent="0.2">
      <c r="A74" s="27">
        <v>123</v>
      </c>
      <c r="B74" s="93"/>
      <c r="C74" s="29" t="s">
        <v>56</v>
      </c>
      <c r="D74" s="30" t="s">
        <v>61</v>
      </c>
      <c r="E74" s="44" t="s">
        <v>133</v>
      </c>
      <c r="F74" s="95"/>
    </row>
    <row r="75" spans="1:6" s="11" customFormat="1" ht="25.5" x14ac:dyDescent="0.2">
      <c r="A75" s="27">
        <v>124</v>
      </c>
      <c r="B75" s="94"/>
      <c r="C75" s="35" t="s">
        <v>27</v>
      </c>
      <c r="D75" s="36" t="s">
        <v>26</v>
      </c>
      <c r="E75" s="45" t="s">
        <v>117</v>
      </c>
      <c r="F75" s="95"/>
    </row>
    <row r="76" spans="1:6" s="11" customFormat="1" ht="12.75" customHeight="1" x14ac:dyDescent="0.2">
      <c r="A76" s="27">
        <v>125</v>
      </c>
      <c r="B76" s="28"/>
      <c r="C76" s="28"/>
      <c r="D76" s="28"/>
      <c r="E76" s="28"/>
      <c r="F76" s="95"/>
    </row>
    <row r="77" spans="1:6" s="11" customFormat="1" ht="165.75" customHeight="1" x14ac:dyDescent="0.2">
      <c r="A77" s="27">
        <v>126</v>
      </c>
      <c r="B77" s="91" t="s">
        <v>111</v>
      </c>
      <c r="C77" s="42" t="s">
        <v>29</v>
      </c>
      <c r="D77" s="42" t="s">
        <v>153</v>
      </c>
      <c r="E77" s="43" t="s">
        <v>149</v>
      </c>
      <c r="F77" s="3"/>
    </row>
    <row r="78" spans="1:6" s="11" customFormat="1" ht="27.75" x14ac:dyDescent="0.2">
      <c r="A78" s="27">
        <v>127</v>
      </c>
      <c r="B78" s="92"/>
      <c r="C78" s="29" t="s">
        <v>99</v>
      </c>
      <c r="D78" s="28" t="s">
        <v>62</v>
      </c>
      <c r="E78" s="44" t="s">
        <v>21</v>
      </c>
      <c r="F78" s="3"/>
    </row>
    <row r="79" spans="1:6" s="11" customFormat="1" ht="25.5" x14ac:dyDescent="0.2">
      <c r="A79" s="27">
        <v>128</v>
      </c>
      <c r="B79" s="92"/>
      <c r="C79" s="29" t="s">
        <v>55</v>
      </c>
      <c r="D79" s="30" t="s">
        <v>63</v>
      </c>
      <c r="E79" s="44" t="s">
        <v>18</v>
      </c>
      <c r="F79" s="3"/>
    </row>
    <row r="80" spans="1:6" s="11" customFormat="1" ht="26.25" customHeight="1" x14ac:dyDescent="0.2">
      <c r="A80" s="27">
        <v>129</v>
      </c>
      <c r="B80" s="92"/>
      <c r="C80" s="29" t="s">
        <v>56</v>
      </c>
      <c r="D80" s="30" t="s">
        <v>64</v>
      </c>
      <c r="E80" s="44" t="s">
        <v>19</v>
      </c>
      <c r="F80" s="3"/>
    </row>
    <row r="81" spans="1:6" s="11" customFormat="1" ht="66" customHeight="1" x14ac:dyDescent="0.2">
      <c r="A81" s="27">
        <v>130</v>
      </c>
      <c r="B81" s="92"/>
      <c r="C81" s="31" t="s">
        <v>6</v>
      </c>
      <c r="D81" s="28" t="s">
        <v>25</v>
      </c>
      <c r="E81" s="44" t="s">
        <v>59</v>
      </c>
      <c r="F81" s="3"/>
    </row>
    <row r="82" spans="1:6" s="11" customFormat="1" ht="30" customHeight="1" x14ac:dyDescent="0.2">
      <c r="A82" s="27">
        <v>131</v>
      </c>
      <c r="B82" s="92"/>
      <c r="C82" s="29" t="s">
        <v>102</v>
      </c>
      <c r="D82" s="28" t="s">
        <v>46</v>
      </c>
      <c r="E82" s="44" t="s">
        <v>32</v>
      </c>
      <c r="F82" s="3"/>
    </row>
    <row r="83" spans="1:6" s="11" customFormat="1" ht="40.5" customHeight="1" x14ac:dyDescent="0.2">
      <c r="A83" s="27">
        <v>132</v>
      </c>
      <c r="B83" s="92"/>
      <c r="C83" s="29" t="s">
        <v>53</v>
      </c>
      <c r="D83" s="30" t="s">
        <v>47</v>
      </c>
      <c r="E83" s="44" t="s">
        <v>123</v>
      </c>
      <c r="F83" s="3"/>
    </row>
    <row r="84" spans="1:6" s="11" customFormat="1" ht="53.25" customHeight="1" x14ac:dyDescent="0.2">
      <c r="A84" s="27">
        <v>133</v>
      </c>
      <c r="B84" s="92"/>
      <c r="C84" s="29" t="s">
        <v>51</v>
      </c>
      <c r="D84" s="30" t="s">
        <v>48</v>
      </c>
      <c r="E84" s="44" t="s">
        <v>124</v>
      </c>
      <c r="F84" s="3"/>
    </row>
    <row r="85" spans="1:6" s="11" customFormat="1" ht="52.5" customHeight="1" x14ac:dyDescent="0.2">
      <c r="A85" s="27">
        <v>134</v>
      </c>
      <c r="B85" s="92"/>
      <c r="C85" s="29" t="s">
        <v>54</v>
      </c>
      <c r="D85" s="30" t="s">
        <v>49</v>
      </c>
      <c r="E85" s="44" t="s">
        <v>125</v>
      </c>
      <c r="F85" s="3"/>
    </row>
    <row r="86" spans="1:6" s="11" customFormat="1" ht="25.5" x14ac:dyDescent="0.2">
      <c r="A86" s="27">
        <v>135</v>
      </c>
      <c r="B86" s="94"/>
      <c r="C86" s="35" t="s">
        <v>27</v>
      </c>
      <c r="D86" s="36" t="s">
        <v>26</v>
      </c>
      <c r="E86" s="45" t="s">
        <v>117</v>
      </c>
      <c r="F86" s="3"/>
    </row>
    <row r="87" spans="1:6" s="11" customFormat="1" ht="12.75" customHeight="1" thickBot="1" x14ac:dyDescent="0.25">
      <c r="A87" s="27">
        <v>136</v>
      </c>
      <c r="B87" s="48"/>
      <c r="C87" s="48"/>
      <c r="D87" s="48"/>
      <c r="E87" s="48"/>
      <c r="F87" s="3"/>
    </row>
  </sheetData>
  <mergeCells count="19">
    <mergeCell ref="B1:E1"/>
    <mergeCell ref="F1:F9"/>
    <mergeCell ref="B2:D2"/>
    <mergeCell ref="B3:B8"/>
    <mergeCell ref="C3:E3"/>
    <mergeCell ref="D4:E4"/>
    <mergeCell ref="D7:E7"/>
    <mergeCell ref="D8:E8"/>
    <mergeCell ref="B10:B21"/>
    <mergeCell ref="F10:F22"/>
    <mergeCell ref="B38:B49"/>
    <mergeCell ref="F38:F50"/>
    <mergeCell ref="B23:B36"/>
    <mergeCell ref="F23:F37"/>
    <mergeCell ref="B51:B64"/>
    <mergeCell ref="F51:F64"/>
    <mergeCell ref="B66:B75"/>
    <mergeCell ref="F66:F76"/>
    <mergeCell ref="B77:B86"/>
  </mergeCells>
  <hyperlinks>
    <hyperlink ref="D5" r:id="rId1"/>
    <hyperlink ref="D6" r:id="rId2"/>
  </hyperlinks>
  <pageMargins left="0.63" right="0.48" top="0.75" bottom="0.5" header="0.25" footer="0.25"/>
  <pageSetup scale="55" fitToHeight="10" orientation="portrait" verticalDpi="1200" r:id="rId3"/>
  <headerFooter alignWithMargins="0">
    <oddHeader>&amp;C&amp;"Courier"&amp;12UNCLASSIFIED</oddHeader>
    <oddFooter>&amp;C&amp;"Courier"&amp;12UNCLASSIFIED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K350"/>
  <sheetViews>
    <sheetView workbookViewId="0">
      <pane ySplit="4" topLeftCell="A5" activePane="bottomLeft" state="frozen"/>
      <selection pane="bottomLeft" activeCell="E2" sqref="E2"/>
    </sheetView>
  </sheetViews>
  <sheetFormatPr defaultRowHeight="11.25" x14ac:dyDescent="0.2"/>
  <cols>
    <col min="1" max="1" width="51.5" style="1" bestFit="1" customWidth="1"/>
    <col min="2" max="2" width="6" style="1" customWidth="1"/>
    <col min="3" max="3" width="6.5" style="1" customWidth="1"/>
    <col min="4" max="4" width="6.5" style="2" customWidth="1"/>
    <col min="5" max="5" width="8.33203125" style="22" customWidth="1"/>
    <col min="6" max="6" width="48.5" style="1" bestFit="1" customWidth="1"/>
    <col min="7" max="8" width="6" style="24" customWidth="1"/>
    <col min="9" max="9" width="6" style="25" customWidth="1"/>
    <col min="10" max="10" width="6.83203125" style="24" customWidth="1"/>
    <col min="11" max="11" width="9.83203125" style="1" customWidth="1"/>
    <col min="12" max="16384" width="9.33203125" style="1"/>
  </cols>
  <sheetData>
    <row r="1" spans="1:11" ht="21.75" customHeight="1" x14ac:dyDescent="0.2">
      <c r="A1" s="103" t="s">
        <v>158</v>
      </c>
      <c r="B1" s="104"/>
      <c r="C1" s="104"/>
      <c r="D1" s="104"/>
      <c r="E1" s="104"/>
      <c r="F1" s="104"/>
      <c r="G1" s="104"/>
      <c r="H1" s="104"/>
      <c r="I1" s="104"/>
      <c r="J1" s="104"/>
      <c r="K1" s="105"/>
    </row>
    <row r="2" spans="1:11" ht="15" x14ac:dyDescent="0.2">
      <c r="A2" s="18" t="s">
        <v>22</v>
      </c>
      <c r="B2" s="108" t="s">
        <v>0</v>
      </c>
      <c r="C2" s="108" t="s">
        <v>1</v>
      </c>
      <c r="D2" s="109" t="s">
        <v>2</v>
      </c>
      <c r="E2" s="21" t="s">
        <v>7</v>
      </c>
      <c r="F2" s="19" t="s">
        <v>23</v>
      </c>
      <c r="G2" s="110" t="s">
        <v>3</v>
      </c>
      <c r="H2" s="110" t="s">
        <v>4</v>
      </c>
      <c r="I2" s="111" t="s">
        <v>5</v>
      </c>
      <c r="J2" s="107" t="s">
        <v>71</v>
      </c>
      <c r="K2" s="17"/>
    </row>
    <row r="3" spans="1:11" ht="21.75" customHeight="1" x14ac:dyDescent="0.25">
      <c r="A3" s="15" t="s">
        <v>66</v>
      </c>
      <c r="B3" s="108"/>
      <c r="C3" s="108"/>
      <c r="D3" s="109"/>
      <c r="E3" s="106" t="s">
        <v>6</v>
      </c>
      <c r="F3" s="14" t="s">
        <v>67</v>
      </c>
      <c r="G3" s="110"/>
      <c r="H3" s="110"/>
      <c r="I3" s="111"/>
      <c r="J3" s="107"/>
      <c r="K3" s="102" t="s">
        <v>28</v>
      </c>
    </row>
    <row r="4" spans="1:11" ht="29.25" customHeight="1" x14ac:dyDescent="0.2">
      <c r="A4" s="8" t="s">
        <v>72</v>
      </c>
      <c r="B4" s="108"/>
      <c r="C4" s="108"/>
      <c r="D4" s="109"/>
      <c r="E4" s="106"/>
      <c r="F4" s="9" t="s">
        <v>68</v>
      </c>
      <c r="G4" s="110"/>
      <c r="H4" s="110"/>
      <c r="I4" s="111"/>
      <c r="J4" s="107"/>
      <c r="K4" s="102"/>
    </row>
    <row r="5" spans="1:11" x14ac:dyDescent="0.2">
      <c r="A5" s="49" t="s">
        <v>159</v>
      </c>
      <c r="B5" s="50" t="s">
        <v>160</v>
      </c>
      <c r="C5" s="50" t="s">
        <v>161</v>
      </c>
      <c r="D5" s="51" t="s">
        <v>162</v>
      </c>
      <c r="E5" s="52" t="b">
        <v>1</v>
      </c>
      <c r="F5" s="50" t="s">
        <v>159</v>
      </c>
      <c r="G5" s="53" t="s">
        <v>160</v>
      </c>
      <c r="H5" s="53" t="s">
        <v>161</v>
      </c>
      <c r="I5" s="54" t="s">
        <v>162</v>
      </c>
      <c r="J5" s="55"/>
      <c r="K5" s="56" t="str">
        <f>HYPERLINK("http://nsgreg.nga.mil/genc/view?v=861845&amp;end_month=12&amp;end_day=31&amp;end_year=2016","Correlation")</f>
        <v>Correlation</v>
      </c>
    </row>
    <row r="6" spans="1:11" x14ac:dyDescent="0.2">
      <c r="A6" s="57" t="s">
        <v>163</v>
      </c>
      <c r="B6" s="58" t="s">
        <v>164</v>
      </c>
      <c r="C6" s="58" t="s">
        <v>165</v>
      </c>
      <c r="D6" s="59" t="s">
        <v>166</v>
      </c>
      <c r="E6" s="60" t="b">
        <v>1</v>
      </c>
      <c r="F6" s="61" t="s">
        <v>167</v>
      </c>
      <c r="G6" s="61"/>
      <c r="H6" s="61"/>
      <c r="I6" s="62"/>
      <c r="J6" s="61"/>
      <c r="K6" s="63" t="str">
        <f>HYPERLINK("http://nsgreg.nga.mil/genc/view?v=861846&amp;end_month=12&amp;end_day=31&amp;end_year=2016","Correlation")</f>
        <v>Correlation</v>
      </c>
    </row>
    <row r="7" spans="1:11" x14ac:dyDescent="0.2">
      <c r="A7" s="57" t="s">
        <v>168</v>
      </c>
      <c r="B7" s="58" t="s">
        <v>169</v>
      </c>
      <c r="C7" s="58" t="s">
        <v>170</v>
      </c>
      <c r="D7" s="59" t="s">
        <v>171</v>
      </c>
      <c r="E7" s="60" t="b">
        <v>1</v>
      </c>
      <c r="F7" s="58" t="s">
        <v>168</v>
      </c>
      <c r="G7" s="64" t="s">
        <v>169</v>
      </c>
      <c r="H7" s="64" t="s">
        <v>170</v>
      </c>
      <c r="I7" s="65" t="s">
        <v>171</v>
      </c>
      <c r="J7" s="66"/>
      <c r="K7" s="63" t="str">
        <f>HYPERLINK("http://nsgreg.nga.mil/genc/view?v=861847&amp;end_month=12&amp;end_day=31&amp;end_year=2016","Correlation")</f>
        <v>Correlation</v>
      </c>
    </row>
    <row r="8" spans="1:11" x14ac:dyDescent="0.2">
      <c r="A8" s="57" t="s">
        <v>172</v>
      </c>
      <c r="B8" s="58" t="s">
        <v>173</v>
      </c>
      <c r="C8" s="58" t="s">
        <v>174</v>
      </c>
      <c r="D8" s="59" t="s">
        <v>175</v>
      </c>
      <c r="E8" s="60" t="b">
        <v>1</v>
      </c>
      <c r="F8" s="58" t="s">
        <v>172</v>
      </c>
      <c r="G8" s="64" t="s">
        <v>173</v>
      </c>
      <c r="H8" s="64" t="s">
        <v>174</v>
      </c>
      <c r="I8" s="65" t="s">
        <v>175</v>
      </c>
      <c r="J8" s="66"/>
      <c r="K8" s="63" t="str">
        <f>HYPERLINK("http://nsgreg.nga.mil/genc/view?v=861848&amp;end_month=12&amp;end_day=31&amp;end_year=2016","Correlation")</f>
        <v>Correlation</v>
      </c>
    </row>
    <row r="9" spans="1:11" x14ac:dyDescent="0.2">
      <c r="A9" s="99" t="s">
        <v>176</v>
      </c>
      <c r="B9" s="100" t="s">
        <v>177</v>
      </c>
      <c r="C9" s="100" t="s">
        <v>178</v>
      </c>
      <c r="D9" s="101" t="s">
        <v>179</v>
      </c>
      <c r="E9" s="60" t="b">
        <v>1</v>
      </c>
      <c r="F9" s="58" t="s">
        <v>176</v>
      </c>
      <c r="G9" s="64" t="s">
        <v>177</v>
      </c>
      <c r="H9" s="64" t="s">
        <v>178</v>
      </c>
      <c r="I9" s="65" t="s">
        <v>179</v>
      </c>
      <c r="J9" s="66"/>
      <c r="K9" s="63" t="str">
        <f>HYPERLINK("http://nsgreg.nga.mil/genc/view?v=861849&amp;end_month=12&amp;end_day=31&amp;end_year=2016","Correlation")</f>
        <v>Correlation</v>
      </c>
    </row>
    <row r="10" spans="1:11" x14ac:dyDescent="0.2">
      <c r="A10" s="99"/>
      <c r="B10" s="100"/>
      <c r="C10" s="100"/>
      <c r="D10" s="101"/>
      <c r="E10" s="67" t="b">
        <v>0</v>
      </c>
      <c r="F10" s="58" t="s">
        <v>180</v>
      </c>
      <c r="G10" s="66"/>
      <c r="H10" s="66"/>
      <c r="I10" s="68"/>
      <c r="J10" s="64" t="s">
        <v>181</v>
      </c>
      <c r="K10" s="63" t="str">
        <f>HYPERLINK("http://nsgreg.nga.mil/genc/view?v=861850&amp;end_month=12&amp;end_day=31&amp;end_year=2016","Correlation")</f>
        <v>Correlation</v>
      </c>
    </row>
    <row r="11" spans="1:11" x14ac:dyDescent="0.2">
      <c r="A11" s="57" t="s">
        <v>182</v>
      </c>
      <c r="B11" s="58" t="s">
        <v>183</v>
      </c>
      <c r="C11" s="58" t="s">
        <v>184</v>
      </c>
      <c r="D11" s="59" t="s">
        <v>185</v>
      </c>
      <c r="E11" s="60" t="b">
        <v>1</v>
      </c>
      <c r="F11" s="58" t="s">
        <v>182</v>
      </c>
      <c r="G11" s="64" t="s">
        <v>183</v>
      </c>
      <c r="H11" s="64" t="s">
        <v>184</v>
      </c>
      <c r="I11" s="65" t="s">
        <v>185</v>
      </c>
      <c r="J11" s="66"/>
      <c r="K11" s="63" t="str">
        <f>HYPERLINK("http://nsgreg.nga.mil/genc/view?v=861851&amp;end_month=12&amp;end_day=31&amp;end_year=2016","Correlation")</f>
        <v>Correlation</v>
      </c>
    </row>
    <row r="12" spans="1:11" x14ac:dyDescent="0.2">
      <c r="A12" s="57" t="s">
        <v>186</v>
      </c>
      <c r="B12" s="58" t="s">
        <v>187</v>
      </c>
      <c r="C12" s="58" t="s">
        <v>188</v>
      </c>
      <c r="D12" s="59" t="s">
        <v>189</v>
      </c>
      <c r="E12" s="60" t="b">
        <v>1</v>
      </c>
      <c r="F12" s="58" t="s">
        <v>186</v>
      </c>
      <c r="G12" s="64" t="s">
        <v>187</v>
      </c>
      <c r="H12" s="64" t="s">
        <v>188</v>
      </c>
      <c r="I12" s="65" t="s">
        <v>189</v>
      </c>
      <c r="J12" s="66"/>
      <c r="K12" s="63" t="str">
        <f>HYPERLINK("http://nsgreg.nga.mil/genc/view?v=861852&amp;end_month=12&amp;end_day=31&amp;end_year=2016","Correlation")</f>
        <v>Correlation</v>
      </c>
    </row>
    <row r="13" spans="1:11" x14ac:dyDescent="0.2">
      <c r="A13" s="57" t="s">
        <v>190</v>
      </c>
      <c r="B13" s="58" t="s">
        <v>191</v>
      </c>
      <c r="C13" s="58" t="s">
        <v>192</v>
      </c>
      <c r="D13" s="59" t="s">
        <v>193</v>
      </c>
      <c r="E13" s="60" t="b">
        <v>1</v>
      </c>
      <c r="F13" s="58" t="s">
        <v>190</v>
      </c>
      <c r="G13" s="64" t="s">
        <v>191</v>
      </c>
      <c r="H13" s="64" t="s">
        <v>192</v>
      </c>
      <c r="I13" s="65" t="s">
        <v>193</v>
      </c>
      <c r="J13" s="66"/>
      <c r="K13" s="63" t="str">
        <f>HYPERLINK("http://nsgreg.nga.mil/genc/view?v=861853&amp;end_month=12&amp;end_day=31&amp;end_year=2016","Correlation")</f>
        <v>Correlation</v>
      </c>
    </row>
    <row r="14" spans="1:11" x14ac:dyDescent="0.2">
      <c r="A14" s="57" t="s">
        <v>194</v>
      </c>
      <c r="B14" s="58" t="s">
        <v>195</v>
      </c>
      <c r="C14" s="58" t="s">
        <v>196</v>
      </c>
      <c r="D14" s="59" t="s">
        <v>197</v>
      </c>
      <c r="E14" s="60" t="b">
        <v>1</v>
      </c>
      <c r="F14" s="58" t="s">
        <v>194</v>
      </c>
      <c r="G14" s="64" t="s">
        <v>195</v>
      </c>
      <c r="H14" s="64" t="s">
        <v>196</v>
      </c>
      <c r="I14" s="65" t="s">
        <v>197</v>
      </c>
      <c r="J14" s="66"/>
      <c r="K14" s="63" t="str">
        <f>HYPERLINK("http://nsgreg.nga.mil/genc/view?v=861854&amp;end_month=12&amp;end_day=31&amp;end_year=2016","Correlation")</f>
        <v>Correlation</v>
      </c>
    </row>
    <row r="15" spans="1:11" x14ac:dyDescent="0.2">
      <c r="A15" s="57" t="s">
        <v>198</v>
      </c>
      <c r="B15" s="58" t="s">
        <v>199</v>
      </c>
      <c r="C15" s="58" t="s">
        <v>200</v>
      </c>
      <c r="D15" s="59" t="s">
        <v>201</v>
      </c>
      <c r="E15" s="60" t="b">
        <v>1</v>
      </c>
      <c r="F15" s="58" t="s">
        <v>198</v>
      </c>
      <c r="G15" s="64" t="s">
        <v>199</v>
      </c>
      <c r="H15" s="64" t="s">
        <v>200</v>
      </c>
      <c r="I15" s="65" t="s">
        <v>201</v>
      </c>
      <c r="J15" s="66"/>
      <c r="K15" s="63" t="str">
        <f>HYPERLINK("http://nsgreg.nga.mil/genc/view?v=861855&amp;end_month=12&amp;end_day=31&amp;end_year=2016","Correlation")</f>
        <v>Correlation</v>
      </c>
    </row>
    <row r="16" spans="1:11" x14ac:dyDescent="0.2">
      <c r="A16" s="57" t="s">
        <v>202</v>
      </c>
      <c r="B16" s="58" t="s">
        <v>203</v>
      </c>
      <c r="C16" s="58" t="s">
        <v>204</v>
      </c>
      <c r="D16" s="59" t="s">
        <v>205</v>
      </c>
      <c r="E16" s="60" t="b">
        <v>1</v>
      </c>
      <c r="F16" s="58" t="s">
        <v>202</v>
      </c>
      <c r="G16" s="64" t="s">
        <v>203</v>
      </c>
      <c r="H16" s="64" t="s">
        <v>204</v>
      </c>
      <c r="I16" s="65" t="s">
        <v>205</v>
      </c>
      <c r="J16" s="66"/>
      <c r="K16" s="63" t="str">
        <f>HYPERLINK("http://nsgreg.nga.mil/genc/view?v=861856&amp;end_month=12&amp;end_day=31&amp;end_year=2016","Correlation")</f>
        <v>Correlation</v>
      </c>
    </row>
    <row r="17" spans="1:11" x14ac:dyDescent="0.2">
      <c r="A17" s="57" t="s">
        <v>206</v>
      </c>
      <c r="B17" s="58" t="s">
        <v>207</v>
      </c>
      <c r="C17" s="58" t="s">
        <v>208</v>
      </c>
      <c r="D17" s="59" t="s">
        <v>209</v>
      </c>
      <c r="E17" s="60" t="b">
        <v>1</v>
      </c>
      <c r="F17" s="58" t="s">
        <v>206</v>
      </c>
      <c r="G17" s="64" t="s">
        <v>207</v>
      </c>
      <c r="H17" s="64" t="s">
        <v>208</v>
      </c>
      <c r="I17" s="65" t="s">
        <v>209</v>
      </c>
      <c r="J17" s="66"/>
      <c r="K17" s="63" t="str">
        <f>HYPERLINK("http://nsgreg.nga.mil/genc/view?v=861857&amp;end_month=12&amp;end_day=31&amp;end_year=2016","Correlation")</f>
        <v>Correlation</v>
      </c>
    </row>
    <row r="18" spans="1:11" x14ac:dyDescent="0.2">
      <c r="A18" s="99" t="s">
        <v>210</v>
      </c>
      <c r="B18" s="100" t="s">
        <v>211</v>
      </c>
      <c r="C18" s="100" t="s">
        <v>212</v>
      </c>
      <c r="D18" s="101" t="s">
        <v>213</v>
      </c>
      <c r="E18" s="60" t="b">
        <v>1</v>
      </c>
      <c r="F18" s="58" t="s">
        <v>210</v>
      </c>
      <c r="G18" s="64" t="s">
        <v>211</v>
      </c>
      <c r="H18" s="64" t="s">
        <v>212</v>
      </c>
      <c r="I18" s="65" t="s">
        <v>213</v>
      </c>
      <c r="J18" s="66"/>
      <c r="K18" s="63" t="str">
        <f>HYPERLINK("http://nsgreg.nga.mil/genc/view?v=861858&amp;end_month=12&amp;end_day=31&amp;end_year=2016","Correlation")</f>
        <v>Correlation</v>
      </c>
    </row>
    <row r="19" spans="1:11" x14ac:dyDescent="0.2">
      <c r="A19" s="99"/>
      <c r="B19" s="100"/>
      <c r="C19" s="100"/>
      <c r="D19" s="101"/>
      <c r="E19" s="67" t="b">
        <v>0</v>
      </c>
      <c r="F19" s="58" t="s">
        <v>214</v>
      </c>
      <c r="G19" s="66"/>
      <c r="H19" s="66"/>
      <c r="I19" s="68"/>
      <c r="J19" s="64" t="s">
        <v>215</v>
      </c>
      <c r="K19" s="63" t="str">
        <f>HYPERLINK("http://nsgreg.nga.mil/genc/view?v=861859&amp;end_month=12&amp;end_day=31&amp;end_year=2016","Correlation")</f>
        <v>Correlation</v>
      </c>
    </row>
    <row r="20" spans="1:11" x14ac:dyDescent="0.2">
      <c r="A20" s="57" t="s">
        <v>216</v>
      </c>
      <c r="B20" s="58" t="s">
        <v>217</v>
      </c>
      <c r="C20" s="58" t="s">
        <v>218</v>
      </c>
      <c r="D20" s="59" t="s">
        <v>219</v>
      </c>
      <c r="E20" s="60" t="b">
        <v>1</v>
      </c>
      <c r="F20" s="58" t="s">
        <v>220</v>
      </c>
      <c r="G20" s="64" t="s">
        <v>221</v>
      </c>
      <c r="H20" s="64" t="s">
        <v>222</v>
      </c>
      <c r="I20" s="65" t="s">
        <v>223</v>
      </c>
      <c r="J20" s="66"/>
      <c r="K20" s="63" t="str">
        <f>HYPERLINK("http://nsgreg.nga.mil/genc/view?v=861860&amp;end_month=12&amp;end_day=31&amp;end_year=2016","Correlation")</f>
        <v>Correlation</v>
      </c>
    </row>
    <row r="21" spans="1:11" x14ac:dyDescent="0.2">
      <c r="A21" s="57" t="s">
        <v>220</v>
      </c>
      <c r="B21" s="58" t="s">
        <v>221</v>
      </c>
      <c r="C21" s="58" t="s">
        <v>222</v>
      </c>
      <c r="D21" s="59" t="s">
        <v>223</v>
      </c>
      <c r="E21" s="60" t="b">
        <v>1</v>
      </c>
      <c r="F21" s="58" t="s">
        <v>220</v>
      </c>
      <c r="G21" s="64" t="s">
        <v>221</v>
      </c>
      <c r="H21" s="64" t="s">
        <v>222</v>
      </c>
      <c r="I21" s="65" t="s">
        <v>223</v>
      </c>
      <c r="J21" s="66"/>
      <c r="K21" s="63" t="str">
        <f>HYPERLINK("http://nsgreg.nga.mil/genc/view?v=861861&amp;end_month=12&amp;end_day=31&amp;end_year=2016","Correlation")</f>
        <v>Correlation</v>
      </c>
    </row>
    <row r="22" spans="1:11" x14ac:dyDescent="0.2">
      <c r="A22" s="57" t="s">
        <v>224</v>
      </c>
      <c r="B22" s="58" t="s">
        <v>225</v>
      </c>
      <c r="C22" s="58" t="s">
        <v>226</v>
      </c>
      <c r="D22" s="59" t="s">
        <v>227</v>
      </c>
      <c r="E22" s="60" t="b">
        <v>1</v>
      </c>
      <c r="F22" s="58" t="s">
        <v>224</v>
      </c>
      <c r="G22" s="64" t="s">
        <v>225</v>
      </c>
      <c r="H22" s="64" t="s">
        <v>226</v>
      </c>
      <c r="I22" s="65" t="s">
        <v>227</v>
      </c>
      <c r="J22" s="66"/>
      <c r="K22" s="63" t="str">
        <f>HYPERLINK("http://nsgreg.nga.mil/genc/view?v=861862&amp;end_month=12&amp;end_day=31&amp;end_year=2016","Correlation")</f>
        <v>Correlation</v>
      </c>
    </row>
    <row r="23" spans="1:11" x14ac:dyDescent="0.2">
      <c r="A23" s="57" t="s">
        <v>228</v>
      </c>
      <c r="B23" s="58" t="s">
        <v>229</v>
      </c>
      <c r="C23" s="58" t="s">
        <v>230</v>
      </c>
      <c r="D23" s="59" t="s">
        <v>231</v>
      </c>
      <c r="E23" s="60" t="b">
        <v>1</v>
      </c>
      <c r="F23" s="58" t="s">
        <v>228</v>
      </c>
      <c r="G23" s="64" t="s">
        <v>229</v>
      </c>
      <c r="H23" s="64" t="s">
        <v>230</v>
      </c>
      <c r="I23" s="65" t="s">
        <v>231</v>
      </c>
      <c r="J23" s="66"/>
      <c r="K23" s="63" t="str">
        <f>HYPERLINK("http://nsgreg.nga.mil/genc/view?v=861863&amp;end_month=12&amp;end_day=31&amp;end_year=2016","Correlation")</f>
        <v>Correlation</v>
      </c>
    </row>
    <row r="24" spans="1:11" x14ac:dyDescent="0.2">
      <c r="A24" s="57" t="s">
        <v>232</v>
      </c>
      <c r="B24" s="58" t="s">
        <v>233</v>
      </c>
      <c r="C24" s="58" t="s">
        <v>234</v>
      </c>
      <c r="D24" s="59" t="s">
        <v>235</v>
      </c>
      <c r="E24" s="60" t="b">
        <v>1</v>
      </c>
      <c r="F24" s="58" t="s">
        <v>236</v>
      </c>
      <c r="G24" s="64" t="s">
        <v>233</v>
      </c>
      <c r="H24" s="64" t="s">
        <v>234</v>
      </c>
      <c r="I24" s="65" t="s">
        <v>235</v>
      </c>
      <c r="J24" s="66"/>
      <c r="K24" s="63" t="str">
        <f>HYPERLINK("http://nsgreg.nga.mil/genc/view?v=861864&amp;end_month=12&amp;end_day=31&amp;end_year=2016","Correlation")</f>
        <v>Correlation</v>
      </c>
    </row>
    <row r="25" spans="1:11" x14ac:dyDescent="0.2">
      <c r="A25" s="57" t="s">
        <v>237</v>
      </c>
      <c r="B25" s="58" t="s">
        <v>238</v>
      </c>
      <c r="C25" s="58" t="s">
        <v>239</v>
      </c>
      <c r="D25" s="59" t="s">
        <v>240</v>
      </c>
      <c r="E25" s="60" t="b">
        <v>1</v>
      </c>
      <c r="F25" s="58" t="s">
        <v>237</v>
      </c>
      <c r="G25" s="64" t="s">
        <v>238</v>
      </c>
      <c r="H25" s="64" t="s">
        <v>239</v>
      </c>
      <c r="I25" s="65" t="s">
        <v>240</v>
      </c>
      <c r="J25" s="66"/>
      <c r="K25" s="63" t="str">
        <f>HYPERLINK("http://nsgreg.nga.mil/genc/view?v=861865&amp;end_month=12&amp;end_day=31&amp;end_year=2016","Correlation")</f>
        <v>Correlation</v>
      </c>
    </row>
    <row r="26" spans="1:11" x14ac:dyDescent="0.2">
      <c r="A26" s="99" t="s">
        <v>241</v>
      </c>
      <c r="B26" s="100" t="s">
        <v>242</v>
      </c>
      <c r="C26" s="100" t="s">
        <v>243</v>
      </c>
      <c r="D26" s="101" t="s">
        <v>244</v>
      </c>
      <c r="E26" s="60" t="b">
        <v>1</v>
      </c>
      <c r="F26" s="58" t="s">
        <v>245</v>
      </c>
      <c r="G26" s="64" t="s">
        <v>246</v>
      </c>
      <c r="H26" s="64" t="s">
        <v>247</v>
      </c>
      <c r="I26" s="65" t="s">
        <v>248</v>
      </c>
      <c r="J26" s="66"/>
      <c r="K26" s="63" t="str">
        <f>HYPERLINK("http://nsgreg.nga.mil/genc/view?v=861866&amp;end_month=12&amp;end_day=31&amp;end_year=2016","Correlation")</f>
        <v>Correlation</v>
      </c>
    </row>
    <row r="27" spans="1:11" x14ac:dyDescent="0.2">
      <c r="A27" s="99"/>
      <c r="B27" s="100"/>
      <c r="C27" s="100"/>
      <c r="D27" s="101"/>
      <c r="E27" s="67" t="b">
        <v>0</v>
      </c>
      <c r="F27" s="58" t="s">
        <v>249</v>
      </c>
      <c r="G27" s="66"/>
      <c r="H27" s="66"/>
      <c r="I27" s="68"/>
      <c r="J27" s="64" t="s">
        <v>250</v>
      </c>
      <c r="K27" s="63" t="str">
        <f>HYPERLINK("http://nsgreg.nga.mil/genc/view?v=861867&amp;end_month=12&amp;end_day=31&amp;end_year=2016","Correlation")</f>
        <v>Correlation</v>
      </c>
    </row>
    <row r="28" spans="1:11" x14ac:dyDescent="0.2">
      <c r="A28" s="99"/>
      <c r="B28" s="100"/>
      <c r="C28" s="100"/>
      <c r="D28" s="101"/>
      <c r="E28" s="67" t="b">
        <v>0</v>
      </c>
      <c r="F28" s="58" t="s">
        <v>251</v>
      </c>
      <c r="G28" s="66"/>
      <c r="H28" s="66"/>
      <c r="I28" s="68"/>
      <c r="J28" s="64" t="s">
        <v>252</v>
      </c>
      <c r="K28" s="63" t="str">
        <f>HYPERLINK("http://nsgreg.nga.mil/genc/view?v=861868&amp;end_month=12&amp;end_day=31&amp;end_year=2016","Correlation")</f>
        <v>Correlation</v>
      </c>
    </row>
    <row r="29" spans="1:11" x14ac:dyDescent="0.2">
      <c r="A29" s="57" t="s">
        <v>253</v>
      </c>
      <c r="B29" s="58" t="s">
        <v>254</v>
      </c>
      <c r="C29" s="58" t="s">
        <v>255</v>
      </c>
      <c r="D29" s="59" t="s">
        <v>256</v>
      </c>
      <c r="E29" s="60" t="b">
        <v>1</v>
      </c>
      <c r="F29" s="58" t="s">
        <v>253</v>
      </c>
      <c r="G29" s="64" t="s">
        <v>254</v>
      </c>
      <c r="H29" s="64" t="s">
        <v>255</v>
      </c>
      <c r="I29" s="65" t="s">
        <v>256</v>
      </c>
      <c r="J29" s="66"/>
      <c r="K29" s="63" t="str">
        <f>HYPERLINK("http://nsgreg.nga.mil/genc/view?v=861869&amp;end_month=12&amp;end_day=31&amp;end_year=2016","Correlation")</f>
        <v>Correlation</v>
      </c>
    </row>
    <row r="30" spans="1:11" x14ac:dyDescent="0.2">
      <c r="A30" s="57" t="s">
        <v>257</v>
      </c>
      <c r="B30" s="58" t="s">
        <v>258</v>
      </c>
      <c r="C30" s="58" t="s">
        <v>259</v>
      </c>
      <c r="D30" s="59" t="s">
        <v>260</v>
      </c>
      <c r="E30" s="60" t="b">
        <v>1</v>
      </c>
      <c r="F30" s="58" t="s">
        <v>257</v>
      </c>
      <c r="G30" s="64" t="s">
        <v>258</v>
      </c>
      <c r="H30" s="64" t="s">
        <v>259</v>
      </c>
      <c r="I30" s="65" t="s">
        <v>260</v>
      </c>
      <c r="J30" s="66"/>
      <c r="K30" s="63" t="str">
        <f>HYPERLINK("http://nsgreg.nga.mil/genc/view?v=861870&amp;end_month=12&amp;end_day=31&amp;end_year=2016","Correlation")</f>
        <v>Correlation</v>
      </c>
    </row>
    <row r="31" spans="1:11" x14ac:dyDescent="0.2">
      <c r="A31" s="99" t="s">
        <v>261</v>
      </c>
      <c r="B31" s="100" t="s">
        <v>262</v>
      </c>
      <c r="C31" s="100" t="s">
        <v>263</v>
      </c>
      <c r="D31" s="101" t="s">
        <v>264</v>
      </c>
      <c r="E31" s="60" t="b">
        <v>1</v>
      </c>
      <c r="F31" s="58" t="s">
        <v>265</v>
      </c>
      <c r="G31" s="64" t="s">
        <v>266</v>
      </c>
      <c r="H31" s="64" t="s">
        <v>267</v>
      </c>
      <c r="I31" s="65" t="s">
        <v>268</v>
      </c>
      <c r="J31" s="66"/>
      <c r="K31" s="63" t="str">
        <f>HYPERLINK("http://nsgreg.nga.mil/genc/view?v=861871&amp;end_month=12&amp;end_day=31&amp;end_year=2016","Correlation")</f>
        <v>Correlation</v>
      </c>
    </row>
    <row r="32" spans="1:11" x14ac:dyDescent="0.2">
      <c r="A32" s="99"/>
      <c r="B32" s="100"/>
      <c r="C32" s="100"/>
      <c r="D32" s="101"/>
      <c r="E32" s="67" t="b">
        <v>0</v>
      </c>
      <c r="F32" s="58" t="s">
        <v>269</v>
      </c>
      <c r="G32" s="66"/>
      <c r="H32" s="66"/>
      <c r="I32" s="68"/>
      <c r="J32" s="64" t="s">
        <v>270</v>
      </c>
      <c r="K32" s="63" t="str">
        <f>HYPERLINK("http://nsgreg.nga.mil/genc/view?v=861872&amp;end_month=12&amp;end_day=31&amp;end_year=2016","Correlation")</f>
        <v>Correlation</v>
      </c>
    </row>
    <row r="33" spans="1:11" x14ac:dyDescent="0.2">
      <c r="A33" s="57" t="s">
        <v>271</v>
      </c>
      <c r="B33" s="58" t="s">
        <v>272</v>
      </c>
      <c r="C33" s="58" t="s">
        <v>273</v>
      </c>
      <c r="D33" s="59" t="s">
        <v>274</v>
      </c>
      <c r="E33" s="60" t="b">
        <v>1</v>
      </c>
      <c r="F33" s="58" t="s">
        <v>271</v>
      </c>
      <c r="G33" s="64" t="s">
        <v>272</v>
      </c>
      <c r="H33" s="64" t="s">
        <v>273</v>
      </c>
      <c r="I33" s="65" t="s">
        <v>274</v>
      </c>
      <c r="J33" s="66"/>
      <c r="K33" s="63" t="str">
        <f>HYPERLINK("http://nsgreg.nga.mil/genc/view?v=861873&amp;end_month=12&amp;end_day=31&amp;end_year=2016","Correlation")</f>
        <v>Correlation</v>
      </c>
    </row>
    <row r="34" spans="1:11" x14ac:dyDescent="0.2">
      <c r="A34" s="57" t="s">
        <v>275</v>
      </c>
      <c r="B34" s="58" t="s">
        <v>276</v>
      </c>
      <c r="C34" s="58" t="s">
        <v>277</v>
      </c>
      <c r="D34" s="59" t="s">
        <v>278</v>
      </c>
      <c r="E34" s="60" t="b">
        <v>1</v>
      </c>
      <c r="F34" s="58" t="s">
        <v>275</v>
      </c>
      <c r="G34" s="64" t="s">
        <v>276</v>
      </c>
      <c r="H34" s="64" t="s">
        <v>277</v>
      </c>
      <c r="I34" s="65" t="s">
        <v>278</v>
      </c>
      <c r="J34" s="66"/>
      <c r="K34" s="63" t="str">
        <f>HYPERLINK("http://nsgreg.nga.mil/genc/view?v=861874&amp;end_month=12&amp;end_day=31&amp;end_year=2016","Correlation")</f>
        <v>Correlation</v>
      </c>
    </row>
    <row r="35" spans="1:11" x14ac:dyDescent="0.2">
      <c r="A35" s="57" t="s">
        <v>279</v>
      </c>
      <c r="B35" s="58" t="s">
        <v>280</v>
      </c>
      <c r="C35" s="58" t="s">
        <v>281</v>
      </c>
      <c r="D35" s="59" t="s">
        <v>282</v>
      </c>
      <c r="E35" s="60" t="b">
        <v>1</v>
      </c>
      <c r="F35" s="58" t="s">
        <v>279</v>
      </c>
      <c r="G35" s="64" t="s">
        <v>280</v>
      </c>
      <c r="H35" s="64" t="s">
        <v>281</v>
      </c>
      <c r="I35" s="65" t="s">
        <v>282</v>
      </c>
      <c r="J35" s="66"/>
      <c r="K35" s="63" t="str">
        <f>HYPERLINK("http://nsgreg.nga.mil/genc/view?v=861875&amp;end_month=12&amp;end_day=31&amp;end_year=2016","Correlation")</f>
        <v>Correlation</v>
      </c>
    </row>
    <row r="36" spans="1:11" x14ac:dyDescent="0.2">
      <c r="A36" s="57" t="s">
        <v>283</v>
      </c>
      <c r="B36" s="58" t="s">
        <v>284</v>
      </c>
      <c r="C36" s="58" t="s">
        <v>285</v>
      </c>
      <c r="D36" s="59" t="s">
        <v>286</v>
      </c>
      <c r="E36" s="60" t="b">
        <v>1</v>
      </c>
      <c r="F36" s="58" t="s">
        <v>283</v>
      </c>
      <c r="G36" s="64" t="s">
        <v>284</v>
      </c>
      <c r="H36" s="64" t="s">
        <v>285</v>
      </c>
      <c r="I36" s="65" t="s">
        <v>286</v>
      </c>
      <c r="J36" s="66"/>
      <c r="K36" s="63" t="str">
        <f>HYPERLINK("http://nsgreg.nga.mil/genc/view?v=861876&amp;end_month=12&amp;end_day=31&amp;end_year=2016","Correlation")</f>
        <v>Correlation</v>
      </c>
    </row>
    <row r="37" spans="1:11" x14ac:dyDescent="0.2">
      <c r="A37" s="57" t="s">
        <v>287</v>
      </c>
      <c r="B37" s="58" t="s">
        <v>288</v>
      </c>
      <c r="C37" s="58" t="s">
        <v>289</v>
      </c>
      <c r="D37" s="59" t="s">
        <v>290</v>
      </c>
      <c r="E37" s="60" t="b">
        <v>1</v>
      </c>
      <c r="F37" s="58" t="s">
        <v>287</v>
      </c>
      <c r="G37" s="64" t="s">
        <v>288</v>
      </c>
      <c r="H37" s="64" t="s">
        <v>289</v>
      </c>
      <c r="I37" s="65" t="s">
        <v>290</v>
      </c>
      <c r="J37" s="66"/>
      <c r="K37" s="63" t="str">
        <f>HYPERLINK("http://nsgreg.nga.mil/genc/view?v=861877&amp;end_month=12&amp;end_day=31&amp;end_year=2016","Correlation")</f>
        <v>Correlation</v>
      </c>
    </row>
    <row r="38" spans="1:11" x14ac:dyDescent="0.2">
      <c r="A38" s="57" t="s">
        <v>291</v>
      </c>
      <c r="B38" s="58" t="s">
        <v>292</v>
      </c>
      <c r="C38" s="58" t="s">
        <v>293</v>
      </c>
      <c r="D38" s="59" t="s">
        <v>294</v>
      </c>
      <c r="E38" s="60" t="b">
        <v>1</v>
      </c>
      <c r="F38" s="58" t="s">
        <v>291</v>
      </c>
      <c r="G38" s="64" t="s">
        <v>292</v>
      </c>
      <c r="H38" s="64" t="s">
        <v>293</v>
      </c>
      <c r="I38" s="65" t="s">
        <v>294</v>
      </c>
      <c r="J38" s="66"/>
      <c r="K38" s="63" t="str">
        <f>HYPERLINK("http://nsgreg.nga.mil/genc/view?v=861878&amp;end_month=12&amp;end_day=31&amp;end_year=2016","Correlation")</f>
        <v>Correlation</v>
      </c>
    </row>
    <row r="39" spans="1:11" x14ac:dyDescent="0.2">
      <c r="A39" s="57" t="s">
        <v>295</v>
      </c>
      <c r="B39" s="58" t="s">
        <v>296</v>
      </c>
      <c r="C39" s="58" t="s">
        <v>297</v>
      </c>
      <c r="D39" s="59" t="s">
        <v>298</v>
      </c>
      <c r="E39" s="60" t="b">
        <v>1</v>
      </c>
      <c r="F39" s="58" t="s">
        <v>299</v>
      </c>
      <c r="G39" s="64" t="s">
        <v>296</v>
      </c>
      <c r="H39" s="64" t="s">
        <v>297</v>
      </c>
      <c r="I39" s="65" t="s">
        <v>298</v>
      </c>
      <c r="J39" s="66"/>
      <c r="K39" s="63" t="str">
        <f>HYPERLINK("http://nsgreg.nga.mil/genc/view?v=861879&amp;end_month=12&amp;end_day=31&amp;end_year=2016","Correlation")</f>
        <v>Correlation</v>
      </c>
    </row>
    <row r="40" spans="1:11" x14ac:dyDescent="0.2">
      <c r="A40" s="99" t="s">
        <v>300</v>
      </c>
      <c r="B40" s="100" t="s">
        <v>301</v>
      </c>
      <c r="C40" s="100" t="s">
        <v>302</v>
      </c>
      <c r="D40" s="101" t="s">
        <v>303</v>
      </c>
      <c r="E40" s="60" t="b">
        <v>1</v>
      </c>
      <c r="F40" s="58" t="s">
        <v>304</v>
      </c>
      <c r="G40" s="64" t="s">
        <v>301</v>
      </c>
      <c r="H40" s="64" t="s">
        <v>302</v>
      </c>
      <c r="I40" s="65" t="s">
        <v>303</v>
      </c>
      <c r="J40" s="66"/>
      <c r="K40" s="63" t="str">
        <f>HYPERLINK("http://nsgreg.nga.mil/genc/view?v=861880&amp;end_month=12&amp;end_day=31&amp;end_year=2016","Correlation")</f>
        <v>Correlation</v>
      </c>
    </row>
    <row r="41" spans="1:11" x14ac:dyDescent="0.2">
      <c r="A41" s="99"/>
      <c r="B41" s="100"/>
      <c r="C41" s="100"/>
      <c r="D41" s="101"/>
      <c r="E41" s="67" t="b">
        <v>0</v>
      </c>
      <c r="F41" s="58" t="s">
        <v>305</v>
      </c>
      <c r="G41" s="64" t="s">
        <v>306</v>
      </c>
      <c r="H41" s="64" t="s">
        <v>307</v>
      </c>
      <c r="I41" s="65" t="s">
        <v>308</v>
      </c>
      <c r="J41" s="66"/>
      <c r="K41" s="63" t="str">
        <f>HYPERLINK("http://nsgreg.nga.mil/genc/view?v=861883&amp;end_month=12&amp;end_day=31&amp;end_year=2016","Correlation")</f>
        <v>Correlation</v>
      </c>
    </row>
    <row r="42" spans="1:11" x14ac:dyDescent="0.2">
      <c r="A42" s="99"/>
      <c r="B42" s="100"/>
      <c r="C42" s="100"/>
      <c r="D42" s="101"/>
      <c r="E42" s="67" t="b">
        <v>0</v>
      </c>
      <c r="F42" s="58" t="s">
        <v>309</v>
      </c>
      <c r="G42" s="66"/>
      <c r="H42" s="66"/>
      <c r="I42" s="68"/>
      <c r="J42" s="64" t="s">
        <v>310</v>
      </c>
      <c r="K42" s="63" t="str">
        <f>HYPERLINK("http://nsgreg.nga.mil/genc/view?v=861881&amp;end_month=12&amp;end_day=31&amp;end_year=2016","Correlation")</f>
        <v>Correlation</v>
      </c>
    </row>
    <row r="43" spans="1:11" x14ac:dyDescent="0.2">
      <c r="A43" s="99"/>
      <c r="B43" s="100"/>
      <c r="C43" s="100"/>
      <c r="D43" s="101"/>
      <c r="E43" s="67" t="b">
        <v>0</v>
      </c>
      <c r="F43" s="58" t="s">
        <v>311</v>
      </c>
      <c r="G43" s="66"/>
      <c r="H43" s="66"/>
      <c r="I43" s="68"/>
      <c r="J43" s="64" t="s">
        <v>312</v>
      </c>
      <c r="K43" s="63" t="str">
        <f>HYPERLINK("http://nsgreg.nga.mil/genc/view?v=861884&amp;end_month=12&amp;end_day=31&amp;end_year=2016","Correlation")</f>
        <v>Correlation</v>
      </c>
    </row>
    <row r="44" spans="1:11" x14ac:dyDescent="0.2">
      <c r="A44" s="99"/>
      <c r="B44" s="100"/>
      <c r="C44" s="100"/>
      <c r="D44" s="101"/>
      <c r="E44" s="67" t="b">
        <v>0</v>
      </c>
      <c r="F44" s="58" t="s">
        <v>313</v>
      </c>
      <c r="G44" s="66"/>
      <c r="H44" s="66"/>
      <c r="I44" s="68"/>
      <c r="J44" s="64" t="s">
        <v>314</v>
      </c>
      <c r="K44" s="63" t="str">
        <f>HYPERLINK("http://nsgreg.nga.mil/genc/view?v=861886&amp;end_month=12&amp;end_day=31&amp;end_year=2016","Correlation")</f>
        <v>Correlation</v>
      </c>
    </row>
    <row r="45" spans="1:11" x14ac:dyDescent="0.2">
      <c r="A45" s="99"/>
      <c r="B45" s="100"/>
      <c r="C45" s="100"/>
      <c r="D45" s="101"/>
      <c r="E45" s="67" t="b">
        <v>0</v>
      </c>
      <c r="F45" s="58" t="s">
        <v>309</v>
      </c>
      <c r="G45" s="66"/>
      <c r="H45" s="66"/>
      <c r="I45" s="68"/>
      <c r="J45" s="64" t="s">
        <v>315</v>
      </c>
      <c r="K45" s="63" t="str">
        <f>HYPERLINK("http://nsgreg.nga.mil/genc/view?v=861882&amp;end_month=12&amp;end_day=31&amp;end_year=2016","Correlation")</f>
        <v>Correlation</v>
      </c>
    </row>
    <row r="46" spans="1:11" x14ac:dyDescent="0.2">
      <c r="A46" s="99"/>
      <c r="B46" s="100"/>
      <c r="C46" s="100"/>
      <c r="D46" s="101"/>
      <c r="E46" s="67" t="b">
        <v>0</v>
      </c>
      <c r="F46" s="58" t="s">
        <v>311</v>
      </c>
      <c r="G46" s="66"/>
      <c r="H46" s="66"/>
      <c r="I46" s="68"/>
      <c r="J46" s="64" t="s">
        <v>316</v>
      </c>
      <c r="K46" s="63" t="str">
        <f>HYPERLINK("http://nsgreg.nga.mil/genc/view?v=861885&amp;end_month=12&amp;end_day=31&amp;end_year=2016","Correlation")</f>
        <v>Correlation</v>
      </c>
    </row>
    <row r="47" spans="1:11" x14ac:dyDescent="0.2">
      <c r="A47" s="99"/>
      <c r="B47" s="100"/>
      <c r="C47" s="100"/>
      <c r="D47" s="101"/>
      <c r="E47" s="67" t="b">
        <v>0</v>
      </c>
      <c r="F47" s="58" t="s">
        <v>313</v>
      </c>
      <c r="G47" s="66"/>
      <c r="H47" s="66"/>
      <c r="I47" s="68"/>
      <c r="J47" s="64" t="s">
        <v>317</v>
      </c>
      <c r="K47" s="63" t="str">
        <f>HYPERLINK("http://nsgreg.nga.mil/genc/view?v=861887&amp;end_month=12&amp;end_day=31&amp;end_year=2016","Correlation")</f>
        <v>Correlation</v>
      </c>
    </row>
    <row r="48" spans="1:11" x14ac:dyDescent="0.2">
      <c r="A48" s="57" t="s">
        <v>318</v>
      </c>
      <c r="B48" s="58" t="s">
        <v>319</v>
      </c>
      <c r="C48" s="58" t="s">
        <v>320</v>
      </c>
      <c r="D48" s="59" t="s">
        <v>321</v>
      </c>
      <c r="E48" s="60" t="b">
        <v>1</v>
      </c>
      <c r="F48" s="58" t="s">
        <v>318</v>
      </c>
      <c r="G48" s="64" t="s">
        <v>319</v>
      </c>
      <c r="H48" s="64" t="s">
        <v>320</v>
      </c>
      <c r="I48" s="65" t="s">
        <v>321</v>
      </c>
      <c r="J48" s="66"/>
      <c r="K48" s="63" t="str">
        <f>HYPERLINK("http://nsgreg.nga.mil/genc/view?v=861888&amp;end_month=12&amp;end_day=31&amp;end_year=2016","Correlation")</f>
        <v>Correlation</v>
      </c>
    </row>
    <row r="49" spans="1:11" x14ac:dyDescent="0.2">
      <c r="A49" s="57" t="s">
        <v>322</v>
      </c>
      <c r="B49" s="58" t="s">
        <v>323</v>
      </c>
      <c r="C49" s="58" t="s">
        <v>324</v>
      </c>
      <c r="D49" s="59" t="s">
        <v>325</v>
      </c>
      <c r="E49" s="60" t="b">
        <v>1</v>
      </c>
      <c r="F49" s="58" t="s">
        <v>322</v>
      </c>
      <c r="G49" s="64" t="s">
        <v>323</v>
      </c>
      <c r="H49" s="64" t="s">
        <v>324</v>
      </c>
      <c r="I49" s="65" t="s">
        <v>325</v>
      </c>
      <c r="J49" s="66"/>
      <c r="K49" s="63" t="str">
        <f>HYPERLINK("http://nsgreg.nga.mil/genc/view?v=861889&amp;end_month=12&amp;end_day=31&amp;end_year=2016","Correlation")</f>
        <v>Correlation</v>
      </c>
    </row>
    <row r="50" spans="1:11" x14ac:dyDescent="0.2">
      <c r="A50" s="57" t="s">
        <v>326</v>
      </c>
      <c r="B50" s="58" t="s">
        <v>327</v>
      </c>
      <c r="C50" s="58" t="s">
        <v>328</v>
      </c>
      <c r="D50" s="59" t="s">
        <v>329</v>
      </c>
      <c r="E50" s="60" t="b">
        <v>1</v>
      </c>
      <c r="F50" s="58" t="s">
        <v>326</v>
      </c>
      <c r="G50" s="64" t="s">
        <v>327</v>
      </c>
      <c r="H50" s="64" t="s">
        <v>328</v>
      </c>
      <c r="I50" s="65" t="s">
        <v>329</v>
      </c>
      <c r="J50" s="66"/>
      <c r="K50" s="63" t="str">
        <f>HYPERLINK("http://nsgreg.nga.mil/genc/view?v=861890&amp;end_month=12&amp;end_day=31&amp;end_year=2016","Correlation")</f>
        <v>Correlation</v>
      </c>
    </row>
    <row r="51" spans="1:11" x14ac:dyDescent="0.2">
      <c r="A51" s="57" t="s">
        <v>330</v>
      </c>
      <c r="B51" s="58" t="s">
        <v>331</v>
      </c>
      <c r="C51" s="58" t="s">
        <v>332</v>
      </c>
      <c r="D51" s="59" t="s">
        <v>333</v>
      </c>
      <c r="E51" s="60" t="b">
        <v>1</v>
      </c>
      <c r="F51" s="58" t="s">
        <v>330</v>
      </c>
      <c r="G51" s="64" t="s">
        <v>331</v>
      </c>
      <c r="H51" s="64" t="s">
        <v>332</v>
      </c>
      <c r="I51" s="65" t="s">
        <v>333</v>
      </c>
      <c r="J51" s="66"/>
      <c r="K51" s="63" t="str">
        <f>HYPERLINK("http://nsgreg.nga.mil/genc/view?v=861891&amp;end_month=12&amp;end_day=31&amp;end_year=2016","Correlation")</f>
        <v>Correlation</v>
      </c>
    </row>
    <row r="52" spans="1:11" x14ac:dyDescent="0.2">
      <c r="A52" s="57" t="s">
        <v>334</v>
      </c>
      <c r="B52" s="58" t="s">
        <v>335</v>
      </c>
      <c r="C52" s="58" t="s">
        <v>336</v>
      </c>
      <c r="D52" s="59" t="s">
        <v>337</v>
      </c>
      <c r="E52" s="60" t="b">
        <v>1</v>
      </c>
      <c r="F52" s="58" t="s">
        <v>334</v>
      </c>
      <c r="G52" s="64" t="s">
        <v>335</v>
      </c>
      <c r="H52" s="64" t="s">
        <v>336</v>
      </c>
      <c r="I52" s="65" t="s">
        <v>337</v>
      </c>
      <c r="J52" s="66"/>
      <c r="K52" s="63" t="str">
        <f>HYPERLINK("http://nsgreg.nga.mil/genc/view?v=861892&amp;end_month=12&amp;end_day=31&amp;end_year=2016","Correlation")</f>
        <v>Correlation</v>
      </c>
    </row>
    <row r="53" spans="1:11" x14ac:dyDescent="0.2">
      <c r="A53" s="57" t="s">
        <v>338</v>
      </c>
      <c r="B53" s="58" t="s">
        <v>339</v>
      </c>
      <c r="C53" s="58" t="s">
        <v>340</v>
      </c>
      <c r="D53" s="59" t="s">
        <v>341</v>
      </c>
      <c r="E53" s="60" t="b">
        <v>1</v>
      </c>
      <c r="F53" s="58" t="s">
        <v>342</v>
      </c>
      <c r="G53" s="64" t="s">
        <v>339</v>
      </c>
      <c r="H53" s="64" t="s">
        <v>340</v>
      </c>
      <c r="I53" s="65" t="s">
        <v>341</v>
      </c>
      <c r="J53" s="66"/>
      <c r="K53" s="63" t="str">
        <f>HYPERLINK("http://nsgreg.nga.mil/genc/view?v=861893&amp;end_month=12&amp;end_day=31&amp;end_year=2016","Correlation")</f>
        <v>Correlation</v>
      </c>
    </row>
    <row r="54" spans="1:11" x14ac:dyDescent="0.2">
      <c r="A54" s="57" t="s">
        <v>343</v>
      </c>
      <c r="B54" s="58" t="s">
        <v>344</v>
      </c>
      <c r="C54" s="58" t="s">
        <v>345</v>
      </c>
      <c r="D54" s="59" t="s">
        <v>346</v>
      </c>
      <c r="E54" s="60" t="b">
        <v>1</v>
      </c>
      <c r="F54" s="58" t="s">
        <v>343</v>
      </c>
      <c r="G54" s="64" t="s">
        <v>344</v>
      </c>
      <c r="H54" s="64" t="s">
        <v>345</v>
      </c>
      <c r="I54" s="65" t="s">
        <v>346</v>
      </c>
      <c r="J54" s="66"/>
      <c r="K54" s="63" t="str">
        <f>HYPERLINK("http://nsgreg.nga.mil/genc/view?v=861894&amp;end_month=12&amp;end_day=31&amp;end_year=2016","Correlation")</f>
        <v>Correlation</v>
      </c>
    </row>
    <row r="55" spans="1:11" x14ac:dyDescent="0.2">
      <c r="A55" s="57" t="s">
        <v>347</v>
      </c>
      <c r="B55" s="58" t="s">
        <v>348</v>
      </c>
      <c r="C55" s="58" t="s">
        <v>349</v>
      </c>
      <c r="D55" s="59" t="s">
        <v>350</v>
      </c>
      <c r="E55" s="60" t="b">
        <v>1</v>
      </c>
      <c r="F55" s="58" t="s">
        <v>347</v>
      </c>
      <c r="G55" s="64" t="s">
        <v>348</v>
      </c>
      <c r="H55" s="64" t="s">
        <v>349</v>
      </c>
      <c r="I55" s="65" t="s">
        <v>350</v>
      </c>
      <c r="J55" s="66"/>
      <c r="K55" s="63" t="str">
        <f>HYPERLINK("http://nsgreg.nga.mil/genc/view?v=861895&amp;end_month=12&amp;end_day=31&amp;end_year=2016","Correlation")</f>
        <v>Correlation</v>
      </c>
    </row>
    <row r="56" spans="1:11" x14ac:dyDescent="0.2">
      <c r="A56" s="57" t="s">
        <v>351</v>
      </c>
      <c r="B56" s="58" t="s">
        <v>352</v>
      </c>
      <c r="C56" s="58" t="s">
        <v>353</v>
      </c>
      <c r="D56" s="59" t="s">
        <v>354</v>
      </c>
      <c r="E56" s="60" t="b">
        <v>1</v>
      </c>
      <c r="F56" s="58" t="s">
        <v>355</v>
      </c>
      <c r="G56" s="64" t="s">
        <v>352</v>
      </c>
      <c r="H56" s="64" t="s">
        <v>353</v>
      </c>
      <c r="I56" s="65" t="s">
        <v>354</v>
      </c>
      <c r="J56" s="66"/>
      <c r="K56" s="63" t="str">
        <f>HYPERLINK("http://nsgreg.nga.mil/genc/view?v=861896&amp;end_month=12&amp;end_day=31&amp;end_year=2016","Correlation")</f>
        <v>Correlation</v>
      </c>
    </row>
    <row r="57" spans="1:11" x14ac:dyDescent="0.2">
      <c r="A57" s="57" t="s">
        <v>356</v>
      </c>
      <c r="B57" s="58" t="s">
        <v>357</v>
      </c>
      <c r="C57" s="58" t="s">
        <v>358</v>
      </c>
      <c r="D57" s="59" t="s">
        <v>359</v>
      </c>
      <c r="E57" s="60" t="b">
        <v>1</v>
      </c>
      <c r="F57" s="58" t="s">
        <v>356</v>
      </c>
      <c r="G57" s="64" t="s">
        <v>357</v>
      </c>
      <c r="H57" s="64" t="s">
        <v>358</v>
      </c>
      <c r="I57" s="65" t="s">
        <v>359</v>
      </c>
      <c r="J57" s="66"/>
      <c r="K57" s="63" t="str">
        <f>HYPERLINK("http://nsgreg.nga.mil/genc/view?v=861897&amp;end_month=12&amp;end_day=31&amp;end_year=2016","Correlation")</f>
        <v>Correlation</v>
      </c>
    </row>
    <row r="58" spans="1:11" x14ac:dyDescent="0.2">
      <c r="A58" s="57" t="s">
        <v>360</v>
      </c>
      <c r="B58" s="58" t="s">
        <v>361</v>
      </c>
      <c r="C58" s="58" t="s">
        <v>362</v>
      </c>
      <c r="D58" s="59" t="s">
        <v>363</v>
      </c>
      <c r="E58" s="60" t="b">
        <v>1</v>
      </c>
      <c r="F58" s="58" t="s">
        <v>360</v>
      </c>
      <c r="G58" s="64" t="s">
        <v>361</v>
      </c>
      <c r="H58" s="64" t="s">
        <v>362</v>
      </c>
      <c r="I58" s="65" t="s">
        <v>363</v>
      </c>
      <c r="J58" s="66"/>
      <c r="K58" s="63" t="str">
        <f>HYPERLINK("http://nsgreg.nga.mil/genc/view?v=861898&amp;end_month=12&amp;end_day=31&amp;end_year=2016","Correlation")</f>
        <v>Correlation</v>
      </c>
    </row>
    <row r="59" spans="1:11" x14ac:dyDescent="0.2">
      <c r="A59" s="57" t="s">
        <v>364</v>
      </c>
      <c r="B59" s="58" t="s">
        <v>365</v>
      </c>
      <c r="C59" s="58" t="s">
        <v>366</v>
      </c>
      <c r="D59" s="59" t="s">
        <v>367</v>
      </c>
      <c r="E59" s="60" t="b">
        <v>1</v>
      </c>
      <c r="F59" s="58" t="s">
        <v>364</v>
      </c>
      <c r="G59" s="64" t="s">
        <v>365</v>
      </c>
      <c r="H59" s="64" t="s">
        <v>366</v>
      </c>
      <c r="I59" s="65" t="s">
        <v>367</v>
      </c>
      <c r="J59" s="66"/>
      <c r="K59" s="63" t="str">
        <f>HYPERLINK("http://nsgreg.nga.mil/genc/view?v=861899&amp;end_month=12&amp;end_day=31&amp;end_year=2016","Correlation")</f>
        <v>Correlation</v>
      </c>
    </row>
    <row r="60" spans="1:11" x14ac:dyDescent="0.2">
      <c r="A60" s="57" t="s">
        <v>368</v>
      </c>
      <c r="B60" s="58" t="s">
        <v>369</v>
      </c>
      <c r="C60" s="58" t="s">
        <v>370</v>
      </c>
      <c r="D60" s="59" t="s">
        <v>371</v>
      </c>
      <c r="E60" s="60" t="b">
        <v>1</v>
      </c>
      <c r="F60" s="58" t="s">
        <v>368</v>
      </c>
      <c r="G60" s="64" t="s">
        <v>369</v>
      </c>
      <c r="H60" s="64" t="s">
        <v>370</v>
      </c>
      <c r="I60" s="65" t="s">
        <v>371</v>
      </c>
      <c r="J60" s="66"/>
      <c r="K60" s="63" t="str">
        <f>HYPERLINK("http://nsgreg.nga.mil/genc/view?v=861900&amp;end_month=12&amp;end_day=31&amp;end_year=2016","Correlation")</f>
        <v>Correlation</v>
      </c>
    </row>
    <row r="61" spans="1:11" x14ac:dyDescent="0.2">
      <c r="A61" s="57" t="s">
        <v>372</v>
      </c>
      <c r="B61" s="58" t="s">
        <v>373</v>
      </c>
      <c r="C61" s="58" t="s">
        <v>374</v>
      </c>
      <c r="D61" s="59" t="s">
        <v>375</v>
      </c>
      <c r="E61" s="60" t="b">
        <v>1</v>
      </c>
      <c r="F61" s="58" t="s">
        <v>372</v>
      </c>
      <c r="G61" s="64" t="s">
        <v>373</v>
      </c>
      <c r="H61" s="64" t="s">
        <v>374</v>
      </c>
      <c r="I61" s="65" t="s">
        <v>375</v>
      </c>
      <c r="J61" s="66"/>
      <c r="K61" s="63" t="str">
        <f>HYPERLINK("http://nsgreg.nga.mil/genc/view?v=861901&amp;end_month=12&amp;end_day=31&amp;end_year=2016","Correlation")</f>
        <v>Correlation</v>
      </c>
    </row>
    <row r="62" spans="1:11" x14ac:dyDescent="0.2">
      <c r="A62" s="57" t="s">
        <v>376</v>
      </c>
      <c r="B62" s="58" t="s">
        <v>377</v>
      </c>
      <c r="C62" s="58" t="s">
        <v>378</v>
      </c>
      <c r="D62" s="59" t="s">
        <v>379</v>
      </c>
      <c r="E62" s="60" t="b">
        <v>1</v>
      </c>
      <c r="F62" s="58" t="s">
        <v>376</v>
      </c>
      <c r="G62" s="64" t="s">
        <v>377</v>
      </c>
      <c r="H62" s="64" t="s">
        <v>378</v>
      </c>
      <c r="I62" s="65" t="s">
        <v>379</v>
      </c>
      <c r="J62" s="66"/>
      <c r="K62" s="63" t="str">
        <f>HYPERLINK("http://nsgreg.nga.mil/genc/view?v=861902&amp;end_month=12&amp;end_day=31&amp;end_year=2016","Correlation")</f>
        <v>Correlation</v>
      </c>
    </row>
    <row r="63" spans="1:11" x14ac:dyDescent="0.2">
      <c r="A63" s="57" t="s">
        <v>380</v>
      </c>
      <c r="B63" s="58" t="s">
        <v>381</v>
      </c>
      <c r="C63" s="58" t="s">
        <v>382</v>
      </c>
      <c r="D63" s="59" t="s">
        <v>383</v>
      </c>
      <c r="E63" s="60" t="b">
        <v>1</v>
      </c>
      <c r="F63" s="58" t="s">
        <v>380</v>
      </c>
      <c r="G63" s="64" t="s">
        <v>381</v>
      </c>
      <c r="H63" s="64" t="s">
        <v>382</v>
      </c>
      <c r="I63" s="65" t="s">
        <v>383</v>
      </c>
      <c r="J63" s="66"/>
      <c r="K63" s="63" t="str">
        <f>HYPERLINK("http://nsgreg.nga.mil/genc/view?v=861903&amp;end_month=12&amp;end_day=31&amp;end_year=2016","Correlation")</f>
        <v>Correlation</v>
      </c>
    </row>
    <row r="64" spans="1:11" x14ac:dyDescent="0.2">
      <c r="A64" s="57" t="s">
        <v>384</v>
      </c>
      <c r="B64" s="58" t="s">
        <v>385</v>
      </c>
      <c r="C64" s="58" t="s">
        <v>386</v>
      </c>
      <c r="D64" s="59" t="s">
        <v>387</v>
      </c>
      <c r="E64" s="60" t="b">
        <v>1</v>
      </c>
      <c r="F64" s="58" t="s">
        <v>384</v>
      </c>
      <c r="G64" s="64" t="s">
        <v>385</v>
      </c>
      <c r="H64" s="64" t="s">
        <v>386</v>
      </c>
      <c r="I64" s="65" t="s">
        <v>387</v>
      </c>
      <c r="J64" s="66"/>
      <c r="K64" s="63" t="str">
        <f>HYPERLINK("http://nsgreg.nga.mil/genc/view?v=861904&amp;end_month=12&amp;end_day=31&amp;end_year=2016","Correlation")</f>
        <v>Correlation</v>
      </c>
    </row>
    <row r="65" spans="1:11" x14ac:dyDescent="0.2">
      <c r="A65" s="57" t="s">
        <v>388</v>
      </c>
      <c r="B65" s="58" t="s">
        <v>389</v>
      </c>
      <c r="C65" s="58" t="s">
        <v>390</v>
      </c>
      <c r="D65" s="59" t="s">
        <v>391</v>
      </c>
      <c r="E65" s="60" t="b">
        <v>1</v>
      </c>
      <c r="F65" s="58" t="s">
        <v>388</v>
      </c>
      <c r="G65" s="64" t="s">
        <v>389</v>
      </c>
      <c r="H65" s="64" t="s">
        <v>390</v>
      </c>
      <c r="I65" s="65" t="s">
        <v>391</v>
      </c>
      <c r="J65" s="66"/>
      <c r="K65" s="63" t="str">
        <f>HYPERLINK("http://nsgreg.nga.mil/genc/view?v=861905&amp;end_month=12&amp;end_day=31&amp;end_year=2016","Correlation")</f>
        <v>Correlation</v>
      </c>
    </row>
    <row r="66" spans="1:11" x14ac:dyDescent="0.2">
      <c r="A66" s="57" t="s">
        <v>392</v>
      </c>
      <c r="B66" s="58" t="s">
        <v>393</v>
      </c>
      <c r="C66" s="58" t="s">
        <v>394</v>
      </c>
      <c r="D66" s="59" t="s">
        <v>395</v>
      </c>
      <c r="E66" s="60" t="b">
        <v>1</v>
      </c>
      <c r="F66" s="58" t="s">
        <v>392</v>
      </c>
      <c r="G66" s="64" t="s">
        <v>393</v>
      </c>
      <c r="H66" s="64" t="s">
        <v>394</v>
      </c>
      <c r="I66" s="65" t="s">
        <v>395</v>
      </c>
      <c r="J66" s="66"/>
      <c r="K66" s="63" t="str">
        <f>HYPERLINK("http://nsgreg.nga.mil/genc/view?v=861906&amp;end_month=12&amp;end_day=31&amp;end_year=2016","Correlation")</f>
        <v>Correlation</v>
      </c>
    </row>
    <row r="67" spans="1:11" x14ac:dyDescent="0.2">
      <c r="A67" s="57" t="s">
        <v>396</v>
      </c>
      <c r="B67" s="58" t="s">
        <v>397</v>
      </c>
      <c r="C67" s="58" t="s">
        <v>398</v>
      </c>
      <c r="D67" s="59" t="s">
        <v>399</v>
      </c>
      <c r="E67" s="60" t="b">
        <v>1</v>
      </c>
      <c r="F67" s="58" t="s">
        <v>396</v>
      </c>
      <c r="G67" s="64" t="s">
        <v>397</v>
      </c>
      <c r="H67" s="64" t="s">
        <v>398</v>
      </c>
      <c r="I67" s="65" t="s">
        <v>399</v>
      </c>
      <c r="J67" s="66"/>
      <c r="K67" s="63" t="str">
        <f>HYPERLINK("http://nsgreg.nga.mil/genc/view?v=861907&amp;end_month=12&amp;end_day=31&amp;end_year=2016","Correlation")</f>
        <v>Correlation</v>
      </c>
    </row>
    <row r="68" spans="1:11" x14ac:dyDescent="0.2">
      <c r="A68" s="99" t="s">
        <v>400</v>
      </c>
      <c r="B68" s="100" t="s">
        <v>401</v>
      </c>
      <c r="C68" s="100" t="s">
        <v>402</v>
      </c>
      <c r="D68" s="101" t="s">
        <v>403</v>
      </c>
      <c r="E68" s="60" t="b">
        <v>1</v>
      </c>
      <c r="F68" s="58" t="s">
        <v>404</v>
      </c>
      <c r="G68" s="64" t="s">
        <v>405</v>
      </c>
      <c r="H68" s="64" t="s">
        <v>406</v>
      </c>
      <c r="I68" s="65" t="s">
        <v>407</v>
      </c>
      <c r="J68" s="66"/>
      <c r="K68" s="63" t="str">
        <f>HYPERLINK("http://nsgreg.nga.mil/genc/view?v=861908&amp;end_month=12&amp;end_day=31&amp;end_year=2016","Correlation")</f>
        <v>Correlation</v>
      </c>
    </row>
    <row r="69" spans="1:11" x14ac:dyDescent="0.2">
      <c r="A69" s="99"/>
      <c r="B69" s="100"/>
      <c r="C69" s="100"/>
      <c r="D69" s="101"/>
      <c r="E69" s="67" t="b">
        <v>0</v>
      </c>
      <c r="F69" s="58" t="s">
        <v>408</v>
      </c>
      <c r="G69" s="66"/>
      <c r="H69" s="66"/>
      <c r="I69" s="68"/>
      <c r="J69" s="64" t="s">
        <v>409</v>
      </c>
      <c r="K69" s="63" t="str">
        <f>HYPERLINK("http://nsgreg.nga.mil/genc/view?v=861909&amp;end_month=12&amp;end_day=31&amp;end_year=2016","Correlation")</f>
        <v>Correlation</v>
      </c>
    </row>
    <row r="70" spans="1:11" x14ac:dyDescent="0.2">
      <c r="A70" s="57" t="s">
        <v>410</v>
      </c>
      <c r="B70" s="58" t="s">
        <v>411</v>
      </c>
      <c r="C70" s="58" t="s">
        <v>412</v>
      </c>
      <c r="D70" s="59" t="s">
        <v>413</v>
      </c>
      <c r="E70" s="60" t="b">
        <v>1</v>
      </c>
      <c r="F70" s="58" t="s">
        <v>410</v>
      </c>
      <c r="G70" s="64" t="s">
        <v>411</v>
      </c>
      <c r="H70" s="64" t="s">
        <v>412</v>
      </c>
      <c r="I70" s="65" t="s">
        <v>413</v>
      </c>
      <c r="J70" s="66"/>
      <c r="K70" s="63" t="str">
        <f>HYPERLINK("http://nsgreg.nga.mil/genc/view?v=861910&amp;end_month=12&amp;end_day=31&amp;end_year=2016","Correlation")</f>
        <v>Correlation</v>
      </c>
    </row>
    <row r="71" spans="1:11" x14ac:dyDescent="0.2">
      <c r="A71" s="57" t="s">
        <v>414</v>
      </c>
      <c r="B71" s="58" t="s">
        <v>415</v>
      </c>
      <c r="C71" s="58" t="s">
        <v>416</v>
      </c>
      <c r="D71" s="59" t="s">
        <v>417</v>
      </c>
      <c r="E71" s="60" t="b">
        <v>1</v>
      </c>
      <c r="F71" s="58" t="s">
        <v>414</v>
      </c>
      <c r="G71" s="64" t="s">
        <v>415</v>
      </c>
      <c r="H71" s="64" t="s">
        <v>416</v>
      </c>
      <c r="I71" s="65" t="s">
        <v>417</v>
      </c>
      <c r="J71" s="66"/>
      <c r="K71" s="63" t="str">
        <f>HYPERLINK("http://nsgreg.nga.mil/genc/view?v=861911&amp;end_month=12&amp;end_day=31&amp;end_year=2016","Correlation")</f>
        <v>Correlation</v>
      </c>
    </row>
    <row r="72" spans="1:11" x14ac:dyDescent="0.2">
      <c r="A72" s="57" t="s">
        <v>418</v>
      </c>
      <c r="B72" s="58" t="s">
        <v>419</v>
      </c>
      <c r="C72" s="58" t="s">
        <v>420</v>
      </c>
      <c r="D72" s="59" t="s">
        <v>421</v>
      </c>
      <c r="E72" s="60" t="b">
        <v>1</v>
      </c>
      <c r="F72" s="58" t="s">
        <v>418</v>
      </c>
      <c r="G72" s="64" t="s">
        <v>419</v>
      </c>
      <c r="H72" s="64" t="s">
        <v>420</v>
      </c>
      <c r="I72" s="65" t="s">
        <v>421</v>
      </c>
      <c r="J72" s="66"/>
      <c r="K72" s="63" t="str">
        <f>HYPERLINK("http://nsgreg.nga.mil/genc/view?v=861912&amp;end_month=12&amp;end_day=31&amp;end_year=2016","Correlation")</f>
        <v>Correlation</v>
      </c>
    </row>
    <row r="73" spans="1:11" x14ac:dyDescent="0.2">
      <c r="A73" s="57" t="s">
        <v>422</v>
      </c>
      <c r="B73" s="58" t="s">
        <v>423</v>
      </c>
      <c r="C73" s="58" t="s">
        <v>424</v>
      </c>
      <c r="D73" s="59" t="s">
        <v>425</v>
      </c>
      <c r="E73" s="60" t="b">
        <v>1</v>
      </c>
      <c r="F73" s="58" t="s">
        <v>426</v>
      </c>
      <c r="G73" s="64" t="s">
        <v>423</v>
      </c>
      <c r="H73" s="64" t="s">
        <v>424</v>
      </c>
      <c r="I73" s="65" t="s">
        <v>425</v>
      </c>
      <c r="J73" s="66"/>
      <c r="K73" s="63" t="str">
        <f>HYPERLINK("http://nsgreg.nga.mil/genc/view?v=861913&amp;end_month=12&amp;end_day=31&amp;end_year=2016","Correlation")</f>
        <v>Correlation</v>
      </c>
    </row>
    <row r="74" spans="1:11" x14ac:dyDescent="0.2">
      <c r="A74" s="57" t="s">
        <v>427</v>
      </c>
      <c r="B74" s="58" t="s">
        <v>428</v>
      </c>
      <c r="C74" s="58" t="s">
        <v>429</v>
      </c>
      <c r="D74" s="59" t="s">
        <v>430</v>
      </c>
      <c r="E74" s="60" t="b">
        <v>1</v>
      </c>
      <c r="F74" s="58" t="s">
        <v>431</v>
      </c>
      <c r="G74" s="64" t="s">
        <v>428</v>
      </c>
      <c r="H74" s="64" t="s">
        <v>429</v>
      </c>
      <c r="I74" s="65" t="s">
        <v>430</v>
      </c>
      <c r="J74" s="66"/>
      <c r="K74" s="63" t="str">
        <f>HYPERLINK("http://nsgreg.nga.mil/genc/view?v=861914&amp;end_month=12&amp;end_day=31&amp;end_year=2016","Correlation")</f>
        <v>Correlation</v>
      </c>
    </row>
    <row r="75" spans="1:11" x14ac:dyDescent="0.2">
      <c r="A75" s="57" t="s">
        <v>432</v>
      </c>
      <c r="B75" s="58" t="s">
        <v>433</v>
      </c>
      <c r="C75" s="58" t="s">
        <v>434</v>
      </c>
      <c r="D75" s="59" t="s">
        <v>435</v>
      </c>
      <c r="E75" s="60" t="b">
        <v>1</v>
      </c>
      <c r="F75" s="58" t="s">
        <v>432</v>
      </c>
      <c r="G75" s="64" t="s">
        <v>433</v>
      </c>
      <c r="H75" s="64" t="s">
        <v>434</v>
      </c>
      <c r="I75" s="65" t="s">
        <v>435</v>
      </c>
      <c r="J75" s="66"/>
      <c r="K75" s="63" t="str">
        <f>HYPERLINK("http://nsgreg.nga.mil/genc/view?v=861915&amp;end_month=12&amp;end_day=31&amp;end_year=2016","Correlation")</f>
        <v>Correlation</v>
      </c>
    </row>
    <row r="76" spans="1:11" x14ac:dyDescent="0.2">
      <c r="A76" s="57" t="s">
        <v>436</v>
      </c>
      <c r="B76" s="58" t="s">
        <v>437</v>
      </c>
      <c r="C76" s="58" t="s">
        <v>438</v>
      </c>
      <c r="D76" s="59" t="s">
        <v>439</v>
      </c>
      <c r="E76" s="60" t="b">
        <v>1</v>
      </c>
      <c r="F76" s="58" t="s">
        <v>220</v>
      </c>
      <c r="G76" s="64" t="s">
        <v>221</v>
      </c>
      <c r="H76" s="64" t="s">
        <v>222</v>
      </c>
      <c r="I76" s="65" t="s">
        <v>223</v>
      </c>
      <c r="J76" s="66"/>
      <c r="K76" s="63" t="str">
        <f>HYPERLINK("http://nsgreg.nga.mil/genc/view?v=861916&amp;end_month=12&amp;end_day=31&amp;end_year=2016","Correlation")</f>
        <v>Correlation</v>
      </c>
    </row>
    <row r="77" spans="1:11" x14ac:dyDescent="0.2">
      <c r="A77" s="57" t="s">
        <v>440</v>
      </c>
      <c r="B77" s="58" t="s">
        <v>441</v>
      </c>
      <c r="C77" s="58" t="s">
        <v>442</v>
      </c>
      <c r="D77" s="59" t="s">
        <v>443</v>
      </c>
      <c r="E77" s="60" t="b">
        <v>1</v>
      </c>
      <c r="F77" s="58" t="s">
        <v>440</v>
      </c>
      <c r="G77" s="64" t="s">
        <v>441</v>
      </c>
      <c r="H77" s="64" t="s">
        <v>442</v>
      </c>
      <c r="I77" s="65" t="s">
        <v>443</v>
      </c>
      <c r="J77" s="66"/>
      <c r="K77" s="63" t="str">
        <f>HYPERLINK("http://nsgreg.nga.mil/genc/view?v=861917&amp;end_month=12&amp;end_day=31&amp;end_year=2016","Correlation")</f>
        <v>Correlation</v>
      </c>
    </row>
    <row r="78" spans="1:11" x14ac:dyDescent="0.2">
      <c r="A78" s="57" t="s">
        <v>444</v>
      </c>
      <c r="B78" s="58" t="s">
        <v>445</v>
      </c>
      <c r="C78" s="58" t="s">
        <v>446</v>
      </c>
      <c r="D78" s="59" t="s">
        <v>447</v>
      </c>
      <c r="E78" s="60" t="b">
        <v>1</v>
      </c>
      <c r="F78" s="58" t="s">
        <v>448</v>
      </c>
      <c r="G78" s="64" t="s">
        <v>445</v>
      </c>
      <c r="H78" s="64" t="s">
        <v>446</v>
      </c>
      <c r="I78" s="65" t="s">
        <v>447</v>
      </c>
      <c r="J78" s="66"/>
      <c r="K78" s="63" t="str">
        <f>HYPERLINK("http://nsgreg.nga.mil/genc/view?v=861918&amp;end_month=12&amp;end_day=31&amp;end_year=2016","Correlation")</f>
        <v>Correlation</v>
      </c>
    </row>
    <row r="79" spans="1:11" x14ac:dyDescent="0.2">
      <c r="A79" s="57" t="s">
        <v>449</v>
      </c>
      <c r="B79" s="58" t="s">
        <v>450</v>
      </c>
      <c r="C79" s="58" t="s">
        <v>451</v>
      </c>
      <c r="D79" s="59" t="s">
        <v>452</v>
      </c>
      <c r="E79" s="60" t="b">
        <v>1</v>
      </c>
      <c r="F79" s="58" t="s">
        <v>449</v>
      </c>
      <c r="G79" s="64" t="s">
        <v>450</v>
      </c>
      <c r="H79" s="64" t="s">
        <v>451</v>
      </c>
      <c r="I79" s="65" t="s">
        <v>452</v>
      </c>
      <c r="J79" s="66"/>
      <c r="K79" s="63" t="str">
        <f>HYPERLINK("http://nsgreg.nga.mil/genc/view?v=861919&amp;end_month=12&amp;end_day=31&amp;end_year=2016","Correlation")</f>
        <v>Correlation</v>
      </c>
    </row>
    <row r="80" spans="1:11" x14ac:dyDescent="0.2">
      <c r="A80" s="57" t="s">
        <v>453</v>
      </c>
      <c r="B80" s="58" t="s">
        <v>454</v>
      </c>
      <c r="C80" s="58" t="s">
        <v>455</v>
      </c>
      <c r="D80" s="59" t="s">
        <v>456</v>
      </c>
      <c r="E80" s="60" t="b">
        <v>1</v>
      </c>
      <c r="F80" s="58" t="s">
        <v>453</v>
      </c>
      <c r="G80" s="64" t="s">
        <v>454</v>
      </c>
      <c r="H80" s="64" t="s">
        <v>455</v>
      </c>
      <c r="I80" s="65" t="s">
        <v>456</v>
      </c>
      <c r="J80" s="66"/>
      <c r="K80" s="63" t="str">
        <f>HYPERLINK("http://nsgreg.nga.mil/genc/view?v=861920&amp;end_month=12&amp;end_day=31&amp;end_year=2016","Correlation")</f>
        <v>Correlation</v>
      </c>
    </row>
    <row r="81" spans="1:11" x14ac:dyDescent="0.2">
      <c r="A81" s="99" t="s">
        <v>457</v>
      </c>
      <c r="B81" s="100" t="s">
        <v>458</v>
      </c>
      <c r="C81" s="100" t="s">
        <v>459</v>
      </c>
      <c r="D81" s="101" t="s">
        <v>460</v>
      </c>
      <c r="E81" s="60" t="b">
        <v>1</v>
      </c>
      <c r="F81" s="58" t="s">
        <v>457</v>
      </c>
      <c r="G81" s="64" t="s">
        <v>458</v>
      </c>
      <c r="H81" s="64" t="s">
        <v>459</v>
      </c>
      <c r="I81" s="65" t="s">
        <v>460</v>
      </c>
      <c r="J81" s="66"/>
      <c r="K81" s="63" t="str">
        <f>HYPERLINK("http://nsgreg.nga.mil/genc/view?v=861921&amp;end_month=12&amp;end_day=31&amp;end_year=2016","Correlation")</f>
        <v>Correlation</v>
      </c>
    </row>
    <row r="82" spans="1:11" x14ac:dyDescent="0.2">
      <c r="A82" s="99"/>
      <c r="B82" s="100"/>
      <c r="C82" s="100"/>
      <c r="D82" s="101"/>
      <c r="E82" s="67" t="b">
        <v>0</v>
      </c>
      <c r="F82" s="58" t="s">
        <v>461</v>
      </c>
      <c r="G82" s="66"/>
      <c r="H82" s="66"/>
      <c r="I82" s="68"/>
      <c r="J82" s="64" t="s">
        <v>462</v>
      </c>
      <c r="K82" s="63" t="str">
        <f>HYPERLINK("http://nsgreg.nga.mil/genc/view?v=861922&amp;end_month=12&amp;end_day=31&amp;end_year=2016","Correlation")</f>
        <v>Correlation</v>
      </c>
    </row>
    <row r="83" spans="1:11" x14ac:dyDescent="0.2">
      <c r="A83" s="57" t="s">
        <v>463</v>
      </c>
      <c r="B83" s="58" t="s">
        <v>464</v>
      </c>
      <c r="C83" s="58" t="s">
        <v>465</v>
      </c>
      <c r="D83" s="59" t="s">
        <v>466</v>
      </c>
      <c r="E83" s="60" t="b">
        <v>1</v>
      </c>
      <c r="F83" s="58" t="s">
        <v>463</v>
      </c>
      <c r="G83" s="64" t="s">
        <v>464</v>
      </c>
      <c r="H83" s="64" t="s">
        <v>465</v>
      </c>
      <c r="I83" s="65" t="s">
        <v>466</v>
      </c>
      <c r="J83" s="66"/>
      <c r="K83" s="63" t="str">
        <f>HYPERLINK("http://nsgreg.nga.mil/genc/view?v=861923&amp;end_month=12&amp;end_day=31&amp;end_year=2016","Correlation")</f>
        <v>Correlation</v>
      </c>
    </row>
    <row r="84" spans="1:11" x14ac:dyDescent="0.2">
      <c r="A84" s="57" t="s">
        <v>467</v>
      </c>
      <c r="B84" s="58" t="s">
        <v>468</v>
      </c>
      <c r="C84" s="58" t="s">
        <v>469</v>
      </c>
      <c r="D84" s="59" t="s">
        <v>470</v>
      </c>
      <c r="E84" s="60" t="b">
        <v>1</v>
      </c>
      <c r="F84" s="58" t="s">
        <v>467</v>
      </c>
      <c r="G84" s="64" t="s">
        <v>468</v>
      </c>
      <c r="H84" s="64" t="s">
        <v>469</v>
      </c>
      <c r="I84" s="65" t="s">
        <v>470</v>
      </c>
      <c r="J84" s="66"/>
      <c r="K84" s="63" t="str">
        <f>HYPERLINK("http://nsgreg.nga.mil/genc/view?v=861924&amp;end_month=12&amp;end_day=31&amp;end_year=2016","Correlation")</f>
        <v>Correlation</v>
      </c>
    </row>
    <row r="85" spans="1:11" x14ac:dyDescent="0.2">
      <c r="A85" s="57" t="s">
        <v>471</v>
      </c>
      <c r="B85" s="58" t="s">
        <v>472</v>
      </c>
      <c r="C85" s="58" t="s">
        <v>473</v>
      </c>
      <c r="D85" s="59" t="s">
        <v>474</v>
      </c>
      <c r="E85" s="60" t="b">
        <v>1</v>
      </c>
      <c r="F85" s="58" t="s">
        <v>471</v>
      </c>
      <c r="G85" s="64" t="s">
        <v>472</v>
      </c>
      <c r="H85" s="64" t="s">
        <v>473</v>
      </c>
      <c r="I85" s="65" t="s">
        <v>474</v>
      </c>
      <c r="J85" s="66"/>
      <c r="K85" s="63" t="str">
        <f>HYPERLINK("http://nsgreg.nga.mil/genc/view?v=861925&amp;end_month=12&amp;end_day=31&amp;end_year=2016","Correlation")</f>
        <v>Correlation</v>
      </c>
    </row>
    <row r="86" spans="1:11" x14ac:dyDescent="0.2">
      <c r="A86" s="57" t="s">
        <v>475</v>
      </c>
      <c r="B86" s="58" t="s">
        <v>476</v>
      </c>
      <c r="C86" s="58" t="s">
        <v>477</v>
      </c>
      <c r="D86" s="59" t="s">
        <v>478</v>
      </c>
      <c r="E86" s="60" t="b">
        <v>1</v>
      </c>
      <c r="F86" s="61" t="s">
        <v>167</v>
      </c>
      <c r="G86" s="61"/>
      <c r="H86" s="61"/>
      <c r="I86" s="62"/>
      <c r="J86" s="61"/>
      <c r="K86" s="63" t="str">
        <f>HYPERLINK("http://nsgreg.nga.mil/genc/view?v=861926&amp;end_month=12&amp;end_day=31&amp;end_year=2016","Correlation")</f>
        <v>Correlation</v>
      </c>
    </row>
    <row r="87" spans="1:11" x14ac:dyDescent="0.2">
      <c r="A87" s="57" t="s">
        <v>479</v>
      </c>
      <c r="B87" s="58" t="s">
        <v>480</v>
      </c>
      <c r="C87" s="58" t="s">
        <v>481</v>
      </c>
      <c r="D87" s="59" t="s">
        <v>482</v>
      </c>
      <c r="E87" s="60" t="b">
        <v>1</v>
      </c>
      <c r="F87" s="58" t="s">
        <v>334</v>
      </c>
      <c r="G87" s="64" t="s">
        <v>335</v>
      </c>
      <c r="H87" s="64" t="s">
        <v>336</v>
      </c>
      <c r="I87" s="65" t="s">
        <v>337</v>
      </c>
      <c r="J87" s="66"/>
      <c r="K87" s="63" t="str">
        <f>HYPERLINK("http://nsgreg.nga.mil/genc/view?v=861927&amp;end_month=12&amp;end_day=31&amp;end_year=2016","Correlation")</f>
        <v>Correlation</v>
      </c>
    </row>
    <row r="88" spans="1:11" x14ac:dyDescent="0.2">
      <c r="A88" s="57" t="s">
        <v>483</v>
      </c>
      <c r="B88" s="58" t="s">
        <v>484</v>
      </c>
      <c r="C88" s="58" t="s">
        <v>485</v>
      </c>
      <c r="D88" s="59" t="s">
        <v>486</v>
      </c>
      <c r="E88" s="60" t="b">
        <v>1</v>
      </c>
      <c r="F88" s="58" t="s">
        <v>483</v>
      </c>
      <c r="G88" s="64" t="s">
        <v>484</v>
      </c>
      <c r="H88" s="64" t="s">
        <v>485</v>
      </c>
      <c r="I88" s="65" t="s">
        <v>486</v>
      </c>
      <c r="J88" s="66"/>
      <c r="K88" s="63" t="str">
        <f>HYPERLINK("http://nsgreg.nga.mil/genc/view?v=861928&amp;end_month=12&amp;end_day=31&amp;end_year=2016","Correlation")</f>
        <v>Correlation</v>
      </c>
    </row>
    <row r="89" spans="1:11" x14ac:dyDescent="0.2">
      <c r="A89" s="57" t="s">
        <v>487</v>
      </c>
      <c r="B89" s="58" t="s">
        <v>488</v>
      </c>
      <c r="C89" s="58" t="s">
        <v>489</v>
      </c>
      <c r="D89" s="59" t="s">
        <v>490</v>
      </c>
      <c r="E89" s="60" t="b">
        <v>1</v>
      </c>
      <c r="F89" s="58" t="s">
        <v>487</v>
      </c>
      <c r="G89" s="64" t="s">
        <v>488</v>
      </c>
      <c r="H89" s="64" t="s">
        <v>489</v>
      </c>
      <c r="I89" s="65" t="s">
        <v>490</v>
      </c>
      <c r="J89" s="66"/>
      <c r="K89" s="63" t="str">
        <f>HYPERLINK("http://nsgreg.nga.mil/genc/view?v=861929&amp;end_month=12&amp;end_day=31&amp;end_year=2016","Correlation")</f>
        <v>Correlation</v>
      </c>
    </row>
    <row r="90" spans="1:11" x14ac:dyDescent="0.2">
      <c r="A90" s="57" t="s">
        <v>491</v>
      </c>
      <c r="B90" s="58" t="s">
        <v>492</v>
      </c>
      <c r="C90" s="58" t="s">
        <v>493</v>
      </c>
      <c r="D90" s="59" t="s">
        <v>494</v>
      </c>
      <c r="E90" s="60" t="b">
        <v>1</v>
      </c>
      <c r="F90" s="58" t="s">
        <v>491</v>
      </c>
      <c r="G90" s="64" t="s">
        <v>492</v>
      </c>
      <c r="H90" s="64" t="s">
        <v>493</v>
      </c>
      <c r="I90" s="65" t="s">
        <v>494</v>
      </c>
      <c r="J90" s="66"/>
      <c r="K90" s="63" t="str">
        <f>HYPERLINK("http://nsgreg.nga.mil/genc/view?v=861930&amp;end_month=12&amp;end_day=31&amp;end_year=2016","Correlation")</f>
        <v>Correlation</v>
      </c>
    </row>
    <row r="91" spans="1:11" x14ac:dyDescent="0.2">
      <c r="A91" s="57" t="s">
        <v>495</v>
      </c>
      <c r="B91" s="58" t="s">
        <v>496</v>
      </c>
      <c r="C91" s="58" t="s">
        <v>497</v>
      </c>
      <c r="D91" s="59" t="s">
        <v>498</v>
      </c>
      <c r="E91" s="60" t="b">
        <v>1</v>
      </c>
      <c r="F91" s="58" t="s">
        <v>495</v>
      </c>
      <c r="G91" s="64" t="s">
        <v>496</v>
      </c>
      <c r="H91" s="64" t="s">
        <v>497</v>
      </c>
      <c r="I91" s="65" t="s">
        <v>498</v>
      </c>
      <c r="J91" s="66"/>
      <c r="K91" s="63" t="str">
        <f>HYPERLINK("http://nsgreg.nga.mil/genc/view?v=861931&amp;end_month=12&amp;end_day=31&amp;end_year=2016","Correlation")</f>
        <v>Correlation</v>
      </c>
    </row>
    <row r="92" spans="1:11" x14ac:dyDescent="0.2">
      <c r="A92" s="57" t="s">
        <v>499</v>
      </c>
      <c r="B92" s="58" t="s">
        <v>500</v>
      </c>
      <c r="C92" s="58" t="s">
        <v>501</v>
      </c>
      <c r="D92" s="59" t="s">
        <v>502</v>
      </c>
      <c r="E92" s="60" t="b">
        <v>1</v>
      </c>
      <c r="F92" s="58" t="s">
        <v>499</v>
      </c>
      <c r="G92" s="64" t="s">
        <v>500</v>
      </c>
      <c r="H92" s="64" t="s">
        <v>501</v>
      </c>
      <c r="I92" s="65" t="s">
        <v>502</v>
      </c>
      <c r="J92" s="66"/>
      <c r="K92" s="63" t="str">
        <f>HYPERLINK("http://nsgreg.nga.mil/genc/view?v=861932&amp;end_month=12&amp;end_day=31&amp;end_year=2016","Correlation")</f>
        <v>Correlation</v>
      </c>
    </row>
    <row r="93" spans="1:11" x14ac:dyDescent="0.2">
      <c r="A93" s="57" t="s">
        <v>503</v>
      </c>
      <c r="B93" s="58" t="s">
        <v>504</v>
      </c>
      <c r="C93" s="58" t="s">
        <v>505</v>
      </c>
      <c r="D93" s="59" t="s">
        <v>506</v>
      </c>
      <c r="E93" s="60" t="b">
        <v>1</v>
      </c>
      <c r="F93" s="58" t="s">
        <v>503</v>
      </c>
      <c r="G93" s="64" t="s">
        <v>504</v>
      </c>
      <c r="H93" s="64" t="s">
        <v>505</v>
      </c>
      <c r="I93" s="65" t="s">
        <v>506</v>
      </c>
      <c r="J93" s="66"/>
      <c r="K93" s="63" t="str">
        <f>HYPERLINK("http://nsgreg.nga.mil/genc/view?v=861933&amp;end_month=12&amp;end_day=31&amp;end_year=2016","Correlation")</f>
        <v>Correlation</v>
      </c>
    </row>
    <row r="94" spans="1:11" x14ac:dyDescent="0.2">
      <c r="A94" s="57" t="s">
        <v>507</v>
      </c>
      <c r="B94" s="58" t="s">
        <v>508</v>
      </c>
      <c r="C94" s="69" t="s">
        <v>509</v>
      </c>
      <c r="D94" s="59" t="s">
        <v>510</v>
      </c>
      <c r="E94" s="60" t="b">
        <v>1</v>
      </c>
      <c r="F94" s="61" t="s">
        <v>167</v>
      </c>
      <c r="G94" s="61"/>
      <c r="H94" s="61"/>
      <c r="I94" s="62"/>
      <c r="J94" s="61"/>
      <c r="K94" s="63" t="str">
        <f>HYPERLINK("http://nsgreg.nga.mil/genc/view?v=861934&amp;end_month=12&amp;end_day=31&amp;end_year=2016","Correlation")</f>
        <v>Correlation</v>
      </c>
    </row>
    <row r="95" spans="1:11" x14ac:dyDescent="0.2">
      <c r="A95" s="57" t="s">
        <v>511</v>
      </c>
      <c r="B95" s="58" t="s">
        <v>512</v>
      </c>
      <c r="C95" s="69" t="s">
        <v>509</v>
      </c>
      <c r="D95" s="59" t="s">
        <v>513</v>
      </c>
      <c r="E95" s="60" t="b">
        <v>1</v>
      </c>
      <c r="F95" s="61" t="s">
        <v>167</v>
      </c>
      <c r="G95" s="61"/>
      <c r="H95" s="61"/>
      <c r="I95" s="62"/>
      <c r="J95" s="61"/>
      <c r="K95" s="63" t="str">
        <f>HYPERLINK("http://nsgreg.nga.mil/genc/view?v=861935&amp;end_month=12&amp;end_day=31&amp;end_year=2016","Correlation")</f>
        <v>Correlation</v>
      </c>
    </row>
    <row r="96" spans="1:11" x14ac:dyDescent="0.2">
      <c r="A96" s="57" t="s">
        <v>514</v>
      </c>
      <c r="B96" s="58" t="s">
        <v>515</v>
      </c>
      <c r="C96" s="69" t="s">
        <v>509</v>
      </c>
      <c r="D96" s="59" t="s">
        <v>516</v>
      </c>
      <c r="E96" s="60" t="b">
        <v>1</v>
      </c>
      <c r="F96" s="61" t="s">
        <v>167</v>
      </c>
      <c r="G96" s="61"/>
      <c r="H96" s="61"/>
      <c r="I96" s="62"/>
      <c r="J96" s="61"/>
      <c r="K96" s="63" t="str">
        <f>HYPERLINK("http://nsgreg.nga.mil/genc/view?v=861936&amp;end_month=12&amp;end_day=31&amp;end_year=2016","Correlation")</f>
        <v>Correlation</v>
      </c>
    </row>
    <row r="97" spans="1:11" x14ac:dyDescent="0.2">
      <c r="A97" s="57" t="s">
        <v>517</v>
      </c>
      <c r="B97" s="58" t="s">
        <v>518</v>
      </c>
      <c r="C97" s="69" t="s">
        <v>509</v>
      </c>
      <c r="D97" s="59" t="s">
        <v>519</v>
      </c>
      <c r="E97" s="60" t="b">
        <v>1</v>
      </c>
      <c r="F97" s="61" t="s">
        <v>167</v>
      </c>
      <c r="G97" s="61"/>
      <c r="H97" s="61"/>
      <c r="I97" s="62"/>
      <c r="J97" s="61"/>
      <c r="K97" s="63" t="str">
        <f>HYPERLINK("http://nsgreg.nga.mil/genc/view?v=861937&amp;end_month=12&amp;end_day=31&amp;end_year=2016","Correlation")</f>
        <v>Correlation</v>
      </c>
    </row>
    <row r="98" spans="1:11" x14ac:dyDescent="0.2">
      <c r="A98" s="57" t="s">
        <v>520</v>
      </c>
      <c r="B98" s="58" t="s">
        <v>521</v>
      </c>
      <c r="C98" s="69" t="s">
        <v>509</v>
      </c>
      <c r="D98" s="59" t="s">
        <v>522</v>
      </c>
      <c r="E98" s="60" t="b">
        <v>1</v>
      </c>
      <c r="F98" s="61" t="s">
        <v>167</v>
      </c>
      <c r="G98" s="61"/>
      <c r="H98" s="61"/>
      <c r="I98" s="62"/>
      <c r="J98" s="61"/>
      <c r="K98" s="63" t="str">
        <f>HYPERLINK("http://nsgreg.nga.mil/genc/view?v=861938&amp;end_month=12&amp;end_day=31&amp;end_year=2016","Correlation")</f>
        <v>Correlation</v>
      </c>
    </row>
    <row r="99" spans="1:11" x14ac:dyDescent="0.2">
      <c r="A99" s="57" t="s">
        <v>523</v>
      </c>
      <c r="B99" s="58" t="s">
        <v>524</v>
      </c>
      <c r="C99" s="58" t="s">
        <v>525</v>
      </c>
      <c r="D99" s="59" t="s">
        <v>526</v>
      </c>
      <c r="E99" s="60" t="b">
        <v>1</v>
      </c>
      <c r="F99" s="61" t="s">
        <v>167</v>
      </c>
      <c r="G99" s="61"/>
      <c r="H99" s="61"/>
      <c r="I99" s="62"/>
      <c r="J99" s="61"/>
      <c r="K99" s="63" t="str">
        <f>HYPERLINK("http://nsgreg.nga.mil/genc/view?v=861939&amp;end_month=12&amp;end_day=31&amp;end_year=2016","Correlation")</f>
        <v>Correlation</v>
      </c>
    </row>
    <row r="100" spans="1:11" x14ac:dyDescent="0.2">
      <c r="A100" s="57" t="s">
        <v>527</v>
      </c>
      <c r="B100" s="58" t="s">
        <v>528</v>
      </c>
      <c r="C100" s="58" t="s">
        <v>529</v>
      </c>
      <c r="D100" s="59" t="s">
        <v>530</v>
      </c>
      <c r="E100" s="60" t="b">
        <v>1</v>
      </c>
      <c r="F100" s="58" t="s">
        <v>527</v>
      </c>
      <c r="G100" s="64" t="s">
        <v>528</v>
      </c>
      <c r="H100" s="64" t="s">
        <v>529</v>
      </c>
      <c r="I100" s="65" t="s">
        <v>530</v>
      </c>
      <c r="J100" s="66"/>
      <c r="K100" s="63" t="str">
        <f>HYPERLINK("http://nsgreg.nga.mil/genc/view?v=861940&amp;end_month=12&amp;end_day=31&amp;end_year=2016","Correlation")</f>
        <v>Correlation</v>
      </c>
    </row>
    <row r="101" spans="1:11" x14ac:dyDescent="0.2">
      <c r="A101" s="57" t="s">
        <v>531</v>
      </c>
      <c r="B101" s="58" t="s">
        <v>532</v>
      </c>
      <c r="C101" s="58" t="s">
        <v>533</v>
      </c>
      <c r="D101" s="59" t="s">
        <v>534</v>
      </c>
      <c r="E101" s="60" t="b">
        <v>1</v>
      </c>
      <c r="F101" s="58" t="s">
        <v>531</v>
      </c>
      <c r="G101" s="64" t="s">
        <v>532</v>
      </c>
      <c r="H101" s="64" t="s">
        <v>533</v>
      </c>
      <c r="I101" s="65" t="s">
        <v>534</v>
      </c>
      <c r="J101" s="66"/>
      <c r="K101" s="63" t="str">
        <f>HYPERLINK("http://nsgreg.nga.mil/genc/view?v=861941&amp;end_month=12&amp;end_day=31&amp;end_year=2016","Correlation")</f>
        <v>Correlation</v>
      </c>
    </row>
    <row r="102" spans="1:11" x14ac:dyDescent="0.2">
      <c r="A102" s="57" t="s">
        <v>535</v>
      </c>
      <c r="B102" s="58" t="s">
        <v>536</v>
      </c>
      <c r="C102" s="58" t="s">
        <v>537</v>
      </c>
      <c r="D102" s="59" t="s">
        <v>538</v>
      </c>
      <c r="E102" s="60" t="b">
        <v>1</v>
      </c>
      <c r="F102" s="58" t="s">
        <v>535</v>
      </c>
      <c r="G102" s="64" t="s">
        <v>536</v>
      </c>
      <c r="H102" s="64" t="s">
        <v>537</v>
      </c>
      <c r="I102" s="65" t="s">
        <v>538</v>
      </c>
      <c r="J102" s="66"/>
      <c r="K102" s="63" t="str">
        <f>HYPERLINK("http://nsgreg.nga.mil/genc/view?v=861942&amp;end_month=12&amp;end_day=31&amp;end_year=2016","Correlation")</f>
        <v>Correlation</v>
      </c>
    </row>
    <row r="103" spans="1:11" x14ac:dyDescent="0.2">
      <c r="A103" s="57" t="s">
        <v>539</v>
      </c>
      <c r="B103" s="58" t="s">
        <v>540</v>
      </c>
      <c r="C103" s="58" t="s">
        <v>541</v>
      </c>
      <c r="D103" s="59" t="s">
        <v>542</v>
      </c>
      <c r="E103" s="60" t="b">
        <v>1</v>
      </c>
      <c r="F103" s="58" t="s">
        <v>539</v>
      </c>
      <c r="G103" s="64" t="s">
        <v>540</v>
      </c>
      <c r="H103" s="64" t="s">
        <v>541</v>
      </c>
      <c r="I103" s="65" t="s">
        <v>542</v>
      </c>
      <c r="J103" s="66"/>
      <c r="K103" s="63" t="str">
        <f>HYPERLINK("http://nsgreg.nga.mil/genc/view?v=861943&amp;end_month=12&amp;end_day=31&amp;end_year=2016","Correlation")</f>
        <v>Correlation</v>
      </c>
    </row>
    <row r="104" spans="1:11" x14ac:dyDescent="0.2">
      <c r="A104" s="99" t="s">
        <v>543</v>
      </c>
      <c r="B104" s="100" t="s">
        <v>544</v>
      </c>
      <c r="C104" s="100" t="s">
        <v>545</v>
      </c>
      <c r="D104" s="101" t="s">
        <v>546</v>
      </c>
      <c r="E104" s="60" t="b">
        <v>1</v>
      </c>
      <c r="F104" s="58" t="s">
        <v>265</v>
      </c>
      <c r="G104" s="64" t="s">
        <v>266</v>
      </c>
      <c r="H104" s="64" t="s">
        <v>267</v>
      </c>
      <c r="I104" s="65" t="s">
        <v>268</v>
      </c>
      <c r="J104" s="66"/>
      <c r="K104" s="63" t="str">
        <f>HYPERLINK("http://nsgreg.nga.mil/genc/view?v=861944&amp;end_month=12&amp;end_day=31&amp;end_year=2016","Correlation")</f>
        <v>Correlation</v>
      </c>
    </row>
    <row r="105" spans="1:11" x14ac:dyDescent="0.2">
      <c r="A105" s="99"/>
      <c r="B105" s="100"/>
      <c r="C105" s="100"/>
      <c r="D105" s="101"/>
      <c r="E105" s="67" t="b">
        <v>0</v>
      </c>
      <c r="F105" s="58" t="s">
        <v>269</v>
      </c>
      <c r="G105" s="66"/>
      <c r="H105" s="66"/>
      <c r="I105" s="68"/>
      <c r="J105" s="64" t="s">
        <v>270</v>
      </c>
      <c r="K105" s="63" t="str">
        <f>HYPERLINK("http://nsgreg.nga.mil/genc/view?v=861945&amp;end_month=12&amp;end_day=31&amp;end_year=2016","Correlation")</f>
        <v>Correlation</v>
      </c>
    </row>
    <row r="106" spans="1:11" x14ac:dyDescent="0.2">
      <c r="A106" s="57" t="s">
        <v>547</v>
      </c>
      <c r="B106" s="58" t="s">
        <v>548</v>
      </c>
      <c r="C106" s="58" t="s">
        <v>549</v>
      </c>
      <c r="D106" s="59" t="s">
        <v>550</v>
      </c>
      <c r="E106" s="60" t="b">
        <v>1</v>
      </c>
      <c r="F106" s="58" t="s">
        <v>551</v>
      </c>
      <c r="G106" s="64" t="s">
        <v>548</v>
      </c>
      <c r="H106" s="64" t="s">
        <v>549</v>
      </c>
      <c r="I106" s="65" t="s">
        <v>550</v>
      </c>
      <c r="J106" s="66"/>
      <c r="K106" s="63" t="str">
        <f>HYPERLINK("http://nsgreg.nga.mil/genc/view?v=861946&amp;end_month=12&amp;end_day=31&amp;end_year=2016","Correlation")</f>
        <v>Correlation</v>
      </c>
    </row>
    <row r="107" spans="1:11" x14ac:dyDescent="0.2">
      <c r="A107" s="57" t="s">
        <v>552</v>
      </c>
      <c r="B107" s="58" t="s">
        <v>553</v>
      </c>
      <c r="C107" s="58" t="s">
        <v>554</v>
      </c>
      <c r="D107" s="59" t="s">
        <v>555</v>
      </c>
      <c r="E107" s="60" t="b">
        <v>1</v>
      </c>
      <c r="F107" s="58" t="s">
        <v>552</v>
      </c>
      <c r="G107" s="64" t="s">
        <v>553</v>
      </c>
      <c r="H107" s="64" t="s">
        <v>554</v>
      </c>
      <c r="I107" s="65" t="s">
        <v>555</v>
      </c>
      <c r="J107" s="66"/>
      <c r="K107" s="63" t="str">
        <f>HYPERLINK("http://nsgreg.nga.mil/genc/view?v=861947&amp;end_month=12&amp;end_day=31&amp;end_year=2016","Correlation")</f>
        <v>Correlation</v>
      </c>
    </row>
    <row r="108" spans="1:11" x14ac:dyDescent="0.2">
      <c r="A108" s="57" t="s">
        <v>556</v>
      </c>
      <c r="B108" s="58" t="s">
        <v>557</v>
      </c>
      <c r="C108" s="58" t="s">
        <v>558</v>
      </c>
      <c r="D108" s="59" t="s">
        <v>559</v>
      </c>
      <c r="E108" s="60" t="b">
        <v>1</v>
      </c>
      <c r="F108" s="58" t="s">
        <v>556</v>
      </c>
      <c r="G108" s="64" t="s">
        <v>557</v>
      </c>
      <c r="H108" s="64" t="s">
        <v>558</v>
      </c>
      <c r="I108" s="65" t="s">
        <v>559</v>
      </c>
      <c r="J108" s="66"/>
      <c r="K108" s="63" t="str">
        <f>HYPERLINK("http://nsgreg.nga.mil/genc/view?v=861948&amp;end_month=12&amp;end_day=31&amp;end_year=2016","Correlation")</f>
        <v>Correlation</v>
      </c>
    </row>
    <row r="109" spans="1:11" x14ac:dyDescent="0.2">
      <c r="A109" s="99" t="s">
        <v>560</v>
      </c>
      <c r="B109" s="100" t="s">
        <v>561</v>
      </c>
      <c r="C109" s="100" t="s">
        <v>562</v>
      </c>
      <c r="D109" s="101" t="s">
        <v>563</v>
      </c>
      <c r="E109" s="60" t="b">
        <v>1</v>
      </c>
      <c r="F109" s="58" t="s">
        <v>560</v>
      </c>
      <c r="G109" s="64" t="s">
        <v>561</v>
      </c>
      <c r="H109" s="64" t="s">
        <v>562</v>
      </c>
      <c r="I109" s="65" t="s">
        <v>563</v>
      </c>
      <c r="J109" s="66"/>
      <c r="K109" s="63" t="str">
        <f>HYPERLINK("http://nsgreg.nga.mil/genc/view?v=861949&amp;end_month=12&amp;end_day=31&amp;end_year=2016","Correlation")</f>
        <v>Correlation</v>
      </c>
    </row>
    <row r="110" spans="1:11" x14ac:dyDescent="0.2">
      <c r="A110" s="99"/>
      <c r="B110" s="100"/>
      <c r="C110" s="100"/>
      <c r="D110" s="101"/>
      <c r="E110" s="67" t="b">
        <v>0</v>
      </c>
      <c r="F110" s="58" t="s">
        <v>564</v>
      </c>
      <c r="G110" s="64" t="s">
        <v>565</v>
      </c>
      <c r="H110" s="64" t="s">
        <v>566</v>
      </c>
      <c r="I110" s="65" t="s">
        <v>567</v>
      </c>
      <c r="J110" s="66"/>
      <c r="K110" s="63" t="str">
        <f>HYPERLINK("http://nsgreg.nga.mil/genc/view?v=861950&amp;end_month=12&amp;end_day=31&amp;end_year=2016","Correlation")</f>
        <v>Correlation</v>
      </c>
    </row>
    <row r="111" spans="1:11" x14ac:dyDescent="0.2">
      <c r="A111" s="57" t="s">
        <v>404</v>
      </c>
      <c r="B111" s="58" t="s">
        <v>405</v>
      </c>
      <c r="C111" s="58" t="s">
        <v>406</v>
      </c>
      <c r="D111" s="59" t="s">
        <v>407</v>
      </c>
      <c r="E111" s="60" t="b">
        <v>1</v>
      </c>
      <c r="F111" s="58" t="s">
        <v>404</v>
      </c>
      <c r="G111" s="64" t="s">
        <v>405</v>
      </c>
      <c r="H111" s="64" t="s">
        <v>406</v>
      </c>
      <c r="I111" s="65" t="s">
        <v>407</v>
      </c>
      <c r="J111" s="66"/>
      <c r="K111" s="63" t="str">
        <f>HYPERLINK("http://nsgreg.nga.mil/genc/view?v=861951&amp;end_month=12&amp;end_day=31&amp;end_year=2016","Correlation")</f>
        <v>Correlation</v>
      </c>
    </row>
    <row r="112" spans="1:11" x14ac:dyDescent="0.2">
      <c r="A112" s="99" t="s">
        <v>568</v>
      </c>
      <c r="B112" s="100" t="s">
        <v>569</v>
      </c>
      <c r="C112" s="100" t="s">
        <v>570</v>
      </c>
      <c r="D112" s="101" t="s">
        <v>571</v>
      </c>
      <c r="E112" s="60" t="b">
        <v>1</v>
      </c>
      <c r="F112" s="58" t="s">
        <v>568</v>
      </c>
      <c r="G112" s="64" t="s">
        <v>569</v>
      </c>
      <c r="H112" s="64" t="s">
        <v>570</v>
      </c>
      <c r="I112" s="65" t="s">
        <v>571</v>
      </c>
      <c r="J112" s="66"/>
      <c r="K112" s="63" t="str">
        <f>HYPERLINK("http://nsgreg.nga.mil/genc/view?v=861952&amp;end_month=12&amp;end_day=31&amp;end_year=2016","Correlation")</f>
        <v>Correlation</v>
      </c>
    </row>
    <row r="113" spans="1:11" x14ac:dyDescent="0.2">
      <c r="A113" s="99"/>
      <c r="B113" s="100"/>
      <c r="C113" s="100"/>
      <c r="D113" s="101"/>
      <c r="E113" s="67" t="b">
        <v>0</v>
      </c>
      <c r="F113" s="58" t="s">
        <v>572</v>
      </c>
      <c r="G113" s="66"/>
      <c r="H113" s="66"/>
      <c r="I113" s="68"/>
      <c r="J113" s="64" t="s">
        <v>573</v>
      </c>
      <c r="K113" s="63" t="str">
        <f>HYPERLINK("http://nsgreg.nga.mil/genc/view?v=861953&amp;end_month=12&amp;end_day=31&amp;end_year=2016","Correlation")</f>
        <v>Correlation</v>
      </c>
    </row>
    <row r="114" spans="1:11" x14ac:dyDescent="0.2">
      <c r="A114" s="99" t="s">
        <v>574</v>
      </c>
      <c r="B114" s="100" t="s">
        <v>575</v>
      </c>
      <c r="C114" s="100" t="s">
        <v>576</v>
      </c>
      <c r="D114" s="101" t="s">
        <v>577</v>
      </c>
      <c r="E114" s="60" t="b">
        <v>1</v>
      </c>
      <c r="F114" s="58" t="s">
        <v>574</v>
      </c>
      <c r="G114" s="64" t="s">
        <v>575</v>
      </c>
      <c r="H114" s="64" t="s">
        <v>576</v>
      </c>
      <c r="I114" s="65" t="s">
        <v>577</v>
      </c>
      <c r="J114" s="66"/>
      <c r="K114" s="63" t="str">
        <f>HYPERLINK("http://nsgreg.nga.mil/genc/view?v=861954&amp;end_month=12&amp;end_day=31&amp;end_year=2016","Correlation")</f>
        <v>Correlation</v>
      </c>
    </row>
    <row r="115" spans="1:11" x14ac:dyDescent="0.2">
      <c r="A115" s="99"/>
      <c r="B115" s="100"/>
      <c r="C115" s="100"/>
      <c r="D115" s="101"/>
      <c r="E115" s="67" t="b">
        <v>0</v>
      </c>
      <c r="F115" s="58" t="s">
        <v>578</v>
      </c>
      <c r="G115" s="66"/>
      <c r="H115" s="66"/>
      <c r="I115" s="68"/>
      <c r="J115" s="64" t="s">
        <v>579</v>
      </c>
      <c r="K115" s="63" t="str">
        <f>HYPERLINK("http://nsgreg.nga.mil/genc/view?v=861955&amp;end_month=12&amp;end_day=31&amp;end_year=2016","Correlation")</f>
        <v>Correlation</v>
      </c>
    </row>
    <row r="116" spans="1:11" x14ac:dyDescent="0.2">
      <c r="A116" s="99" t="s">
        <v>580</v>
      </c>
      <c r="B116" s="100" t="s">
        <v>266</v>
      </c>
      <c r="C116" s="100" t="s">
        <v>267</v>
      </c>
      <c r="D116" s="101" t="s">
        <v>268</v>
      </c>
      <c r="E116" s="60" t="b">
        <v>1</v>
      </c>
      <c r="F116" s="58" t="s">
        <v>265</v>
      </c>
      <c r="G116" s="64" t="s">
        <v>266</v>
      </c>
      <c r="H116" s="64" t="s">
        <v>267</v>
      </c>
      <c r="I116" s="65" t="s">
        <v>268</v>
      </c>
      <c r="J116" s="66"/>
      <c r="K116" s="63" t="str">
        <f>HYPERLINK("http://nsgreg.nga.mil/genc/view?v=861956&amp;end_month=12&amp;end_day=31&amp;end_year=2016","Correlation")</f>
        <v>Correlation</v>
      </c>
    </row>
    <row r="117" spans="1:11" x14ac:dyDescent="0.2">
      <c r="A117" s="99"/>
      <c r="B117" s="100"/>
      <c r="C117" s="100"/>
      <c r="D117" s="101"/>
      <c r="E117" s="67" t="b">
        <v>0</v>
      </c>
      <c r="F117" s="58" t="s">
        <v>269</v>
      </c>
      <c r="G117" s="66"/>
      <c r="H117" s="66"/>
      <c r="I117" s="68"/>
      <c r="J117" s="64" t="s">
        <v>270</v>
      </c>
      <c r="K117" s="63" t="str">
        <f>HYPERLINK("http://nsgreg.nga.mil/genc/view?v=861957&amp;end_month=12&amp;end_day=31&amp;end_year=2016","Correlation")</f>
        <v>Correlation</v>
      </c>
    </row>
    <row r="118" spans="1:11" x14ac:dyDescent="0.2">
      <c r="A118" s="57" t="s">
        <v>581</v>
      </c>
      <c r="B118" s="58" t="s">
        <v>582</v>
      </c>
      <c r="C118" s="58" t="s">
        <v>583</v>
      </c>
      <c r="D118" s="59" t="s">
        <v>584</v>
      </c>
      <c r="E118" s="60" t="b">
        <v>1</v>
      </c>
      <c r="F118" s="58" t="s">
        <v>581</v>
      </c>
      <c r="G118" s="64" t="s">
        <v>582</v>
      </c>
      <c r="H118" s="64" t="s">
        <v>583</v>
      </c>
      <c r="I118" s="65" t="s">
        <v>584</v>
      </c>
      <c r="J118" s="66"/>
      <c r="K118" s="63" t="str">
        <f>HYPERLINK("http://nsgreg.nga.mil/genc/view?v=861958&amp;end_month=12&amp;end_day=31&amp;end_year=2016","Correlation")</f>
        <v>Correlation</v>
      </c>
    </row>
    <row r="119" spans="1:11" x14ac:dyDescent="0.2">
      <c r="A119" s="57" t="s">
        <v>585</v>
      </c>
      <c r="B119" s="58" t="s">
        <v>586</v>
      </c>
      <c r="C119" s="58" t="s">
        <v>587</v>
      </c>
      <c r="D119" s="59" t="s">
        <v>588</v>
      </c>
      <c r="E119" s="60" t="b">
        <v>1</v>
      </c>
      <c r="F119" s="58" t="s">
        <v>589</v>
      </c>
      <c r="G119" s="64" t="s">
        <v>586</v>
      </c>
      <c r="H119" s="64" t="s">
        <v>587</v>
      </c>
      <c r="I119" s="65" t="s">
        <v>588</v>
      </c>
      <c r="J119" s="66"/>
      <c r="K119" s="63" t="str">
        <f>HYPERLINK("http://nsgreg.nga.mil/genc/view?v=861959&amp;end_month=12&amp;end_day=31&amp;end_year=2016","Correlation")</f>
        <v>Correlation</v>
      </c>
    </row>
    <row r="120" spans="1:11" x14ac:dyDescent="0.2">
      <c r="A120" s="57" t="s">
        <v>590</v>
      </c>
      <c r="B120" s="58" t="s">
        <v>591</v>
      </c>
      <c r="C120" s="58" t="s">
        <v>592</v>
      </c>
      <c r="D120" s="59" t="s">
        <v>593</v>
      </c>
      <c r="E120" s="60" t="b">
        <v>1</v>
      </c>
      <c r="F120" s="58" t="s">
        <v>594</v>
      </c>
      <c r="G120" s="64" t="s">
        <v>595</v>
      </c>
      <c r="H120" s="64" t="s">
        <v>596</v>
      </c>
      <c r="I120" s="65" t="s">
        <v>597</v>
      </c>
      <c r="J120" s="66"/>
      <c r="K120" s="63" t="str">
        <f>HYPERLINK("http://nsgreg.nga.mil/genc/view?v=861960&amp;end_month=12&amp;end_day=31&amp;end_year=2016","Correlation")</f>
        <v>Correlation</v>
      </c>
    </row>
    <row r="121" spans="1:11" x14ac:dyDescent="0.2">
      <c r="A121" s="57" t="s">
        <v>598</v>
      </c>
      <c r="B121" s="58" t="s">
        <v>599</v>
      </c>
      <c r="C121" s="58" t="s">
        <v>600</v>
      </c>
      <c r="D121" s="59" t="s">
        <v>601</v>
      </c>
      <c r="E121" s="60" t="b">
        <v>1</v>
      </c>
      <c r="F121" s="58" t="s">
        <v>598</v>
      </c>
      <c r="G121" s="64" t="s">
        <v>599</v>
      </c>
      <c r="H121" s="64" t="s">
        <v>600</v>
      </c>
      <c r="I121" s="65" t="s">
        <v>601</v>
      </c>
      <c r="J121" s="66"/>
      <c r="K121" s="63" t="str">
        <f>HYPERLINK("http://nsgreg.nga.mil/genc/view?v=861961&amp;end_month=12&amp;end_day=31&amp;end_year=2016","Correlation")</f>
        <v>Correlation</v>
      </c>
    </row>
    <row r="122" spans="1:11" x14ac:dyDescent="0.2">
      <c r="A122" s="57" t="s">
        <v>602</v>
      </c>
      <c r="B122" s="58" t="s">
        <v>603</v>
      </c>
      <c r="C122" s="58" t="s">
        <v>604</v>
      </c>
      <c r="D122" s="59" t="s">
        <v>605</v>
      </c>
      <c r="E122" s="60" t="b">
        <v>1</v>
      </c>
      <c r="F122" s="58" t="s">
        <v>602</v>
      </c>
      <c r="G122" s="64" t="s">
        <v>603</v>
      </c>
      <c r="H122" s="64" t="s">
        <v>604</v>
      </c>
      <c r="I122" s="65" t="s">
        <v>605</v>
      </c>
      <c r="J122" s="66"/>
      <c r="K122" s="63" t="str">
        <f>HYPERLINK("http://nsgreg.nga.mil/genc/view?v=861962&amp;end_month=12&amp;end_day=31&amp;end_year=2016","Correlation")</f>
        <v>Correlation</v>
      </c>
    </row>
    <row r="123" spans="1:11" x14ac:dyDescent="0.2">
      <c r="A123" s="57" t="s">
        <v>606</v>
      </c>
      <c r="B123" s="58" t="s">
        <v>607</v>
      </c>
      <c r="C123" s="58" t="s">
        <v>608</v>
      </c>
      <c r="D123" s="59" t="s">
        <v>609</v>
      </c>
      <c r="E123" s="60" t="b">
        <v>1</v>
      </c>
      <c r="F123" s="58" t="s">
        <v>606</v>
      </c>
      <c r="G123" s="64" t="s">
        <v>607</v>
      </c>
      <c r="H123" s="64" t="s">
        <v>608</v>
      </c>
      <c r="I123" s="65" t="s">
        <v>609</v>
      </c>
      <c r="J123" s="66"/>
      <c r="K123" s="63" t="str">
        <f>HYPERLINK("http://nsgreg.nga.mil/genc/view?v=861963&amp;end_month=12&amp;end_day=31&amp;end_year=2016","Correlation")</f>
        <v>Correlation</v>
      </c>
    </row>
    <row r="124" spans="1:11" x14ac:dyDescent="0.2">
      <c r="A124" s="57" t="s">
        <v>610</v>
      </c>
      <c r="B124" s="58" t="s">
        <v>611</v>
      </c>
      <c r="C124" s="58" t="s">
        <v>612</v>
      </c>
      <c r="D124" s="59" t="s">
        <v>613</v>
      </c>
      <c r="E124" s="60" t="b">
        <v>1</v>
      </c>
      <c r="F124" s="58" t="s">
        <v>610</v>
      </c>
      <c r="G124" s="64" t="s">
        <v>611</v>
      </c>
      <c r="H124" s="64" t="s">
        <v>612</v>
      </c>
      <c r="I124" s="65" t="s">
        <v>613</v>
      </c>
      <c r="J124" s="66"/>
      <c r="K124" s="63" t="str">
        <f>HYPERLINK("http://nsgreg.nga.mil/genc/view?v=861964&amp;end_month=12&amp;end_day=31&amp;end_year=2016","Correlation")</f>
        <v>Correlation</v>
      </c>
    </row>
    <row r="125" spans="1:11" x14ac:dyDescent="0.2">
      <c r="A125" s="99" t="s">
        <v>614</v>
      </c>
      <c r="B125" s="100" t="s">
        <v>615</v>
      </c>
      <c r="C125" s="100" t="s">
        <v>616</v>
      </c>
      <c r="D125" s="101" t="s">
        <v>617</v>
      </c>
      <c r="E125" s="60" t="b">
        <v>1</v>
      </c>
      <c r="F125" s="58" t="s">
        <v>265</v>
      </c>
      <c r="G125" s="64" t="s">
        <v>266</v>
      </c>
      <c r="H125" s="64" t="s">
        <v>267</v>
      </c>
      <c r="I125" s="65" t="s">
        <v>268</v>
      </c>
      <c r="J125" s="66"/>
      <c r="K125" s="63" t="str">
        <f>HYPERLINK("http://nsgreg.nga.mil/genc/view?v=861965&amp;end_month=12&amp;end_day=31&amp;end_year=2016","Correlation")</f>
        <v>Correlation</v>
      </c>
    </row>
    <row r="126" spans="1:11" x14ac:dyDescent="0.2">
      <c r="A126" s="99"/>
      <c r="B126" s="100"/>
      <c r="C126" s="100"/>
      <c r="D126" s="101"/>
      <c r="E126" s="67" t="b">
        <v>0</v>
      </c>
      <c r="F126" s="58" t="s">
        <v>269</v>
      </c>
      <c r="G126" s="66"/>
      <c r="H126" s="66"/>
      <c r="I126" s="68"/>
      <c r="J126" s="64" t="s">
        <v>270</v>
      </c>
      <c r="K126" s="63" t="str">
        <f>HYPERLINK("http://nsgreg.nga.mil/genc/view?v=861966&amp;end_month=12&amp;end_day=31&amp;end_year=2016","Correlation")</f>
        <v>Correlation</v>
      </c>
    </row>
    <row r="127" spans="1:11" x14ac:dyDescent="0.2">
      <c r="A127" s="57" t="s">
        <v>618</v>
      </c>
      <c r="B127" s="58" t="s">
        <v>619</v>
      </c>
      <c r="C127" s="58" t="s">
        <v>620</v>
      </c>
      <c r="D127" s="59" t="s">
        <v>621</v>
      </c>
      <c r="E127" s="60" t="b">
        <v>1</v>
      </c>
      <c r="F127" s="58" t="s">
        <v>618</v>
      </c>
      <c r="G127" s="64" t="s">
        <v>619</v>
      </c>
      <c r="H127" s="64" t="s">
        <v>620</v>
      </c>
      <c r="I127" s="65" t="s">
        <v>621</v>
      </c>
      <c r="J127" s="66"/>
      <c r="K127" s="63" t="str">
        <f>HYPERLINK("http://nsgreg.nga.mil/genc/view?v=861967&amp;end_month=12&amp;end_day=31&amp;end_year=2016","Correlation")</f>
        <v>Correlation</v>
      </c>
    </row>
    <row r="128" spans="1:11" x14ac:dyDescent="0.2">
      <c r="A128" s="57" t="s">
        <v>622</v>
      </c>
      <c r="B128" s="58" t="s">
        <v>623</v>
      </c>
      <c r="C128" s="58" t="s">
        <v>624</v>
      </c>
      <c r="D128" s="59" t="s">
        <v>625</v>
      </c>
      <c r="E128" s="60" t="b">
        <v>1</v>
      </c>
      <c r="F128" s="58" t="s">
        <v>622</v>
      </c>
      <c r="G128" s="64" t="s">
        <v>623</v>
      </c>
      <c r="H128" s="64" t="s">
        <v>624</v>
      </c>
      <c r="I128" s="65" t="s">
        <v>625</v>
      </c>
      <c r="J128" s="66"/>
      <c r="K128" s="63" t="str">
        <f>HYPERLINK("http://nsgreg.nga.mil/genc/view?v=861968&amp;end_month=12&amp;end_day=31&amp;end_year=2016","Correlation")</f>
        <v>Correlation</v>
      </c>
    </row>
    <row r="129" spans="1:11" x14ac:dyDescent="0.2">
      <c r="A129" s="57" t="s">
        <v>626</v>
      </c>
      <c r="B129" s="58" t="s">
        <v>627</v>
      </c>
      <c r="C129" s="58" t="s">
        <v>628</v>
      </c>
      <c r="D129" s="59" t="s">
        <v>629</v>
      </c>
      <c r="E129" s="60" t="b">
        <v>1</v>
      </c>
      <c r="F129" s="58" t="s">
        <v>626</v>
      </c>
      <c r="G129" s="64" t="s">
        <v>627</v>
      </c>
      <c r="H129" s="64" t="s">
        <v>628</v>
      </c>
      <c r="I129" s="65" t="s">
        <v>629</v>
      </c>
      <c r="J129" s="66"/>
      <c r="K129" s="63" t="str">
        <f>HYPERLINK("http://nsgreg.nga.mil/genc/view?v=861969&amp;end_month=12&amp;end_day=31&amp;end_year=2016","Correlation")</f>
        <v>Correlation</v>
      </c>
    </row>
    <row r="130" spans="1:11" x14ac:dyDescent="0.2">
      <c r="A130" s="99" t="s">
        <v>630</v>
      </c>
      <c r="B130" s="100" t="s">
        <v>631</v>
      </c>
      <c r="C130" s="100" t="s">
        <v>632</v>
      </c>
      <c r="D130" s="101" t="s">
        <v>633</v>
      </c>
      <c r="E130" s="60" t="b">
        <v>1</v>
      </c>
      <c r="F130" s="58" t="s">
        <v>630</v>
      </c>
      <c r="G130" s="64" t="s">
        <v>631</v>
      </c>
      <c r="H130" s="64" t="s">
        <v>632</v>
      </c>
      <c r="I130" s="65" t="s">
        <v>633</v>
      </c>
      <c r="J130" s="66"/>
      <c r="K130" s="63" t="str">
        <f>HYPERLINK("http://nsgreg.nga.mil/genc/view?v=861970&amp;end_month=12&amp;end_day=31&amp;end_year=2016","Correlation")</f>
        <v>Correlation</v>
      </c>
    </row>
    <row r="131" spans="1:11" x14ac:dyDescent="0.2">
      <c r="A131" s="99"/>
      <c r="B131" s="100"/>
      <c r="C131" s="100"/>
      <c r="D131" s="101"/>
      <c r="E131" s="67" t="b">
        <v>0</v>
      </c>
      <c r="F131" s="58" t="s">
        <v>634</v>
      </c>
      <c r="G131" s="66"/>
      <c r="H131" s="66"/>
      <c r="I131" s="68"/>
      <c r="J131" s="64" t="s">
        <v>635</v>
      </c>
      <c r="K131" s="63" t="str">
        <f>HYPERLINK("http://nsgreg.nga.mil/genc/view?v=861971&amp;end_month=12&amp;end_day=31&amp;end_year=2016","Correlation")</f>
        <v>Correlation</v>
      </c>
    </row>
    <row r="132" spans="1:11" x14ac:dyDescent="0.2">
      <c r="A132" s="99"/>
      <c r="B132" s="100"/>
      <c r="C132" s="100"/>
      <c r="D132" s="101"/>
      <c r="E132" s="67" t="b">
        <v>0</v>
      </c>
      <c r="F132" s="58" t="s">
        <v>634</v>
      </c>
      <c r="G132" s="66"/>
      <c r="H132" s="66"/>
      <c r="I132" s="68"/>
      <c r="J132" s="64" t="s">
        <v>636</v>
      </c>
      <c r="K132" s="63" t="str">
        <f>HYPERLINK("http://nsgreg.nga.mil/genc/view?v=861972&amp;end_month=12&amp;end_day=31&amp;end_year=2016","Correlation")</f>
        <v>Correlation</v>
      </c>
    </row>
    <row r="133" spans="1:11" x14ac:dyDescent="0.2">
      <c r="A133" s="99" t="s">
        <v>637</v>
      </c>
      <c r="B133" s="100" t="s">
        <v>638</v>
      </c>
      <c r="C133" s="100" t="s">
        <v>639</v>
      </c>
      <c r="D133" s="101" t="s">
        <v>640</v>
      </c>
      <c r="E133" s="60" t="b">
        <v>1</v>
      </c>
      <c r="F133" s="58" t="s">
        <v>637</v>
      </c>
      <c r="G133" s="64" t="s">
        <v>638</v>
      </c>
      <c r="H133" s="64" t="s">
        <v>639</v>
      </c>
      <c r="I133" s="65" t="s">
        <v>640</v>
      </c>
      <c r="J133" s="66"/>
      <c r="K133" s="63" t="str">
        <f>HYPERLINK("http://nsgreg.nga.mil/genc/view?v=861973&amp;end_month=12&amp;end_day=31&amp;end_year=2016","Correlation")</f>
        <v>Correlation</v>
      </c>
    </row>
    <row r="134" spans="1:11" x14ac:dyDescent="0.2">
      <c r="A134" s="99"/>
      <c r="B134" s="100"/>
      <c r="C134" s="100"/>
      <c r="D134" s="101"/>
      <c r="E134" s="67" t="b">
        <v>0</v>
      </c>
      <c r="F134" s="58" t="s">
        <v>641</v>
      </c>
      <c r="G134" s="66"/>
      <c r="H134" s="66"/>
      <c r="I134" s="68"/>
      <c r="J134" s="64" t="s">
        <v>642</v>
      </c>
      <c r="K134" s="63" t="str">
        <f>HYPERLINK("http://nsgreg.nga.mil/genc/view?v=861974&amp;end_month=12&amp;end_day=31&amp;end_year=2016","Correlation")</f>
        <v>Correlation</v>
      </c>
    </row>
    <row r="135" spans="1:11" x14ac:dyDescent="0.2">
      <c r="A135" s="57" t="s">
        <v>643</v>
      </c>
      <c r="B135" s="58" t="s">
        <v>644</v>
      </c>
      <c r="C135" s="58" t="s">
        <v>645</v>
      </c>
      <c r="D135" s="59" t="s">
        <v>646</v>
      </c>
      <c r="E135" s="60" t="b">
        <v>1</v>
      </c>
      <c r="F135" s="58" t="s">
        <v>453</v>
      </c>
      <c r="G135" s="64" t="s">
        <v>454</v>
      </c>
      <c r="H135" s="64" t="s">
        <v>455</v>
      </c>
      <c r="I135" s="65" t="s">
        <v>456</v>
      </c>
      <c r="J135" s="66"/>
      <c r="K135" s="63" t="str">
        <f>HYPERLINK("http://nsgreg.nga.mil/genc/view?v=861975&amp;end_month=12&amp;end_day=31&amp;end_year=2016","Correlation")</f>
        <v>Correlation</v>
      </c>
    </row>
    <row r="136" spans="1:11" x14ac:dyDescent="0.2">
      <c r="A136" s="57" t="s">
        <v>647</v>
      </c>
      <c r="B136" s="58" t="s">
        <v>648</v>
      </c>
      <c r="C136" s="58" t="s">
        <v>649</v>
      </c>
      <c r="D136" s="59" t="s">
        <v>650</v>
      </c>
      <c r="E136" s="60" t="b">
        <v>1</v>
      </c>
      <c r="F136" s="58" t="s">
        <v>647</v>
      </c>
      <c r="G136" s="64" t="s">
        <v>648</v>
      </c>
      <c r="H136" s="64" t="s">
        <v>649</v>
      </c>
      <c r="I136" s="65" t="s">
        <v>650</v>
      </c>
      <c r="J136" s="66"/>
      <c r="K136" s="63" t="str">
        <f>HYPERLINK("http://nsgreg.nga.mil/genc/view?v=861976&amp;end_month=12&amp;end_day=31&amp;end_year=2016","Correlation")</f>
        <v>Correlation</v>
      </c>
    </row>
    <row r="137" spans="1:11" x14ac:dyDescent="0.2">
      <c r="A137" s="57" t="s">
        <v>651</v>
      </c>
      <c r="B137" s="58" t="s">
        <v>652</v>
      </c>
      <c r="C137" s="58" t="s">
        <v>653</v>
      </c>
      <c r="D137" s="59" t="s">
        <v>654</v>
      </c>
      <c r="E137" s="60" t="b">
        <v>1</v>
      </c>
      <c r="F137" s="58" t="s">
        <v>651</v>
      </c>
      <c r="G137" s="64" t="s">
        <v>652</v>
      </c>
      <c r="H137" s="64" t="s">
        <v>653</v>
      </c>
      <c r="I137" s="65" t="s">
        <v>654</v>
      </c>
      <c r="J137" s="66"/>
      <c r="K137" s="63" t="str">
        <f>HYPERLINK("http://nsgreg.nga.mil/genc/view?v=861977&amp;end_month=12&amp;end_day=31&amp;end_year=2016","Correlation")</f>
        <v>Correlation</v>
      </c>
    </row>
    <row r="138" spans="1:11" x14ac:dyDescent="0.2">
      <c r="A138" s="57" t="s">
        <v>655</v>
      </c>
      <c r="B138" s="58" t="s">
        <v>656</v>
      </c>
      <c r="C138" s="58" t="s">
        <v>657</v>
      </c>
      <c r="D138" s="59" t="s">
        <v>658</v>
      </c>
      <c r="E138" s="60" t="b">
        <v>1</v>
      </c>
      <c r="F138" s="58" t="s">
        <v>655</v>
      </c>
      <c r="G138" s="64" t="s">
        <v>656</v>
      </c>
      <c r="H138" s="64" t="s">
        <v>657</v>
      </c>
      <c r="I138" s="65" t="s">
        <v>658</v>
      </c>
      <c r="J138" s="66"/>
      <c r="K138" s="63" t="str">
        <f>HYPERLINK("http://nsgreg.nga.mil/genc/view?v=861978&amp;end_month=12&amp;end_day=31&amp;end_year=2016","Correlation")</f>
        <v>Correlation</v>
      </c>
    </row>
    <row r="139" spans="1:11" x14ac:dyDescent="0.2">
      <c r="A139" s="57" t="s">
        <v>659</v>
      </c>
      <c r="B139" s="58" t="s">
        <v>660</v>
      </c>
      <c r="C139" s="58" t="s">
        <v>661</v>
      </c>
      <c r="D139" s="59" t="s">
        <v>662</v>
      </c>
      <c r="E139" s="60" t="b">
        <v>1</v>
      </c>
      <c r="F139" s="58" t="s">
        <v>659</v>
      </c>
      <c r="G139" s="64" t="s">
        <v>660</v>
      </c>
      <c r="H139" s="64" t="s">
        <v>661</v>
      </c>
      <c r="I139" s="65" t="s">
        <v>662</v>
      </c>
      <c r="J139" s="66"/>
      <c r="K139" s="63" t="str">
        <f>HYPERLINK("http://nsgreg.nga.mil/genc/view?v=861979&amp;end_month=12&amp;end_day=31&amp;end_year=2016","Correlation")</f>
        <v>Correlation</v>
      </c>
    </row>
    <row r="140" spans="1:11" x14ac:dyDescent="0.2">
      <c r="A140" s="57" t="s">
        <v>663</v>
      </c>
      <c r="B140" s="58" t="s">
        <v>664</v>
      </c>
      <c r="C140" s="58" t="s">
        <v>665</v>
      </c>
      <c r="D140" s="59" t="s">
        <v>666</v>
      </c>
      <c r="E140" s="60" t="b">
        <v>1</v>
      </c>
      <c r="F140" s="58" t="s">
        <v>663</v>
      </c>
      <c r="G140" s="64" t="s">
        <v>664</v>
      </c>
      <c r="H140" s="64" t="s">
        <v>665</v>
      </c>
      <c r="I140" s="65" t="s">
        <v>666</v>
      </c>
      <c r="J140" s="66"/>
      <c r="K140" s="63" t="str">
        <f>HYPERLINK("http://nsgreg.nga.mil/genc/view?v=861980&amp;end_month=12&amp;end_day=31&amp;end_year=2016","Correlation")</f>
        <v>Correlation</v>
      </c>
    </row>
    <row r="141" spans="1:11" x14ac:dyDescent="0.2">
      <c r="A141" s="57" t="s">
        <v>667</v>
      </c>
      <c r="B141" s="58" t="s">
        <v>668</v>
      </c>
      <c r="C141" s="58" t="s">
        <v>669</v>
      </c>
      <c r="D141" s="59" t="s">
        <v>670</v>
      </c>
      <c r="E141" s="60" t="b">
        <v>1</v>
      </c>
      <c r="F141" s="58" t="s">
        <v>667</v>
      </c>
      <c r="G141" s="64" t="s">
        <v>668</v>
      </c>
      <c r="H141" s="64" t="s">
        <v>669</v>
      </c>
      <c r="I141" s="65" t="s">
        <v>670</v>
      </c>
      <c r="J141" s="66"/>
      <c r="K141" s="63" t="str">
        <f>HYPERLINK("http://nsgreg.nga.mil/genc/view?v=861981&amp;end_month=12&amp;end_day=31&amp;end_year=2016","Correlation")</f>
        <v>Correlation</v>
      </c>
    </row>
    <row r="142" spans="1:11" x14ac:dyDescent="0.2">
      <c r="A142" s="57" t="s">
        <v>671</v>
      </c>
      <c r="B142" s="58" t="s">
        <v>672</v>
      </c>
      <c r="C142" s="58" t="s">
        <v>673</v>
      </c>
      <c r="D142" s="59" t="s">
        <v>674</v>
      </c>
      <c r="E142" s="60" t="b">
        <v>1</v>
      </c>
      <c r="F142" s="58" t="s">
        <v>671</v>
      </c>
      <c r="G142" s="64" t="s">
        <v>672</v>
      </c>
      <c r="H142" s="64" t="s">
        <v>673</v>
      </c>
      <c r="I142" s="65" t="s">
        <v>674</v>
      </c>
      <c r="J142" s="66"/>
      <c r="K142" s="63" t="str">
        <f>HYPERLINK("http://nsgreg.nga.mil/genc/view?v=861982&amp;end_month=12&amp;end_day=31&amp;end_year=2016","Correlation")</f>
        <v>Correlation</v>
      </c>
    </row>
    <row r="143" spans="1:11" x14ac:dyDescent="0.2">
      <c r="A143" s="57" t="s">
        <v>675</v>
      </c>
      <c r="B143" s="58" t="s">
        <v>676</v>
      </c>
      <c r="C143" s="58" t="s">
        <v>677</v>
      </c>
      <c r="D143" s="59" t="s">
        <v>678</v>
      </c>
      <c r="E143" s="60" t="b">
        <v>1</v>
      </c>
      <c r="F143" s="58" t="s">
        <v>675</v>
      </c>
      <c r="G143" s="64" t="s">
        <v>676</v>
      </c>
      <c r="H143" s="64" t="s">
        <v>677</v>
      </c>
      <c r="I143" s="65" t="s">
        <v>678</v>
      </c>
      <c r="J143" s="66"/>
      <c r="K143" s="63" t="str">
        <f>HYPERLINK("http://nsgreg.nga.mil/genc/view?v=861983&amp;end_month=12&amp;end_day=31&amp;end_year=2016","Correlation")</f>
        <v>Correlation</v>
      </c>
    </row>
    <row r="144" spans="1:11" x14ac:dyDescent="0.2">
      <c r="A144" s="99" t="s">
        <v>679</v>
      </c>
      <c r="B144" s="100" t="s">
        <v>680</v>
      </c>
      <c r="C144" s="100" t="s">
        <v>681</v>
      </c>
      <c r="D144" s="101" t="s">
        <v>682</v>
      </c>
      <c r="E144" s="60" t="b">
        <v>1</v>
      </c>
      <c r="F144" s="58" t="s">
        <v>679</v>
      </c>
      <c r="G144" s="64" t="s">
        <v>680</v>
      </c>
      <c r="H144" s="64" t="s">
        <v>681</v>
      </c>
      <c r="I144" s="65" t="s">
        <v>682</v>
      </c>
      <c r="J144" s="66"/>
      <c r="K144" s="63" t="str">
        <f>HYPERLINK("http://nsgreg.nga.mil/genc/view?v=861984&amp;end_month=12&amp;end_day=31&amp;end_year=2016","Correlation")</f>
        <v>Correlation</v>
      </c>
    </row>
    <row r="145" spans="1:11" x14ac:dyDescent="0.2">
      <c r="A145" s="99"/>
      <c r="B145" s="100"/>
      <c r="C145" s="100"/>
      <c r="D145" s="101"/>
      <c r="E145" s="67" t="b">
        <v>0</v>
      </c>
      <c r="F145" s="58" t="s">
        <v>683</v>
      </c>
      <c r="G145" s="66"/>
      <c r="H145" s="66"/>
      <c r="I145" s="68"/>
      <c r="J145" s="64" t="s">
        <v>684</v>
      </c>
      <c r="K145" s="63" t="str">
        <f>HYPERLINK("http://nsgreg.nga.mil/genc/view?v=861985&amp;end_month=12&amp;end_day=31&amp;end_year=2016","Correlation")</f>
        <v>Correlation</v>
      </c>
    </row>
    <row r="146" spans="1:11" x14ac:dyDescent="0.2">
      <c r="A146" s="99" t="s">
        <v>685</v>
      </c>
      <c r="B146" s="100" t="s">
        <v>686</v>
      </c>
      <c r="C146" s="100" t="s">
        <v>687</v>
      </c>
      <c r="D146" s="101" t="s">
        <v>688</v>
      </c>
      <c r="E146" s="60" t="b">
        <v>1</v>
      </c>
      <c r="F146" s="58" t="s">
        <v>245</v>
      </c>
      <c r="G146" s="64" t="s">
        <v>246</v>
      </c>
      <c r="H146" s="64" t="s">
        <v>247</v>
      </c>
      <c r="I146" s="65" t="s">
        <v>248</v>
      </c>
      <c r="J146" s="66"/>
      <c r="K146" s="63" t="str">
        <f>HYPERLINK("http://nsgreg.nga.mil/genc/view?v=861986&amp;end_month=12&amp;end_day=31&amp;end_year=2016","Correlation")</f>
        <v>Correlation</v>
      </c>
    </row>
    <row r="147" spans="1:11" x14ac:dyDescent="0.2">
      <c r="A147" s="99"/>
      <c r="B147" s="100"/>
      <c r="C147" s="100"/>
      <c r="D147" s="101"/>
      <c r="E147" s="67" t="b">
        <v>0</v>
      </c>
      <c r="F147" s="58" t="s">
        <v>689</v>
      </c>
      <c r="G147" s="66"/>
      <c r="H147" s="66"/>
      <c r="I147" s="68"/>
      <c r="J147" s="64" t="s">
        <v>690</v>
      </c>
      <c r="K147" s="63" t="str">
        <f>HYPERLINK("http://nsgreg.nga.mil/genc/view?v=861987&amp;end_month=12&amp;end_day=31&amp;end_year=2016","Correlation")</f>
        <v>Correlation</v>
      </c>
    </row>
    <row r="148" spans="1:11" x14ac:dyDescent="0.2">
      <c r="A148" s="99"/>
      <c r="B148" s="100"/>
      <c r="C148" s="100"/>
      <c r="D148" s="101"/>
      <c r="E148" s="67" t="b">
        <v>0</v>
      </c>
      <c r="F148" s="58" t="s">
        <v>251</v>
      </c>
      <c r="G148" s="66"/>
      <c r="H148" s="66"/>
      <c r="I148" s="68"/>
      <c r="J148" s="64" t="s">
        <v>252</v>
      </c>
      <c r="K148" s="63" t="str">
        <f>HYPERLINK("http://nsgreg.nga.mil/genc/view?v=861988&amp;end_month=12&amp;end_day=31&amp;end_year=2016","Correlation")</f>
        <v>Correlation</v>
      </c>
    </row>
    <row r="149" spans="1:11" x14ac:dyDescent="0.2">
      <c r="A149" s="57" t="s">
        <v>691</v>
      </c>
      <c r="B149" s="58" t="s">
        <v>692</v>
      </c>
      <c r="C149" s="58" t="s">
        <v>693</v>
      </c>
      <c r="D149" s="59" t="s">
        <v>694</v>
      </c>
      <c r="E149" s="60" t="b">
        <v>1</v>
      </c>
      <c r="F149" s="58" t="s">
        <v>691</v>
      </c>
      <c r="G149" s="64" t="s">
        <v>692</v>
      </c>
      <c r="H149" s="64" t="s">
        <v>693</v>
      </c>
      <c r="I149" s="65" t="s">
        <v>694</v>
      </c>
      <c r="J149" s="66"/>
      <c r="K149" s="63" t="str">
        <f>HYPERLINK("http://nsgreg.nga.mil/genc/view?v=861989&amp;end_month=12&amp;end_day=31&amp;end_year=2016","Correlation")</f>
        <v>Correlation</v>
      </c>
    </row>
    <row r="150" spans="1:11" x14ac:dyDescent="0.2">
      <c r="A150" s="57" t="s">
        <v>695</v>
      </c>
      <c r="B150" s="58" t="s">
        <v>696</v>
      </c>
      <c r="C150" s="58" t="s">
        <v>697</v>
      </c>
      <c r="D150" s="59" t="s">
        <v>698</v>
      </c>
      <c r="E150" s="60" t="b">
        <v>1</v>
      </c>
      <c r="F150" s="58" t="s">
        <v>695</v>
      </c>
      <c r="G150" s="64" t="s">
        <v>696</v>
      </c>
      <c r="H150" s="64" t="s">
        <v>697</v>
      </c>
      <c r="I150" s="65" t="s">
        <v>698</v>
      </c>
      <c r="J150" s="66"/>
      <c r="K150" s="63" t="str">
        <f>HYPERLINK("http://nsgreg.nga.mil/genc/view?v=861990&amp;end_month=12&amp;end_day=31&amp;end_year=2016","Correlation")</f>
        <v>Correlation</v>
      </c>
    </row>
    <row r="151" spans="1:11" x14ac:dyDescent="0.2">
      <c r="A151" s="57" t="s">
        <v>699</v>
      </c>
      <c r="B151" s="58" t="s">
        <v>700</v>
      </c>
      <c r="C151" s="58" t="s">
        <v>701</v>
      </c>
      <c r="D151" s="59" t="s">
        <v>702</v>
      </c>
      <c r="E151" s="60" t="b">
        <v>1</v>
      </c>
      <c r="F151" s="58" t="s">
        <v>699</v>
      </c>
      <c r="G151" s="64" t="s">
        <v>700</v>
      </c>
      <c r="H151" s="64" t="s">
        <v>701</v>
      </c>
      <c r="I151" s="65" t="s">
        <v>702</v>
      </c>
      <c r="J151" s="66"/>
      <c r="K151" s="63" t="str">
        <f>HYPERLINK("http://nsgreg.nga.mil/genc/view?v=861991&amp;end_month=12&amp;end_day=31&amp;end_year=2016","Correlation")</f>
        <v>Correlation</v>
      </c>
    </row>
    <row r="152" spans="1:11" x14ac:dyDescent="0.2">
      <c r="A152" s="57" t="s">
        <v>703</v>
      </c>
      <c r="B152" s="58" t="s">
        <v>704</v>
      </c>
      <c r="C152" s="58" t="s">
        <v>705</v>
      </c>
      <c r="D152" s="59" t="s">
        <v>706</v>
      </c>
      <c r="E152" s="60" t="b">
        <v>1</v>
      </c>
      <c r="F152" s="58" t="s">
        <v>703</v>
      </c>
      <c r="G152" s="64" t="s">
        <v>704</v>
      </c>
      <c r="H152" s="64" t="s">
        <v>705</v>
      </c>
      <c r="I152" s="65" t="s">
        <v>706</v>
      </c>
      <c r="J152" s="66"/>
      <c r="K152" s="63" t="str">
        <f>HYPERLINK("http://nsgreg.nga.mil/genc/view?v=861992&amp;end_month=12&amp;end_day=31&amp;end_year=2016","Correlation")</f>
        <v>Correlation</v>
      </c>
    </row>
    <row r="153" spans="1:11" x14ac:dyDescent="0.2">
      <c r="A153" s="57" t="s">
        <v>707</v>
      </c>
      <c r="B153" s="58" t="s">
        <v>708</v>
      </c>
      <c r="C153" s="58" t="s">
        <v>709</v>
      </c>
      <c r="D153" s="59" t="s">
        <v>710</v>
      </c>
      <c r="E153" s="60" t="b">
        <v>1</v>
      </c>
      <c r="F153" s="58" t="s">
        <v>711</v>
      </c>
      <c r="G153" s="64" t="s">
        <v>708</v>
      </c>
      <c r="H153" s="64" t="s">
        <v>709</v>
      </c>
      <c r="I153" s="65" t="s">
        <v>710</v>
      </c>
      <c r="J153" s="66"/>
      <c r="K153" s="63" t="str">
        <f>HYPERLINK("http://nsgreg.nga.mil/genc/view?v=861993&amp;end_month=12&amp;end_day=31&amp;end_year=2016","Correlation")</f>
        <v>Correlation</v>
      </c>
    </row>
    <row r="154" spans="1:11" x14ac:dyDescent="0.2">
      <c r="A154" s="57" t="s">
        <v>712</v>
      </c>
      <c r="B154" s="58" t="s">
        <v>713</v>
      </c>
      <c r="C154" s="58" t="s">
        <v>714</v>
      </c>
      <c r="D154" s="59" t="s">
        <v>715</v>
      </c>
      <c r="E154" s="60" t="b">
        <v>1</v>
      </c>
      <c r="F154" s="58" t="s">
        <v>712</v>
      </c>
      <c r="G154" s="64" t="s">
        <v>713</v>
      </c>
      <c r="H154" s="64" t="s">
        <v>714</v>
      </c>
      <c r="I154" s="65" t="s">
        <v>715</v>
      </c>
      <c r="J154" s="66"/>
      <c r="K154" s="63" t="str">
        <f>HYPERLINK("http://nsgreg.nga.mil/genc/view?v=861994&amp;end_month=12&amp;end_day=31&amp;end_year=2016","Correlation")</f>
        <v>Correlation</v>
      </c>
    </row>
    <row r="155" spans="1:11" x14ac:dyDescent="0.2">
      <c r="A155" s="57" t="s">
        <v>716</v>
      </c>
      <c r="B155" s="58" t="s">
        <v>717</v>
      </c>
      <c r="C155" s="58" t="s">
        <v>718</v>
      </c>
      <c r="D155" s="59" t="s">
        <v>719</v>
      </c>
      <c r="E155" s="60" t="b">
        <v>1</v>
      </c>
      <c r="F155" s="58" t="s">
        <v>716</v>
      </c>
      <c r="G155" s="64" t="s">
        <v>717</v>
      </c>
      <c r="H155" s="64" t="s">
        <v>718</v>
      </c>
      <c r="I155" s="65" t="s">
        <v>719</v>
      </c>
      <c r="J155" s="66"/>
      <c r="K155" s="63" t="str">
        <f>HYPERLINK("http://nsgreg.nga.mil/genc/view?v=861995&amp;end_month=12&amp;end_day=31&amp;end_year=2016","Correlation")</f>
        <v>Correlation</v>
      </c>
    </row>
    <row r="156" spans="1:11" x14ac:dyDescent="0.2">
      <c r="A156" s="57" t="s">
        <v>720</v>
      </c>
      <c r="B156" s="58" t="s">
        <v>721</v>
      </c>
      <c r="C156" s="58" t="s">
        <v>722</v>
      </c>
      <c r="D156" s="59" t="s">
        <v>723</v>
      </c>
      <c r="E156" s="60" t="b">
        <v>1</v>
      </c>
      <c r="F156" s="58" t="s">
        <v>720</v>
      </c>
      <c r="G156" s="64" t="s">
        <v>721</v>
      </c>
      <c r="H156" s="64" t="s">
        <v>722</v>
      </c>
      <c r="I156" s="65" t="s">
        <v>723</v>
      </c>
      <c r="J156" s="66"/>
      <c r="K156" s="63" t="str">
        <f>HYPERLINK("http://nsgreg.nga.mil/genc/view?v=861996&amp;end_month=12&amp;end_day=31&amp;end_year=2016","Correlation")</f>
        <v>Correlation</v>
      </c>
    </row>
    <row r="157" spans="1:11" x14ac:dyDescent="0.2">
      <c r="A157" s="57" t="s">
        <v>724</v>
      </c>
      <c r="B157" s="58" t="s">
        <v>725</v>
      </c>
      <c r="C157" s="58" t="s">
        <v>726</v>
      </c>
      <c r="D157" s="59" t="s">
        <v>727</v>
      </c>
      <c r="E157" s="60" t="b">
        <v>1</v>
      </c>
      <c r="F157" s="58" t="s">
        <v>724</v>
      </c>
      <c r="G157" s="64" t="s">
        <v>725</v>
      </c>
      <c r="H157" s="64" t="s">
        <v>726</v>
      </c>
      <c r="I157" s="65" t="s">
        <v>727</v>
      </c>
      <c r="J157" s="66"/>
      <c r="K157" s="63" t="str">
        <f>HYPERLINK("http://nsgreg.nga.mil/genc/view?v=861997&amp;end_month=12&amp;end_day=31&amp;end_year=2016","Correlation")</f>
        <v>Correlation</v>
      </c>
    </row>
    <row r="158" spans="1:11" x14ac:dyDescent="0.2">
      <c r="A158" s="57" t="s">
        <v>728</v>
      </c>
      <c r="B158" s="58" t="s">
        <v>729</v>
      </c>
      <c r="C158" s="58" t="s">
        <v>730</v>
      </c>
      <c r="D158" s="59" t="s">
        <v>731</v>
      </c>
      <c r="E158" s="60" t="b">
        <v>1</v>
      </c>
      <c r="F158" s="58" t="s">
        <v>728</v>
      </c>
      <c r="G158" s="64" t="s">
        <v>729</v>
      </c>
      <c r="H158" s="64" t="s">
        <v>730</v>
      </c>
      <c r="I158" s="65" t="s">
        <v>731</v>
      </c>
      <c r="J158" s="66"/>
      <c r="K158" s="63" t="str">
        <f>HYPERLINK("http://nsgreg.nga.mil/genc/view?v=861998&amp;end_month=12&amp;end_day=31&amp;end_year=2016","Correlation")</f>
        <v>Correlation</v>
      </c>
    </row>
    <row r="159" spans="1:11" x14ac:dyDescent="0.2">
      <c r="A159" s="57" t="s">
        <v>732</v>
      </c>
      <c r="B159" s="58" t="s">
        <v>733</v>
      </c>
      <c r="C159" s="58" t="s">
        <v>734</v>
      </c>
      <c r="D159" s="59" t="s">
        <v>735</v>
      </c>
      <c r="E159" s="60" t="b">
        <v>1</v>
      </c>
      <c r="F159" s="58" t="s">
        <v>732</v>
      </c>
      <c r="G159" s="64" t="s">
        <v>733</v>
      </c>
      <c r="H159" s="64" t="s">
        <v>734</v>
      </c>
      <c r="I159" s="65" t="s">
        <v>735</v>
      </c>
      <c r="J159" s="66"/>
      <c r="K159" s="63" t="str">
        <f>HYPERLINK("http://nsgreg.nga.mil/genc/view?v=861999&amp;end_month=12&amp;end_day=31&amp;end_year=2016","Correlation")</f>
        <v>Correlation</v>
      </c>
    </row>
    <row r="160" spans="1:11" x14ac:dyDescent="0.2">
      <c r="A160" s="99" t="s">
        <v>736</v>
      </c>
      <c r="B160" s="100" t="s">
        <v>737</v>
      </c>
      <c r="C160" s="100" t="s">
        <v>738</v>
      </c>
      <c r="D160" s="101" t="s">
        <v>739</v>
      </c>
      <c r="E160" s="60" t="b">
        <v>1</v>
      </c>
      <c r="F160" s="58" t="s">
        <v>740</v>
      </c>
      <c r="G160" s="64" t="s">
        <v>741</v>
      </c>
      <c r="H160" s="64" t="s">
        <v>742</v>
      </c>
      <c r="I160" s="65" t="s">
        <v>743</v>
      </c>
      <c r="J160" s="66"/>
      <c r="K160" s="63" t="str">
        <f>HYPERLINK("http://nsgreg.nga.mil/genc/view?v=862000&amp;end_month=12&amp;end_day=31&amp;end_year=2016","Correlation")</f>
        <v>Correlation</v>
      </c>
    </row>
    <row r="161" spans="1:11" x14ac:dyDescent="0.2">
      <c r="A161" s="99"/>
      <c r="B161" s="100"/>
      <c r="C161" s="100"/>
      <c r="D161" s="101"/>
      <c r="E161" s="67" t="b">
        <v>0</v>
      </c>
      <c r="F161" s="58" t="s">
        <v>744</v>
      </c>
      <c r="G161" s="66"/>
      <c r="H161" s="66"/>
      <c r="I161" s="68"/>
      <c r="J161" s="64" t="s">
        <v>745</v>
      </c>
      <c r="K161" s="63" t="str">
        <f>HYPERLINK("http://nsgreg.nga.mil/genc/view?v=862001&amp;end_month=12&amp;end_day=31&amp;end_year=2016","Correlation")</f>
        <v>Correlation</v>
      </c>
    </row>
    <row r="162" spans="1:11" x14ac:dyDescent="0.2">
      <c r="A162" s="57" t="s">
        <v>746</v>
      </c>
      <c r="B162" s="58" t="s">
        <v>747</v>
      </c>
      <c r="C162" s="58" t="s">
        <v>748</v>
      </c>
      <c r="D162" s="59" t="s">
        <v>749</v>
      </c>
      <c r="E162" s="60" t="b">
        <v>1</v>
      </c>
      <c r="F162" s="58" t="s">
        <v>746</v>
      </c>
      <c r="G162" s="64" t="s">
        <v>747</v>
      </c>
      <c r="H162" s="64" t="s">
        <v>748</v>
      </c>
      <c r="I162" s="65" t="s">
        <v>749</v>
      </c>
      <c r="J162" s="66"/>
      <c r="K162" s="63" t="str">
        <f>HYPERLINK("http://nsgreg.nga.mil/genc/view?v=862002&amp;end_month=12&amp;end_day=31&amp;end_year=2016","Correlation")</f>
        <v>Correlation</v>
      </c>
    </row>
    <row r="163" spans="1:11" x14ac:dyDescent="0.2">
      <c r="A163" s="99" t="s">
        <v>750</v>
      </c>
      <c r="B163" s="100" t="s">
        <v>751</v>
      </c>
      <c r="C163" s="100" t="s">
        <v>752</v>
      </c>
      <c r="D163" s="101" t="s">
        <v>753</v>
      </c>
      <c r="E163" s="60" t="b">
        <v>1</v>
      </c>
      <c r="F163" s="58" t="s">
        <v>245</v>
      </c>
      <c r="G163" s="64" t="s">
        <v>246</v>
      </c>
      <c r="H163" s="64" t="s">
        <v>247</v>
      </c>
      <c r="I163" s="65" t="s">
        <v>248</v>
      </c>
      <c r="J163" s="66"/>
      <c r="K163" s="63" t="str">
        <f>HYPERLINK("http://nsgreg.nga.mil/genc/view?v=862003&amp;end_month=12&amp;end_day=31&amp;end_year=2016","Correlation")</f>
        <v>Correlation</v>
      </c>
    </row>
    <row r="164" spans="1:11" x14ac:dyDescent="0.2">
      <c r="A164" s="99"/>
      <c r="B164" s="100"/>
      <c r="C164" s="100"/>
      <c r="D164" s="101"/>
      <c r="E164" s="67" t="b">
        <v>0</v>
      </c>
      <c r="F164" s="58" t="s">
        <v>754</v>
      </c>
      <c r="G164" s="66"/>
      <c r="H164" s="66"/>
      <c r="I164" s="68"/>
      <c r="J164" s="64" t="s">
        <v>755</v>
      </c>
      <c r="K164" s="63" t="str">
        <f>HYPERLINK("http://nsgreg.nga.mil/genc/view?v=862004&amp;end_month=12&amp;end_day=31&amp;end_year=2016","Correlation")</f>
        <v>Correlation</v>
      </c>
    </row>
    <row r="165" spans="1:11" x14ac:dyDescent="0.2">
      <c r="A165" s="99"/>
      <c r="B165" s="100"/>
      <c r="C165" s="100"/>
      <c r="D165" s="101"/>
      <c r="E165" s="67" t="b">
        <v>0</v>
      </c>
      <c r="F165" s="58" t="s">
        <v>251</v>
      </c>
      <c r="G165" s="66"/>
      <c r="H165" s="66"/>
      <c r="I165" s="68"/>
      <c r="J165" s="64" t="s">
        <v>252</v>
      </c>
      <c r="K165" s="63" t="str">
        <f>HYPERLINK("http://nsgreg.nga.mil/genc/view?v=862005&amp;end_month=12&amp;end_day=31&amp;end_year=2016","Correlation")</f>
        <v>Correlation</v>
      </c>
    </row>
    <row r="166" spans="1:11" x14ac:dyDescent="0.2">
      <c r="A166" s="57" t="s">
        <v>756</v>
      </c>
      <c r="B166" s="58" t="s">
        <v>757</v>
      </c>
      <c r="C166" s="58" t="s">
        <v>758</v>
      </c>
      <c r="D166" s="59" t="s">
        <v>759</v>
      </c>
      <c r="E166" s="60" t="b">
        <v>1</v>
      </c>
      <c r="F166" s="58" t="s">
        <v>756</v>
      </c>
      <c r="G166" s="64" t="s">
        <v>757</v>
      </c>
      <c r="H166" s="64" t="s">
        <v>758</v>
      </c>
      <c r="I166" s="65" t="s">
        <v>759</v>
      </c>
      <c r="J166" s="66"/>
      <c r="K166" s="63" t="str">
        <f>HYPERLINK("http://nsgreg.nga.mil/genc/view?v=862006&amp;end_month=12&amp;end_day=31&amp;end_year=2016","Correlation")</f>
        <v>Correlation</v>
      </c>
    </row>
    <row r="167" spans="1:11" x14ac:dyDescent="0.2">
      <c r="A167" s="99" t="s">
        <v>760</v>
      </c>
      <c r="B167" s="100" t="s">
        <v>761</v>
      </c>
      <c r="C167" s="100" t="s">
        <v>762</v>
      </c>
      <c r="D167" s="101" t="s">
        <v>763</v>
      </c>
      <c r="E167" s="60" t="b">
        <v>1</v>
      </c>
      <c r="F167" s="58" t="s">
        <v>245</v>
      </c>
      <c r="G167" s="64" t="s">
        <v>246</v>
      </c>
      <c r="H167" s="64" t="s">
        <v>247</v>
      </c>
      <c r="I167" s="65" t="s">
        <v>248</v>
      </c>
      <c r="J167" s="66"/>
      <c r="K167" s="63" t="str">
        <f>HYPERLINK("http://nsgreg.nga.mil/genc/view?v=862007&amp;end_month=12&amp;end_day=31&amp;end_year=2016","Correlation")</f>
        <v>Correlation</v>
      </c>
    </row>
    <row r="168" spans="1:11" x14ac:dyDescent="0.2">
      <c r="A168" s="99"/>
      <c r="B168" s="100"/>
      <c r="C168" s="100"/>
      <c r="D168" s="101"/>
      <c r="E168" s="67" t="b">
        <v>0</v>
      </c>
      <c r="F168" s="58" t="s">
        <v>764</v>
      </c>
      <c r="G168" s="66"/>
      <c r="H168" s="66"/>
      <c r="I168" s="68"/>
      <c r="J168" s="64" t="s">
        <v>765</v>
      </c>
      <c r="K168" s="63" t="str">
        <f>HYPERLINK("http://nsgreg.nga.mil/genc/view?v=862008&amp;end_month=12&amp;end_day=31&amp;end_year=2016","Correlation")</f>
        <v>Correlation</v>
      </c>
    </row>
    <row r="169" spans="1:11" x14ac:dyDescent="0.2">
      <c r="A169" s="99"/>
      <c r="B169" s="100"/>
      <c r="C169" s="100"/>
      <c r="D169" s="101"/>
      <c r="E169" s="67" t="b">
        <v>0</v>
      </c>
      <c r="F169" s="58" t="s">
        <v>251</v>
      </c>
      <c r="G169" s="66"/>
      <c r="H169" s="66"/>
      <c r="I169" s="68"/>
      <c r="J169" s="64" t="s">
        <v>252</v>
      </c>
      <c r="K169" s="63" t="str">
        <f>HYPERLINK("http://nsgreg.nga.mil/genc/view?v=862009&amp;end_month=12&amp;end_day=31&amp;end_year=2016","Correlation")</f>
        <v>Correlation</v>
      </c>
    </row>
    <row r="170" spans="1:11" x14ac:dyDescent="0.2">
      <c r="A170" s="57" t="s">
        <v>766</v>
      </c>
      <c r="B170" s="58" t="s">
        <v>767</v>
      </c>
      <c r="C170" s="58" t="s">
        <v>768</v>
      </c>
      <c r="D170" s="59" t="s">
        <v>769</v>
      </c>
      <c r="E170" s="60" t="b">
        <v>1</v>
      </c>
      <c r="F170" s="58" t="s">
        <v>766</v>
      </c>
      <c r="G170" s="64" t="s">
        <v>767</v>
      </c>
      <c r="H170" s="64" t="s">
        <v>768</v>
      </c>
      <c r="I170" s="65" t="s">
        <v>769</v>
      </c>
      <c r="J170" s="66"/>
      <c r="K170" s="63" t="str">
        <f>HYPERLINK("http://nsgreg.nga.mil/genc/view?v=862010&amp;end_month=12&amp;end_day=31&amp;end_year=2016","Correlation")</f>
        <v>Correlation</v>
      </c>
    </row>
    <row r="171" spans="1:11" x14ac:dyDescent="0.2">
      <c r="A171" s="99" t="s">
        <v>770</v>
      </c>
      <c r="B171" s="100" t="s">
        <v>771</v>
      </c>
      <c r="C171" s="100" t="s">
        <v>772</v>
      </c>
      <c r="D171" s="101" t="s">
        <v>773</v>
      </c>
      <c r="E171" s="60" t="b">
        <v>1</v>
      </c>
      <c r="F171" s="58" t="s">
        <v>265</v>
      </c>
      <c r="G171" s="64" t="s">
        <v>266</v>
      </c>
      <c r="H171" s="64" t="s">
        <v>267</v>
      </c>
      <c r="I171" s="65" t="s">
        <v>268</v>
      </c>
      <c r="J171" s="66"/>
      <c r="K171" s="63" t="str">
        <f>HYPERLINK("http://nsgreg.nga.mil/genc/view?v=862011&amp;end_month=12&amp;end_day=31&amp;end_year=2016","Correlation")</f>
        <v>Correlation</v>
      </c>
    </row>
    <row r="172" spans="1:11" x14ac:dyDescent="0.2">
      <c r="A172" s="99"/>
      <c r="B172" s="100"/>
      <c r="C172" s="100"/>
      <c r="D172" s="101"/>
      <c r="E172" s="67" t="b">
        <v>0</v>
      </c>
      <c r="F172" s="58" t="s">
        <v>269</v>
      </c>
      <c r="G172" s="66"/>
      <c r="H172" s="66"/>
      <c r="I172" s="68"/>
      <c r="J172" s="64" t="s">
        <v>270</v>
      </c>
      <c r="K172" s="63" t="str">
        <f>HYPERLINK("http://nsgreg.nga.mil/genc/view?v=862012&amp;end_month=12&amp;end_day=31&amp;end_year=2016","Correlation")</f>
        <v>Correlation</v>
      </c>
    </row>
    <row r="173" spans="1:11" x14ac:dyDescent="0.2">
      <c r="A173" s="57" t="s">
        <v>774</v>
      </c>
      <c r="B173" s="58" t="s">
        <v>775</v>
      </c>
      <c r="C173" s="58" t="s">
        <v>776</v>
      </c>
      <c r="D173" s="59" t="s">
        <v>777</v>
      </c>
      <c r="E173" s="60" t="b">
        <v>1</v>
      </c>
      <c r="F173" s="58" t="s">
        <v>774</v>
      </c>
      <c r="G173" s="64" t="s">
        <v>775</v>
      </c>
      <c r="H173" s="64" t="s">
        <v>776</v>
      </c>
      <c r="I173" s="65" t="s">
        <v>777</v>
      </c>
      <c r="J173" s="66"/>
      <c r="K173" s="63" t="str">
        <f>HYPERLINK("http://nsgreg.nga.mil/genc/view?v=862013&amp;end_month=12&amp;end_day=31&amp;end_year=2016","Correlation")</f>
        <v>Correlation</v>
      </c>
    </row>
    <row r="174" spans="1:11" x14ac:dyDescent="0.2">
      <c r="A174" s="57" t="s">
        <v>778</v>
      </c>
      <c r="B174" s="58" t="s">
        <v>779</v>
      </c>
      <c r="C174" s="58" t="s">
        <v>780</v>
      </c>
      <c r="D174" s="59" t="s">
        <v>781</v>
      </c>
      <c r="E174" s="60" t="b">
        <v>1</v>
      </c>
      <c r="F174" s="58" t="s">
        <v>778</v>
      </c>
      <c r="G174" s="64" t="s">
        <v>779</v>
      </c>
      <c r="H174" s="64" t="s">
        <v>780</v>
      </c>
      <c r="I174" s="65" t="s">
        <v>781</v>
      </c>
      <c r="J174" s="66"/>
      <c r="K174" s="63" t="str">
        <f>HYPERLINK("http://nsgreg.nga.mil/genc/view?v=862014&amp;end_month=12&amp;end_day=31&amp;end_year=2016","Correlation")</f>
        <v>Correlation</v>
      </c>
    </row>
    <row r="175" spans="1:11" x14ac:dyDescent="0.2">
      <c r="A175" s="99" t="s">
        <v>782</v>
      </c>
      <c r="B175" s="100" t="s">
        <v>783</v>
      </c>
      <c r="C175" s="100" t="s">
        <v>784</v>
      </c>
      <c r="D175" s="101" t="s">
        <v>785</v>
      </c>
      <c r="E175" s="60" t="b">
        <v>1</v>
      </c>
      <c r="F175" s="58" t="s">
        <v>245</v>
      </c>
      <c r="G175" s="64" t="s">
        <v>246</v>
      </c>
      <c r="H175" s="64" t="s">
        <v>247</v>
      </c>
      <c r="I175" s="65" t="s">
        <v>248</v>
      </c>
      <c r="J175" s="66"/>
      <c r="K175" s="63" t="str">
        <f>HYPERLINK("http://nsgreg.nga.mil/genc/view?v=862015&amp;end_month=12&amp;end_day=31&amp;end_year=2016","Correlation")</f>
        <v>Correlation</v>
      </c>
    </row>
    <row r="176" spans="1:11" x14ac:dyDescent="0.2">
      <c r="A176" s="99"/>
      <c r="B176" s="100"/>
      <c r="C176" s="100"/>
      <c r="D176" s="101"/>
      <c r="E176" s="67" t="b">
        <v>0</v>
      </c>
      <c r="F176" s="58" t="s">
        <v>786</v>
      </c>
      <c r="G176" s="66"/>
      <c r="H176" s="66"/>
      <c r="I176" s="68"/>
      <c r="J176" s="64" t="s">
        <v>787</v>
      </c>
      <c r="K176" s="63" t="str">
        <f>HYPERLINK("http://nsgreg.nga.mil/genc/view?v=862016&amp;end_month=12&amp;end_day=31&amp;end_year=2016","Correlation")</f>
        <v>Correlation</v>
      </c>
    </row>
    <row r="177" spans="1:11" x14ac:dyDescent="0.2">
      <c r="A177" s="99"/>
      <c r="B177" s="100"/>
      <c r="C177" s="100"/>
      <c r="D177" s="101"/>
      <c r="E177" s="67" t="b">
        <v>0</v>
      </c>
      <c r="F177" s="58" t="s">
        <v>251</v>
      </c>
      <c r="G177" s="66"/>
      <c r="H177" s="66"/>
      <c r="I177" s="68"/>
      <c r="J177" s="64" t="s">
        <v>252</v>
      </c>
      <c r="K177" s="63" t="str">
        <f>HYPERLINK("http://nsgreg.nga.mil/genc/view?v=862017&amp;end_month=12&amp;end_day=31&amp;end_year=2016","Correlation")</f>
        <v>Correlation</v>
      </c>
    </row>
    <row r="178" spans="1:11" x14ac:dyDescent="0.2">
      <c r="A178" s="57" t="s">
        <v>788</v>
      </c>
      <c r="B178" s="58" t="s">
        <v>789</v>
      </c>
      <c r="C178" s="58" t="s">
        <v>790</v>
      </c>
      <c r="D178" s="59" t="s">
        <v>791</v>
      </c>
      <c r="E178" s="60" t="b">
        <v>1</v>
      </c>
      <c r="F178" s="58" t="s">
        <v>788</v>
      </c>
      <c r="G178" s="64" t="s">
        <v>789</v>
      </c>
      <c r="H178" s="64" t="s">
        <v>790</v>
      </c>
      <c r="I178" s="65" t="s">
        <v>791</v>
      </c>
      <c r="J178" s="66"/>
      <c r="K178" s="63" t="str">
        <f>HYPERLINK("http://nsgreg.nga.mil/genc/view?v=862018&amp;end_month=12&amp;end_day=31&amp;end_year=2016","Correlation")</f>
        <v>Correlation</v>
      </c>
    </row>
    <row r="179" spans="1:11" x14ac:dyDescent="0.2">
      <c r="A179" s="57" t="s">
        <v>792</v>
      </c>
      <c r="B179" s="58" t="s">
        <v>793</v>
      </c>
      <c r="C179" s="58" t="s">
        <v>794</v>
      </c>
      <c r="D179" s="59" t="s">
        <v>795</v>
      </c>
      <c r="E179" s="60" t="b">
        <v>1</v>
      </c>
      <c r="F179" s="58" t="s">
        <v>796</v>
      </c>
      <c r="G179" s="64" t="s">
        <v>793</v>
      </c>
      <c r="H179" s="64" t="s">
        <v>794</v>
      </c>
      <c r="I179" s="65" t="s">
        <v>795</v>
      </c>
      <c r="J179" s="66"/>
      <c r="K179" s="63" t="str">
        <f>HYPERLINK("http://nsgreg.nga.mil/genc/view?v=862019&amp;end_month=12&amp;end_day=31&amp;end_year=2016","Correlation")</f>
        <v>Correlation</v>
      </c>
    </row>
    <row r="180" spans="1:11" x14ac:dyDescent="0.2">
      <c r="A180" s="57" t="s">
        <v>797</v>
      </c>
      <c r="B180" s="58" t="s">
        <v>798</v>
      </c>
      <c r="C180" s="58" t="s">
        <v>799</v>
      </c>
      <c r="D180" s="59" t="s">
        <v>800</v>
      </c>
      <c r="E180" s="60" t="b">
        <v>1</v>
      </c>
      <c r="F180" s="58" t="s">
        <v>801</v>
      </c>
      <c r="G180" s="64" t="s">
        <v>798</v>
      </c>
      <c r="H180" s="64" t="s">
        <v>799</v>
      </c>
      <c r="I180" s="65" t="s">
        <v>800</v>
      </c>
      <c r="J180" s="66"/>
      <c r="K180" s="63" t="str">
        <f>HYPERLINK("http://nsgreg.nga.mil/genc/view?v=862020&amp;end_month=12&amp;end_day=31&amp;end_year=2016","Correlation")</f>
        <v>Correlation</v>
      </c>
    </row>
    <row r="181" spans="1:11" x14ac:dyDescent="0.2">
      <c r="A181" s="99" t="s">
        <v>802</v>
      </c>
      <c r="B181" s="100" t="s">
        <v>803</v>
      </c>
      <c r="C181" s="100" t="s">
        <v>804</v>
      </c>
      <c r="D181" s="101" t="s">
        <v>805</v>
      </c>
      <c r="E181" s="60" t="b">
        <v>1</v>
      </c>
      <c r="F181" s="61" t="s">
        <v>167</v>
      </c>
      <c r="G181" s="61"/>
      <c r="H181" s="61"/>
      <c r="I181" s="62"/>
      <c r="J181" s="61"/>
      <c r="K181" s="63" t="str">
        <f>HYPERLINK("http://nsgreg.nga.mil/genc/view?v=862021&amp;end_month=12&amp;end_day=31&amp;end_year=2016","Correlation")</f>
        <v>Correlation</v>
      </c>
    </row>
    <row r="182" spans="1:11" x14ac:dyDescent="0.2">
      <c r="A182" s="99"/>
      <c r="B182" s="100"/>
      <c r="C182" s="100"/>
      <c r="D182" s="101"/>
      <c r="E182" s="67" t="b">
        <v>0</v>
      </c>
      <c r="F182" s="58" t="s">
        <v>806</v>
      </c>
      <c r="G182" s="66"/>
      <c r="H182" s="66"/>
      <c r="I182" s="68"/>
      <c r="J182" s="64" t="s">
        <v>807</v>
      </c>
      <c r="K182" s="63" t="str">
        <f>HYPERLINK("http://nsgreg.nga.mil/genc/view?v=862022&amp;end_month=12&amp;end_day=31&amp;end_year=2016","Correlation")</f>
        <v>Correlation</v>
      </c>
    </row>
    <row r="183" spans="1:11" x14ac:dyDescent="0.2">
      <c r="A183" s="57" t="s">
        <v>808</v>
      </c>
      <c r="B183" s="58" t="s">
        <v>809</v>
      </c>
      <c r="C183" s="58" t="s">
        <v>810</v>
      </c>
      <c r="D183" s="59" t="s">
        <v>811</v>
      </c>
      <c r="E183" s="60" t="b">
        <v>1</v>
      </c>
      <c r="F183" s="58" t="s">
        <v>808</v>
      </c>
      <c r="G183" s="64" t="s">
        <v>809</v>
      </c>
      <c r="H183" s="64" t="s">
        <v>810</v>
      </c>
      <c r="I183" s="65" t="s">
        <v>811</v>
      </c>
      <c r="J183" s="66"/>
      <c r="K183" s="63" t="str">
        <f>HYPERLINK("http://nsgreg.nga.mil/genc/view?v=862023&amp;end_month=12&amp;end_day=31&amp;end_year=2016","Correlation")</f>
        <v>Correlation</v>
      </c>
    </row>
    <row r="184" spans="1:11" x14ac:dyDescent="0.2">
      <c r="A184" s="57" t="s">
        <v>812</v>
      </c>
      <c r="B184" s="58" t="s">
        <v>813</v>
      </c>
      <c r="C184" s="58" t="s">
        <v>814</v>
      </c>
      <c r="D184" s="59" t="s">
        <v>815</v>
      </c>
      <c r="E184" s="60" t="b">
        <v>1</v>
      </c>
      <c r="F184" s="58" t="s">
        <v>812</v>
      </c>
      <c r="G184" s="64" t="s">
        <v>813</v>
      </c>
      <c r="H184" s="64" t="s">
        <v>814</v>
      </c>
      <c r="I184" s="65" t="s">
        <v>815</v>
      </c>
      <c r="J184" s="66"/>
      <c r="K184" s="63" t="str">
        <f>HYPERLINK("http://nsgreg.nga.mil/genc/view?v=862024&amp;end_month=12&amp;end_day=31&amp;end_year=2016","Correlation")</f>
        <v>Correlation</v>
      </c>
    </row>
    <row r="185" spans="1:11" x14ac:dyDescent="0.2">
      <c r="A185" s="57" t="s">
        <v>816</v>
      </c>
      <c r="B185" s="58" t="s">
        <v>817</v>
      </c>
      <c r="C185" s="58" t="s">
        <v>818</v>
      </c>
      <c r="D185" s="59" t="s">
        <v>819</v>
      </c>
      <c r="E185" s="60" t="b">
        <v>1</v>
      </c>
      <c r="F185" s="58" t="s">
        <v>820</v>
      </c>
      <c r="G185" s="64" t="s">
        <v>817</v>
      </c>
      <c r="H185" s="64" t="s">
        <v>818</v>
      </c>
      <c r="I185" s="65" t="s">
        <v>819</v>
      </c>
      <c r="J185" s="66"/>
      <c r="K185" s="63" t="str">
        <f>HYPERLINK("http://nsgreg.nga.mil/genc/view?v=862025&amp;end_month=12&amp;end_day=31&amp;end_year=2016","Correlation")</f>
        <v>Correlation</v>
      </c>
    </row>
    <row r="186" spans="1:11" x14ac:dyDescent="0.2">
      <c r="A186" s="57" t="s">
        <v>821</v>
      </c>
      <c r="B186" s="58" t="s">
        <v>822</v>
      </c>
      <c r="C186" s="58" t="s">
        <v>823</v>
      </c>
      <c r="D186" s="59" t="s">
        <v>824</v>
      </c>
      <c r="E186" s="60" t="b">
        <v>1</v>
      </c>
      <c r="F186" s="58" t="s">
        <v>821</v>
      </c>
      <c r="G186" s="64" t="s">
        <v>822</v>
      </c>
      <c r="H186" s="64" t="s">
        <v>823</v>
      </c>
      <c r="I186" s="65" t="s">
        <v>824</v>
      </c>
      <c r="J186" s="66"/>
      <c r="K186" s="63" t="str">
        <f>HYPERLINK("http://nsgreg.nga.mil/genc/view?v=862026&amp;end_month=12&amp;end_day=31&amp;end_year=2016","Correlation")</f>
        <v>Correlation</v>
      </c>
    </row>
    <row r="187" spans="1:11" x14ac:dyDescent="0.2">
      <c r="A187" s="57" t="s">
        <v>825</v>
      </c>
      <c r="B187" s="58" t="s">
        <v>826</v>
      </c>
      <c r="C187" s="58" t="s">
        <v>827</v>
      </c>
      <c r="D187" s="59" t="s">
        <v>828</v>
      </c>
      <c r="E187" s="60" t="b">
        <v>1</v>
      </c>
      <c r="F187" s="58" t="s">
        <v>825</v>
      </c>
      <c r="G187" s="64" t="s">
        <v>826</v>
      </c>
      <c r="H187" s="64" t="s">
        <v>827</v>
      </c>
      <c r="I187" s="65" t="s">
        <v>828</v>
      </c>
      <c r="J187" s="66"/>
      <c r="K187" s="63" t="str">
        <f>HYPERLINK("http://nsgreg.nga.mil/genc/view?v=862027&amp;end_month=12&amp;end_day=31&amp;end_year=2016","Correlation")</f>
        <v>Correlation</v>
      </c>
    </row>
    <row r="188" spans="1:11" x14ac:dyDescent="0.2">
      <c r="A188" s="57" t="s">
        <v>829</v>
      </c>
      <c r="B188" s="58" t="s">
        <v>830</v>
      </c>
      <c r="C188" s="58" t="s">
        <v>831</v>
      </c>
      <c r="D188" s="59" t="s">
        <v>832</v>
      </c>
      <c r="E188" s="60" t="b">
        <v>1</v>
      </c>
      <c r="F188" s="58" t="s">
        <v>829</v>
      </c>
      <c r="G188" s="64" t="s">
        <v>830</v>
      </c>
      <c r="H188" s="64" t="s">
        <v>831</v>
      </c>
      <c r="I188" s="65" t="s">
        <v>832</v>
      </c>
      <c r="J188" s="66"/>
      <c r="K188" s="63" t="str">
        <f>HYPERLINK("http://nsgreg.nga.mil/genc/view?v=862028&amp;end_month=12&amp;end_day=31&amp;end_year=2016","Correlation")</f>
        <v>Correlation</v>
      </c>
    </row>
    <row r="189" spans="1:11" x14ac:dyDescent="0.2">
      <c r="A189" s="57" t="s">
        <v>833</v>
      </c>
      <c r="B189" s="58" t="s">
        <v>834</v>
      </c>
      <c r="C189" s="58" t="s">
        <v>835</v>
      </c>
      <c r="D189" s="59" t="s">
        <v>836</v>
      </c>
      <c r="E189" s="60" t="b">
        <v>1</v>
      </c>
      <c r="F189" s="58" t="s">
        <v>833</v>
      </c>
      <c r="G189" s="64" t="s">
        <v>834</v>
      </c>
      <c r="H189" s="64" t="s">
        <v>835</v>
      </c>
      <c r="I189" s="65" t="s">
        <v>836</v>
      </c>
      <c r="J189" s="66"/>
      <c r="K189" s="63" t="str">
        <f>HYPERLINK("http://nsgreg.nga.mil/genc/view?v=862029&amp;end_month=12&amp;end_day=31&amp;end_year=2016","Correlation")</f>
        <v>Correlation</v>
      </c>
    </row>
    <row r="190" spans="1:11" x14ac:dyDescent="0.2">
      <c r="A190" s="57" t="s">
        <v>837</v>
      </c>
      <c r="B190" s="58" t="s">
        <v>838</v>
      </c>
      <c r="C190" s="58" t="s">
        <v>839</v>
      </c>
      <c r="D190" s="59" t="s">
        <v>840</v>
      </c>
      <c r="E190" s="60" t="b">
        <v>1</v>
      </c>
      <c r="F190" s="58" t="s">
        <v>837</v>
      </c>
      <c r="G190" s="64" t="s">
        <v>838</v>
      </c>
      <c r="H190" s="64" t="s">
        <v>839</v>
      </c>
      <c r="I190" s="65" t="s">
        <v>840</v>
      </c>
      <c r="J190" s="66"/>
      <c r="K190" s="63" t="str">
        <f>HYPERLINK("http://nsgreg.nga.mil/genc/view?v=862030&amp;end_month=12&amp;end_day=31&amp;end_year=2016","Correlation")</f>
        <v>Correlation</v>
      </c>
    </row>
    <row r="191" spans="1:11" x14ac:dyDescent="0.2">
      <c r="A191" s="57" t="s">
        <v>841</v>
      </c>
      <c r="B191" s="58" t="s">
        <v>842</v>
      </c>
      <c r="C191" s="58" t="s">
        <v>843</v>
      </c>
      <c r="D191" s="59" t="s">
        <v>844</v>
      </c>
      <c r="E191" s="60" t="b">
        <v>1</v>
      </c>
      <c r="F191" s="58" t="s">
        <v>841</v>
      </c>
      <c r="G191" s="64" t="s">
        <v>842</v>
      </c>
      <c r="H191" s="64" t="s">
        <v>843</v>
      </c>
      <c r="I191" s="65" t="s">
        <v>844</v>
      </c>
      <c r="J191" s="66"/>
      <c r="K191" s="63" t="str">
        <f>HYPERLINK("http://nsgreg.nga.mil/genc/view?v=862031&amp;end_month=12&amp;end_day=31&amp;end_year=2016","Correlation")</f>
        <v>Correlation</v>
      </c>
    </row>
    <row r="192" spans="1:11" x14ac:dyDescent="0.2">
      <c r="A192" s="57" t="s">
        <v>845</v>
      </c>
      <c r="B192" s="58" t="s">
        <v>846</v>
      </c>
      <c r="C192" s="58" t="s">
        <v>847</v>
      </c>
      <c r="D192" s="59" t="s">
        <v>848</v>
      </c>
      <c r="E192" s="60" t="b">
        <v>1</v>
      </c>
      <c r="F192" s="58" t="s">
        <v>845</v>
      </c>
      <c r="G192" s="64" t="s">
        <v>846</v>
      </c>
      <c r="H192" s="64" t="s">
        <v>847</v>
      </c>
      <c r="I192" s="65" t="s">
        <v>848</v>
      </c>
      <c r="J192" s="66"/>
      <c r="K192" s="63" t="str">
        <f>HYPERLINK("http://nsgreg.nga.mil/genc/view?v=862032&amp;end_month=12&amp;end_day=31&amp;end_year=2016","Correlation")</f>
        <v>Correlation</v>
      </c>
    </row>
    <row r="193" spans="1:11" x14ac:dyDescent="0.2">
      <c r="A193" s="57" t="s">
        <v>849</v>
      </c>
      <c r="B193" s="58" t="s">
        <v>850</v>
      </c>
      <c r="C193" s="58" t="s">
        <v>851</v>
      </c>
      <c r="D193" s="59" t="s">
        <v>852</v>
      </c>
      <c r="E193" s="60" t="b">
        <v>1</v>
      </c>
      <c r="F193" s="58" t="s">
        <v>849</v>
      </c>
      <c r="G193" s="64" t="s">
        <v>850</v>
      </c>
      <c r="H193" s="64" t="s">
        <v>851</v>
      </c>
      <c r="I193" s="65" t="s">
        <v>852</v>
      </c>
      <c r="J193" s="66"/>
      <c r="K193" s="63" t="str">
        <f>HYPERLINK("http://nsgreg.nga.mil/genc/view?v=862033&amp;end_month=12&amp;end_day=31&amp;end_year=2016","Correlation")</f>
        <v>Correlation</v>
      </c>
    </row>
    <row r="194" spans="1:11" x14ac:dyDescent="0.2">
      <c r="A194" s="99" t="s">
        <v>853</v>
      </c>
      <c r="B194" s="100" t="s">
        <v>854</v>
      </c>
      <c r="C194" s="100" t="s">
        <v>855</v>
      </c>
      <c r="D194" s="101" t="s">
        <v>856</v>
      </c>
      <c r="E194" s="60" t="b">
        <v>1</v>
      </c>
      <c r="F194" s="58" t="s">
        <v>857</v>
      </c>
      <c r="G194" s="64" t="s">
        <v>854</v>
      </c>
      <c r="H194" s="64" t="s">
        <v>855</v>
      </c>
      <c r="I194" s="65" t="s">
        <v>856</v>
      </c>
      <c r="J194" s="66"/>
      <c r="K194" s="63" t="str">
        <f>HYPERLINK("http://nsgreg.nga.mil/genc/view?v=862034&amp;end_month=12&amp;end_day=31&amp;end_year=2016","Correlation")</f>
        <v>Correlation</v>
      </c>
    </row>
    <row r="195" spans="1:11" x14ac:dyDescent="0.2">
      <c r="A195" s="99"/>
      <c r="B195" s="100"/>
      <c r="C195" s="100"/>
      <c r="D195" s="101"/>
      <c r="E195" s="67" t="b">
        <v>0</v>
      </c>
      <c r="F195" s="58" t="s">
        <v>858</v>
      </c>
      <c r="G195" s="66"/>
      <c r="H195" s="66"/>
      <c r="I195" s="68"/>
      <c r="J195" s="64" t="s">
        <v>859</v>
      </c>
      <c r="K195" s="63" t="str">
        <f>HYPERLINK("http://nsgreg.nga.mil/genc/view?v=862035&amp;end_month=12&amp;end_day=31&amp;end_year=2016","Correlation")</f>
        <v>Correlation</v>
      </c>
    </row>
    <row r="196" spans="1:11" x14ac:dyDescent="0.2">
      <c r="A196" s="57" t="s">
        <v>860</v>
      </c>
      <c r="B196" s="58" t="s">
        <v>861</v>
      </c>
      <c r="C196" s="58" t="s">
        <v>862</v>
      </c>
      <c r="D196" s="59" t="s">
        <v>863</v>
      </c>
      <c r="E196" s="60" t="b">
        <v>1</v>
      </c>
      <c r="F196" s="58" t="s">
        <v>864</v>
      </c>
      <c r="G196" s="64" t="s">
        <v>861</v>
      </c>
      <c r="H196" s="64" t="s">
        <v>862</v>
      </c>
      <c r="I196" s="65" t="s">
        <v>863</v>
      </c>
      <c r="J196" s="66"/>
      <c r="K196" s="63" t="str">
        <f>HYPERLINK("http://nsgreg.nga.mil/genc/view?v=862036&amp;end_month=12&amp;end_day=31&amp;end_year=2016","Correlation")</f>
        <v>Correlation</v>
      </c>
    </row>
    <row r="197" spans="1:11" x14ac:dyDescent="0.2">
      <c r="A197" s="57" t="s">
        <v>865</v>
      </c>
      <c r="B197" s="58" t="s">
        <v>866</v>
      </c>
      <c r="C197" s="58" t="s">
        <v>867</v>
      </c>
      <c r="D197" s="59" t="s">
        <v>868</v>
      </c>
      <c r="E197" s="60" t="b">
        <v>1</v>
      </c>
      <c r="F197" s="58" t="s">
        <v>865</v>
      </c>
      <c r="G197" s="64" t="s">
        <v>866</v>
      </c>
      <c r="H197" s="64" t="s">
        <v>867</v>
      </c>
      <c r="I197" s="65" t="s">
        <v>868</v>
      </c>
      <c r="J197" s="66"/>
      <c r="K197" s="63" t="str">
        <f>HYPERLINK("http://nsgreg.nga.mil/genc/view?v=862037&amp;end_month=12&amp;end_day=31&amp;end_year=2016","Correlation")</f>
        <v>Correlation</v>
      </c>
    </row>
    <row r="198" spans="1:11" x14ac:dyDescent="0.2">
      <c r="A198" s="57" t="s">
        <v>869</v>
      </c>
      <c r="B198" s="58" t="s">
        <v>870</v>
      </c>
      <c r="C198" s="58" t="s">
        <v>871</v>
      </c>
      <c r="D198" s="59" t="s">
        <v>872</v>
      </c>
      <c r="E198" s="60" t="b">
        <v>1</v>
      </c>
      <c r="F198" s="58" t="s">
        <v>869</v>
      </c>
      <c r="G198" s="64" t="s">
        <v>870</v>
      </c>
      <c r="H198" s="64" t="s">
        <v>871</v>
      </c>
      <c r="I198" s="65" t="s">
        <v>872</v>
      </c>
      <c r="J198" s="66"/>
      <c r="K198" s="63" t="str">
        <f>HYPERLINK("http://nsgreg.nga.mil/genc/view?v=862038&amp;end_month=12&amp;end_day=31&amp;end_year=2016","Correlation")</f>
        <v>Correlation</v>
      </c>
    </row>
    <row r="199" spans="1:11" x14ac:dyDescent="0.2">
      <c r="A199" s="57" t="s">
        <v>873</v>
      </c>
      <c r="B199" s="58" t="s">
        <v>874</v>
      </c>
      <c r="C199" s="58" t="s">
        <v>875</v>
      </c>
      <c r="D199" s="59" t="s">
        <v>876</v>
      </c>
      <c r="E199" s="60" t="b">
        <v>1</v>
      </c>
      <c r="F199" s="58" t="s">
        <v>873</v>
      </c>
      <c r="G199" s="64" t="s">
        <v>874</v>
      </c>
      <c r="H199" s="64" t="s">
        <v>875</v>
      </c>
      <c r="I199" s="65" t="s">
        <v>876</v>
      </c>
      <c r="J199" s="66"/>
      <c r="K199" s="63" t="str">
        <f>HYPERLINK("http://nsgreg.nga.mil/genc/view?v=862039&amp;end_month=12&amp;end_day=31&amp;end_year=2016","Correlation")</f>
        <v>Correlation</v>
      </c>
    </row>
    <row r="200" spans="1:11" x14ac:dyDescent="0.2">
      <c r="A200" s="57" t="s">
        <v>877</v>
      </c>
      <c r="B200" s="58" t="s">
        <v>878</v>
      </c>
      <c r="C200" s="58" t="s">
        <v>879</v>
      </c>
      <c r="D200" s="59" t="s">
        <v>880</v>
      </c>
      <c r="E200" s="60" t="b">
        <v>1</v>
      </c>
      <c r="F200" s="58" t="s">
        <v>877</v>
      </c>
      <c r="G200" s="64" t="s">
        <v>878</v>
      </c>
      <c r="H200" s="64" t="s">
        <v>879</v>
      </c>
      <c r="I200" s="65" t="s">
        <v>880</v>
      </c>
      <c r="J200" s="66"/>
      <c r="K200" s="63" t="str">
        <f>HYPERLINK("http://nsgreg.nga.mil/genc/view?v=862040&amp;end_month=12&amp;end_day=31&amp;end_year=2016","Correlation")</f>
        <v>Correlation</v>
      </c>
    </row>
    <row r="201" spans="1:11" x14ac:dyDescent="0.2">
      <c r="A201" s="57" t="s">
        <v>881</v>
      </c>
      <c r="B201" s="58" t="s">
        <v>882</v>
      </c>
      <c r="C201" s="58" t="s">
        <v>883</v>
      </c>
      <c r="D201" s="59" t="s">
        <v>884</v>
      </c>
      <c r="E201" s="60" t="b">
        <v>1</v>
      </c>
      <c r="F201" s="58" t="s">
        <v>881</v>
      </c>
      <c r="G201" s="64" t="s">
        <v>882</v>
      </c>
      <c r="H201" s="64" t="s">
        <v>883</v>
      </c>
      <c r="I201" s="65" t="s">
        <v>884</v>
      </c>
      <c r="J201" s="66"/>
      <c r="K201" s="63" t="str">
        <f>HYPERLINK("http://nsgreg.nga.mil/genc/view?v=862041&amp;end_month=12&amp;end_day=31&amp;end_year=2016","Correlation")</f>
        <v>Correlation</v>
      </c>
    </row>
    <row r="202" spans="1:11" x14ac:dyDescent="0.2">
      <c r="A202" s="57" t="s">
        <v>885</v>
      </c>
      <c r="B202" s="58" t="s">
        <v>886</v>
      </c>
      <c r="C202" s="58" t="s">
        <v>887</v>
      </c>
      <c r="D202" s="59" t="s">
        <v>888</v>
      </c>
      <c r="E202" s="60" t="b">
        <v>1</v>
      </c>
      <c r="F202" s="58" t="s">
        <v>885</v>
      </c>
      <c r="G202" s="64" t="s">
        <v>886</v>
      </c>
      <c r="H202" s="64" t="s">
        <v>887</v>
      </c>
      <c r="I202" s="65" t="s">
        <v>888</v>
      </c>
      <c r="J202" s="66"/>
      <c r="K202" s="63" t="str">
        <f>HYPERLINK("http://nsgreg.nga.mil/genc/view?v=862042&amp;end_month=12&amp;end_day=31&amp;end_year=2016","Correlation")</f>
        <v>Correlation</v>
      </c>
    </row>
    <row r="203" spans="1:11" x14ac:dyDescent="0.2">
      <c r="A203" s="57" t="s">
        <v>889</v>
      </c>
      <c r="B203" s="58" t="s">
        <v>890</v>
      </c>
      <c r="C203" s="58" t="s">
        <v>891</v>
      </c>
      <c r="D203" s="59" t="s">
        <v>892</v>
      </c>
      <c r="E203" s="60" t="b">
        <v>1</v>
      </c>
      <c r="F203" s="58" t="s">
        <v>889</v>
      </c>
      <c r="G203" s="64" t="s">
        <v>890</v>
      </c>
      <c r="H203" s="64" t="s">
        <v>891</v>
      </c>
      <c r="I203" s="65" t="s">
        <v>892</v>
      </c>
      <c r="J203" s="66"/>
      <c r="K203" s="63" t="str">
        <f>HYPERLINK("http://nsgreg.nga.mil/genc/view?v=862043&amp;end_month=12&amp;end_day=31&amp;end_year=2016","Correlation")</f>
        <v>Correlation</v>
      </c>
    </row>
    <row r="204" spans="1:11" x14ac:dyDescent="0.2">
      <c r="A204" s="99" t="s">
        <v>893</v>
      </c>
      <c r="B204" s="100" t="s">
        <v>894</v>
      </c>
      <c r="C204" s="100" t="s">
        <v>895</v>
      </c>
      <c r="D204" s="101" t="s">
        <v>896</v>
      </c>
      <c r="E204" s="60" t="b">
        <v>1</v>
      </c>
      <c r="F204" s="58" t="s">
        <v>893</v>
      </c>
      <c r="G204" s="64" t="s">
        <v>894</v>
      </c>
      <c r="H204" s="64" t="s">
        <v>895</v>
      </c>
      <c r="I204" s="65" t="s">
        <v>896</v>
      </c>
      <c r="J204" s="66"/>
      <c r="K204" s="63" t="str">
        <f>HYPERLINK("http://nsgreg.nga.mil/genc/view?v=862044&amp;end_month=12&amp;end_day=31&amp;end_year=2016","Correlation")</f>
        <v>Correlation</v>
      </c>
    </row>
    <row r="205" spans="1:11" x14ac:dyDescent="0.2">
      <c r="A205" s="99"/>
      <c r="B205" s="100"/>
      <c r="C205" s="100"/>
      <c r="D205" s="101"/>
      <c r="E205" s="67" t="b">
        <v>0</v>
      </c>
      <c r="F205" s="58" t="s">
        <v>897</v>
      </c>
      <c r="G205" s="66"/>
      <c r="H205" s="66"/>
      <c r="I205" s="68"/>
      <c r="J205" s="64" t="s">
        <v>898</v>
      </c>
      <c r="K205" s="63" t="str">
        <f>HYPERLINK("http://nsgreg.nga.mil/genc/view?v=862045&amp;end_month=12&amp;end_day=31&amp;end_year=2016","Correlation")</f>
        <v>Correlation</v>
      </c>
    </row>
    <row r="206" spans="1:11" x14ac:dyDescent="0.2">
      <c r="A206" s="57" t="s">
        <v>899</v>
      </c>
      <c r="B206" s="58" t="s">
        <v>900</v>
      </c>
      <c r="C206" s="58" t="s">
        <v>901</v>
      </c>
      <c r="D206" s="59" t="s">
        <v>902</v>
      </c>
      <c r="E206" s="60" t="b">
        <v>1</v>
      </c>
      <c r="F206" s="58" t="s">
        <v>899</v>
      </c>
      <c r="G206" s="64" t="s">
        <v>900</v>
      </c>
      <c r="H206" s="64" t="s">
        <v>901</v>
      </c>
      <c r="I206" s="65" t="s">
        <v>902</v>
      </c>
      <c r="J206" s="66"/>
      <c r="K206" s="63" t="str">
        <f>HYPERLINK("http://nsgreg.nga.mil/genc/view?v=862046&amp;end_month=12&amp;end_day=31&amp;end_year=2016","Correlation")</f>
        <v>Correlation</v>
      </c>
    </row>
    <row r="207" spans="1:11" x14ac:dyDescent="0.2">
      <c r="A207" s="57" t="s">
        <v>903</v>
      </c>
      <c r="B207" s="58" t="s">
        <v>904</v>
      </c>
      <c r="C207" s="58" t="s">
        <v>905</v>
      </c>
      <c r="D207" s="59" t="s">
        <v>906</v>
      </c>
      <c r="E207" s="60" t="b">
        <v>1</v>
      </c>
      <c r="F207" s="58" t="s">
        <v>903</v>
      </c>
      <c r="G207" s="64" t="s">
        <v>904</v>
      </c>
      <c r="H207" s="64" t="s">
        <v>905</v>
      </c>
      <c r="I207" s="65" t="s">
        <v>906</v>
      </c>
      <c r="J207" s="66"/>
      <c r="K207" s="63" t="str">
        <f>HYPERLINK("http://nsgreg.nga.mil/genc/view?v=862047&amp;end_month=12&amp;end_day=31&amp;end_year=2016","Correlation")</f>
        <v>Correlation</v>
      </c>
    </row>
    <row r="208" spans="1:11" x14ac:dyDescent="0.2">
      <c r="A208" s="99" t="s">
        <v>907</v>
      </c>
      <c r="B208" s="100" t="s">
        <v>908</v>
      </c>
      <c r="C208" s="100" t="s">
        <v>909</v>
      </c>
      <c r="D208" s="101" t="s">
        <v>910</v>
      </c>
      <c r="E208" s="60" t="b">
        <v>1</v>
      </c>
      <c r="F208" s="58" t="s">
        <v>907</v>
      </c>
      <c r="G208" s="64" t="s">
        <v>908</v>
      </c>
      <c r="H208" s="64" t="s">
        <v>909</v>
      </c>
      <c r="I208" s="65" t="s">
        <v>910</v>
      </c>
      <c r="J208" s="66"/>
      <c r="K208" s="63" t="str">
        <f>HYPERLINK("http://nsgreg.nga.mil/genc/view?v=862048&amp;end_month=12&amp;end_day=31&amp;end_year=2016","Correlation")</f>
        <v>Correlation</v>
      </c>
    </row>
    <row r="209" spans="1:11" x14ac:dyDescent="0.2">
      <c r="A209" s="99"/>
      <c r="B209" s="100"/>
      <c r="C209" s="100"/>
      <c r="D209" s="101"/>
      <c r="E209" s="67" t="b">
        <v>0</v>
      </c>
      <c r="F209" s="58" t="s">
        <v>911</v>
      </c>
      <c r="G209" s="66"/>
      <c r="H209" s="66"/>
      <c r="I209" s="68"/>
      <c r="J209" s="64" t="s">
        <v>912</v>
      </c>
      <c r="K209" s="63" t="str">
        <f>HYPERLINK("http://nsgreg.nga.mil/genc/view?v=862049&amp;end_month=12&amp;end_day=31&amp;end_year=2016","Correlation")</f>
        <v>Correlation</v>
      </c>
    </row>
    <row r="210" spans="1:11" x14ac:dyDescent="0.2">
      <c r="A210" s="99"/>
      <c r="B210" s="100"/>
      <c r="C210" s="100"/>
      <c r="D210" s="101"/>
      <c r="E210" s="67" t="b">
        <v>0</v>
      </c>
      <c r="F210" s="58" t="s">
        <v>911</v>
      </c>
      <c r="G210" s="66"/>
      <c r="H210" s="66"/>
      <c r="I210" s="68"/>
      <c r="J210" s="64" t="s">
        <v>913</v>
      </c>
      <c r="K210" s="63" t="str">
        <f>HYPERLINK("http://nsgreg.nga.mil/genc/view?v=862050&amp;end_month=12&amp;end_day=31&amp;end_year=2016","Correlation")</f>
        <v>Correlation</v>
      </c>
    </row>
    <row r="211" spans="1:11" x14ac:dyDescent="0.2">
      <c r="A211" s="57" t="s">
        <v>914</v>
      </c>
      <c r="B211" s="58" t="s">
        <v>915</v>
      </c>
      <c r="C211" s="58" t="s">
        <v>916</v>
      </c>
      <c r="D211" s="59" t="s">
        <v>917</v>
      </c>
      <c r="E211" s="60" t="b">
        <v>1</v>
      </c>
      <c r="F211" s="58" t="s">
        <v>914</v>
      </c>
      <c r="G211" s="64" t="s">
        <v>915</v>
      </c>
      <c r="H211" s="64" t="s">
        <v>916</v>
      </c>
      <c r="I211" s="65" t="s">
        <v>917</v>
      </c>
      <c r="J211" s="66"/>
      <c r="K211" s="63" t="str">
        <f>HYPERLINK("http://nsgreg.nga.mil/genc/view?v=862051&amp;end_month=12&amp;end_day=31&amp;end_year=2016","Correlation")</f>
        <v>Correlation</v>
      </c>
    </row>
    <row r="212" spans="1:11" x14ac:dyDescent="0.2">
      <c r="A212" s="57" t="s">
        <v>918</v>
      </c>
      <c r="B212" s="58" t="s">
        <v>919</v>
      </c>
      <c r="C212" s="58" t="s">
        <v>920</v>
      </c>
      <c r="D212" s="59" t="s">
        <v>921</v>
      </c>
      <c r="E212" s="60" t="b">
        <v>1</v>
      </c>
      <c r="F212" s="58" t="s">
        <v>922</v>
      </c>
      <c r="G212" s="64" t="s">
        <v>919</v>
      </c>
      <c r="H212" s="64" t="s">
        <v>920</v>
      </c>
      <c r="I212" s="65" t="s">
        <v>921</v>
      </c>
      <c r="J212" s="66"/>
      <c r="K212" s="63" t="str">
        <f>HYPERLINK("http://nsgreg.nga.mil/genc/view?v=862052&amp;end_month=12&amp;end_day=31&amp;end_year=2016","Correlation")</f>
        <v>Correlation</v>
      </c>
    </row>
    <row r="213" spans="1:11" x14ac:dyDescent="0.2">
      <c r="A213" s="99" t="s">
        <v>923</v>
      </c>
      <c r="B213" s="100" t="s">
        <v>924</v>
      </c>
      <c r="C213" s="100" t="s">
        <v>925</v>
      </c>
      <c r="D213" s="101" t="s">
        <v>926</v>
      </c>
      <c r="E213" s="60" t="b">
        <v>1</v>
      </c>
      <c r="F213" s="58" t="s">
        <v>245</v>
      </c>
      <c r="G213" s="64" t="s">
        <v>246</v>
      </c>
      <c r="H213" s="64" t="s">
        <v>247</v>
      </c>
      <c r="I213" s="65" t="s">
        <v>248</v>
      </c>
      <c r="J213" s="66"/>
      <c r="K213" s="63" t="str">
        <f>HYPERLINK("http://nsgreg.nga.mil/genc/view?v=862053&amp;end_month=12&amp;end_day=31&amp;end_year=2016","Correlation")</f>
        <v>Correlation</v>
      </c>
    </row>
    <row r="214" spans="1:11" x14ac:dyDescent="0.2">
      <c r="A214" s="99"/>
      <c r="B214" s="100"/>
      <c r="C214" s="100"/>
      <c r="D214" s="101"/>
      <c r="E214" s="67" t="b">
        <v>0</v>
      </c>
      <c r="F214" s="58" t="s">
        <v>927</v>
      </c>
      <c r="G214" s="66"/>
      <c r="H214" s="66"/>
      <c r="I214" s="68"/>
      <c r="J214" s="64" t="s">
        <v>928</v>
      </c>
      <c r="K214" s="63" t="str">
        <f>HYPERLINK("http://nsgreg.nga.mil/genc/view?v=862054&amp;end_month=12&amp;end_day=31&amp;end_year=2016","Correlation")</f>
        <v>Correlation</v>
      </c>
    </row>
    <row r="215" spans="1:11" x14ac:dyDescent="0.2">
      <c r="A215" s="99"/>
      <c r="B215" s="100"/>
      <c r="C215" s="100"/>
      <c r="D215" s="101"/>
      <c r="E215" s="67" t="b">
        <v>0</v>
      </c>
      <c r="F215" s="58" t="s">
        <v>251</v>
      </c>
      <c r="G215" s="66"/>
      <c r="H215" s="66"/>
      <c r="I215" s="68"/>
      <c r="J215" s="64" t="s">
        <v>252</v>
      </c>
      <c r="K215" s="63" t="str">
        <f>HYPERLINK("http://nsgreg.nga.mil/genc/view?v=862055&amp;end_month=12&amp;end_day=31&amp;end_year=2016","Correlation")</f>
        <v>Correlation</v>
      </c>
    </row>
    <row r="216" spans="1:11" x14ac:dyDescent="0.2">
      <c r="A216" s="57" t="s">
        <v>929</v>
      </c>
      <c r="B216" s="58" t="s">
        <v>930</v>
      </c>
      <c r="C216" s="58" t="s">
        <v>931</v>
      </c>
      <c r="D216" s="59" t="s">
        <v>932</v>
      </c>
      <c r="E216" s="60" t="b">
        <v>1</v>
      </c>
      <c r="F216" s="58" t="s">
        <v>933</v>
      </c>
      <c r="G216" s="64" t="s">
        <v>930</v>
      </c>
      <c r="H216" s="64" t="s">
        <v>931</v>
      </c>
      <c r="I216" s="65" t="s">
        <v>932</v>
      </c>
      <c r="J216" s="66"/>
      <c r="K216" s="63" t="str">
        <f>HYPERLINK("http://nsgreg.nga.mil/genc/view?v=862056&amp;end_month=12&amp;end_day=31&amp;end_year=2016","Correlation")</f>
        <v>Correlation</v>
      </c>
    </row>
    <row r="217" spans="1:11" x14ac:dyDescent="0.2">
      <c r="A217" s="57" t="s">
        <v>934</v>
      </c>
      <c r="B217" s="58" t="s">
        <v>935</v>
      </c>
      <c r="C217" s="58" t="s">
        <v>936</v>
      </c>
      <c r="D217" s="59" t="s">
        <v>937</v>
      </c>
      <c r="E217" s="60" t="b">
        <v>1</v>
      </c>
      <c r="F217" s="58" t="s">
        <v>934</v>
      </c>
      <c r="G217" s="64" t="s">
        <v>935</v>
      </c>
      <c r="H217" s="64" t="s">
        <v>936</v>
      </c>
      <c r="I217" s="65" t="s">
        <v>937</v>
      </c>
      <c r="J217" s="66"/>
      <c r="K217" s="63" t="str">
        <f>HYPERLINK("http://nsgreg.nga.mil/genc/view?v=862057&amp;end_month=12&amp;end_day=31&amp;end_year=2016","Correlation")</f>
        <v>Correlation</v>
      </c>
    </row>
    <row r="218" spans="1:11" x14ac:dyDescent="0.2">
      <c r="A218" s="57" t="s">
        <v>938</v>
      </c>
      <c r="B218" s="58" t="s">
        <v>939</v>
      </c>
      <c r="C218" s="58" t="s">
        <v>940</v>
      </c>
      <c r="D218" s="59" t="s">
        <v>941</v>
      </c>
      <c r="E218" s="60" t="b">
        <v>1</v>
      </c>
      <c r="F218" s="58" t="s">
        <v>938</v>
      </c>
      <c r="G218" s="64" t="s">
        <v>939</v>
      </c>
      <c r="H218" s="64" t="s">
        <v>940</v>
      </c>
      <c r="I218" s="65" t="s">
        <v>941</v>
      </c>
      <c r="J218" s="66"/>
      <c r="K218" s="63" t="str">
        <f>HYPERLINK("http://nsgreg.nga.mil/genc/view?v=862058&amp;end_month=12&amp;end_day=31&amp;end_year=2016","Correlation")</f>
        <v>Correlation</v>
      </c>
    </row>
    <row r="219" spans="1:11" x14ac:dyDescent="0.2">
      <c r="A219" s="57" t="s">
        <v>942</v>
      </c>
      <c r="B219" s="58" t="s">
        <v>943</v>
      </c>
      <c r="C219" s="58" t="s">
        <v>944</v>
      </c>
      <c r="D219" s="59" t="s">
        <v>945</v>
      </c>
      <c r="E219" s="60" t="b">
        <v>1</v>
      </c>
      <c r="F219" s="58" t="s">
        <v>942</v>
      </c>
      <c r="G219" s="64" t="s">
        <v>943</v>
      </c>
      <c r="H219" s="64" t="s">
        <v>944</v>
      </c>
      <c r="I219" s="65" t="s">
        <v>945</v>
      </c>
      <c r="J219" s="66"/>
      <c r="K219" s="63" t="str">
        <f>HYPERLINK("http://nsgreg.nga.mil/genc/view?v=862059&amp;end_month=12&amp;end_day=31&amp;end_year=2016","Correlation")</f>
        <v>Correlation</v>
      </c>
    </row>
    <row r="220" spans="1:11" x14ac:dyDescent="0.2">
      <c r="A220" s="57" t="s">
        <v>946</v>
      </c>
      <c r="B220" s="58" t="s">
        <v>947</v>
      </c>
      <c r="C220" s="58" t="s">
        <v>948</v>
      </c>
      <c r="D220" s="59" t="s">
        <v>949</v>
      </c>
      <c r="E220" s="60" t="b">
        <v>1</v>
      </c>
      <c r="F220" s="58" t="s">
        <v>946</v>
      </c>
      <c r="G220" s="64" t="s">
        <v>947</v>
      </c>
      <c r="H220" s="64" t="s">
        <v>948</v>
      </c>
      <c r="I220" s="65" t="s">
        <v>949</v>
      </c>
      <c r="J220" s="66"/>
      <c r="K220" s="63" t="str">
        <f>HYPERLINK("http://nsgreg.nga.mil/genc/view?v=862060&amp;end_month=12&amp;end_day=31&amp;end_year=2016","Correlation")</f>
        <v>Correlation</v>
      </c>
    </row>
    <row r="221" spans="1:11" x14ac:dyDescent="0.2">
      <c r="A221" s="57" t="s">
        <v>950</v>
      </c>
      <c r="B221" s="58" t="s">
        <v>951</v>
      </c>
      <c r="C221" s="58" t="s">
        <v>952</v>
      </c>
      <c r="D221" s="59" t="s">
        <v>953</v>
      </c>
      <c r="E221" s="60" t="b">
        <v>1</v>
      </c>
      <c r="F221" s="58" t="s">
        <v>950</v>
      </c>
      <c r="G221" s="64" t="s">
        <v>951</v>
      </c>
      <c r="H221" s="64" t="s">
        <v>952</v>
      </c>
      <c r="I221" s="65" t="s">
        <v>953</v>
      </c>
      <c r="J221" s="66"/>
      <c r="K221" s="63" t="str">
        <f>HYPERLINK("http://nsgreg.nga.mil/genc/view?v=862061&amp;end_month=12&amp;end_day=31&amp;end_year=2016","Correlation")</f>
        <v>Correlation</v>
      </c>
    </row>
    <row r="222" spans="1:11" x14ac:dyDescent="0.2">
      <c r="A222" s="57" t="s">
        <v>954</v>
      </c>
      <c r="B222" s="58" t="s">
        <v>955</v>
      </c>
      <c r="C222" s="58" t="s">
        <v>956</v>
      </c>
      <c r="D222" s="59" t="s">
        <v>957</v>
      </c>
      <c r="E222" s="60" t="b">
        <v>1</v>
      </c>
      <c r="F222" s="58" t="s">
        <v>954</v>
      </c>
      <c r="G222" s="64" t="s">
        <v>955</v>
      </c>
      <c r="H222" s="64" t="s">
        <v>956</v>
      </c>
      <c r="I222" s="65" t="s">
        <v>957</v>
      </c>
      <c r="J222" s="66"/>
      <c r="K222" s="63" t="str">
        <f>HYPERLINK("http://nsgreg.nga.mil/genc/view?v=862062&amp;end_month=12&amp;end_day=31&amp;end_year=2016","Correlation")</f>
        <v>Correlation</v>
      </c>
    </row>
    <row r="223" spans="1:11" x14ac:dyDescent="0.2">
      <c r="A223" s="57" t="s">
        <v>958</v>
      </c>
      <c r="B223" s="58" t="s">
        <v>959</v>
      </c>
      <c r="C223" s="58" t="s">
        <v>960</v>
      </c>
      <c r="D223" s="59" t="s">
        <v>961</v>
      </c>
      <c r="E223" s="60" t="b">
        <v>1</v>
      </c>
      <c r="F223" s="58" t="s">
        <v>958</v>
      </c>
      <c r="G223" s="64" t="s">
        <v>959</v>
      </c>
      <c r="H223" s="64" t="s">
        <v>960</v>
      </c>
      <c r="I223" s="65" t="s">
        <v>961</v>
      </c>
      <c r="J223" s="66"/>
      <c r="K223" s="63" t="str">
        <f>HYPERLINK("http://nsgreg.nga.mil/genc/view?v=862063&amp;end_month=12&amp;end_day=31&amp;end_year=2016","Correlation")</f>
        <v>Correlation</v>
      </c>
    </row>
    <row r="224" spans="1:11" x14ac:dyDescent="0.2">
      <c r="A224" s="57" t="s">
        <v>962</v>
      </c>
      <c r="B224" s="58" t="s">
        <v>963</v>
      </c>
      <c r="C224" s="58" t="s">
        <v>964</v>
      </c>
      <c r="D224" s="59" t="s">
        <v>965</v>
      </c>
      <c r="E224" s="60" t="b">
        <v>1</v>
      </c>
      <c r="F224" s="58" t="s">
        <v>962</v>
      </c>
      <c r="G224" s="64" t="s">
        <v>963</v>
      </c>
      <c r="H224" s="64" t="s">
        <v>964</v>
      </c>
      <c r="I224" s="65" t="s">
        <v>965</v>
      </c>
      <c r="J224" s="66"/>
      <c r="K224" s="63" t="str">
        <f>HYPERLINK("http://nsgreg.nga.mil/genc/view?v=862064&amp;end_month=12&amp;end_day=31&amp;end_year=2016","Correlation")</f>
        <v>Correlation</v>
      </c>
    </row>
    <row r="225" spans="1:11" x14ac:dyDescent="0.2">
      <c r="A225" s="99" t="s">
        <v>966</v>
      </c>
      <c r="B225" s="100" t="s">
        <v>967</v>
      </c>
      <c r="C225" s="100" t="s">
        <v>968</v>
      </c>
      <c r="D225" s="101" t="s">
        <v>969</v>
      </c>
      <c r="E225" s="60" t="b">
        <v>1</v>
      </c>
      <c r="F225" s="58" t="s">
        <v>245</v>
      </c>
      <c r="G225" s="64" t="s">
        <v>246</v>
      </c>
      <c r="H225" s="64" t="s">
        <v>247</v>
      </c>
      <c r="I225" s="65" t="s">
        <v>248</v>
      </c>
      <c r="J225" s="66"/>
      <c r="K225" s="63" t="str">
        <f>HYPERLINK("http://nsgreg.nga.mil/genc/view?v=862065&amp;end_month=12&amp;end_day=31&amp;end_year=2016","Correlation")</f>
        <v>Correlation</v>
      </c>
    </row>
    <row r="226" spans="1:11" x14ac:dyDescent="0.2">
      <c r="A226" s="99"/>
      <c r="B226" s="100"/>
      <c r="C226" s="100"/>
      <c r="D226" s="101"/>
      <c r="E226" s="67" t="b">
        <v>0</v>
      </c>
      <c r="F226" s="58" t="s">
        <v>970</v>
      </c>
      <c r="G226" s="66"/>
      <c r="H226" s="66"/>
      <c r="I226" s="68"/>
      <c r="J226" s="64" t="s">
        <v>971</v>
      </c>
      <c r="K226" s="63" t="str">
        <f>HYPERLINK("http://nsgreg.nga.mil/genc/view?v=862066&amp;end_month=12&amp;end_day=31&amp;end_year=2016","Correlation")</f>
        <v>Correlation</v>
      </c>
    </row>
    <row r="227" spans="1:11" x14ac:dyDescent="0.2">
      <c r="A227" s="99"/>
      <c r="B227" s="100"/>
      <c r="C227" s="100"/>
      <c r="D227" s="101"/>
      <c r="E227" s="67" t="b">
        <v>0</v>
      </c>
      <c r="F227" s="58" t="s">
        <v>251</v>
      </c>
      <c r="G227" s="66"/>
      <c r="H227" s="66"/>
      <c r="I227" s="68"/>
      <c r="J227" s="64" t="s">
        <v>252</v>
      </c>
      <c r="K227" s="63" t="str">
        <f>HYPERLINK("http://nsgreg.nga.mil/genc/view?v=862067&amp;end_month=12&amp;end_day=31&amp;end_year=2016","Correlation")</f>
        <v>Correlation</v>
      </c>
    </row>
    <row r="228" spans="1:11" x14ac:dyDescent="0.2">
      <c r="A228" s="57" t="s">
        <v>972</v>
      </c>
      <c r="B228" s="58" t="s">
        <v>973</v>
      </c>
      <c r="C228" s="58" t="s">
        <v>974</v>
      </c>
      <c r="D228" s="59" t="s">
        <v>975</v>
      </c>
      <c r="E228" s="60" t="b">
        <v>1</v>
      </c>
      <c r="F228" s="58" t="s">
        <v>972</v>
      </c>
      <c r="G228" s="64" t="s">
        <v>973</v>
      </c>
      <c r="H228" s="64" t="s">
        <v>974</v>
      </c>
      <c r="I228" s="65" t="s">
        <v>975</v>
      </c>
      <c r="J228" s="66"/>
      <c r="K228" s="63" t="str">
        <f>HYPERLINK("http://nsgreg.nga.mil/genc/view?v=862068&amp;end_month=12&amp;end_day=31&amp;end_year=2016","Correlation")</f>
        <v>Correlation</v>
      </c>
    </row>
    <row r="229" spans="1:11" x14ac:dyDescent="0.2">
      <c r="A229" s="57" t="s">
        <v>305</v>
      </c>
      <c r="B229" s="58" t="s">
        <v>306</v>
      </c>
      <c r="C229" s="58" t="s">
        <v>307</v>
      </c>
      <c r="D229" s="59" t="s">
        <v>308</v>
      </c>
      <c r="E229" s="60" t="b">
        <v>1</v>
      </c>
      <c r="F229" s="58" t="s">
        <v>305</v>
      </c>
      <c r="G229" s="64" t="s">
        <v>306</v>
      </c>
      <c r="H229" s="64" t="s">
        <v>307</v>
      </c>
      <c r="I229" s="65" t="s">
        <v>308</v>
      </c>
      <c r="J229" s="66"/>
      <c r="K229" s="63" t="str">
        <f>HYPERLINK("http://nsgreg.nga.mil/genc/view?v=862069&amp;end_month=12&amp;end_day=31&amp;end_year=2016","Correlation")</f>
        <v>Correlation</v>
      </c>
    </row>
    <row r="230" spans="1:11" x14ac:dyDescent="0.2">
      <c r="A230" s="99" t="s">
        <v>976</v>
      </c>
      <c r="B230" s="100" t="s">
        <v>977</v>
      </c>
      <c r="C230" s="100" t="s">
        <v>978</v>
      </c>
      <c r="D230" s="101" t="s">
        <v>979</v>
      </c>
      <c r="E230" s="60" t="b">
        <v>1</v>
      </c>
      <c r="F230" s="58" t="s">
        <v>976</v>
      </c>
      <c r="G230" s="64" t="s">
        <v>977</v>
      </c>
      <c r="H230" s="64" t="s">
        <v>978</v>
      </c>
      <c r="I230" s="65" t="s">
        <v>979</v>
      </c>
      <c r="J230" s="66"/>
      <c r="K230" s="63" t="str">
        <f>HYPERLINK("http://nsgreg.nga.mil/genc/view?v=862070&amp;end_month=12&amp;end_day=31&amp;end_year=2016","Correlation")</f>
        <v>Correlation</v>
      </c>
    </row>
    <row r="231" spans="1:11" x14ac:dyDescent="0.2">
      <c r="A231" s="99"/>
      <c r="B231" s="100"/>
      <c r="C231" s="100"/>
      <c r="D231" s="101"/>
      <c r="E231" s="67" t="b">
        <v>0</v>
      </c>
      <c r="F231" s="58" t="s">
        <v>980</v>
      </c>
      <c r="G231" s="66"/>
      <c r="H231" s="66"/>
      <c r="I231" s="68"/>
      <c r="J231" s="64" t="s">
        <v>981</v>
      </c>
      <c r="K231" s="63" t="str">
        <f>HYPERLINK("http://nsgreg.nga.mil/genc/view?v=862071&amp;end_month=12&amp;end_day=31&amp;end_year=2016","Correlation")</f>
        <v>Correlation</v>
      </c>
    </row>
    <row r="232" spans="1:11" x14ac:dyDescent="0.2">
      <c r="A232" s="57" t="s">
        <v>982</v>
      </c>
      <c r="B232" s="58" t="s">
        <v>983</v>
      </c>
      <c r="C232" s="58" t="s">
        <v>984</v>
      </c>
      <c r="D232" s="59" t="s">
        <v>985</v>
      </c>
      <c r="E232" s="60" t="b">
        <v>1</v>
      </c>
      <c r="F232" s="58" t="s">
        <v>982</v>
      </c>
      <c r="G232" s="64" t="s">
        <v>983</v>
      </c>
      <c r="H232" s="64" t="s">
        <v>984</v>
      </c>
      <c r="I232" s="65" t="s">
        <v>985</v>
      </c>
      <c r="J232" s="66"/>
      <c r="K232" s="63" t="str">
        <f>HYPERLINK("http://nsgreg.nga.mil/genc/view?v=862072&amp;end_month=12&amp;end_day=31&amp;end_year=2016","Correlation")</f>
        <v>Correlation</v>
      </c>
    </row>
    <row r="233" spans="1:11" x14ac:dyDescent="0.2">
      <c r="A233" s="57" t="s">
        <v>986</v>
      </c>
      <c r="B233" s="58" t="s">
        <v>987</v>
      </c>
      <c r="C233" s="58" t="s">
        <v>988</v>
      </c>
      <c r="D233" s="59" t="s">
        <v>989</v>
      </c>
      <c r="E233" s="60" t="b">
        <v>1</v>
      </c>
      <c r="F233" s="58" t="s">
        <v>986</v>
      </c>
      <c r="G233" s="64" t="s">
        <v>987</v>
      </c>
      <c r="H233" s="64" t="s">
        <v>988</v>
      </c>
      <c r="I233" s="65" t="s">
        <v>989</v>
      </c>
      <c r="J233" s="66"/>
      <c r="K233" s="63" t="str">
        <f>HYPERLINK("http://nsgreg.nga.mil/genc/view?v=862073&amp;end_month=12&amp;end_day=31&amp;end_year=2016","Correlation")</f>
        <v>Correlation</v>
      </c>
    </row>
    <row r="234" spans="1:11" x14ac:dyDescent="0.2">
      <c r="A234" s="57" t="s">
        <v>990</v>
      </c>
      <c r="B234" s="58" t="s">
        <v>991</v>
      </c>
      <c r="C234" s="58" t="s">
        <v>992</v>
      </c>
      <c r="D234" s="59" t="s">
        <v>993</v>
      </c>
      <c r="E234" s="60" t="b">
        <v>1</v>
      </c>
      <c r="F234" s="58" t="s">
        <v>990</v>
      </c>
      <c r="G234" s="64" t="s">
        <v>991</v>
      </c>
      <c r="H234" s="64" t="s">
        <v>992</v>
      </c>
      <c r="I234" s="65" t="s">
        <v>993</v>
      </c>
      <c r="J234" s="66"/>
      <c r="K234" s="63" t="str">
        <f>HYPERLINK("http://nsgreg.nga.mil/genc/view?v=862074&amp;end_month=12&amp;end_day=31&amp;end_year=2016","Correlation")</f>
        <v>Correlation</v>
      </c>
    </row>
    <row r="235" spans="1:11" x14ac:dyDescent="0.2">
      <c r="A235" s="57" t="s">
        <v>994</v>
      </c>
      <c r="B235" s="58" t="s">
        <v>995</v>
      </c>
      <c r="C235" s="58" t="s">
        <v>996</v>
      </c>
      <c r="D235" s="59" t="s">
        <v>997</v>
      </c>
      <c r="E235" s="60" t="b">
        <v>1</v>
      </c>
      <c r="F235" s="58" t="s">
        <v>994</v>
      </c>
      <c r="G235" s="64" t="s">
        <v>995</v>
      </c>
      <c r="H235" s="64" t="s">
        <v>996</v>
      </c>
      <c r="I235" s="65" t="s">
        <v>997</v>
      </c>
      <c r="J235" s="66"/>
      <c r="K235" s="63" t="str">
        <f>HYPERLINK("http://nsgreg.nga.mil/genc/view?v=862075&amp;end_month=12&amp;end_day=31&amp;end_year=2016","Correlation")</f>
        <v>Correlation</v>
      </c>
    </row>
    <row r="236" spans="1:11" x14ac:dyDescent="0.2">
      <c r="A236" s="57" t="s">
        <v>998</v>
      </c>
      <c r="B236" s="58" t="s">
        <v>999</v>
      </c>
      <c r="C236" s="58" t="s">
        <v>1000</v>
      </c>
      <c r="D236" s="59" t="s">
        <v>1001</v>
      </c>
      <c r="E236" s="60" t="b">
        <v>1</v>
      </c>
      <c r="F236" s="58" t="s">
        <v>998</v>
      </c>
      <c r="G236" s="64" t="s">
        <v>999</v>
      </c>
      <c r="H236" s="64" t="s">
        <v>1000</v>
      </c>
      <c r="I236" s="65" t="s">
        <v>1001</v>
      </c>
      <c r="J236" s="66"/>
      <c r="K236" s="63" t="str">
        <f>HYPERLINK("http://nsgreg.nga.mil/genc/view?v=862076&amp;end_month=12&amp;end_day=31&amp;end_year=2016","Correlation")</f>
        <v>Correlation</v>
      </c>
    </row>
    <row r="237" spans="1:11" x14ac:dyDescent="0.2">
      <c r="A237" s="57" t="s">
        <v>1002</v>
      </c>
      <c r="B237" s="58" t="s">
        <v>1003</v>
      </c>
      <c r="C237" s="58" t="s">
        <v>1004</v>
      </c>
      <c r="D237" s="59" t="s">
        <v>1005</v>
      </c>
      <c r="E237" s="60" t="b">
        <v>1</v>
      </c>
      <c r="F237" s="58" t="s">
        <v>1002</v>
      </c>
      <c r="G237" s="64" t="s">
        <v>1003</v>
      </c>
      <c r="H237" s="64" t="s">
        <v>1004</v>
      </c>
      <c r="I237" s="65" t="s">
        <v>1005</v>
      </c>
      <c r="J237" s="66"/>
      <c r="K237" s="63" t="str">
        <f>HYPERLINK("http://nsgreg.nga.mil/genc/view?v=862077&amp;end_month=12&amp;end_day=31&amp;end_year=2016","Correlation")</f>
        <v>Correlation</v>
      </c>
    </row>
    <row r="238" spans="1:11" x14ac:dyDescent="0.2">
      <c r="A238" s="99" t="s">
        <v>1006</v>
      </c>
      <c r="B238" s="100" t="s">
        <v>1007</v>
      </c>
      <c r="C238" s="100" t="s">
        <v>1008</v>
      </c>
      <c r="D238" s="101" t="s">
        <v>1009</v>
      </c>
      <c r="E238" s="60" t="b">
        <v>1</v>
      </c>
      <c r="F238" s="58" t="s">
        <v>1006</v>
      </c>
      <c r="G238" s="64" t="s">
        <v>1007</v>
      </c>
      <c r="H238" s="64" t="s">
        <v>1008</v>
      </c>
      <c r="I238" s="65" t="s">
        <v>1009</v>
      </c>
      <c r="J238" s="66"/>
      <c r="K238" s="63" t="str">
        <f>HYPERLINK("http://nsgreg.nga.mil/genc/view?v=862078&amp;end_month=12&amp;end_day=31&amp;end_year=2016","Correlation")</f>
        <v>Correlation</v>
      </c>
    </row>
    <row r="239" spans="1:11" x14ac:dyDescent="0.2">
      <c r="A239" s="99"/>
      <c r="B239" s="100"/>
      <c r="C239" s="100"/>
      <c r="D239" s="101"/>
      <c r="E239" s="67" t="b">
        <v>0</v>
      </c>
      <c r="F239" s="58" t="s">
        <v>1010</v>
      </c>
      <c r="G239" s="66"/>
      <c r="H239" s="66"/>
      <c r="I239" s="68"/>
      <c r="J239" s="64" t="s">
        <v>1011</v>
      </c>
      <c r="K239" s="63" t="str">
        <f>HYPERLINK("http://nsgreg.nga.mil/genc/view?v=862079&amp;end_month=12&amp;end_day=31&amp;end_year=2016","Correlation")</f>
        <v>Correlation</v>
      </c>
    </row>
    <row r="240" spans="1:11" x14ac:dyDescent="0.2">
      <c r="A240" s="57" t="s">
        <v>1012</v>
      </c>
      <c r="B240" s="58" t="s">
        <v>1013</v>
      </c>
      <c r="C240" s="58" t="s">
        <v>1014</v>
      </c>
      <c r="D240" s="59" t="s">
        <v>1015</v>
      </c>
      <c r="E240" s="60" t="b">
        <v>1</v>
      </c>
      <c r="F240" s="58" t="s">
        <v>1012</v>
      </c>
      <c r="G240" s="64" t="s">
        <v>1013</v>
      </c>
      <c r="H240" s="64" t="s">
        <v>1014</v>
      </c>
      <c r="I240" s="65" t="s">
        <v>1015</v>
      </c>
      <c r="J240" s="66"/>
      <c r="K240" s="63" t="str">
        <f>HYPERLINK("http://nsgreg.nga.mil/genc/view?v=862080&amp;end_month=12&amp;end_day=31&amp;end_year=2016","Correlation")</f>
        <v>Correlation</v>
      </c>
    </row>
    <row r="241" spans="1:11" x14ac:dyDescent="0.2">
      <c r="A241" s="57" t="s">
        <v>1016</v>
      </c>
      <c r="B241" s="58" t="s">
        <v>1017</v>
      </c>
      <c r="C241" s="58" t="s">
        <v>1018</v>
      </c>
      <c r="D241" s="59" t="s">
        <v>1019</v>
      </c>
      <c r="E241" s="60" t="b">
        <v>1</v>
      </c>
      <c r="F241" s="58" t="s">
        <v>1016</v>
      </c>
      <c r="G241" s="64" t="s">
        <v>1017</v>
      </c>
      <c r="H241" s="64" t="s">
        <v>1018</v>
      </c>
      <c r="I241" s="65" t="s">
        <v>1019</v>
      </c>
      <c r="J241" s="66"/>
      <c r="K241" s="63" t="str">
        <f>HYPERLINK("http://nsgreg.nga.mil/genc/view?v=862081&amp;end_month=12&amp;end_day=31&amp;end_year=2016","Correlation")</f>
        <v>Correlation</v>
      </c>
    </row>
    <row r="242" spans="1:11" x14ac:dyDescent="0.2">
      <c r="A242" s="57" t="s">
        <v>1020</v>
      </c>
      <c r="B242" s="58" t="s">
        <v>1021</v>
      </c>
      <c r="C242" s="58" t="s">
        <v>1022</v>
      </c>
      <c r="D242" s="59" t="s">
        <v>1023</v>
      </c>
      <c r="E242" s="60" t="b">
        <v>1</v>
      </c>
      <c r="F242" s="58" t="s">
        <v>1020</v>
      </c>
      <c r="G242" s="64" t="s">
        <v>1021</v>
      </c>
      <c r="H242" s="64" t="s">
        <v>1022</v>
      </c>
      <c r="I242" s="65" t="s">
        <v>1023</v>
      </c>
      <c r="J242" s="66"/>
      <c r="K242" s="63" t="str">
        <f>HYPERLINK("http://nsgreg.nga.mil/genc/view?v=862082&amp;end_month=12&amp;end_day=31&amp;end_year=2016","Correlation")</f>
        <v>Correlation</v>
      </c>
    </row>
    <row r="243" spans="1:11" x14ac:dyDescent="0.2">
      <c r="A243" s="57" t="s">
        <v>1024</v>
      </c>
      <c r="B243" s="58" t="s">
        <v>1025</v>
      </c>
      <c r="C243" s="58" t="s">
        <v>1026</v>
      </c>
      <c r="D243" s="59" t="s">
        <v>1027</v>
      </c>
      <c r="E243" s="60" t="b">
        <v>1</v>
      </c>
      <c r="F243" s="58" t="s">
        <v>1024</v>
      </c>
      <c r="G243" s="64" t="s">
        <v>1025</v>
      </c>
      <c r="H243" s="64" t="s">
        <v>1026</v>
      </c>
      <c r="I243" s="65" t="s">
        <v>1027</v>
      </c>
      <c r="J243" s="66"/>
      <c r="K243" s="63" t="str">
        <f>HYPERLINK("http://nsgreg.nga.mil/genc/view?v=862083&amp;end_month=12&amp;end_day=31&amp;end_year=2016","Correlation")</f>
        <v>Correlation</v>
      </c>
    </row>
    <row r="244" spans="1:11" x14ac:dyDescent="0.2">
      <c r="A244" s="99" t="s">
        <v>1028</v>
      </c>
      <c r="B244" s="100" t="s">
        <v>1029</v>
      </c>
      <c r="C244" s="100" t="s">
        <v>1030</v>
      </c>
      <c r="D244" s="101" t="s">
        <v>1031</v>
      </c>
      <c r="E244" s="60" t="b">
        <v>1</v>
      </c>
      <c r="F244" s="58" t="s">
        <v>245</v>
      </c>
      <c r="G244" s="64" t="s">
        <v>246</v>
      </c>
      <c r="H244" s="64" t="s">
        <v>247</v>
      </c>
      <c r="I244" s="65" t="s">
        <v>248</v>
      </c>
      <c r="J244" s="66"/>
      <c r="K244" s="63" t="str">
        <f>HYPERLINK("http://nsgreg.nga.mil/genc/view?v=862084&amp;end_month=12&amp;end_day=31&amp;end_year=2016","Correlation")</f>
        <v>Correlation</v>
      </c>
    </row>
    <row r="245" spans="1:11" x14ac:dyDescent="0.2">
      <c r="A245" s="99"/>
      <c r="B245" s="100"/>
      <c r="C245" s="100"/>
      <c r="D245" s="101"/>
      <c r="E245" s="67" t="b">
        <v>0</v>
      </c>
      <c r="F245" s="58" t="s">
        <v>1032</v>
      </c>
      <c r="G245" s="66"/>
      <c r="H245" s="66"/>
      <c r="I245" s="68"/>
      <c r="J245" s="64" t="s">
        <v>1033</v>
      </c>
      <c r="K245" s="63" t="str">
        <f>HYPERLINK("http://nsgreg.nga.mil/genc/view?v=862085&amp;end_month=12&amp;end_day=31&amp;end_year=2016","Correlation")</f>
        <v>Correlation</v>
      </c>
    </row>
    <row r="246" spans="1:11" x14ac:dyDescent="0.2">
      <c r="A246" s="99"/>
      <c r="B246" s="100"/>
      <c r="C246" s="100"/>
      <c r="D246" s="101"/>
      <c r="E246" s="67" t="b">
        <v>0</v>
      </c>
      <c r="F246" s="58" t="s">
        <v>251</v>
      </c>
      <c r="G246" s="66"/>
      <c r="H246" s="66"/>
      <c r="I246" s="68"/>
      <c r="J246" s="64" t="s">
        <v>252</v>
      </c>
      <c r="K246" s="63" t="str">
        <f>HYPERLINK("http://nsgreg.nga.mil/genc/view?v=862086&amp;end_month=12&amp;end_day=31&amp;end_year=2016","Correlation")</f>
        <v>Correlation</v>
      </c>
    </row>
    <row r="247" spans="1:11" x14ac:dyDescent="0.2">
      <c r="A247" s="57" t="s">
        <v>1034</v>
      </c>
      <c r="B247" s="58" t="s">
        <v>1035</v>
      </c>
      <c r="C247" s="58" t="s">
        <v>1036</v>
      </c>
      <c r="D247" s="59" t="s">
        <v>1037</v>
      </c>
      <c r="E247" s="60" t="b">
        <v>1</v>
      </c>
      <c r="F247" s="58" t="s">
        <v>1034</v>
      </c>
      <c r="G247" s="64" t="s">
        <v>1035</v>
      </c>
      <c r="H247" s="64" t="s">
        <v>1036</v>
      </c>
      <c r="I247" s="65" t="s">
        <v>1037</v>
      </c>
      <c r="J247" s="66"/>
      <c r="K247" s="63" t="str">
        <f>HYPERLINK("http://nsgreg.nga.mil/genc/view?v=862087&amp;end_month=12&amp;end_day=31&amp;end_year=2016","Correlation")</f>
        <v>Correlation</v>
      </c>
    </row>
    <row r="248" spans="1:11" x14ac:dyDescent="0.2">
      <c r="A248" s="57" t="s">
        <v>1038</v>
      </c>
      <c r="B248" s="58" t="s">
        <v>1039</v>
      </c>
      <c r="C248" s="58" t="s">
        <v>1040</v>
      </c>
      <c r="D248" s="59" t="s">
        <v>1041</v>
      </c>
      <c r="E248" s="60" t="b">
        <v>1</v>
      </c>
      <c r="F248" s="58" t="s">
        <v>1038</v>
      </c>
      <c r="G248" s="64" t="s">
        <v>1039</v>
      </c>
      <c r="H248" s="64" t="s">
        <v>1040</v>
      </c>
      <c r="I248" s="65" t="s">
        <v>1041</v>
      </c>
      <c r="J248" s="66"/>
      <c r="K248" s="63" t="str">
        <f>HYPERLINK("http://nsgreg.nga.mil/genc/view?v=862088&amp;end_month=12&amp;end_day=31&amp;end_year=2016","Correlation")</f>
        <v>Correlation</v>
      </c>
    </row>
    <row r="249" spans="1:11" x14ac:dyDescent="0.2">
      <c r="A249" s="99" t="s">
        <v>1042</v>
      </c>
      <c r="B249" s="100" t="s">
        <v>1043</v>
      </c>
      <c r="C249" s="100" t="s">
        <v>1044</v>
      </c>
      <c r="D249" s="101" t="s">
        <v>1045</v>
      </c>
      <c r="E249" s="67" t="b">
        <v>0</v>
      </c>
      <c r="F249" s="58" t="s">
        <v>392</v>
      </c>
      <c r="G249" s="64" t="s">
        <v>393</v>
      </c>
      <c r="H249" s="64" t="s">
        <v>394</v>
      </c>
      <c r="I249" s="65" t="s">
        <v>395</v>
      </c>
      <c r="J249" s="66"/>
      <c r="K249" s="63" t="str">
        <f>HYPERLINK("http://nsgreg.nga.mil/genc/view?v=862089&amp;end_month=12&amp;end_day=31&amp;end_year=2016","Correlation")</f>
        <v>Correlation</v>
      </c>
    </row>
    <row r="250" spans="1:11" x14ac:dyDescent="0.2">
      <c r="A250" s="99"/>
      <c r="B250" s="100"/>
      <c r="C250" s="100"/>
      <c r="D250" s="101"/>
      <c r="E250" s="67" t="b">
        <v>0</v>
      </c>
      <c r="F250" s="58" t="s">
        <v>1046</v>
      </c>
      <c r="G250" s="64" t="s">
        <v>1047</v>
      </c>
      <c r="H250" s="64" t="s">
        <v>1048</v>
      </c>
      <c r="I250" s="65" t="s">
        <v>1049</v>
      </c>
      <c r="J250" s="66"/>
      <c r="K250" s="63" t="str">
        <f>HYPERLINK("http://nsgreg.nga.mil/genc/view?v=862090&amp;end_month=12&amp;end_day=31&amp;end_year=2016","Correlation")</f>
        <v>Correlation</v>
      </c>
    </row>
    <row r="251" spans="1:11" x14ac:dyDescent="0.2">
      <c r="A251" s="99"/>
      <c r="B251" s="100"/>
      <c r="C251" s="100"/>
      <c r="D251" s="101"/>
      <c r="E251" s="67" t="b">
        <v>0</v>
      </c>
      <c r="F251" s="58" t="s">
        <v>1050</v>
      </c>
      <c r="G251" s="64" t="s">
        <v>1051</v>
      </c>
      <c r="H251" s="64" t="s">
        <v>1052</v>
      </c>
      <c r="I251" s="65" t="s">
        <v>1053</v>
      </c>
      <c r="J251" s="66"/>
      <c r="K251" s="63" t="str">
        <f>HYPERLINK("http://nsgreg.nga.mil/genc/view?v=862091&amp;end_month=12&amp;end_day=31&amp;end_year=2016","Correlation")</f>
        <v>Correlation</v>
      </c>
    </row>
    <row r="252" spans="1:11" x14ac:dyDescent="0.2">
      <c r="A252" s="57" t="s">
        <v>1054</v>
      </c>
      <c r="B252" s="58" t="s">
        <v>1055</v>
      </c>
      <c r="C252" s="58" t="s">
        <v>1056</v>
      </c>
      <c r="D252" s="59" t="s">
        <v>1057</v>
      </c>
      <c r="E252" s="60" t="b">
        <v>1</v>
      </c>
      <c r="F252" s="58" t="s">
        <v>1054</v>
      </c>
      <c r="G252" s="64" t="s">
        <v>1055</v>
      </c>
      <c r="H252" s="64" t="s">
        <v>1056</v>
      </c>
      <c r="I252" s="65" t="s">
        <v>1057</v>
      </c>
      <c r="J252" s="66"/>
      <c r="K252" s="63" t="str">
        <f>HYPERLINK("http://nsgreg.nga.mil/genc/view?v=862092&amp;end_month=12&amp;end_day=31&amp;end_year=2016","Correlation")</f>
        <v>Correlation</v>
      </c>
    </row>
    <row r="253" spans="1:11" x14ac:dyDescent="0.2">
      <c r="A253" s="57" t="s">
        <v>1058</v>
      </c>
      <c r="B253" s="58" t="s">
        <v>1059</v>
      </c>
      <c r="C253" s="58" t="s">
        <v>1060</v>
      </c>
      <c r="D253" s="59" t="s">
        <v>1061</v>
      </c>
      <c r="E253" s="60" t="b">
        <v>1</v>
      </c>
      <c r="F253" s="58" t="s">
        <v>1058</v>
      </c>
      <c r="G253" s="64" t="s">
        <v>1059</v>
      </c>
      <c r="H253" s="64" t="s">
        <v>1060</v>
      </c>
      <c r="I253" s="65" t="s">
        <v>1061</v>
      </c>
      <c r="J253" s="66"/>
      <c r="K253" s="63" t="str">
        <f>HYPERLINK("http://nsgreg.nga.mil/genc/view?v=862093&amp;end_month=12&amp;end_day=31&amp;end_year=2016","Correlation")</f>
        <v>Correlation</v>
      </c>
    </row>
    <row r="254" spans="1:11" x14ac:dyDescent="0.2">
      <c r="A254" s="57" t="s">
        <v>1062</v>
      </c>
      <c r="B254" s="58" t="s">
        <v>1063</v>
      </c>
      <c r="C254" s="58" t="s">
        <v>1064</v>
      </c>
      <c r="D254" s="59" t="s">
        <v>1065</v>
      </c>
      <c r="E254" s="60" t="b">
        <v>1</v>
      </c>
      <c r="F254" s="58" t="s">
        <v>1062</v>
      </c>
      <c r="G254" s="64" t="s">
        <v>1063</v>
      </c>
      <c r="H254" s="64" t="s">
        <v>1064</v>
      </c>
      <c r="I254" s="65" t="s">
        <v>1065</v>
      </c>
      <c r="J254" s="66"/>
      <c r="K254" s="63" t="str">
        <f>HYPERLINK("http://nsgreg.nga.mil/genc/view?v=862094&amp;end_month=12&amp;end_day=31&amp;end_year=2016","Correlation")</f>
        <v>Correlation</v>
      </c>
    </row>
    <row r="255" spans="1:11" x14ac:dyDescent="0.2">
      <c r="A255" s="57" t="s">
        <v>1066</v>
      </c>
      <c r="B255" s="58" t="s">
        <v>1067</v>
      </c>
      <c r="C255" s="58" t="s">
        <v>1068</v>
      </c>
      <c r="D255" s="59" t="s">
        <v>1069</v>
      </c>
      <c r="E255" s="60" t="b">
        <v>1</v>
      </c>
      <c r="F255" s="58" t="s">
        <v>1070</v>
      </c>
      <c r="G255" s="64" t="s">
        <v>1067</v>
      </c>
      <c r="H255" s="64" t="s">
        <v>1068</v>
      </c>
      <c r="I255" s="65" t="s">
        <v>1069</v>
      </c>
      <c r="J255" s="66"/>
      <c r="K255" s="63" t="str">
        <f>HYPERLINK("http://nsgreg.nga.mil/genc/view?v=862095&amp;end_month=12&amp;end_day=31&amp;end_year=2016","Correlation")</f>
        <v>Correlation</v>
      </c>
    </row>
    <row r="256" spans="1:11" x14ac:dyDescent="0.2">
      <c r="A256" s="57" t="s">
        <v>1071</v>
      </c>
      <c r="B256" s="58" t="s">
        <v>1072</v>
      </c>
      <c r="C256" s="58" t="s">
        <v>1073</v>
      </c>
      <c r="D256" s="59" t="s">
        <v>1074</v>
      </c>
      <c r="E256" s="60" t="b">
        <v>1</v>
      </c>
      <c r="F256" s="58" t="s">
        <v>1071</v>
      </c>
      <c r="G256" s="64" t="s">
        <v>1072</v>
      </c>
      <c r="H256" s="64" t="s">
        <v>1073</v>
      </c>
      <c r="I256" s="65" t="s">
        <v>1074</v>
      </c>
      <c r="J256" s="66"/>
      <c r="K256" s="63" t="str">
        <f>HYPERLINK("http://nsgreg.nga.mil/genc/view?v=862096&amp;end_month=12&amp;end_day=31&amp;end_year=2016","Correlation")</f>
        <v>Correlation</v>
      </c>
    </row>
    <row r="257" spans="1:11" x14ac:dyDescent="0.2">
      <c r="A257" s="57" t="s">
        <v>1075</v>
      </c>
      <c r="B257" s="58" t="s">
        <v>1076</v>
      </c>
      <c r="C257" s="58" t="s">
        <v>1077</v>
      </c>
      <c r="D257" s="59" t="s">
        <v>1078</v>
      </c>
      <c r="E257" s="60" t="b">
        <v>1</v>
      </c>
      <c r="F257" s="58" t="s">
        <v>1075</v>
      </c>
      <c r="G257" s="64" t="s">
        <v>1076</v>
      </c>
      <c r="H257" s="64" t="s">
        <v>1077</v>
      </c>
      <c r="I257" s="65" t="s">
        <v>1078</v>
      </c>
      <c r="J257" s="66"/>
      <c r="K257" s="63" t="str">
        <f>HYPERLINK("http://nsgreg.nga.mil/genc/view?v=862097&amp;end_month=12&amp;end_day=31&amp;end_year=2016","Correlation")</f>
        <v>Correlation</v>
      </c>
    </row>
    <row r="258" spans="1:11" x14ac:dyDescent="0.2">
      <c r="A258" s="99" t="s">
        <v>1079</v>
      </c>
      <c r="B258" s="100" t="s">
        <v>1080</v>
      </c>
      <c r="C258" s="100" t="s">
        <v>1081</v>
      </c>
      <c r="D258" s="101" t="s">
        <v>1082</v>
      </c>
      <c r="E258" s="60" t="b">
        <v>1</v>
      </c>
      <c r="F258" s="58" t="s">
        <v>1079</v>
      </c>
      <c r="G258" s="64" t="s">
        <v>1080</v>
      </c>
      <c r="H258" s="64" t="s">
        <v>1081</v>
      </c>
      <c r="I258" s="65" t="s">
        <v>1082</v>
      </c>
      <c r="J258" s="66"/>
      <c r="K258" s="63" t="str">
        <f>HYPERLINK("http://nsgreg.nga.mil/genc/view?v=862098&amp;end_month=12&amp;end_day=31&amp;end_year=2016","Correlation")</f>
        <v>Correlation</v>
      </c>
    </row>
    <row r="259" spans="1:11" x14ac:dyDescent="0.2">
      <c r="A259" s="99"/>
      <c r="B259" s="100"/>
      <c r="C259" s="100"/>
      <c r="D259" s="101"/>
      <c r="E259" s="67" t="b">
        <v>0</v>
      </c>
      <c r="F259" s="58" t="s">
        <v>1083</v>
      </c>
      <c r="G259" s="66"/>
      <c r="H259" s="66"/>
      <c r="I259" s="68"/>
      <c r="J259" s="64" t="s">
        <v>1084</v>
      </c>
      <c r="K259" s="63" t="str">
        <f>HYPERLINK("http://nsgreg.nga.mil/genc/view?v=862099&amp;end_month=12&amp;end_day=31&amp;end_year=2016","Correlation")</f>
        <v>Correlation</v>
      </c>
    </row>
    <row r="260" spans="1:11" x14ac:dyDescent="0.2">
      <c r="A260" s="57" t="s">
        <v>1085</v>
      </c>
      <c r="B260" s="58" t="s">
        <v>1086</v>
      </c>
      <c r="C260" s="58" t="s">
        <v>1087</v>
      </c>
      <c r="D260" s="59" t="s">
        <v>1088</v>
      </c>
      <c r="E260" s="60" t="b">
        <v>1</v>
      </c>
      <c r="F260" s="58" t="s">
        <v>1085</v>
      </c>
      <c r="G260" s="64" t="s">
        <v>1086</v>
      </c>
      <c r="H260" s="64" t="s">
        <v>1087</v>
      </c>
      <c r="I260" s="65" t="s">
        <v>1088</v>
      </c>
      <c r="J260" s="66"/>
      <c r="K260" s="63" t="str">
        <f>HYPERLINK("http://nsgreg.nga.mil/genc/view?v=862100&amp;end_month=12&amp;end_day=31&amp;end_year=2016","Correlation")</f>
        <v>Correlation</v>
      </c>
    </row>
    <row r="261" spans="1:11" x14ac:dyDescent="0.2">
      <c r="A261" s="99" t="s">
        <v>1089</v>
      </c>
      <c r="B261" s="100" t="s">
        <v>1090</v>
      </c>
      <c r="C261" s="100" t="s">
        <v>1091</v>
      </c>
      <c r="D261" s="101" t="s">
        <v>1092</v>
      </c>
      <c r="E261" s="60" t="b">
        <v>1</v>
      </c>
      <c r="F261" s="58" t="s">
        <v>1093</v>
      </c>
      <c r="G261" s="64" t="s">
        <v>1090</v>
      </c>
      <c r="H261" s="64" t="s">
        <v>1091</v>
      </c>
      <c r="I261" s="65" t="s">
        <v>1092</v>
      </c>
      <c r="J261" s="66"/>
      <c r="K261" s="63" t="str">
        <f>HYPERLINK("http://nsgreg.nga.mil/genc/view?v=862101&amp;end_month=12&amp;end_day=31&amp;end_year=2016","Correlation")</f>
        <v>Correlation</v>
      </c>
    </row>
    <row r="262" spans="1:11" x14ac:dyDescent="0.2">
      <c r="A262" s="99"/>
      <c r="B262" s="100"/>
      <c r="C262" s="100"/>
      <c r="D262" s="101"/>
      <c r="E262" s="67" t="b">
        <v>0</v>
      </c>
      <c r="F262" s="58" t="s">
        <v>1094</v>
      </c>
      <c r="G262" s="66"/>
      <c r="H262" s="66"/>
      <c r="I262" s="68"/>
      <c r="J262" s="64" t="s">
        <v>1095</v>
      </c>
      <c r="K262" s="63" t="str">
        <f>HYPERLINK("http://nsgreg.nga.mil/genc/view?v=862102&amp;end_month=12&amp;end_day=31&amp;end_year=2016","Correlation")</f>
        <v>Correlation</v>
      </c>
    </row>
    <row r="263" spans="1:11" x14ac:dyDescent="0.2">
      <c r="A263" s="99"/>
      <c r="B263" s="100"/>
      <c r="C263" s="100"/>
      <c r="D263" s="101"/>
      <c r="E263" s="67" t="b">
        <v>0</v>
      </c>
      <c r="F263" s="58" t="s">
        <v>1094</v>
      </c>
      <c r="G263" s="66"/>
      <c r="H263" s="66"/>
      <c r="I263" s="68"/>
      <c r="J263" s="64" t="s">
        <v>1096</v>
      </c>
      <c r="K263" s="63" t="str">
        <f>HYPERLINK("http://nsgreg.nga.mil/genc/view?v=862103&amp;end_month=12&amp;end_day=31&amp;end_year=2016","Correlation")</f>
        <v>Correlation</v>
      </c>
    </row>
    <row r="264" spans="1:11" x14ac:dyDescent="0.2">
      <c r="A264" s="57" t="s">
        <v>1097</v>
      </c>
      <c r="B264" s="58" t="s">
        <v>1098</v>
      </c>
      <c r="C264" s="58" t="s">
        <v>1099</v>
      </c>
      <c r="D264" s="59" t="s">
        <v>1100</v>
      </c>
      <c r="E264" s="60" t="b">
        <v>1</v>
      </c>
      <c r="F264" s="58" t="s">
        <v>1097</v>
      </c>
      <c r="G264" s="64" t="s">
        <v>1098</v>
      </c>
      <c r="H264" s="64" t="s">
        <v>1099</v>
      </c>
      <c r="I264" s="65" t="s">
        <v>1100</v>
      </c>
      <c r="J264" s="66"/>
      <c r="K264" s="63" t="str">
        <f>HYPERLINK("http://nsgreg.nga.mil/genc/view?v=862104&amp;end_month=12&amp;end_day=31&amp;end_year=2016","Correlation")</f>
        <v>Correlation</v>
      </c>
    </row>
    <row r="265" spans="1:11" x14ac:dyDescent="0.2">
      <c r="A265" s="57" t="s">
        <v>1101</v>
      </c>
      <c r="B265" s="58" t="s">
        <v>1102</v>
      </c>
      <c r="C265" s="58" t="s">
        <v>1103</v>
      </c>
      <c r="D265" s="59" t="s">
        <v>1104</v>
      </c>
      <c r="E265" s="60" t="b">
        <v>1</v>
      </c>
      <c r="F265" s="58" t="s">
        <v>1105</v>
      </c>
      <c r="G265" s="64" t="s">
        <v>1102</v>
      </c>
      <c r="H265" s="64" t="s">
        <v>1103</v>
      </c>
      <c r="I265" s="65" t="s">
        <v>1104</v>
      </c>
      <c r="J265" s="66"/>
      <c r="K265" s="63" t="str">
        <f>HYPERLINK("http://nsgreg.nga.mil/genc/view?v=862105&amp;end_month=12&amp;end_day=31&amp;end_year=2016","Correlation")</f>
        <v>Correlation</v>
      </c>
    </row>
    <row r="266" spans="1:11" x14ac:dyDescent="0.2">
      <c r="A266" s="57" t="s">
        <v>1106</v>
      </c>
      <c r="B266" s="58" t="s">
        <v>1107</v>
      </c>
      <c r="C266" s="58" t="s">
        <v>1108</v>
      </c>
      <c r="D266" s="59" t="s">
        <v>1109</v>
      </c>
      <c r="E266" s="60" t="b">
        <v>1</v>
      </c>
      <c r="F266" s="58" t="s">
        <v>1106</v>
      </c>
      <c r="G266" s="64" t="s">
        <v>1107</v>
      </c>
      <c r="H266" s="64" t="s">
        <v>1108</v>
      </c>
      <c r="I266" s="65" t="s">
        <v>1109</v>
      </c>
      <c r="J266" s="66"/>
      <c r="K266" s="63" t="str">
        <f>HYPERLINK("http://nsgreg.nga.mil/genc/view?v=862106&amp;end_month=12&amp;end_day=31&amp;end_year=2016","Correlation")</f>
        <v>Correlation</v>
      </c>
    </row>
    <row r="267" spans="1:11" x14ac:dyDescent="0.2">
      <c r="A267" s="99" t="s">
        <v>1110</v>
      </c>
      <c r="B267" s="100" t="s">
        <v>1111</v>
      </c>
      <c r="C267" s="100" t="s">
        <v>1112</v>
      </c>
      <c r="D267" s="101" t="s">
        <v>1113</v>
      </c>
      <c r="E267" s="60" t="b">
        <v>1</v>
      </c>
      <c r="F267" s="58" t="s">
        <v>1114</v>
      </c>
      <c r="G267" s="64" t="s">
        <v>1111</v>
      </c>
      <c r="H267" s="64" t="s">
        <v>1112</v>
      </c>
      <c r="I267" s="65" t="s">
        <v>1113</v>
      </c>
      <c r="J267" s="66"/>
      <c r="K267" s="63" t="str">
        <f>HYPERLINK("http://nsgreg.nga.mil/genc/view?v=862107&amp;end_month=12&amp;end_day=31&amp;end_year=2016","Correlation")</f>
        <v>Correlation</v>
      </c>
    </row>
    <row r="268" spans="1:11" x14ac:dyDescent="0.2">
      <c r="A268" s="99"/>
      <c r="B268" s="100"/>
      <c r="C268" s="100"/>
      <c r="D268" s="101"/>
      <c r="E268" s="67" t="b">
        <v>0</v>
      </c>
      <c r="F268" s="58" t="s">
        <v>1115</v>
      </c>
      <c r="G268" s="66"/>
      <c r="H268" s="66"/>
      <c r="I268" s="68"/>
      <c r="J268" s="64" t="s">
        <v>1116</v>
      </c>
      <c r="K268" s="63" t="str">
        <f>HYPERLINK("http://nsgreg.nga.mil/genc/view?v=862108&amp;end_month=12&amp;end_day=31&amp;end_year=2016","Correlation")</f>
        <v>Correlation</v>
      </c>
    </row>
    <row r="269" spans="1:11" x14ac:dyDescent="0.2">
      <c r="A269" s="57" t="s">
        <v>1117</v>
      </c>
      <c r="B269" s="58" t="s">
        <v>1118</v>
      </c>
      <c r="C269" s="58" t="s">
        <v>1119</v>
      </c>
      <c r="D269" s="59" t="s">
        <v>1120</v>
      </c>
      <c r="E269" s="60" t="b">
        <v>1</v>
      </c>
      <c r="F269" s="58" t="s">
        <v>1121</v>
      </c>
      <c r="G269" s="64" t="s">
        <v>1118</v>
      </c>
      <c r="H269" s="64" t="s">
        <v>1119</v>
      </c>
      <c r="I269" s="65" t="s">
        <v>1120</v>
      </c>
      <c r="J269" s="66"/>
      <c r="K269" s="63" t="str">
        <f>HYPERLINK("http://nsgreg.nga.mil/genc/view?v=862109&amp;end_month=12&amp;end_day=31&amp;end_year=2016","Correlation")</f>
        <v>Correlation</v>
      </c>
    </row>
    <row r="270" spans="1:11" x14ac:dyDescent="0.2">
      <c r="A270" s="57" t="s">
        <v>1122</v>
      </c>
      <c r="B270" s="58" t="s">
        <v>1123</v>
      </c>
      <c r="C270" s="58" t="s">
        <v>1124</v>
      </c>
      <c r="D270" s="59" t="s">
        <v>1125</v>
      </c>
      <c r="E270" s="60" t="b">
        <v>1</v>
      </c>
      <c r="F270" s="58" t="s">
        <v>1122</v>
      </c>
      <c r="G270" s="64" t="s">
        <v>1123</v>
      </c>
      <c r="H270" s="64" t="s">
        <v>1124</v>
      </c>
      <c r="I270" s="65" t="s">
        <v>1125</v>
      </c>
      <c r="J270" s="66"/>
      <c r="K270" s="63" t="str">
        <f>HYPERLINK("http://nsgreg.nga.mil/genc/view?v=862110&amp;end_month=12&amp;end_day=31&amp;end_year=2016","Correlation")</f>
        <v>Correlation</v>
      </c>
    </row>
    <row r="271" spans="1:11" x14ac:dyDescent="0.2">
      <c r="A271" s="57" t="s">
        <v>1126</v>
      </c>
      <c r="B271" s="58" t="s">
        <v>1127</v>
      </c>
      <c r="C271" s="58" t="s">
        <v>1128</v>
      </c>
      <c r="D271" s="59" t="s">
        <v>1129</v>
      </c>
      <c r="E271" s="60" t="b">
        <v>1</v>
      </c>
      <c r="F271" s="58" t="s">
        <v>1126</v>
      </c>
      <c r="G271" s="64" t="s">
        <v>1127</v>
      </c>
      <c r="H271" s="64" t="s">
        <v>1128</v>
      </c>
      <c r="I271" s="65" t="s">
        <v>1129</v>
      </c>
      <c r="J271" s="66"/>
      <c r="K271" s="63" t="str">
        <f>HYPERLINK("http://nsgreg.nga.mil/genc/view?v=862111&amp;end_month=12&amp;end_day=31&amp;end_year=2016","Correlation")</f>
        <v>Correlation</v>
      </c>
    </row>
    <row r="272" spans="1:11" x14ac:dyDescent="0.2">
      <c r="A272" s="99" t="s">
        <v>1130</v>
      </c>
      <c r="B272" s="100" t="s">
        <v>1131</v>
      </c>
      <c r="C272" s="100" t="s">
        <v>1132</v>
      </c>
      <c r="D272" s="101" t="s">
        <v>1133</v>
      </c>
      <c r="E272" s="60" t="b">
        <v>1</v>
      </c>
      <c r="F272" s="58" t="s">
        <v>1134</v>
      </c>
      <c r="G272" s="64" t="s">
        <v>1131</v>
      </c>
      <c r="H272" s="64" t="s">
        <v>1132</v>
      </c>
      <c r="I272" s="65" t="s">
        <v>1133</v>
      </c>
      <c r="J272" s="66"/>
      <c r="K272" s="63" t="str">
        <f>HYPERLINK("http://nsgreg.nga.mil/genc/view?v=862112&amp;end_month=12&amp;end_day=31&amp;end_year=2016","Correlation")</f>
        <v>Correlation</v>
      </c>
    </row>
    <row r="273" spans="1:11" x14ac:dyDescent="0.2">
      <c r="A273" s="99"/>
      <c r="B273" s="100"/>
      <c r="C273" s="100"/>
      <c r="D273" s="101"/>
      <c r="E273" s="67" t="b">
        <v>0</v>
      </c>
      <c r="F273" s="58" t="s">
        <v>1135</v>
      </c>
      <c r="G273" s="66"/>
      <c r="H273" s="66"/>
      <c r="I273" s="68"/>
      <c r="J273" s="64" t="s">
        <v>1136</v>
      </c>
      <c r="K273" s="63" t="str">
        <f>HYPERLINK("http://nsgreg.nga.mil/genc/view?v=862113&amp;end_month=12&amp;end_day=31&amp;end_year=2016","Correlation")</f>
        <v>Correlation</v>
      </c>
    </row>
    <row r="274" spans="1:11" x14ac:dyDescent="0.2">
      <c r="A274" s="99" t="s">
        <v>1137</v>
      </c>
      <c r="B274" s="100" t="s">
        <v>1138</v>
      </c>
      <c r="C274" s="100" t="s">
        <v>1139</v>
      </c>
      <c r="D274" s="101" t="s">
        <v>1140</v>
      </c>
      <c r="E274" s="60" t="b">
        <v>1</v>
      </c>
      <c r="F274" s="58" t="s">
        <v>1137</v>
      </c>
      <c r="G274" s="64" t="s">
        <v>1138</v>
      </c>
      <c r="H274" s="64" t="s">
        <v>1139</v>
      </c>
      <c r="I274" s="65" t="s">
        <v>1140</v>
      </c>
      <c r="J274" s="66"/>
      <c r="K274" s="63" t="str">
        <f>HYPERLINK("http://nsgreg.nga.mil/genc/view?v=862114&amp;end_month=12&amp;end_day=31&amp;end_year=2016","Correlation")</f>
        <v>Correlation</v>
      </c>
    </row>
    <row r="275" spans="1:11" x14ac:dyDescent="0.2">
      <c r="A275" s="99"/>
      <c r="B275" s="100"/>
      <c r="C275" s="100"/>
      <c r="D275" s="101"/>
      <c r="E275" s="67" t="b">
        <v>0</v>
      </c>
      <c r="F275" s="58" t="s">
        <v>1141</v>
      </c>
      <c r="G275" s="66"/>
      <c r="H275" s="66"/>
      <c r="I275" s="68"/>
      <c r="J275" s="64" t="s">
        <v>1142</v>
      </c>
      <c r="K275" s="63" t="str">
        <f>HYPERLINK("http://nsgreg.nga.mil/genc/view?v=862115&amp;end_month=12&amp;end_day=31&amp;end_year=2016","Correlation")</f>
        <v>Correlation</v>
      </c>
    </row>
    <row r="276" spans="1:11" x14ac:dyDescent="0.2">
      <c r="A276" s="57" t="s">
        <v>1143</v>
      </c>
      <c r="B276" s="58" t="s">
        <v>1144</v>
      </c>
      <c r="C276" s="58" t="s">
        <v>1145</v>
      </c>
      <c r="D276" s="59" t="s">
        <v>1146</v>
      </c>
      <c r="E276" s="60" t="b">
        <v>1</v>
      </c>
      <c r="F276" s="58" t="s">
        <v>1143</v>
      </c>
      <c r="G276" s="64" t="s">
        <v>1144</v>
      </c>
      <c r="H276" s="64" t="s">
        <v>1145</v>
      </c>
      <c r="I276" s="65" t="s">
        <v>1146</v>
      </c>
      <c r="J276" s="66"/>
      <c r="K276" s="63" t="str">
        <f>HYPERLINK("http://nsgreg.nga.mil/genc/view?v=862116&amp;end_month=12&amp;end_day=31&amp;end_year=2016","Correlation")</f>
        <v>Correlation</v>
      </c>
    </row>
    <row r="277" spans="1:11" x14ac:dyDescent="0.2">
      <c r="A277" s="57" t="s">
        <v>1147</v>
      </c>
      <c r="B277" s="58" t="s">
        <v>1148</v>
      </c>
      <c r="C277" s="58" t="s">
        <v>1149</v>
      </c>
      <c r="D277" s="59" t="s">
        <v>1150</v>
      </c>
      <c r="E277" s="60" t="b">
        <v>1</v>
      </c>
      <c r="F277" s="58" t="s">
        <v>1147</v>
      </c>
      <c r="G277" s="64" t="s">
        <v>1148</v>
      </c>
      <c r="H277" s="64" t="s">
        <v>1149</v>
      </c>
      <c r="I277" s="65" t="s">
        <v>1150</v>
      </c>
      <c r="J277" s="66"/>
      <c r="K277" s="63" t="str">
        <f>HYPERLINK("http://nsgreg.nga.mil/genc/view?v=862117&amp;end_month=12&amp;end_day=31&amp;end_year=2016","Correlation")</f>
        <v>Correlation</v>
      </c>
    </row>
    <row r="278" spans="1:11" x14ac:dyDescent="0.2">
      <c r="A278" s="57" t="s">
        <v>1151</v>
      </c>
      <c r="B278" s="58" t="s">
        <v>1152</v>
      </c>
      <c r="C278" s="58" t="s">
        <v>1153</v>
      </c>
      <c r="D278" s="59" t="s">
        <v>1154</v>
      </c>
      <c r="E278" s="60" t="b">
        <v>1</v>
      </c>
      <c r="F278" s="58" t="s">
        <v>1151</v>
      </c>
      <c r="G278" s="64" t="s">
        <v>1152</v>
      </c>
      <c r="H278" s="64" t="s">
        <v>1153</v>
      </c>
      <c r="I278" s="65" t="s">
        <v>1154</v>
      </c>
      <c r="J278" s="66"/>
      <c r="K278" s="63" t="str">
        <f>HYPERLINK("http://nsgreg.nga.mil/genc/view?v=862118&amp;end_month=12&amp;end_day=31&amp;end_year=2016","Correlation")</f>
        <v>Correlation</v>
      </c>
    </row>
    <row r="279" spans="1:11" x14ac:dyDescent="0.2">
      <c r="A279" s="57" t="s">
        <v>1155</v>
      </c>
      <c r="B279" s="58" t="s">
        <v>1156</v>
      </c>
      <c r="C279" s="58" t="s">
        <v>1157</v>
      </c>
      <c r="D279" s="59" t="s">
        <v>1158</v>
      </c>
      <c r="E279" s="60" t="b">
        <v>1</v>
      </c>
      <c r="F279" s="58" t="s">
        <v>1155</v>
      </c>
      <c r="G279" s="64" t="s">
        <v>1156</v>
      </c>
      <c r="H279" s="64" t="s">
        <v>1157</v>
      </c>
      <c r="I279" s="65" t="s">
        <v>1158</v>
      </c>
      <c r="J279" s="66"/>
      <c r="K279" s="63" t="str">
        <f>HYPERLINK("http://nsgreg.nga.mil/genc/view?v=862119&amp;end_month=12&amp;end_day=31&amp;end_year=2016","Correlation")</f>
        <v>Correlation</v>
      </c>
    </row>
    <row r="280" spans="1:11" x14ac:dyDescent="0.2">
      <c r="A280" s="57" t="s">
        <v>1159</v>
      </c>
      <c r="B280" s="58" t="s">
        <v>1160</v>
      </c>
      <c r="C280" s="58" t="s">
        <v>1161</v>
      </c>
      <c r="D280" s="59" t="s">
        <v>1162</v>
      </c>
      <c r="E280" s="60" t="b">
        <v>1</v>
      </c>
      <c r="F280" s="58" t="s">
        <v>1159</v>
      </c>
      <c r="G280" s="64" t="s">
        <v>1160</v>
      </c>
      <c r="H280" s="64" t="s">
        <v>1161</v>
      </c>
      <c r="I280" s="65" t="s">
        <v>1162</v>
      </c>
      <c r="J280" s="66"/>
      <c r="K280" s="63" t="str">
        <f>HYPERLINK("http://nsgreg.nga.mil/genc/view?v=862120&amp;end_month=12&amp;end_day=31&amp;end_year=2016","Correlation")</f>
        <v>Correlation</v>
      </c>
    </row>
    <row r="281" spans="1:11" x14ac:dyDescent="0.2">
      <c r="A281" s="57" t="s">
        <v>1163</v>
      </c>
      <c r="B281" s="58" t="s">
        <v>1164</v>
      </c>
      <c r="C281" s="58" t="s">
        <v>1165</v>
      </c>
      <c r="D281" s="59" t="s">
        <v>1166</v>
      </c>
      <c r="E281" s="60" t="b">
        <v>1</v>
      </c>
      <c r="F281" s="58" t="s">
        <v>1163</v>
      </c>
      <c r="G281" s="64" t="s">
        <v>1164</v>
      </c>
      <c r="H281" s="64" t="s">
        <v>1165</v>
      </c>
      <c r="I281" s="65" t="s">
        <v>1166</v>
      </c>
      <c r="J281" s="66"/>
      <c r="K281" s="63" t="str">
        <f>HYPERLINK("http://nsgreg.nga.mil/genc/view?v=862121&amp;end_month=12&amp;end_day=31&amp;end_year=2016","Correlation")</f>
        <v>Correlation</v>
      </c>
    </row>
    <row r="282" spans="1:11" x14ac:dyDescent="0.2">
      <c r="A282" s="57" t="s">
        <v>1167</v>
      </c>
      <c r="B282" s="58" t="s">
        <v>1168</v>
      </c>
      <c r="C282" s="58" t="s">
        <v>1169</v>
      </c>
      <c r="D282" s="59" t="s">
        <v>1170</v>
      </c>
      <c r="E282" s="60" t="b">
        <v>1</v>
      </c>
      <c r="F282" s="58" t="s">
        <v>1167</v>
      </c>
      <c r="G282" s="64" t="s">
        <v>1168</v>
      </c>
      <c r="H282" s="64" t="s">
        <v>1169</v>
      </c>
      <c r="I282" s="65" t="s">
        <v>1170</v>
      </c>
      <c r="J282" s="66"/>
      <c r="K282" s="63" t="str">
        <f>HYPERLINK("http://nsgreg.nga.mil/genc/view?v=862122&amp;end_month=12&amp;end_day=31&amp;end_year=2016","Correlation")</f>
        <v>Correlation</v>
      </c>
    </row>
    <row r="283" spans="1:11" x14ac:dyDescent="0.2">
      <c r="A283" s="57" t="s">
        <v>1171</v>
      </c>
      <c r="B283" s="58" t="s">
        <v>1172</v>
      </c>
      <c r="C283" s="58" t="s">
        <v>1173</v>
      </c>
      <c r="D283" s="59" t="s">
        <v>1174</v>
      </c>
      <c r="E283" s="60" t="b">
        <v>1</v>
      </c>
      <c r="F283" s="58" t="s">
        <v>1171</v>
      </c>
      <c r="G283" s="64" t="s">
        <v>1172</v>
      </c>
      <c r="H283" s="64" t="s">
        <v>1173</v>
      </c>
      <c r="I283" s="65" t="s">
        <v>1174</v>
      </c>
      <c r="J283" s="66"/>
      <c r="K283" s="63" t="str">
        <f>HYPERLINK("http://nsgreg.nga.mil/genc/view?v=862123&amp;end_month=12&amp;end_day=31&amp;end_year=2016","Correlation")</f>
        <v>Correlation</v>
      </c>
    </row>
    <row r="284" spans="1:11" x14ac:dyDescent="0.2">
      <c r="A284" s="57" t="s">
        <v>1175</v>
      </c>
      <c r="B284" s="58" t="s">
        <v>1176</v>
      </c>
      <c r="C284" s="58" t="s">
        <v>1177</v>
      </c>
      <c r="D284" s="59" t="s">
        <v>1178</v>
      </c>
      <c r="E284" s="60" t="b">
        <v>1</v>
      </c>
      <c r="F284" s="58" t="s">
        <v>1175</v>
      </c>
      <c r="G284" s="64" t="s">
        <v>1176</v>
      </c>
      <c r="H284" s="64" t="s">
        <v>1177</v>
      </c>
      <c r="I284" s="65" t="s">
        <v>1178</v>
      </c>
      <c r="J284" s="66"/>
      <c r="K284" s="63" t="str">
        <f>HYPERLINK("http://nsgreg.nga.mil/genc/view?v=862124&amp;end_month=12&amp;end_day=31&amp;end_year=2016","Correlation")</f>
        <v>Correlation</v>
      </c>
    </row>
    <row r="285" spans="1:11" x14ac:dyDescent="0.2">
      <c r="A285" s="57" t="s">
        <v>1179</v>
      </c>
      <c r="B285" s="58" t="s">
        <v>1180</v>
      </c>
      <c r="C285" s="58" t="s">
        <v>1181</v>
      </c>
      <c r="D285" s="59" t="s">
        <v>1182</v>
      </c>
      <c r="E285" s="60" t="b">
        <v>1</v>
      </c>
      <c r="F285" s="58" t="s">
        <v>1179</v>
      </c>
      <c r="G285" s="64" t="s">
        <v>1180</v>
      </c>
      <c r="H285" s="64" t="s">
        <v>1181</v>
      </c>
      <c r="I285" s="65" t="s">
        <v>1182</v>
      </c>
      <c r="J285" s="66"/>
      <c r="K285" s="63" t="str">
        <f>HYPERLINK("http://nsgreg.nga.mil/genc/view?v=862125&amp;end_month=12&amp;end_day=31&amp;end_year=2016","Correlation")</f>
        <v>Correlation</v>
      </c>
    </row>
    <row r="286" spans="1:11" x14ac:dyDescent="0.2">
      <c r="A286" s="99" t="s">
        <v>1183</v>
      </c>
      <c r="B286" s="100" t="s">
        <v>1184</v>
      </c>
      <c r="C286" s="100" t="s">
        <v>1185</v>
      </c>
      <c r="D286" s="101" t="s">
        <v>1186</v>
      </c>
      <c r="E286" s="60" t="b">
        <v>1</v>
      </c>
      <c r="F286" s="58" t="s">
        <v>1187</v>
      </c>
      <c r="G286" s="64" t="s">
        <v>1184</v>
      </c>
      <c r="H286" s="64" t="s">
        <v>1185</v>
      </c>
      <c r="I286" s="65" t="s">
        <v>1186</v>
      </c>
      <c r="J286" s="66"/>
      <c r="K286" s="63" t="str">
        <f>HYPERLINK("http://nsgreg.nga.mil/genc/view?v=862126&amp;end_month=12&amp;end_day=31&amp;end_year=2016","Correlation")</f>
        <v>Correlation</v>
      </c>
    </row>
    <row r="287" spans="1:11" x14ac:dyDescent="0.2">
      <c r="A287" s="99"/>
      <c r="B287" s="100"/>
      <c r="C287" s="100"/>
      <c r="D287" s="101"/>
      <c r="E287" s="67" t="b">
        <v>0</v>
      </c>
      <c r="F287" s="58" t="s">
        <v>1188</v>
      </c>
      <c r="G287" s="66"/>
      <c r="H287" s="66"/>
      <c r="I287" s="68"/>
      <c r="J287" s="64" t="s">
        <v>1189</v>
      </c>
      <c r="K287" s="63" t="str">
        <f>HYPERLINK("http://nsgreg.nga.mil/genc/view?v=862127&amp;end_month=12&amp;end_day=31&amp;end_year=2016","Correlation")</f>
        <v>Correlation</v>
      </c>
    </row>
    <row r="288" spans="1:11" x14ac:dyDescent="0.2">
      <c r="A288" s="57" t="s">
        <v>1190</v>
      </c>
      <c r="B288" s="58" t="s">
        <v>1191</v>
      </c>
      <c r="C288" s="58" t="s">
        <v>1192</v>
      </c>
      <c r="D288" s="59" t="s">
        <v>1193</v>
      </c>
      <c r="E288" s="60" t="b">
        <v>1</v>
      </c>
      <c r="F288" s="58" t="s">
        <v>1190</v>
      </c>
      <c r="G288" s="64" t="s">
        <v>1191</v>
      </c>
      <c r="H288" s="64" t="s">
        <v>1192</v>
      </c>
      <c r="I288" s="65" t="s">
        <v>1193</v>
      </c>
      <c r="J288" s="66"/>
      <c r="K288" s="63" t="str">
        <f>HYPERLINK("http://nsgreg.nga.mil/genc/view?v=862128&amp;end_month=12&amp;end_day=31&amp;end_year=2016","Correlation")</f>
        <v>Correlation</v>
      </c>
    </row>
    <row r="289" spans="1:11" x14ac:dyDescent="0.2">
      <c r="A289" s="57" t="s">
        <v>1194</v>
      </c>
      <c r="B289" s="58" t="s">
        <v>1195</v>
      </c>
      <c r="C289" s="58" t="s">
        <v>1196</v>
      </c>
      <c r="D289" s="59" t="s">
        <v>1197</v>
      </c>
      <c r="E289" s="60" t="b">
        <v>1</v>
      </c>
      <c r="F289" s="58" t="s">
        <v>1194</v>
      </c>
      <c r="G289" s="64" t="s">
        <v>1195</v>
      </c>
      <c r="H289" s="64" t="s">
        <v>1196</v>
      </c>
      <c r="I289" s="65" t="s">
        <v>1197</v>
      </c>
      <c r="J289" s="66"/>
      <c r="K289" s="63" t="str">
        <f>HYPERLINK("http://nsgreg.nga.mil/genc/view?v=862129&amp;end_month=12&amp;end_day=31&amp;end_year=2016","Correlation")</f>
        <v>Correlation</v>
      </c>
    </row>
    <row r="290" spans="1:11" x14ac:dyDescent="0.2">
      <c r="A290" s="57" t="s">
        <v>1198</v>
      </c>
      <c r="B290" s="58" t="s">
        <v>1199</v>
      </c>
      <c r="C290" s="58" t="s">
        <v>1200</v>
      </c>
      <c r="D290" s="59" t="s">
        <v>1201</v>
      </c>
      <c r="E290" s="60" t="b">
        <v>1</v>
      </c>
      <c r="F290" s="58" t="s">
        <v>1198</v>
      </c>
      <c r="G290" s="64" t="s">
        <v>1199</v>
      </c>
      <c r="H290" s="64" t="s">
        <v>1200</v>
      </c>
      <c r="I290" s="65" t="s">
        <v>1201</v>
      </c>
      <c r="J290" s="66"/>
      <c r="K290" s="63" t="str">
        <f>HYPERLINK("http://nsgreg.nga.mil/genc/view?v=862130&amp;end_month=12&amp;end_day=31&amp;end_year=2016","Correlation")</f>
        <v>Correlation</v>
      </c>
    </row>
    <row r="291" spans="1:11" x14ac:dyDescent="0.2">
      <c r="A291" s="57" t="s">
        <v>1202</v>
      </c>
      <c r="B291" s="58" t="s">
        <v>1203</v>
      </c>
      <c r="C291" s="58" t="s">
        <v>1204</v>
      </c>
      <c r="D291" s="59" t="s">
        <v>1205</v>
      </c>
      <c r="E291" s="60" t="b">
        <v>1</v>
      </c>
      <c r="F291" s="58" t="s">
        <v>1202</v>
      </c>
      <c r="G291" s="64" t="s">
        <v>1203</v>
      </c>
      <c r="H291" s="64" t="s">
        <v>1204</v>
      </c>
      <c r="I291" s="65" t="s">
        <v>1205</v>
      </c>
      <c r="J291" s="66"/>
      <c r="K291" s="63" t="str">
        <f>HYPERLINK("http://nsgreg.nga.mil/genc/view?v=862131&amp;end_month=12&amp;end_day=31&amp;end_year=2016","Correlation")</f>
        <v>Correlation</v>
      </c>
    </row>
    <row r="292" spans="1:11" x14ac:dyDescent="0.2">
      <c r="A292" s="57" t="s">
        <v>1206</v>
      </c>
      <c r="B292" s="58" t="s">
        <v>1207</v>
      </c>
      <c r="C292" s="58" t="s">
        <v>1208</v>
      </c>
      <c r="D292" s="59" t="s">
        <v>1209</v>
      </c>
      <c r="E292" s="60" t="b">
        <v>1</v>
      </c>
      <c r="F292" s="58" t="s">
        <v>1206</v>
      </c>
      <c r="G292" s="64" t="s">
        <v>1207</v>
      </c>
      <c r="H292" s="64" t="s">
        <v>1208</v>
      </c>
      <c r="I292" s="65" t="s">
        <v>1209</v>
      </c>
      <c r="J292" s="66"/>
      <c r="K292" s="63" t="str">
        <f>HYPERLINK("http://nsgreg.nga.mil/genc/view?v=862132&amp;end_month=12&amp;end_day=31&amp;end_year=2016","Correlation")</f>
        <v>Correlation</v>
      </c>
    </row>
    <row r="293" spans="1:11" x14ac:dyDescent="0.2">
      <c r="A293" s="57" t="s">
        <v>1210</v>
      </c>
      <c r="B293" s="58" t="s">
        <v>1211</v>
      </c>
      <c r="C293" s="58" t="s">
        <v>1212</v>
      </c>
      <c r="D293" s="59" t="s">
        <v>1213</v>
      </c>
      <c r="E293" s="60" t="b">
        <v>1</v>
      </c>
      <c r="F293" s="58" t="s">
        <v>1214</v>
      </c>
      <c r="G293" s="64" t="s">
        <v>1211</v>
      </c>
      <c r="H293" s="64" t="s">
        <v>1212</v>
      </c>
      <c r="I293" s="65" t="s">
        <v>1213</v>
      </c>
      <c r="J293" s="66"/>
      <c r="K293" s="63" t="str">
        <f>HYPERLINK("http://nsgreg.nga.mil/genc/view?v=862133&amp;end_month=12&amp;end_day=31&amp;end_year=2016","Correlation")</f>
        <v>Correlation</v>
      </c>
    </row>
    <row r="294" spans="1:11" x14ac:dyDescent="0.2">
      <c r="A294" s="57" t="s">
        <v>1215</v>
      </c>
      <c r="B294" s="58" t="s">
        <v>1216</v>
      </c>
      <c r="C294" s="58" t="s">
        <v>1217</v>
      </c>
      <c r="D294" s="59" t="s">
        <v>1218</v>
      </c>
      <c r="E294" s="60" t="b">
        <v>1</v>
      </c>
      <c r="F294" s="58" t="s">
        <v>1215</v>
      </c>
      <c r="G294" s="64" t="s">
        <v>1216</v>
      </c>
      <c r="H294" s="64" t="s">
        <v>1217</v>
      </c>
      <c r="I294" s="65" t="s">
        <v>1218</v>
      </c>
      <c r="J294" s="66"/>
      <c r="K294" s="63" t="str">
        <f>HYPERLINK("http://nsgreg.nga.mil/genc/view?v=862134&amp;end_month=12&amp;end_day=31&amp;end_year=2016","Correlation")</f>
        <v>Correlation</v>
      </c>
    </row>
    <row r="295" spans="1:11" x14ac:dyDescent="0.2">
      <c r="A295" s="57" t="s">
        <v>1219</v>
      </c>
      <c r="B295" s="58" t="s">
        <v>1220</v>
      </c>
      <c r="C295" s="58" t="s">
        <v>1221</v>
      </c>
      <c r="D295" s="59" t="s">
        <v>1222</v>
      </c>
      <c r="E295" s="60" t="b">
        <v>1</v>
      </c>
      <c r="F295" s="58" t="s">
        <v>1219</v>
      </c>
      <c r="G295" s="64" t="s">
        <v>1220</v>
      </c>
      <c r="H295" s="64" t="s">
        <v>1221</v>
      </c>
      <c r="I295" s="65" t="s">
        <v>1222</v>
      </c>
      <c r="J295" s="66"/>
      <c r="K295" s="63" t="str">
        <f>HYPERLINK("http://nsgreg.nga.mil/genc/view?v=862135&amp;end_month=12&amp;end_day=31&amp;end_year=2016","Correlation")</f>
        <v>Correlation</v>
      </c>
    </row>
    <row r="296" spans="1:11" x14ac:dyDescent="0.2">
      <c r="A296" s="99" t="s">
        <v>1223</v>
      </c>
      <c r="B296" s="100" t="s">
        <v>1224</v>
      </c>
      <c r="C296" s="100" t="s">
        <v>1225</v>
      </c>
      <c r="D296" s="101" t="s">
        <v>1226</v>
      </c>
      <c r="E296" s="67" t="b">
        <v>0</v>
      </c>
      <c r="F296" s="58" t="s">
        <v>392</v>
      </c>
      <c r="G296" s="64" t="s">
        <v>393</v>
      </c>
      <c r="H296" s="64" t="s">
        <v>394</v>
      </c>
      <c r="I296" s="65" t="s">
        <v>395</v>
      </c>
      <c r="J296" s="66"/>
      <c r="K296" s="63" t="str">
        <f>HYPERLINK("http://nsgreg.nga.mil/genc/view?v=862136&amp;end_month=12&amp;end_day=31&amp;end_year=2016","Correlation")</f>
        <v>Correlation</v>
      </c>
    </row>
    <row r="297" spans="1:11" x14ac:dyDescent="0.2">
      <c r="A297" s="99"/>
      <c r="B297" s="100"/>
      <c r="C297" s="100"/>
      <c r="D297" s="101"/>
      <c r="E297" s="67" t="b">
        <v>0</v>
      </c>
      <c r="F297" s="58" t="s">
        <v>873</v>
      </c>
      <c r="G297" s="64" t="s">
        <v>874</v>
      </c>
      <c r="H297" s="64" t="s">
        <v>875</v>
      </c>
      <c r="I297" s="65" t="s">
        <v>876</v>
      </c>
      <c r="J297" s="66"/>
      <c r="K297" s="63" t="str">
        <f>HYPERLINK("http://nsgreg.nga.mil/genc/view?v=862137&amp;end_month=12&amp;end_day=31&amp;end_year=2016","Correlation")</f>
        <v>Correlation</v>
      </c>
    </row>
    <row r="298" spans="1:11" x14ac:dyDescent="0.2">
      <c r="A298" s="99"/>
      <c r="B298" s="100"/>
      <c r="C298" s="100"/>
      <c r="D298" s="101"/>
      <c r="E298" s="67" t="b">
        <v>0</v>
      </c>
      <c r="F298" s="58" t="s">
        <v>1062</v>
      </c>
      <c r="G298" s="64" t="s">
        <v>1063</v>
      </c>
      <c r="H298" s="64" t="s">
        <v>1064</v>
      </c>
      <c r="I298" s="65" t="s">
        <v>1065</v>
      </c>
      <c r="J298" s="66"/>
      <c r="K298" s="63" t="str">
        <f>HYPERLINK("http://nsgreg.nga.mil/genc/view?v=862138&amp;end_month=12&amp;end_day=31&amp;end_year=2016","Correlation")</f>
        <v>Correlation</v>
      </c>
    </row>
    <row r="299" spans="1:11" x14ac:dyDescent="0.2">
      <c r="A299" s="99"/>
      <c r="B299" s="100"/>
      <c r="C299" s="100"/>
      <c r="D299" s="101"/>
      <c r="E299" s="67" t="b">
        <v>0</v>
      </c>
      <c r="F299" s="58" t="s">
        <v>1046</v>
      </c>
      <c r="G299" s="64" t="s">
        <v>1047</v>
      </c>
      <c r="H299" s="64" t="s">
        <v>1048</v>
      </c>
      <c r="I299" s="65" t="s">
        <v>1049</v>
      </c>
      <c r="J299" s="66"/>
      <c r="K299" s="63" t="str">
        <f>HYPERLINK("http://nsgreg.nga.mil/genc/view?v=862139&amp;end_month=12&amp;end_day=31&amp;end_year=2016","Correlation")</f>
        <v>Correlation</v>
      </c>
    </row>
    <row r="300" spans="1:11" x14ac:dyDescent="0.2">
      <c r="A300" s="99"/>
      <c r="B300" s="100"/>
      <c r="C300" s="100"/>
      <c r="D300" s="101"/>
      <c r="E300" s="67" t="b">
        <v>0</v>
      </c>
      <c r="F300" s="58" t="s">
        <v>1050</v>
      </c>
      <c r="G300" s="64" t="s">
        <v>1051</v>
      </c>
      <c r="H300" s="64" t="s">
        <v>1052</v>
      </c>
      <c r="I300" s="65" t="s">
        <v>1053</v>
      </c>
      <c r="J300" s="66"/>
      <c r="K300" s="63" t="str">
        <f>HYPERLINK("http://nsgreg.nga.mil/genc/view?v=862140&amp;end_month=12&amp;end_day=31&amp;end_year=2016","Correlation")</f>
        <v>Correlation</v>
      </c>
    </row>
    <row r="301" spans="1:11" x14ac:dyDescent="0.2">
      <c r="A301" s="57" t="s">
        <v>1227</v>
      </c>
      <c r="B301" s="58" t="s">
        <v>1228</v>
      </c>
      <c r="C301" s="58" t="s">
        <v>1229</v>
      </c>
      <c r="D301" s="59" t="s">
        <v>1230</v>
      </c>
      <c r="E301" s="60" t="b">
        <v>1</v>
      </c>
      <c r="F301" s="58" t="s">
        <v>1227</v>
      </c>
      <c r="G301" s="64" t="s">
        <v>1228</v>
      </c>
      <c r="H301" s="64" t="s">
        <v>1229</v>
      </c>
      <c r="I301" s="65" t="s">
        <v>1230</v>
      </c>
      <c r="J301" s="66"/>
      <c r="K301" s="63" t="str">
        <f>HYPERLINK("http://nsgreg.nga.mil/genc/view?v=862141&amp;end_month=12&amp;end_day=31&amp;end_year=2016","Correlation")</f>
        <v>Correlation</v>
      </c>
    </row>
    <row r="302" spans="1:11" x14ac:dyDescent="0.2">
      <c r="A302" s="57" t="s">
        <v>1231</v>
      </c>
      <c r="B302" s="58" t="s">
        <v>1232</v>
      </c>
      <c r="C302" s="58" t="s">
        <v>1233</v>
      </c>
      <c r="D302" s="59" t="s">
        <v>1234</v>
      </c>
      <c r="E302" s="60" t="b">
        <v>1</v>
      </c>
      <c r="F302" s="58" t="s">
        <v>1231</v>
      </c>
      <c r="G302" s="64" t="s">
        <v>1232</v>
      </c>
      <c r="H302" s="64" t="s">
        <v>1233</v>
      </c>
      <c r="I302" s="65" t="s">
        <v>1234</v>
      </c>
      <c r="J302" s="66"/>
      <c r="K302" s="63" t="str">
        <f>HYPERLINK("http://nsgreg.nga.mil/genc/view?v=862142&amp;end_month=12&amp;end_day=31&amp;end_year=2016","Correlation")</f>
        <v>Correlation</v>
      </c>
    </row>
    <row r="303" spans="1:11" x14ac:dyDescent="0.2">
      <c r="A303" s="57" t="s">
        <v>1235</v>
      </c>
      <c r="B303" s="58" t="s">
        <v>1236</v>
      </c>
      <c r="C303" s="58" t="s">
        <v>1237</v>
      </c>
      <c r="D303" s="59" t="s">
        <v>1238</v>
      </c>
      <c r="E303" s="60" t="b">
        <v>1</v>
      </c>
      <c r="F303" s="58" t="s">
        <v>1235</v>
      </c>
      <c r="G303" s="64" t="s">
        <v>1236</v>
      </c>
      <c r="H303" s="64" t="s">
        <v>1237</v>
      </c>
      <c r="I303" s="65" t="s">
        <v>1238</v>
      </c>
      <c r="J303" s="66"/>
      <c r="K303" s="63" t="str">
        <f>HYPERLINK("http://nsgreg.nga.mil/genc/view?v=862143&amp;end_month=12&amp;end_day=31&amp;end_year=2016","Correlation")</f>
        <v>Correlation</v>
      </c>
    </row>
    <row r="304" spans="1:11" x14ac:dyDescent="0.2">
      <c r="A304" s="99" t="s">
        <v>1239</v>
      </c>
      <c r="B304" s="100" t="s">
        <v>1240</v>
      </c>
      <c r="C304" s="100" t="s">
        <v>1241</v>
      </c>
      <c r="D304" s="101" t="s">
        <v>1242</v>
      </c>
      <c r="E304" s="60" t="b">
        <v>1</v>
      </c>
      <c r="F304" s="58" t="s">
        <v>740</v>
      </c>
      <c r="G304" s="64" t="s">
        <v>741</v>
      </c>
      <c r="H304" s="64" t="s">
        <v>742</v>
      </c>
      <c r="I304" s="65" t="s">
        <v>743</v>
      </c>
      <c r="J304" s="66"/>
      <c r="K304" s="63" t="str">
        <f>HYPERLINK("http://nsgreg.nga.mil/genc/view?v=862144&amp;end_month=12&amp;end_day=31&amp;end_year=2016","Correlation")</f>
        <v>Correlation</v>
      </c>
    </row>
    <row r="305" spans="1:11" x14ac:dyDescent="0.2">
      <c r="A305" s="99"/>
      <c r="B305" s="100"/>
      <c r="C305" s="100"/>
      <c r="D305" s="101"/>
      <c r="E305" s="67" t="b">
        <v>0</v>
      </c>
      <c r="F305" s="58" t="s">
        <v>1243</v>
      </c>
      <c r="G305" s="66"/>
      <c r="H305" s="66"/>
      <c r="I305" s="68"/>
      <c r="J305" s="64" t="s">
        <v>1244</v>
      </c>
      <c r="K305" s="63" t="str">
        <f>HYPERLINK("http://nsgreg.nga.mil/genc/view?v=862145&amp;end_month=12&amp;end_day=31&amp;end_year=2016","Correlation")</f>
        <v>Correlation</v>
      </c>
    </row>
    <row r="306" spans="1:11" x14ac:dyDescent="0.2">
      <c r="A306" s="57" t="s">
        <v>1245</v>
      </c>
      <c r="B306" s="58" t="s">
        <v>1246</v>
      </c>
      <c r="C306" s="58" t="s">
        <v>1247</v>
      </c>
      <c r="D306" s="59" t="s">
        <v>1248</v>
      </c>
      <c r="E306" s="60" t="b">
        <v>1</v>
      </c>
      <c r="F306" s="58" t="s">
        <v>1245</v>
      </c>
      <c r="G306" s="64" t="s">
        <v>1246</v>
      </c>
      <c r="H306" s="64" t="s">
        <v>1247</v>
      </c>
      <c r="I306" s="65" t="s">
        <v>1248</v>
      </c>
      <c r="J306" s="66"/>
      <c r="K306" s="63" t="str">
        <f>HYPERLINK("http://nsgreg.nga.mil/genc/view?v=862146&amp;end_month=12&amp;end_day=31&amp;end_year=2016","Correlation")</f>
        <v>Correlation</v>
      </c>
    </row>
    <row r="307" spans="1:11" x14ac:dyDescent="0.2">
      <c r="A307" s="57" t="s">
        <v>1249</v>
      </c>
      <c r="B307" s="58" t="s">
        <v>1250</v>
      </c>
      <c r="C307" s="58" t="s">
        <v>1251</v>
      </c>
      <c r="D307" s="59" t="s">
        <v>1252</v>
      </c>
      <c r="E307" s="60" t="b">
        <v>1</v>
      </c>
      <c r="F307" s="58" t="s">
        <v>1249</v>
      </c>
      <c r="G307" s="64" t="s">
        <v>1250</v>
      </c>
      <c r="H307" s="64" t="s">
        <v>1251</v>
      </c>
      <c r="I307" s="65" t="s">
        <v>1252</v>
      </c>
      <c r="J307" s="66"/>
      <c r="K307" s="63" t="str">
        <f>HYPERLINK("http://nsgreg.nga.mil/genc/view?v=862147&amp;end_month=12&amp;end_day=31&amp;end_year=2016","Correlation")</f>
        <v>Correlation</v>
      </c>
    </row>
    <row r="308" spans="1:11" x14ac:dyDescent="0.2">
      <c r="A308" s="57" t="s">
        <v>1253</v>
      </c>
      <c r="B308" s="58" t="s">
        <v>1254</v>
      </c>
      <c r="C308" s="58" t="s">
        <v>1255</v>
      </c>
      <c r="D308" s="59" t="s">
        <v>1256</v>
      </c>
      <c r="E308" s="60" t="b">
        <v>1</v>
      </c>
      <c r="F308" s="58" t="s">
        <v>1253</v>
      </c>
      <c r="G308" s="64" t="s">
        <v>1254</v>
      </c>
      <c r="H308" s="64" t="s">
        <v>1255</v>
      </c>
      <c r="I308" s="65" t="s">
        <v>1256</v>
      </c>
      <c r="J308" s="66"/>
      <c r="K308" s="63" t="str">
        <f>HYPERLINK("http://nsgreg.nga.mil/genc/view?v=862148&amp;end_month=12&amp;end_day=31&amp;end_year=2016","Correlation")</f>
        <v>Correlation</v>
      </c>
    </row>
    <row r="309" spans="1:11" x14ac:dyDescent="0.2">
      <c r="A309" s="57" t="s">
        <v>1257</v>
      </c>
      <c r="B309" s="58" t="s">
        <v>1258</v>
      </c>
      <c r="C309" s="58" t="s">
        <v>1259</v>
      </c>
      <c r="D309" s="59" t="s">
        <v>1260</v>
      </c>
      <c r="E309" s="60" t="b">
        <v>1</v>
      </c>
      <c r="F309" s="58" t="s">
        <v>1261</v>
      </c>
      <c r="G309" s="64" t="s">
        <v>1258</v>
      </c>
      <c r="H309" s="64" t="s">
        <v>1259</v>
      </c>
      <c r="I309" s="65" t="s">
        <v>1260</v>
      </c>
      <c r="J309" s="66"/>
      <c r="K309" s="63" t="str">
        <f>HYPERLINK("http://nsgreg.nga.mil/genc/view?v=862149&amp;end_month=12&amp;end_day=31&amp;end_year=2016","Correlation")</f>
        <v>Correlation</v>
      </c>
    </row>
    <row r="310" spans="1:11" x14ac:dyDescent="0.2">
      <c r="A310" s="57" t="s">
        <v>1262</v>
      </c>
      <c r="B310" s="58" t="s">
        <v>1047</v>
      </c>
      <c r="C310" s="58" t="s">
        <v>1048</v>
      </c>
      <c r="D310" s="59" t="s">
        <v>1049</v>
      </c>
      <c r="E310" s="60" t="b">
        <v>1</v>
      </c>
      <c r="F310" s="58" t="s">
        <v>1046</v>
      </c>
      <c r="G310" s="64" t="s">
        <v>1047</v>
      </c>
      <c r="H310" s="64" t="s">
        <v>1048</v>
      </c>
      <c r="I310" s="65" t="s">
        <v>1049</v>
      </c>
      <c r="J310" s="66"/>
      <c r="K310" s="63" t="str">
        <f>HYPERLINK("http://nsgreg.nga.mil/genc/view?v=862150&amp;end_month=12&amp;end_day=31&amp;end_year=2016","Correlation")</f>
        <v>Correlation</v>
      </c>
    </row>
    <row r="311" spans="1:11" x14ac:dyDescent="0.2">
      <c r="A311" s="57" t="s">
        <v>1263</v>
      </c>
      <c r="B311" s="58" t="s">
        <v>1264</v>
      </c>
      <c r="C311" s="58" t="s">
        <v>1265</v>
      </c>
      <c r="D311" s="59" t="s">
        <v>1266</v>
      </c>
      <c r="E311" s="60" t="b">
        <v>1</v>
      </c>
      <c r="F311" s="58" t="s">
        <v>1263</v>
      </c>
      <c r="G311" s="64" t="s">
        <v>1264</v>
      </c>
      <c r="H311" s="64" t="s">
        <v>1265</v>
      </c>
      <c r="I311" s="65" t="s">
        <v>1266</v>
      </c>
      <c r="J311" s="66"/>
      <c r="K311" s="63" t="str">
        <f>HYPERLINK("http://nsgreg.nga.mil/genc/view?v=862151&amp;end_month=12&amp;end_day=31&amp;end_year=2016","Correlation")</f>
        <v>Correlation</v>
      </c>
    </row>
    <row r="312" spans="1:11" x14ac:dyDescent="0.2">
      <c r="A312" s="57" t="s">
        <v>1267</v>
      </c>
      <c r="B312" s="58" t="s">
        <v>1268</v>
      </c>
      <c r="C312" s="58" t="s">
        <v>1269</v>
      </c>
      <c r="D312" s="59" t="s">
        <v>1270</v>
      </c>
      <c r="E312" s="60" t="b">
        <v>1</v>
      </c>
      <c r="F312" s="58" t="s">
        <v>1271</v>
      </c>
      <c r="G312" s="64" t="s">
        <v>1268</v>
      </c>
      <c r="H312" s="64" t="s">
        <v>1269</v>
      </c>
      <c r="I312" s="65" t="s">
        <v>1270</v>
      </c>
      <c r="J312" s="66"/>
      <c r="K312" s="63" t="str">
        <f>HYPERLINK("http://nsgreg.nga.mil/genc/view?v=862152&amp;end_month=12&amp;end_day=31&amp;end_year=2016","Correlation")</f>
        <v>Correlation</v>
      </c>
    </row>
    <row r="313" spans="1:11" x14ac:dyDescent="0.2">
      <c r="A313" s="57" t="s">
        <v>1272</v>
      </c>
      <c r="B313" s="58" t="s">
        <v>1273</v>
      </c>
      <c r="C313" s="58" t="s">
        <v>1274</v>
      </c>
      <c r="D313" s="59" t="s">
        <v>1275</v>
      </c>
      <c r="E313" s="60" t="b">
        <v>1</v>
      </c>
      <c r="F313" s="58" t="s">
        <v>1272</v>
      </c>
      <c r="G313" s="64" t="s">
        <v>1273</v>
      </c>
      <c r="H313" s="64" t="s">
        <v>1274</v>
      </c>
      <c r="I313" s="65" t="s">
        <v>1275</v>
      </c>
      <c r="J313" s="66"/>
      <c r="K313" s="63" t="str">
        <f>HYPERLINK("http://nsgreg.nga.mil/genc/view?v=862153&amp;end_month=12&amp;end_day=31&amp;end_year=2016","Correlation")</f>
        <v>Correlation</v>
      </c>
    </row>
    <row r="314" spans="1:11" x14ac:dyDescent="0.2">
      <c r="A314" s="57" t="s">
        <v>1276</v>
      </c>
      <c r="B314" s="58" t="s">
        <v>1277</v>
      </c>
      <c r="C314" s="58" t="s">
        <v>1278</v>
      </c>
      <c r="D314" s="59" t="s">
        <v>1279</v>
      </c>
      <c r="E314" s="60" t="b">
        <v>1</v>
      </c>
      <c r="F314" s="58" t="s">
        <v>1276</v>
      </c>
      <c r="G314" s="64" t="s">
        <v>1277</v>
      </c>
      <c r="H314" s="64" t="s">
        <v>1278</v>
      </c>
      <c r="I314" s="65" t="s">
        <v>1279</v>
      </c>
      <c r="J314" s="66"/>
      <c r="K314" s="63" t="str">
        <f>HYPERLINK("http://nsgreg.nga.mil/genc/view?v=862154&amp;end_month=12&amp;end_day=31&amp;end_year=2016","Correlation")</f>
        <v>Correlation</v>
      </c>
    </row>
    <row r="315" spans="1:11" x14ac:dyDescent="0.2">
      <c r="A315" s="57" t="s">
        <v>1280</v>
      </c>
      <c r="B315" s="58" t="s">
        <v>1281</v>
      </c>
      <c r="C315" s="58" t="s">
        <v>1282</v>
      </c>
      <c r="D315" s="59" t="s">
        <v>1283</v>
      </c>
      <c r="E315" s="60" t="b">
        <v>1</v>
      </c>
      <c r="F315" s="58" t="s">
        <v>1280</v>
      </c>
      <c r="G315" s="64" t="s">
        <v>1281</v>
      </c>
      <c r="H315" s="64" t="s">
        <v>1282</v>
      </c>
      <c r="I315" s="65" t="s">
        <v>1283</v>
      </c>
      <c r="J315" s="66"/>
      <c r="K315" s="63" t="str">
        <f>HYPERLINK("http://nsgreg.nga.mil/genc/view?v=862155&amp;end_month=12&amp;end_day=31&amp;end_year=2016","Correlation")</f>
        <v>Correlation</v>
      </c>
    </row>
    <row r="316" spans="1:11" x14ac:dyDescent="0.2">
      <c r="A316" s="57" t="s">
        <v>1284</v>
      </c>
      <c r="B316" s="58" t="s">
        <v>1285</v>
      </c>
      <c r="C316" s="58" t="s">
        <v>1286</v>
      </c>
      <c r="D316" s="59" t="s">
        <v>1287</v>
      </c>
      <c r="E316" s="60" t="b">
        <v>1</v>
      </c>
      <c r="F316" s="58" t="s">
        <v>1284</v>
      </c>
      <c r="G316" s="64" t="s">
        <v>1285</v>
      </c>
      <c r="H316" s="64" t="s">
        <v>1286</v>
      </c>
      <c r="I316" s="65" t="s">
        <v>1287</v>
      </c>
      <c r="J316" s="66"/>
      <c r="K316" s="63" t="str">
        <f>HYPERLINK("http://nsgreg.nga.mil/genc/view?v=862156&amp;end_month=12&amp;end_day=31&amp;end_year=2016","Correlation")</f>
        <v>Correlation</v>
      </c>
    </row>
    <row r="317" spans="1:11" x14ac:dyDescent="0.2">
      <c r="A317" s="57" t="s">
        <v>1288</v>
      </c>
      <c r="B317" s="58" t="s">
        <v>1289</v>
      </c>
      <c r="C317" s="58" t="s">
        <v>1290</v>
      </c>
      <c r="D317" s="59" t="s">
        <v>1291</v>
      </c>
      <c r="E317" s="60" t="b">
        <v>1</v>
      </c>
      <c r="F317" s="58" t="s">
        <v>1288</v>
      </c>
      <c r="G317" s="64" t="s">
        <v>1289</v>
      </c>
      <c r="H317" s="64" t="s">
        <v>1290</v>
      </c>
      <c r="I317" s="65" t="s">
        <v>1291</v>
      </c>
      <c r="J317" s="66"/>
      <c r="K317" s="63" t="str">
        <f>HYPERLINK("http://nsgreg.nga.mil/genc/view?v=862157&amp;end_month=12&amp;end_day=31&amp;end_year=2016","Correlation")</f>
        <v>Correlation</v>
      </c>
    </row>
    <row r="318" spans="1:11" x14ac:dyDescent="0.2">
      <c r="A318" s="57" t="s">
        <v>1292</v>
      </c>
      <c r="B318" s="58" t="s">
        <v>1293</v>
      </c>
      <c r="C318" s="58" t="s">
        <v>1294</v>
      </c>
      <c r="D318" s="59" t="s">
        <v>1295</v>
      </c>
      <c r="E318" s="60" t="b">
        <v>1</v>
      </c>
      <c r="F318" s="58" t="s">
        <v>1292</v>
      </c>
      <c r="G318" s="64" t="s">
        <v>1293</v>
      </c>
      <c r="H318" s="64" t="s">
        <v>1294</v>
      </c>
      <c r="I318" s="65" t="s">
        <v>1295</v>
      </c>
      <c r="J318" s="66"/>
      <c r="K318" s="63" t="str">
        <f>HYPERLINK("http://nsgreg.nga.mil/genc/view?v=862158&amp;end_month=12&amp;end_day=31&amp;end_year=2016","Correlation")</f>
        <v>Correlation</v>
      </c>
    </row>
    <row r="319" spans="1:11" x14ac:dyDescent="0.2">
      <c r="A319" s="99" t="s">
        <v>1296</v>
      </c>
      <c r="B319" s="100" t="s">
        <v>1297</v>
      </c>
      <c r="C319" s="100" t="s">
        <v>1298</v>
      </c>
      <c r="D319" s="101" t="s">
        <v>1299</v>
      </c>
      <c r="E319" s="60" t="b">
        <v>1</v>
      </c>
      <c r="F319" s="58" t="s">
        <v>265</v>
      </c>
      <c r="G319" s="64" t="s">
        <v>266</v>
      </c>
      <c r="H319" s="64" t="s">
        <v>267</v>
      </c>
      <c r="I319" s="65" t="s">
        <v>268</v>
      </c>
      <c r="J319" s="66"/>
      <c r="K319" s="63" t="str">
        <f>HYPERLINK("http://nsgreg.nga.mil/genc/view?v=862159&amp;end_month=12&amp;end_day=31&amp;end_year=2016","Correlation")</f>
        <v>Correlation</v>
      </c>
    </row>
    <row r="320" spans="1:11" x14ac:dyDescent="0.2">
      <c r="A320" s="99"/>
      <c r="B320" s="100"/>
      <c r="C320" s="100"/>
      <c r="D320" s="101"/>
      <c r="E320" s="67" t="b">
        <v>0</v>
      </c>
      <c r="F320" s="58" t="s">
        <v>269</v>
      </c>
      <c r="G320" s="66"/>
      <c r="H320" s="66"/>
      <c r="I320" s="68"/>
      <c r="J320" s="64" t="s">
        <v>270</v>
      </c>
      <c r="K320" s="63" t="str">
        <f>HYPERLINK("http://nsgreg.nga.mil/genc/view?v=862160&amp;end_month=12&amp;end_day=31&amp;end_year=2016","Correlation")</f>
        <v>Correlation</v>
      </c>
    </row>
    <row r="321" spans="1:11" x14ac:dyDescent="0.2">
      <c r="A321" s="57" t="s">
        <v>1300</v>
      </c>
      <c r="B321" s="58" t="s">
        <v>1301</v>
      </c>
      <c r="C321" s="58" t="s">
        <v>1302</v>
      </c>
      <c r="D321" s="59" t="s">
        <v>1303</v>
      </c>
      <c r="E321" s="60" t="b">
        <v>1</v>
      </c>
      <c r="F321" s="58" t="s">
        <v>1300</v>
      </c>
      <c r="G321" s="64" t="s">
        <v>1301</v>
      </c>
      <c r="H321" s="64" t="s">
        <v>1302</v>
      </c>
      <c r="I321" s="65" t="s">
        <v>1303</v>
      </c>
      <c r="J321" s="66"/>
      <c r="K321" s="63" t="str">
        <f>HYPERLINK("http://nsgreg.nga.mil/genc/view?v=862161&amp;end_month=12&amp;end_day=31&amp;end_year=2016","Correlation")</f>
        <v>Correlation</v>
      </c>
    </row>
    <row r="322" spans="1:11" x14ac:dyDescent="0.2">
      <c r="A322" s="57" t="s">
        <v>1304</v>
      </c>
      <c r="B322" s="58" t="s">
        <v>1305</v>
      </c>
      <c r="C322" s="58" t="s">
        <v>1306</v>
      </c>
      <c r="D322" s="59" t="s">
        <v>1307</v>
      </c>
      <c r="E322" s="60" t="b">
        <v>1</v>
      </c>
      <c r="F322" s="58" t="s">
        <v>1304</v>
      </c>
      <c r="G322" s="64" t="s">
        <v>1305</v>
      </c>
      <c r="H322" s="64" t="s">
        <v>1306</v>
      </c>
      <c r="I322" s="65" t="s">
        <v>1307</v>
      </c>
      <c r="J322" s="66"/>
      <c r="K322" s="63" t="str">
        <f>HYPERLINK("http://nsgreg.nga.mil/genc/view?v=862162&amp;end_month=12&amp;end_day=31&amp;end_year=2016","Correlation")</f>
        <v>Correlation</v>
      </c>
    </row>
    <row r="323" spans="1:11" x14ac:dyDescent="0.2">
      <c r="A323" s="57" t="s">
        <v>1308</v>
      </c>
      <c r="B323" s="58" t="s">
        <v>1309</v>
      </c>
      <c r="C323" s="58" t="s">
        <v>1310</v>
      </c>
      <c r="D323" s="59" t="s">
        <v>1311</v>
      </c>
      <c r="E323" s="60" t="b">
        <v>1</v>
      </c>
      <c r="F323" s="58" t="s">
        <v>1308</v>
      </c>
      <c r="G323" s="64" t="s">
        <v>1309</v>
      </c>
      <c r="H323" s="64" t="s">
        <v>1310</v>
      </c>
      <c r="I323" s="65" t="s">
        <v>1311</v>
      </c>
      <c r="J323" s="66"/>
      <c r="K323" s="63" t="str">
        <f>HYPERLINK("http://nsgreg.nga.mil/genc/view?v=862163&amp;end_month=12&amp;end_day=31&amp;end_year=2016","Correlation")</f>
        <v>Correlation</v>
      </c>
    </row>
    <row r="324" spans="1:11" x14ac:dyDescent="0.2">
      <c r="A324" s="57" t="s">
        <v>1312</v>
      </c>
      <c r="B324" s="58" t="s">
        <v>1313</v>
      </c>
      <c r="C324" s="58" t="s">
        <v>1314</v>
      </c>
      <c r="D324" s="59" t="s">
        <v>1315</v>
      </c>
      <c r="E324" s="60" t="b">
        <v>1</v>
      </c>
      <c r="F324" s="58" t="s">
        <v>1312</v>
      </c>
      <c r="G324" s="64" t="s">
        <v>1313</v>
      </c>
      <c r="H324" s="64" t="s">
        <v>1314</v>
      </c>
      <c r="I324" s="65" t="s">
        <v>1315</v>
      </c>
      <c r="J324" s="66"/>
      <c r="K324" s="63" t="str">
        <f>HYPERLINK("http://nsgreg.nga.mil/genc/view?v=862164&amp;end_month=12&amp;end_day=31&amp;end_year=2016","Correlation")</f>
        <v>Correlation</v>
      </c>
    </row>
    <row r="325" spans="1:11" x14ac:dyDescent="0.2">
      <c r="A325" s="57" t="s">
        <v>1316</v>
      </c>
      <c r="B325" s="58" t="s">
        <v>1317</v>
      </c>
      <c r="C325" s="58" t="s">
        <v>1318</v>
      </c>
      <c r="D325" s="59" t="s">
        <v>1319</v>
      </c>
      <c r="E325" s="60" t="b">
        <v>1</v>
      </c>
      <c r="F325" s="58" t="s">
        <v>1316</v>
      </c>
      <c r="G325" s="64" t="s">
        <v>1317</v>
      </c>
      <c r="H325" s="64" t="s">
        <v>1318</v>
      </c>
      <c r="I325" s="65" t="s">
        <v>1319</v>
      </c>
      <c r="J325" s="66"/>
      <c r="K325" s="63" t="str">
        <f>HYPERLINK("http://nsgreg.nga.mil/genc/view?v=862165&amp;end_month=12&amp;end_day=31&amp;end_year=2016","Correlation")</f>
        <v>Correlation</v>
      </c>
    </row>
    <row r="326" spans="1:11" x14ac:dyDescent="0.2">
      <c r="A326" s="57" t="s">
        <v>1320</v>
      </c>
      <c r="B326" s="58" t="s">
        <v>1321</v>
      </c>
      <c r="C326" s="58" t="s">
        <v>1322</v>
      </c>
      <c r="D326" s="59" t="s">
        <v>1323</v>
      </c>
      <c r="E326" s="60" t="b">
        <v>1</v>
      </c>
      <c r="F326" s="58" t="s">
        <v>1320</v>
      </c>
      <c r="G326" s="64" t="s">
        <v>1321</v>
      </c>
      <c r="H326" s="64" t="s">
        <v>1322</v>
      </c>
      <c r="I326" s="65" t="s">
        <v>1323</v>
      </c>
      <c r="J326" s="66"/>
      <c r="K326" s="63" t="str">
        <f>HYPERLINK("http://nsgreg.nga.mil/genc/view?v=862166&amp;end_month=12&amp;end_day=31&amp;end_year=2016","Correlation")</f>
        <v>Correlation</v>
      </c>
    </row>
    <row r="327" spans="1:11" x14ac:dyDescent="0.2">
      <c r="A327" s="57" t="s">
        <v>1324</v>
      </c>
      <c r="B327" s="58" t="s">
        <v>1325</v>
      </c>
      <c r="C327" s="58" t="s">
        <v>1326</v>
      </c>
      <c r="D327" s="59" t="s">
        <v>1327</v>
      </c>
      <c r="E327" s="60" t="b">
        <v>1</v>
      </c>
      <c r="F327" s="58" t="s">
        <v>1324</v>
      </c>
      <c r="G327" s="64" t="s">
        <v>1325</v>
      </c>
      <c r="H327" s="64" t="s">
        <v>1326</v>
      </c>
      <c r="I327" s="65" t="s">
        <v>1327</v>
      </c>
      <c r="J327" s="66"/>
      <c r="K327" s="63" t="str">
        <f>HYPERLINK("http://nsgreg.nga.mil/genc/view?v=862167&amp;end_month=12&amp;end_day=31&amp;end_year=2016","Correlation")</f>
        <v>Correlation</v>
      </c>
    </row>
    <row r="328" spans="1:11" x14ac:dyDescent="0.2">
      <c r="A328" s="57" t="s">
        <v>1328</v>
      </c>
      <c r="B328" s="58" t="s">
        <v>1329</v>
      </c>
      <c r="C328" s="58" t="s">
        <v>1330</v>
      </c>
      <c r="D328" s="59" t="s">
        <v>1331</v>
      </c>
      <c r="E328" s="60" t="b">
        <v>1</v>
      </c>
      <c r="F328" s="58" t="s">
        <v>1328</v>
      </c>
      <c r="G328" s="64" t="s">
        <v>1329</v>
      </c>
      <c r="H328" s="64" t="s">
        <v>1330</v>
      </c>
      <c r="I328" s="65" t="s">
        <v>1331</v>
      </c>
      <c r="J328" s="66"/>
      <c r="K328" s="63" t="str">
        <f>HYPERLINK("http://nsgreg.nga.mil/genc/view?v=862168&amp;end_month=12&amp;end_day=31&amp;end_year=2016","Correlation")</f>
        <v>Correlation</v>
      </c>
    </row>
    <row r="329" spans="1:11" x14ac:dyDescent="0.2">
      <c r="A329" s="57" t="s">
        <v>1332</v>
      </c>
      <c r="B329" s="58" t="s">
        <v>1333</v>
      </c>
      <c r="C329" s="58" t="s">
        <v>1334</v>
      </c>
      <c r="D329" s="59" t="s">
        <v>1335</v>
      </c>
      <c r="E329" s="60" t="b">
        <v>1</v>
      </c>
      <c r="F329" s="58" t="s">
        <v>1336</v>
      </c>
      <c r="G329" s="64" t="s">
        <v>1333</v>
      </c>
      <c r="H329" s="64" t="s">
        <v>1334</v>
      </c>
      <c r="I329" s="65" t="s">
        <v>1335</v>
      </c>
      <c r="J329" s="66"/>
      <c r="K329" s="63" t="str">
        <f>HYPERLINK("http://nsgreg.nga.mil/genc/view?v=862169&amp;end_month=12&amp;end_day=31&amp;end_year=2016","Correlation")</f>
        <v>Correlation</v>
      </c>
    </row>
    <row r="330" spans="1:11" x14ac:dyDescent="0.2">
      <c r="A330" s="57" t="s">
        <v>1337</v>
      </c>
      <c r="B330" s="58" t="s">
        <v>1338</v>
      </c>
      <c r="C330" s="58" t="s">
        <v>1339</v>
      </c>
      <c r="D330" s="59" t="s">
        <v>1340</v>
      </c>
      <c r="E330" s="60" t="b">
        <v>1</v>
      </c>
      <c r="F330" s="58" t="s">
        <v>1341</v>
      </c>
      <c r="G330" s="64" t="s">
        <v>1338</v>
      </c>
      <c r="H330" s="64" t="s">
        <v>1339</v>
      </c>
      <c r="I330" s="65" t="s">
        <v>1340</v>
      </c>
      <c r="J330" s="66"/>
      <c r="K330" s="63" t="str">
        <f>HYPERLINK("http://nsgreg.nga.mil/genc/view?v=862170&amp;end_month=12&amp;end_day=31&amp;end_year=2016","Correlation")</f>
        <v>Correlation</v>
      </c>
    </row>
    <row r="331" spans="1:11" x14ac:dyDescent="0.2">
      <c r="A331" s="57" t="s">
        <v>1342</v>
      </c>
      <c r="B331" s="58" t="s">
        <v>1343</v>
      </c>
      <c r="C331" s="58" t="s">
        <v>1344</v>
      </c>
      <c r="D331" s="59" t="s">
        <v>1345</v>
      </c>
      <c r="E331" s="60" t="b">
        <v>1</v>
      </c>
      <c r="F331" s="61" t="s">
        <v>167</v>
      </c>
      <c r="G331" s="61"/>
      <c r="H331" s="61"/>
      <c r="I331" s="62"/>
      <c r="J331" s="61"/>
      <c r="K331" s="63" t="str">
        <f>HYPERLINK("http://nsgreg.nga.mil/genc/view?v=862171&amp;end_month=12&amp;end_day=31&amp;end_year=2016","Correlation")</f>
        <v>Correlation</v>
      </c>
    </row>
    <row r="332" spans="1:11" x14ac:dyDescent="0.2">
      <c r="A332" s="57" t="s">
        <v>1346</v>
      </c>
      <c r="B332" s="58" t="s">
        <v>1347</v>
      </c>
      <c r="C332" s="58" t="s">
        <v>1348</v>
      </c>
      <c r="D332" s="59" t="s">
        <v>1349</v>
      </c>
      <c r="E332" s="60" t="b">
        <v>1</v>
      </c>
      <c r="F332" s="58" t="s">
        <v>1346</v>
      </c>
      <c r="G332" s="64" t="s">
        <v>1347</v>
      </c>
      <c r="H332" s="64" t="s">
        <v>1348</v>
      </c>
      <c r="I332" s="65" t="s">
        <v>1349</v>
      </c>
      <c r="J332" s="66"/>
      <c r="K332" s="63" t="str">
        <f>HYPERLINK("http://nsgreg.nga.mil/genc/view?v=862172&amp;end_month=12&amp;end_day=31&amp;end_year=2016","Correlation")</f>
        <v>Correlation</v>
      </c>
    </row>
    <row r="333" spans="1:11" x14ac:dyDescent="0.2">
      <c r="A333" s="57" t="s">
        <v>1350</v>
      </c>
      <c r="B333" s="58" t="s">
        <v>1351</v>
      </c>
      <c r="C333" s="58" t="s">
        <v>1352</v>
      </c>
      <c r="D333" s="59" t="s">
        <v>1353</v>
      </c>
      <c r="E333" s="60" t="b">
        <v>1</v>
      </c>
      <c r="F333" s="58" t="s">
        <v>1350</v>
      </c>
      <c r="G333" s="64" t="s">
        <v>1351</v>
      </c>
      <c r="H333" s="64" t="s">
        <v>1352</v>
      </c>
      <c r="I333" s="65" t="s">
        <v>1353</v>
      </c>
      <c r="J333" s="66"/>
      <c r="K333" s="63" t="str">
        <f>HYPERLINK("http://nsgreg.nga.mil/genc/view?v=862173&amp;end_month=12&amp;end_day=31&amp;end_year=2016","Correlation")</f>
        <v>Correlation</v>
      </c>
    </row>
    <row r="334" spans="1:11" x14ac:dyDescent="0.2">
      <c r="A334" s="57" t="s">
        <v>1354</v>
      </c>
      <c r="B334" s="58" t="s">
        <v>1355</v>
      </c>
      <c r="C334" s="58" t="s">
        <v>1356</v>
      </c>
      <c r="D334" s="59" t="s">
        <v>1357</v>
      </c>
      <c r="E334" s="60" t="b">
        <v>1</v>
      </c>
      <c r="F334" s="58" t="s">
        <v>1354</v>
      </c>
      <c r="G334" s="64" t="s">
        <v>1355</v>
      </c>
      <c r="H334" s="64" t="s">
        <v>1356</v>
      </c>
      <c r="I334" s="65" t="s">
        <v>1357</v>
      </c>
      <c r="J334" s="66"/>
      <c r="K334" s="63" t="str">
        <f>HYPERLINK("http://nsgreg.nga.mil/genc/view?v=862174&amp;end_month=12&amp;end_day=31&amp;end_year=2016","Correlation")</f>
        <v>Correlation</v>
      </c>
    </row>
    <row r="335" spans="1:11" x14ac:dyDescent="0.2">
      <c r="A335" s="57" t="s">
        <v>1358</v>
      </c>
      <c r="B335" s="58" t="s">
        <v>1359</v>
      </c>
      <c r="C335" s="58" t="s">
        <v>1360</v>
      </c>
      <c r="D335" s="59" t="s">
        <v>1361</v>
      </c>
      <c r="E335" s="60" t="b">
        <v>1</v>
      </c>
      <c r="F335" s="58" t="s">
        <v>1362</v>
      </c>
      <c r="G335" s="64" t="s">
        <v>1359</v>
      </c>
      <c r="H335" s="64" t="s">
        <v>1360</v>
      </c>
      <c r="I335" s="65" t="s">
        <v>1361</v>
      </c>
      <c r="J335" s="66"/>
      <c r="K335" s="63" t="str">
        <f>HYPERLINK("http://nsgreg.nga.mil/genc/view?v=862175&amp;end_month=12&amp;end_day=31&amp;end_year=2016","Correlation")</f>
        <v>Correlation</v>
      </c>
    </row>
    <row r="336" spans="1:11" x14ac:dyDescent="0.2">
      <c r="A336" s="57" t="s">
        <v>1363</v>
      </c>
      <c r="B336" s="58" t="s">
        <v>1364</v>
      </c>
      <c r="C336" s="58" t="s">
        <v>1365</v>
      </c>
      <c r="D336" s="59" t="s">
        <v>1366</v>
      </c>
      <c r="E336" s="60" t="b">
        <v>1</v>
      </c>
      <c r="F336" s="58" t="s">
        <v>1367</v>
      </c>
      <c r="G336" s="64" t="s">
        <v>1364</v>
      </c>
      <c r="H336" s="64" t="s">
        <v>1365</v>
      </c>
      <c r="I336" s="65" t="s">
        <v>1366</v>
      </c>
      <c r="J336" s="66"/>
      <c r="K336" s="63" t="str">
        <f>HYPERLINK("http://nsgreg.nga.mil/genc/view?v=862176&amp;end_month=12&amp;end_day=31&amp;end_year=2016","Correlation")</f>
        <v>Correlation</v>
      </c>
    </row>
    <row r="337" spans="1:11" x14ac:dyDescent="0.2">
      <c r="A337" s="57" t="s">
        <v>1368</v>
      </c>
      <c r="B337" s="58" t="s">
        <v>1051</v>
      </c>
      <c r="C337" s="58" t="s">
        <v>1052</v>
      </c>
      <c r="D337" s="59" t="s">
        <v>1053</v>
      </c>
      <c r="E337" s="60" t="b">
        <v>1</v>
      </c>
      <c r="F337" s="58" t="s">
        <v>1050</v>
      </c>
      <c r="G337" s="64" t="s">
        <v>1051</v>
      </c>
      <c r="H337" s="64" t="s">
        <v>1052</v>
      </c>
      <c r="I337" s="65" t="s">
        <v>1053</v>
      </c>
      <c r="J337" s="66"/>
      <c r="K337" s="63" t="str">
        <f>HYPERLINK("http://nsgreg.nga.mil/genc/view?v=862177&amp;end_month=12&amp;end_day=31&amp;end_year=2016","Correlation")</f>
        <v>Correlation</v>
      </c>
    </row>
    <row r="338" spans="1:11" x14ac:dyDescent="0.2">
      <c r="A338" s="57" t="s">
        <v>1369</v>
      </c>
      <c r="B338" s="58" t="s">
        <v>1370</v>
      </c>
      <c r="C338" s="58" t="s">
        <v>1371</v>
      </c>
      <c r="D338" s="59" t="s">
        <v>1372</v>
      </c>
      <c r="E338" s="60" t="b">
        <v>1</v>
      </c>
      <c r="F338" s="58" t="s">
        <v>1369</v>
      </c>
      <c r="G338" s="64" t="s">
        <v>1370</v>
      </c>
      <c r="H338" s="64" t="s">
        <v>1371</v>
      </c>
      <c r="I338" s="65" t="s">
        <v>1372</v>
      </c>
      <c r="J338" s="66"/>
      <c r="K338" s="63" t="str">
        <f>HYPERLINK("http://nsgreg.nga.mil/genc/view?v=862178&amp;end_month=12&amp;end_day=31&amp;end_year=2016","Correlation")</f>
        <v>Correlation</v>
      </c>
    </row>
    <row r="339" spans="1:11" x14ac:dyDescent="0.2">
      <c r="A339" s="99" t="s">
        <v>1373</v>
      </c>
      <c r="B339" s="100" t="s">
        <v>1374</v>
      </c>
      <c r="C339" s="100" t="s">
        <v>1375</v>
      </c>
      <c r="D339" s="101" t="s">
        <v>1376</v>
      </c>
      <c r="E339" s="60" t="b">
        <v>1</v>
      </c>
      <c r="F339" s="58" t="s">
        <v>1373</v>
      </c>
      <c r="G339" s="64" t="s">
        <v>1374</v>
      </c>
      <c r="H339" s="64" t="s">
        <v>1375</v>
      </c>
      <c r="I339" s="65" t="s">
        <v>1376</v>
      </c>
      <c r="J339" s="66"/>
      <c r="K339" s="63" t="str">
        <f>HYPERLINK("http://nsgreg.nga.mil/genc/view?v=862179&amp;end_month=12&amp;end_day=31&amp;end_year=2016","Correlation")</f>
        <v>Correlation</v>
      </c>
    </row>
    <row r="340" spans="1:11" x14ac:dyDescent="0.2">
      <c r="A340" s="99"/>
      <c r="B340" s="100"/>
      <c r="C340" s="100"/>
      <c r="D340" s="101"/>
      <c r="E340" s="67" t="b">
        <v>0</v>
      </c>
      <c r="F340" s="58" t="s">
        <v>1377</v>
      </c>
      <c r="G340" s="66"/>
      <c r="H340" s="66"/>
      <c r="I340" s="68"/>
      <c r="J340" s="64" t="s">
        <v>1378</v>
      </c>
      <c r="K340" s="63" t="str">
        <f>HYPERLINK("http://nsgreg.nga.mil/genc/view?v=862180&amp;end_month=12&amp;end_day=31&amp;end_year=2016","Correlation")</f>
        <v>Correlation</v>
      </c>
    </row>
    <row r="341" spans="1:11" x14ac:dyDescent="0.2">
      <c r="A341" s="99" t="s">
        <v>1379</v>
      </c>
      <c r="B341" s="100" t="s">
        <v>1380</v>
      </c>
      <c r="C341" s="100" t="s">
        <v>1381</v>
      </c>
      <c r="D341" s="101" t="s">
        <v>1382</v>
      </c>
      <c r="E341" s="60" t="b">
        <v>1</v>
      </c>
      <c r="F341" s="58" t="s">
        <v>245</v>
      </c>
      <c r="G341" s="64" t="s">
        <v>246</v>
      </c>
      <c r="H341" s="64" t="s">
        <v>247</v>
      </c>
      <c r="I341" s="65" t="s">
        <v>248</v>
      </c>
      <c r="J341" s="66"/>
      <c r="K341" s="63" t="str">
        <f>HYPERLINK("http://nsgreg.nga.mil/genc/view?v=862181&amp;end_month=12&amp;end_day=31&amp;end_year=2016","Correlation")</f>
        <v>Correlation</v>
      </c>
    </row>
    <row r="342" spans="1:11" x14ac:dyDescent="0.2">
      <c r="A342" s="99"/>
      <c r="B342" s="100"/>
      <c r="C342" s="100"/>
      <c r="D342" s="101"/>
      <c r="E342" s="67" t="b">
        <v>0</v>
      </c>
      <c r="F342" s="58" t="s">
        <v>1383</v>
      </c>
      <c r="G342" s="66"/>
      <c r="H342" s="66"/>
      <c r="I342" s="68"/>
      <c r="J342" s="64" t="s">
        <v>1384</v>
      </c>
      <c r="K342" s="63" t="str">
        <f>HYPERLINK("http://nsgreg.nga.mil/genc/view?v=862183&amp;end_month=12&amp;end_day=31&amp;end_year=2016","Correlation")</f>
        <v>Correlation</v>
      </c>
    </row>
    <row r="343" spans="1:11" x14ac:dyDescent="0.2">
      <c r="A343" s="99"/>
      <c r="B343" s="100"/>
      <c r="C343" s="100"/>
      <c r="D343" s="101"/>
      <c r="E343" s="67" t="b">
        <v>0</v>
      </c>
      <c r="F343" s="58" t="s">
        <v>251</v>
      </c>
      <c r="G343" s="66"/>
      <c r="H343" s="66"/>
      <c r="I343" s="68"/>
      <c r="J343" s="64" t="s">
        <v>252</v>
      </c>
      <c r="K343" s="63" t="str">
        <f>HYPERLINK("http://nsgreg.nga.mil/genc/view?v=862182&amp;end_month=12&amp;end_day=31&amp;end_year=2016","Correlation")</f>
        <v>Correlation</v>
      </c>
    </row>
    <row r="344" spans="1:11" x14ac:dyDescent="0.2">
      <c r="A344" s="99" t="s">
        <v>1385</v>
      </c>
      <c r="B344" s="100" t="s">
        <v>1386</v>
      </c>
      <c r="C344" s="100" t="s">
        <v>1387</v>
      </c>
      <c r="D344" s="101" t="s">
        <v>1388</v>
      </c>
      <c r="E344" s="60" t="b">
        <v>1</v>
      </c>
      <c r="F344" s="58" t="s">
        <v>1385</v>
      </c>
      <c r="G344" s="64" t="s">
        <v>1386</v>
      </c>
      <c r="H344" s="64" t="s">
        <v>1387</v>
      </c>
      <c r="I344" s="65" t="s">
        <v>1388</v>
      </c>
      <c r="J344" s="66"/>
      <c r="K344" s="63" t="str">
        <f>HYPERLINK("http://nsgreg.nga.mil/genc/view?v=862184&amp;end_month=12&amp;end_day=31&amp;end_year=2016","Correlation")</f>
        <v>Correlation</v>
      </c>
    </row>
    <row r="345" spans="1:11" x14ac:dyDescent="0.2">
      <c r="A345" s="99"/>
      <c r="B345" s="100"/>
      <c r="C345" s="100"/>
      <c r="D345" s="101"/>
      <c r="E345" s="67" t="b">
        <v>0</v>
      </c>
      <c r="F345" s="58" t="s">
        <v>1389</v>
      </c>
      <c r="G345" s="66"/>
      <c r="H345" s="66"/>
      <c r="I345" s="68"/>
      <c r="J345" s="64" t="s">
        <v>1390</v>
      </c>
      <c r="K345" s="63" t="str">
        <f>HYPERLINK("http://nsgreg.nga.mil/genc/view?v=862185&amp;end_month=12&amp;end_day=31&amp;end_year=2016","Correlation")</f>
        <v>Correlation</v>
      </c>
    </row>
    <row r="346" spans="1:11" x14ac:dyDescent="0.2">
      <c r="A346" s="57" t="s">
        <v>1391</v>
      </c>
      <c r="B346" s="58" t="s">
        <v>1392</v>
      </c>
      <c r="C346" s="58" t="s">
        <v>1393</v>
      </c>
      <c r="D346" s="59" t="s">
        <v>1394</v>
      </c>
      <c r="E346" s="60" t="b">
        <v>1</v>
      </c>
      <c r="F346" s="58" t="s">
        <v>594</v>
      </c>
      <c r="G346" s="64" t="s">
        <v>595</v>
      </c>
      <c r="H346" s="64" t="s">
        <v>596</v>
      </c>
      <c r="I346" s="65" t="s">
        <v>597</v>
      </c>
      <c r="J346" s="66"/>
      <c r="K346" s="63" t="str">
        <f>HYPERLINK("http://nsgreg.nga.mil/genc/view?v=862186&amp;end_month=12&amp;end_day=31&amp;end_year=2016","Correlation")</f>
        <v>Correlation</v>
      </c>
    </row>
    <row r="347" spans="1:11" x14ac:dyDescent="0.2">
      <c r="A347" s="57" t="s">
        <v>1395</v>
      </c>
      <c r="B347" s="58" t="s">
        <v>1396</v>
      </c>
      <c r="C347" s="58" t="s">
        <v>1397</v>
      </c>
      <c r="D347" s="59" t="s">
        <v>1398</v>
      </c>
      <c r="E347" s="60" t="b">
        <v>1</v>
      </c>
      <c r="F347" s="58" t="s">
        <v>1395</v>
      </c>
      <c r="G347" s="64" t="s">
        <v>1396</v>
      </c>
      <c r="H347" s="64" t="s">
        <v>1397</v>
      </c>
      <c r="I347" s="65" t="s">
        <v>1398</v>
      </c>
      <c r="J347" s="66"/>
      <c r="K347" s="63" t="str">
        <f>HYPERLINK("http://nsgreg.nga.mil/genc/view?v=862187&amp;end_month=12&amp;end_day=31&amp;end_year=2016","Correlation")</f>
        <v>Correlation</v>
      </c>
    </row>
    <row r="348" spans="1:11" x14ac:dyDescent="0.2">
      <c r="A348" s="57" t="s">
        <v>1399</v>
      </c>
      <c r="B348" s="58" t="s">
        <v>1400</v>
      </c>
      <c r="C348" s="58" t="s">
        <v>1401</v>
      </c>
      <c r="D348" s="59" t="s">
        <v>1402</v>
      </c>
      <c r="E348" s="60" t="b">
        <v>1</v>
      </c>
      <c r="F348" s="58" t="s">
        <v>1399</v>
      </c>
      <c r="G348" s="64" t="s">
        <v>1400</v>
      </c>
      <c r="H348" s="64" t="s">
        <v>1401</v>
      </c>
      <c r="I348" s="65" t="s">
        <v>1402</v>
      </c>
      <c r="J348" s="66"/>
      <c r="K348" s="63" t="str">
        <f>HYPERLINK("http://nsgreg.nga.mil/genc/view?v=862188&amp;end_month=12&amp;end_day=31&amp;end_year=2016","Correlation")</f>
        <v>Correlation</v>
      </c>
    </row>
    <row r="349" spans="1:11" x14ac:dyDescent="0.2">
      <c r="A349" s="57" t="s">
        <v>1403</v>
      </c>
      <c r="B349" s="58" t="s">
        <v>1404</v>
      </c>
      <c r="C349" s="58" t="s">
        <v>1405</v>
      </c>
      <c r="D349" s="59" t="s">
        <v>1406</v>
      </c>
      <c r="E349" s="60" t="b">
        <v>1</v>
      </c>
      <c r="F349" s="58" t="s">
        <v>1403</v>
      </c>
      <c r="G349" s="64" t="s">
        <v>1404</v>
      </c>
      <c r="H349" s="64" t="s">
        <v>1405</v>
      </c>
      <c r="I349" s="65" t="s">
        <v>1406</v>
      </c>
      <c r="J349" s="66"/>
      <c r="K349" s="63" t="str">
        <f>HYPERLINK("http://nsgreg.nga.mil/genc/view?v=862189&amp;end_month=12&amp;end_day=31&amp;end_year=2016","Correlation")</f>
        <v>Correlation</v>
      </c>
    </row>
    <row r="350" spans="1:11" x14ac:dyDescent="0.2">
      <c r="A350" s="70" t="s">
        <v>1407</v>
      </c>
      <c r="B350" s="71" t="s">
        <v>1408</v>
      </c>
      <c r="C350" s="71" t="s">
        <v>1409</v>
      </c>
      <c r="D350" s="72" t="s">
        <v>1410</v>
      </c>
      <c r="E350" s="73" t="b">
        <v>1</v>
      </c>
      <c r="F350" s="71" t="s">
        <v>1407</v>
      </c>
      <c r="G350" s="74" t="s">
        <v>1408</v>
      </c>
      <c r="H350" s="74" t="s">
        <v>1409</v>
      </c>
      <c r="I350" s="75" t="s">
        <v>1410</v>
      </c>
      <c r="J350" s="76"/>
      <c r="K350" s="77" t="str">
        <f>HYPERLINK("http://nsgreg.nga.mil/genc/view?v=862190&amp;end_month=12&amp;end_day=31&amp;end_year=2016","Correlation")</f>
        <v>Correlation</v>
      </c>
    </row>
  </sheetData>
  <autoFilter ref="A4:J4"/>
  <sortState ref="A2:V347">
    <sortCondition ref="A2:A347"/>
    <sortCondition ref="F2:F347"/>
  </sortState>
  <mergeCells count="186">
    <mergeCell ref="K3:K4"/>
    <mergeCell ref="A1:K1"/>
    <mergeCell ref="E3:E4"/>
    <mergeCell ref="J2:J4"/>
    <mergeCell ref="C2:C4"/>
    <mergeCell ref="B2:B4"/>
    <mergeCell ref="D2:D4"/>
    <mergeCell ref="G2:G4"/>
    <mergeCell ref="H2:H4"/>
    <mergeCell ref="I2:I4"/>
    <mergeCell ref="A26:A28"/>
    <mergeCell ref="B26:B28"/>
    <mergeCell ref="C26:C28"/>
    <mergeCell ref="D26:D28"/>
    <mergeCell ref="A31:A32"/>
    <mergeCell ref="B31:B32"/>
    <mergeCell ref="C31:C32"/>
    <mergeCell ref="D31:D32"/>
    <mergeCell ref="A9:A10"/>
    <mergeCell ref="B9:B10"/>
    <mergeCell ref="C9:C10"/>
    <mergeCell ref="D9:D10"/>
    <mergeCell ref="A18:A19"/>
    <mergeCell ref="B18:B19"/>
    <mergeCell ref="C18:C19"/>
    <mergeCell ref="D18:D19"/>
    <mergeCell ref="A81:A82"/>
    <mergeCell ref="B81:B82"/>
    <mergeCell ref="C81:C82"/>
    <mergeCell ref="D81:D82"/>
    <mergeCell ref="A104:A105"/>
    <mergeCell ref="B104:B105"/>
    <mergeCell ref="C104:C105"/>
    <mergeCell ref="D104:D105"/>
    <mergeCell ref="A40:A47"/>
    <mergeCell ref="B40:B47"/>
    <mergeCell ref="C40:C47"/>
    <mergeCell ref="D40:D47"/>
    <mergeCell ref="A68:A69"/>
    <mergeCell ref="B68:B69"/>
    <mergeCell ref="C68:C69"/>
    <mergeCell ref="D68:D69"/>
    <mergeCell ref="A114:A115"/>
    <mergeCell ref="B114:B115"/>
    <mergeCell ref="C114:C115"/>
    <mergeCell ref="D114:D115"/>
    <mergeCell ref="A116:A117"/>
    <mergeCell ref="B116:B117"/>
    <mergeCell ref="C116:C117"/>
    <mergeCell ref="D116:D117"/>
    <mergeCell ref="A109:A110"/>
    <mergeCell ref="B109:B110"/>
    <mergeCell ref="C109:C110"/>
    <mergeCell ref="D109:D110"/>
    <mergeCell ref="A112:A113"/>
    <mergeCell ref="B112:B113"/>
    <mergeCell ref="C112:C113"/>
    <mergeCell ref="D112:D113"/>
    <mergeCell ref="A133:A134"/>
    <mergeCell ref="B133:B134"/>
    <mergeCell ref="C133:C134"/>
    <mergeCell ref="D133:D134"/>
    <mergeCell ref="A144:A145"/>
    <mergeCell ref="B144:B145"/>
    <mergeCell ref="C144:C145"/>
    <mergeCell ref="D144:D145"/>
    <mergeCell ref="A125:A126"/>
    <mergeCell ref="B125:B126"/>
    <mergeCell ref="C125:C126"/>
    <mergeCell ref="D125:D126"/>
    <mergeCell ref="A130:A132"/>
    <mergeCell ref="B130:B132"/>
    <mergeCell ref="C130:C132"/>
    <mergeCell ref="D130:D132"/>
    <mergeCell ref="A163:A165"/>
    <mergeCell ref="B163:B165"/>
    <mergeCell ref="C163:C165"/>
    <mergeCell ref="D163:D165"/>
    <mergeCell ref="A167:A169"/>
    <mergeCell ref="B167:B169"/>
    <mergeCell ref="C167:C169"/>
    <mergeCell ref="D167:D169"/>
    <mergeCell ref="A146:A148"/>
    <mergeCell ref="B146:B148"/>
    <mergeCell ref="C146:C148"/>
    <mergeCell ref="D146:D148"/>
    <mergeCell ref="A160:A161"/>
    <mergeCell ref="B160:B161"/>
    <mergeCell ref="C160:C161"/>
    <mergeCell ref="D160:D161"/>
    <mergeCell ref="A181:A182"/>
    <mergeCell ref="B181:B182"/>
    <mergeCell ref="C181:C182"/>
    <mergeCell ref="D181:D182"/>
    <mergeCell ref="A194:A195"/>
    <mergeCell ref="B194:B195"/>
    <mergeCell ref="C194:C195"/>
    <mergeCell ref="D194:D195"/>
    <mergeCell ref="A171:A172"/>
    <mergeCell ref="B171:B172"/>
    <mergeCell ref="C171:C172"/>
    <mergeCell ref="D171:D172"/>
    <mergeCell ref="A175:A177"/>
    <mergeCell ref="B175:B177"/>
    <mergeCell ref="C175:C177"/>
    <mergeCell ref="D175:D177"/>
    <mergeCell ref="A213:A215"/>
    <mergeCell ref="B213:B215"/>
    <mergeCell ref="C213:C215"/>
    <mergeCell ref="D213:D215"/>
    <mergeCell ref="A225:A227"/>
    <mergeCell ref="B225:B227"/>
    <mergeCell ref="C225:C227"/>
    <mergeCell ref="D225:D227"/>
    <mergeCell ref="A204:A205"/>
    <mergeCell ref="B204:B205"/>
    <mergeCell ref="C204:C205"/>
    <mergeCell ref="D204:D205"/>
    <mergeCell ref="A208:A210"/>
    <mergeCell ref="B208:B210"/>
    <mergeCell ref="C208:C210"/>
    <mergeCell ref="D208:D210"/>
    <mergeCell ref="A244:A246"/>
    <mergeCell ref="B244:B246"/>
    <mergeCell ref="C244:C246"/>
    <mergeCell ref="D244:D246"/>
    <mergeCell ref="A249:A251"/>
    <mergeCell ref="B249:B251"/>
    <mergeCell ref="C249:C251"/>
    <mergeCell ref="D249:D251"/>
    <mergeCell ref="A230:A231"/>
    <mergeCell ref="B230:B231"/>
    <mergeCell ref="C230:C231"/>
    <mergeCell ref="D230:D231"/>
    <mergeCell ref="A238:A239"/>
    <mergeCell ref="B238:B239"/>
    <mergeCell ref="C238:C239"/>
    <mergeCell ref="D238:D239"/>
    <mergeCell ref="A267:A268"/>
    <mergeCell ref="B267:B268"/>
    <mergeCell ref="C267:C268"/>
    <mergeCell ref="D267:D268"/>
    <mergeCell ref="A272:A273"/>
    <mergeCell ref="B272:B273"/>
    <mergeCell ref="C272:C273"/>
    <mergeCell ref="D272:D273"/>
    <mergeCell ref="A258:A259"/>
    <mergeCell ref="B258:B259"/>
    <mergeCell ref="C258:C259"/>
    <mergeCell ref="D258:D259"/>
    <mergeCell ref="A261:A263"/>
    <mergeCell ref="B261:B263"/>
    <mergeCell ref="C261:C263"/>
    <mergeCell ref="D261:D263"/>
    <mergeCell ref="A296:A300"/>
    <mergeCell ref="B296:B300"/>
    <mergeCell ref="C296:C300"/>
    <mergeCell ref="D296:D300"/>
    <mergeCell ref="A304:A305"/>
    <mergeCell ref="B304:B305"/>
    <mergeCell ref="C304:C305"/>
    <mergeCell ref="D304:D305"/>
    <mergeCell ref="A274:A275"/>
    <mergeCell ref="B274:B275"/>
    <mergeCell ref="C274:C275"/>
    <mergeCell ref="D274:D275"/>
    <mergeCell ref="A286:A287"/>
    <mergeCell ref="B286:B287"/>
    <mergeCell ref="C286:C287"/>
    <mergeCell ref="D286:D287"/>
    <mergeCell ref="A341:A343"/>
    <mergeCell ref="B341:B343"/>
    <mergeCell ref="C341:C343"/>
    <mergeCell ref="D341:D343"/>
    <mergeCell ref="A344:A345"/>
    <mergeCell ref="B344:B345"/>
    <mergeCell ref="C344:C345"/>
    <mergeCell ref="D344:D345"/>
    <mergeCell ref="A319:A320"/>
    <mergeCell ref="B319:B320"/>
    <mergeCell ref="C319:C320"/>
    <mergeCell ref="D319:D320"/>
    <mergeCell ref="A339:A340"/>
    <mergeCell ref="B339:B340"/>
    <mergeCell ref="C339:C340"/>
    <mergeCell ref="D339:D340"/>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M5067"/>
  <sheetViews>
    <sheetView workbookViewId="0">
      <pane ySplit="4" topLeftCell="A5" activePane="bottomLeft" state="frozen"/>
      <selection pane="bottomLeft" activeCell="E2" sqref="E2"/>
    </sheetView>
  </sheetViews>
  <sheetFormatPr defaultRowHeight="11.25" x14ac:dyDescent="0.2"/>
  <cols>
    <col min="1" max="1" width="32.83203125" style="1" customWidth="1"/>
    <col min="2" max="2" width="26.83203125" style="1" customWidth="1"/>
    <col min="3" max="3" width="18.83203125" style="1" customWidth="1"/>
    <col min="4" max="4" width="8.1640625" style="1" customWidth="1"/>
    <col min="5" max="5" width="8.33203125" style="22" customWidth="1"/>
    <col min="6" max="6" width="32.83203125" style="1" customWidth="1"/>
    <col min="7" max="7" width="24.83203125" style="1" customWidth="1"/>
    <col min="8" max="8" width="18.83203125" style="1" customWidth="1"/>
    <col min="9" max="9" width="8.1640625" style="24" customWidth="1"/>
    <col min="10" max="11" width="6" style="24" customWidth="1"/>
    <col min="12" max="12" width="6" style="25" customWidth="1"/>
    <col min="13" max="13" width="9.83203125" style="1" customWidth="1"/>
    <col min="14" max="16384" width="9.33203125" style="1"/>
  </cols>
  <sheetData>
    <row r="1" spans="1:13" ht="21.75" customHeight="1" x14ac:dyDescent="0.2">
      <c r="A1" s="103" t="s">
        <v>1411</v>
      </c>
      <c r="B1" s="104"/>
      <c r="C1" s="104"/>
      <c r="D1" s="104"/>
      <c r="E1" s="104"/>
      <c r="F1" s="104"/>
      <c r="G1" s="104"/>
      <c r="H1" s="104"/>
      <c r="I1" s="104"/>
      <c r="J1" s="104"/>
      <c r="K1" s="104"/>
      <c r="L1" s="104"/>
      <c r="M1" s="105"/>
    </row>
    <row r="2" spans="1:13" ht="15" customHeight="1" x14ac:dyDescent="0.2">
      <c r="A2" s="18" t="s">
        <v>22</v>
      </c>
      <c r="B2" s="20"/>
      <c r="C2" s="20"/>
      <c r="D2" s="108" t="s">
        <v>70</v>
      </c>
      <c r="E2" s="21" t="s">
        <v>7</v>
      </c>
      <c r="F2" s="19" t="s">
        <v>23</v>
      </c>
      <c r="G2" s="19"/>
      <c r="H2" s="19"/>
      <c r="I2" s="111" t="s">
        <v>71</v>
      </c>
      <c r="J2" s="107" t="s">
        <v>3</v>
      </c>
      <c r="K2" s="107" t="s">
        <v>4</v>
      </c>
      <c r="L2" s="107" t="s">
        <v>5</v>
      </c>
      <c r="M2" s="17"/>
    </row>
    <row r="3" spans="1:13" ht="21.75" customHeight="1" x14ac:dyDescent="0.25">
      <c r="A3" s="15" t="s">
        <v>66</v>
      </c>
      <c r="B3" s="16"/>
      <c r="C3" s="16"/>
      <c r="D3" s="108"/>
      <c r="E3" s="106" t="s">
        <v>6</v>
      </c>
      <c r="F3" s="14" t="s">
        <v>67</v>
      </c>
      <c r="G3" s="14"/>
      <c r="H3" s="14"/>
      <c r="I3" s="111"/>
      <c r="J3" s="107"/>
      <c r="K3" s="107"/>
      <c r="L3" s="107"/>
      <c r="M3" s="102" t="s">
        <v>28</v>
      </c>
    </row>
    <row r="4" spans="1:13" ht="29.25" customHeight="1" x14ac:dyDescent="0.2">
      <c r="A4" s="8" t="s">
        <v>72</v>
      </c>
      <c r="B4" s="10" t="s">
        <v>75</v>
      </c>
      <c r="C4" s="10" t="s">
        <v>76</v>
      </c>
      <c r="D4" s="108"/>
      <c r="E4" s="106"/>
      <c r="F4" s="9" t="s">
        <v>73</v>
      </c>
      <c r="G4" s="9" t="s">
        <v>74</v>
      </c>
      <c r="H4" s="9" t="s">
        <v>76</v>
      </c>
      <c r="I4" s="111"/>
      <c r="J4" s="107"/>
      <c r="K4" s="107"/>
      <c r="L4" s="107"/>
      <c r="M4" s="102"/>
    </row>
    <row r="5" spans="1:13" x14ac:dyDescent="0.2">
      <c r="A5" s="112" t="s">
        <v>159</v>
      </c>
      <c r="B5" s="50" t="s">
        <v>1412</v>
      </c>
      <c r="C5" s="50" t="s">
        <v>1413</v>
      </c>
      <c r="D5" s="50" t="s">
        <v>1414</v>
      </c>
      <c r="E5" s="52" t="b">
        <v>1</v>
      </c>
      <c r="F5" s="78" t="s">
        <v>159</v>
      </c>
      <c r="G5" s="50" t="s">
        <v>1412</v>
      </c>
      <c r="H5" s="50" t="s">
        <v>1413</v>
      </c>
      <c r="I5" s="53" t="s">
        <v>1414</v>
      </c>
      <c r="J5" s="55"/>
      <c r="K5" s="55"/>
      <c r="L5" s="79"/>
      <c r="M5" s="56" t="str">
        <f>HYPERLINK("http://nsgreg.nga.mil/genc/view?v=862208&amp;end_month=12&amp;end_day=31&amp;end_year=2016","Correlation")</f>
        <v>Correlation</v>
      </c>
    </row>
    <row r="6" spans="1:13" x14ac:dyDescent="0.2">
      <c r="A6" s="113"/>
      <c r="B6" s="58" t="s">
        <v>1415</v>
      </c>
      <c r="C6" s="58" t="s">
        <v>1413</v>
      </c>
      <c r="D6" s="58" t="s">
        <v>1416</v>
      </c>
      <c r="E6" s="60" t="b">
        <v>1</v>
      </c>
      <c r="F6" s="80" t="s">
        <v>159</v>
      </c>
      <c r="G6" s="58" t="s">
        <v>1415</v>
      </c>
      <c r="H6" s="58" t="s">
        <v>1413</v>
      </c>
      <c r="I6" s="64" t="s">
        <v>1416</v>
      </c>
      <c r="J6" s="66"/>
      <c r="K6" s="66"/>
      <c r="L6" s="68"/>
      <c r="M6" s="63" t="str">
        <f>HYPERLINK("http://nsgreg.nga.mil/genc/view?v=862207&amp;end_month=12&amp;end_day=31&amp;end_year=2016","Correlation")</f>
        <v>Correlation</v>
      </c>
    </row>
    <row r="7" spans="1:13" x14ac:dyDescent="0.2">
      <c r="A7" s="113"/>
      <c r="B7" s="58" t="s">
        <v>1417</v>
      </c>
      <c r="C7" s="58" t="s">
        <v>1413</v>
      </c>
      <c r="D7" s="58" t="s">
        <v>1418</v>
      </c>
      <c r="E7" s="60" t="b">
        <v>1</v>
      </c>
      <c r="F7" s="80" t="s">
        <v>159</v>
      </c>
      <c r="G7" s="58" t="s">
        <v>1417</v>
      </c>
      <c r="H7" s="58" t="s">
        <v>1413</v>
      </c>
      <c r="I7" s="64" t="s">
        <v>1418</v>
      </c>
      <c r="J7" s="66"/>
      <c r="K7" s="66"/>
      <c r="L7" s="68"/>
      <c r="M7" s="63" t="str">
        <f>HYPERLINK("http://nsgreg.nga.mil/genc/view?v=862209&amp;end_month=12&amp;end_day=31&amp;end_year=2016","Correlation")</f>
        <v>Correlation</v>
      </c>
    </row>
    <row r="8" spans="1:13" x14ac:dyDescent="0.2">
      <c r="A8" s="113"/>
      <c r="B8" s="58" t="s">
        <v>1419</v>
      </c>
      <c r="C8" s="58" t="s">
        <v>1413</v>
      </c>
      <c r="D8" s="58" t="s">
        <v>1420</v>
      </c>
      <c r="E8" s="60" t="b">
        <v>1</v>
      </c>
      <c r="F8" s="80" t="s">
        <v>159</v>
      </c>
      <c r="G8" s="58" t="s">
        <v>1419</v>
      </c>
      <c r="H8" s="58" t="s">
        <v>1413</v>
      </c>
      <c r="I8" s="64" t="s">
        <v>1420</v>
      </c>
      <c r="J8" s="66"/>
      <c r="K8" s="66"/>
      <c r="L8" s="68"/>
      <c r="M8" s="63" t="str">
        <f>HYPERLINK("http://nsgreg.nga.mil/genc/view?v=862205&amp;end_month=12&amp;end_day=31&amp;end_year=2016","Correlation")</f>
        <v>Correlation</v>
      </c>
    </row>
    <row r="9" spans="1:13" x14ac:dyDescent="0.2">
      <c r="A9" s="113"/>
      <c r="B9" s="58" t="s">
        <v>1421</v>
      </c>
      <c r="C9" s="58" t="s">
        <v>1413</v>
      </c>
      <c r="D9" s="58" t="s">
        <v>1422</v>
      </c>
      <c r="E9" s="60" t="b">
        <v>1</v>
      </c>
      <c r="F9" s="80" t="s">
        <v>159</v>
      </c>
      <c r="G9" s="58" t="s">
        <v>1421</v>
      </c>
      <c r="H9" s="58" t="s">
        <v>1413</v>
      </c>
      <c r="I9" s="64" t="s">
        <v>1422</v>
      </c>
      <c r="J9" s="66"/>
      <c r="K9" s="66"/>
      <c r="L9" s="68"/>
      <c r="M9" s="63" t="str">
        <f>HYPERLINK("http://nsgreg.nga.mil/genc/view?v=862206&amp;end_month=12&amp;end_day=31&amp;end_year=2016","Correlation")</f>
        <v>Correlation</v>
      </c>
    </row>
    <row r="10" spans="1:13" x14ac:dyDescent="0.2">
      <c r="A10" s="113"/>
      <c r="B10" s="58" t="s">
        <v>1423</v>
      </c>
      <c r="C10" s="58" t="s">
        <v>1413</v>
      </c>
      <c r="D10" s="58" t="s">
        <v>1424</v>
      </c>
      <c r="E10" s="60" t="b">
        <v>1</v>
      </c>
      <c r="F10" s="80" t="s">
        <v>159</v>
      </c>
      <c r="G10" s="58" t="s">
        <v>1423</v>
      </c>
      <c r="H10" s="58" t="s">
        <v>1413</v>
      </c>
      <c r="I10" s="64" t="s">
        <v>1424</v>
      </c>
      <c r="J10" s="66"/>
      <c r="K10" s="66"/>
      <c r="L10" s="68"/>
      <c r="M10" s="63" t="str">
        <f>HYPERLINK("http://nsgreg.nga.mil/genc/view?v=862210&amp;end_month=12&amp;end_day=31&amp;end_year=2016","Correlation")</f>
        <v>Correlation</v>
      </c>
    </row>
    <row r="11" spans="1:13" x14ac:dyDescent="0.2">
      <c r="A11" s="113"/>
      <c r="B11" s="58" t="s">
        <v>1425</v>
      </c>
      <c r="C11" s="58" t="s">
        <v>1413</v>
      </c>
      <c r="D11" s="58" t="s">
        <v>1426</v>
      </c>
      <c r="E11" s="60" t="b">
        <v>1</v>
      </c>
      <c r="F11" s="80" t="s">
        <v>159</v>
      </c>
      <c r="G11" s="58" t="s">
        <v>1425</v>
      </c>
      <c r="H11" s="58" t="s">
        <v>1413</v>
      </c>
      <c r="I11" s="64" t="s">
        <v>1426</v>
      </c>
      <c r="J11" s="66"/>
      <c r="K11" s="66"/>
      <c r="L11" s="68"/>
      <c r="M11" s="63" t="str">
        <f>HYPERLINK("http://nsgreg.nga.mil/genc/view?v=862211&amp;end_month=12&amp;end_day=31&amp;end_year=2016","Correlation")</f>
        <v>Correlation</v>
      </c>
    </row>
    <row r="12" spans="1:13" x14ac:dyDescent="0.2">
      <c r="A12" s="113"/>
      <c r="B12" s="58" t="s">
        <v>1427</v>
      </c>
      <c r="C12" s="58" t="s">
        <v>1413</v>
      </c>
      <c r="D12" s="58" t="s">
        <v>1428</v>
      </c>
      <c r="E12" s="60" t="b">
        <v>1</v>
      </c>
      <c r="F12" s="80" t="s">
        <v>159</v>
      </c>
      <c r="G12" s="58" t="s">
        <v>1427</v>
      </c>
      <c r="H12" s="58" t="s">
        <v>1413</v>
      </c>
      <c r="I12" s="64" t="s">
        <v>1428</v>
      </c>
      <c r="J12" s="66"/>
      <c r="K12" s="66"/>
      <c r="L12" s="68"/>
      <c r="M12" s="63" t="str">
        <f>HYPERLINK("http://nsgreg.nga.mil/genc/view?v=862212&amp;end_month=12&amp;end_day=31&amp;end_year=2016","Correlation")</f>
        <v>Correlation</v>
      </c>
    </row>
    <row r="13" spans="1:13" x14ac:dyDescent="0.2">
      <c r="A13" s="113"/>
      <c r="B13" s="58" t="s">
        <v>1429</v>
      </c>
      <c r="C13" s="58" t="s">
        <v>1413</v>
      </c>
      <c r="D13" s="58" t="s">
        <v>1430</v>
      </c>
      <c r="E13" s="60" t="b">
        <v>1</v>
      </c>
      <c r="F13" s="80" t="s">
        <v>159</v>
      </c>
      <c r="G13" s="58" t="s">
        <v>1429</v>
      </c>
      <c r="H13" s="58" t="s">
        <v>1413</v>
      </c>
      <c r="I13" s="64" t="s">
        <v>1430</v>
      </c>
      <c r="J13" s="66"/>
      <c r="K13" s="66"/>
      <c r="L13" s="68"/>
      <c r="M13" s="63" t="str">
        <f>HYPERLINK("http://nsgreg.nga.mil/genc/view?v=862213&amp;end_month=12&amp;end_day=31&amp;end_year=2016","Correlation")</f>
        <v>Correlation</v>
      </c>
    </row>
    <row r="14" spans="1:13" x14ac:dyDescent="0.2">
      <c r="A14" s="113"/>
      <c r="B14" s="58" t="s">
        <v>1431</v>
      </c>
      <c r="C14" s="58" t="s">
        <v>1413</v>
      </c>
      <c r="D14" s="58" t="s">
        <v>1432</v>
      </c>
      <c r="E14" s="60" t="b">
        <v>1</v>
      </c>
      <c r="F14" s="80" t="s">
        <v>159</v>
      </c>
      <c r="G14" s="58" t="s">
        <v>1431</v>
      </c>
      <c r="H14" s="58" t="s">
        <v>1413</v>
      </c>
      <c r="I14" s="64" t="s">
        <v>1432</v>
      </c>
      <c r="J14" s="66"/>
      <c r="K14" s="66"/>
      <c r="L14" s="68"/>
      <c r="M14" s="63" t="str">
        <f>HYPERLINK("http://nsgreg.nga.mil/genc/view?v=862214&amp;end_month=12&amp;end_day=31&amp;end_year=2016","Correlation")</f>
        <v>Correlation</v>
      </c>
    </row>
    <row r="15" spans="1:13" x14ac:dyDescent="0.2">
      <c r="A15" s="113"/>
      <c r="B15" s="58" t="s">
        <v>1433</v>
      </c>
      <c r="C15" s="58" t="s">
        <v>1413</v>
      </c>
      <c r="D15" s="58" t="s">
        <v>1434</v>
      </c>
      <c r="E15" s="60" t="b">
        <v>1</v>
      </c>
      <c r="F15" s="80" t="s">
        <v>159</v>
      </c>
      <c r="G15" s="58" t="s">
        <v>1433</v>
      </c>
      <c r="H15" s="58" t="s">
        <v>1413</v>
      </c>
      <c r="I15" s="64" t="s">
        <v>1434</v>
      </c>
      <c r="J15" s="66"/>
      <c r="K15" s="66"/>
      <c r="L15" s="68"/>
      <c r="M15" s="63" t="str">
        <f>HYPERLINK("http://nsgreg.nga.mil/genc/view?v=862215&amp;end_month=12&amp;end_day=31&amp;end_year=2016","Correlation")</f>
        <v>Correlation</v>
      </c>
    </row>
    <row r="16" spans="1:13" x14ac:dyDescent="0.2">
      <c r="A16" s="113"/>
      <c r="B16" s="58" t="s">
        <v>1435</v>
      </c>
      <c r="C16" s="58" t="s">
        <v>1413</v>
      </c>
      <c r="D16" s="58" t="s">
        <v>1436</v>
      </c>
      <c r="E16" s="60" t="b">
        <v>1</v>
      </c>
      <c r="F16" s="80" t="s">
        <v>159</v>
      </c>
      <c r="G16" s="58" t="s">
        <v>1435</v>
      </c>
      <c r="H16" s="58" t="s">
        <v>1413</v>
      </c>
      <c r="I16" s="64" t="s">
        <v>1436</v>
      </c>
      <c r="J16" s="66"/>
      <c r="K16" s="66"/>
      <c r="L16" s="68"/>
      <c r="M16" s="63" t="str">
        <f>HYPERLINK("http://nsgreg.nga.mil/genc/view?v=862216&amp;end_month=12&amp;end_day=31&amp;end_year=2016","Correlation")</f>
        <v>Correlation</v>
      </c>
    </row>
    <row r="17" spans="1:13" x14ac:dyDescent="0.2">
      <c r="A17" s="113"/>
      <c r="B17" s="58" t="s">
        <v>1437</v>
      </c>
      <c r="C17" s="58" t="s">
        <v>1413</v>
      </c>
      <c r="D17" s="58" t="s">
        <v>1438</v>
      </c>
      <c r="E17" s="60" t="b">
        <v>1</v>
      </c>
      <c r="F17" s="80" t="s">
        <v>159</v>
      </c>
      <c r="G17" s="58" t="s">
        <v>1437</v>
      </c>
      <c r="H17" s="58" t="s">
        <v>1413</v>
      </c>
      <c r="I17" s="64" t="s">
        <v>1438</v>
      </c>
      <c r="J17" s="66"/>
      <c r="K17" s="66"/>
      <c r="L17" s="68"/>
      <c r="M17" s="63" t="str">
        <f>HYPERLINK("http://nsgreg.nga.mil/genc/view?v=862217&amp;end_month=12&amp;end_day=31&amp;end_year=2016","Correlation")</f>
        <v>Correlation</v>
      </c>
    </row>
    <row r="18" spans="1:13" x14ac:dyDescent="0.2">
      <c r="A18" s="113"/>
      <c r="B18" s="58" t="s">
        <v>1439</v>
      </c>
      <c r="C18" s="58" t="s">
        <v>1413</v>
      </c>
      <c r="D18" s="58" t="s">
        <v>1440</v>
      </c>
      <c r="E18" s="60" t="b">
        <v>1</v>
      </c>
      <c r="F18" s="80" t="s">
        <v>159</v>
      </c>
      <c r="G18" s="58" t="s">
        <v>1439</v>
      </c>
      <c r="H18" s="58" t="s">
        <v>1413</v>
      </c>
      <c r="I18" s="64" t="s">
        <v>1440</v>
      </c>
      <c r="J18" s="66"/>
      <c r="K18" s="66"/>
      <c r="L18" s="68"/>
      <c r="M18" s="63" t="str">
        <f>HYPERLINK("http://nsgreg.nga.mil/genc/view?v=862218&amp;end_month=12&amp;end_day=31&amp;end_year=2016","Correlation")</f>
        <v>Correlation</v>
      </c>
    </row>
    <row r="19" spans="1:13" x14ac:dyDescent="0.2">
      <c r="A19" s="113"/>
      <c r="B19" s="58" t="s">
        <v>1441</v>
      </c>
      <c r="C19" s="58" t="s">
        <v>1413</v>
      </c>
      <c r="D19" s="58" t="s">
        <v>1442</v>
      </c>
      <c r="E19" s="60" t="b">
        <v>1</v>
      </c>
      <c r="F19" s="80" t="s">
        <v>159</v>
      </c>
      <c r="G19" s="58" t="s">
        <v>1441</v>
      </c>
      <c r="H19" s="58" t="s">
        <v>1413</v>
      </c>
      <c r="I19" s="64" t="s">
        <v>1442</v>
      </c>
      <c r="J19" s="66"/>
      <c r="K19" s="66"/>
      <c r="L19" s="68"/>
      <c r="M19" s="63" t="str">
        <f>HYPERLINK("http://nsgreg.nga.mil/genc/view?v=862219&amp;end_month=12&amp;end_day=31&amp;end_year=2016","Correlation")</f>
        <v>Correlation</v>
      </c>
    </row>
    <row r="20" spans="1:13" x14ac:dyDescent="0.2">
      <c r="A20" s="113"/>
      <c r="B20" s="58" t="s">
        <v>1443</v>
      </c>
      <c r="C20" s="58" t="s">
        <v>1413</v>
      </c>
      <c r="D20" s="58" t="s">
        <v>1444</v>
      </c>
      <c r="E20" s="60" t="b">
        <v>1</v>
      </c>
      <c r="F20" s="80" t="s">
        <v>159</v>
      </c>
      <c r="G20" s="58" t="s">
        <v>1443</v>
      </c>
      <c r="H20" s="58" t="s">
        <v>1413</v>
      </c>
      <c r="I20" s="64" t="s">
        <v>1444</v>
      </c>
      <c r="J20" s="66"/>
      <c r="K20" s="66"/>
      <c r="L20" s="68"/>
      <c r="M20" s="63" t="str">
        <f>HYPERLINK("http://nsgreg.nga.mil/genc/view?v=862220&amp;end_month=12&amp;end_day=31&amp;end_year=2016","Correlation")</f>
        <v>Correlation</v>
      </c>
    </row>
    <row r="21" spans="1:13" x14ac:dyDescent="0.2">
      <c r="A21" s="113"/>
      <c r="B21" s="58" t="s">
        <v>1445</v>
      </c>
      <c r="C21" s="58" t="s">
        <v>1413</v>
      </c>
      <c r="D21" s="58" t="s">
        <v>1446</v>
      </c>
      <c r="E21" s="60" t="b">
        <v>1</v>
      </c>
      <c r="F21" s="80" t="s">
        <v>159</v>
      </c>
      <c r="G21" s="58" t="s">
        <v>1445</v>
      </c>
      <c r="H21" s="58" t="s">
        <v>1413</v>
      </c>
      <c r="I21" s="64" t="s">
        <v>1446</v>
      </c>
      <c r="J21" s="66"/>
      <c r="K21" s="66"/>
      <c r="L21" s="68"/>
      <c r="M21" s="63" t="str">
        <f>HYPERLINK("http://nsgreg.nga.mil/genc/view?v=862222&amp;end_month=12&amp;end_day=31&amp;end_year=2016","Correlation")</f>
        <v>Correlation</v>
      </c>
    </row>
    <row r="22" spans="1:13" x14ac:dyDescent="0.2">
      <c r="A22" s="113"/>
      <c r="B22" s="58" t="s">
        <v>1447</v>
      </c>
      <c r="C22" s="58" t="s">
        <v>1413</v>
      </c>
      <c r="D22" s="58" t="s">
        <v>1448</v>
      </c>
      <c r="E22" s="60" t="b">
        <v>1</v>
      </c>
      <c r="F22" s="80" t="s">
        <v>159</v>
      </c>
      <c r="G22" s="58" t="s">
        <v>1447</v>
      </c>
      <c r="H22" s="58" t="s">
        <v>1413</v>
      </c>
      <c r="I22" s="64" t="s">
        <v>1448</v>
      </c>
      <c r="J22" s="66"/>
      <c r="K22" s="66"/>
      <c r="L22" s="68"/>
      <c r="M22" s="63" t="str">
        <f>HYPERLINK("http://nsgreg.nga.mil/genc/view?v=862223&amp;end_month=12&amp;end_day=31&amp;end_year=2016","Correlation")</f>
        <v>Correlation</v>
      </c>
    </row>
    <row r="23" spans="1:13" x14ac:dyDescent="0.2">
      <c r="A23" s="113"/>
      <c r="B23" s="58" t="s">
        <v>1449</v>
      </c>
      <c r="C23" s="58" t="s">
        <v>1413</v>
      </c>
      <c r="D23" s="58" t="s">
        <v>1450</v>
      </c>
      <c r="E23" s="60" t="b">
        <v>1</v>
      </c>
      <c r="F23" s="80" t="s">
        <v>159</v>
      </c>
      <c r="G23" s="58" t="s">
        <v>1449</v>
      </c>
      <c r="H23" s="58" t="s">
        <v>1413</v>
      </c>
      <c r="I23" s="64" t="s">
        <v>1450</v>
      </c>
      <c r="J23" s="66"/>
      <c r="K23" s="66"/>
      <c r="L23" s="68"/>
      <c r="M23" s="63" t="str">
        <f>HYPERLINK("http://nsgreg.nga.mil/genc/view?v=862221&amp;end_month=12&amp;end_day=31&amp;end_year=2016","Correlation")</f>
        <v>Correlation</v>
      </c>
    </row>
    <row r="24" spans="1:13" x14ac:dyDescent="0.2">
      <c r="A24" s="113"/>
      <c r="B24" s="58" t="s">
        <v>1451</v>
      </c>
      <c r="C24" s="58" t="s">
        <v>1413</v>
      </c>
      <c r="D24" s="58" t="s">
        <v>1452</v>
      </c>
      <c r="E24" s="60" t="b">
        <v>1</v>
      </c>
      <c r="F24" s="80" t="s">
        <v>159</v>
      </c>
      <c r="G24" s="58" t="s">
        <v>1451</v>
      </c>
      <c r="H24" s="58" t="s">
        <v>1413</v>
      </c>
      <c r="I24" s="64" t="s">
        <v>1452</v>
      </c>
      <c r="J24" s="66"/>
      <c r="K24" s="66"/>
      <c r="L24" s="68"/>
      <c r="M24" s="63" t="str">
        <f>HYPERLINK("http://nsgreg.nga.mil/genc/view?v=862224&amp;end_month=12&amp;end_day=31&amp;end_year=2016","Correlation")</f>
        <v>Correlation</v>
      </c>
    </row>
    <row r="25" spans="1:13" x14ac:dyDescent="0.2">
      <c r="A25" s="113"/>
      <c r="B25" s="58" t="s">
        <v>1453</v>
      </c>
      <c r="C25" s="58" t="s">
        <v>1413</v>
      </c>
      <c r="D25" s="58" t="s">
        <v>1454</v>
      </c>
      <c r="E25" s="60" t="b">
        <v>1</v>
      </c>
      <c r="F25" s="80" t="s">
        <v>159</v>
      </c>
      <c r="G25" s="58" t="s">
        <v>1453</v>
      </c>
      <c r="H25" s="58" t="s">
        <v>1413</v>
      </c>
      <c r="I25" s="64" t="s">
        <v>1454</v>
      </c>
      <c r="J25" s="66"/>
      <c r="K25" s="66"/>
      <c r="L25" s="68"/>
      <c r="M25" s="63" t="str">
        <f>HYPERLINK("http://nsgreg.nga.mil/genc/view?v=862225&amp;end_month=12&amp;end_day=31&amp;end_year=2016","Correlation")</f>
        <v>Correlation</v>
      </c>
    </row>
    <row r="26" spans="1:13" x14ac:dyDescent="0.2">
      <c r="A26" s="113"/>
      <c r="B26" s="58" t="s">
        <v>1455</v>
      </c>
      <c r="C26" s="58" t="s">
        <v>1413</v>
      </c>
      <c r="D26" s="58" t="s">
        <v>1456</v>
      </c>
      <c r="E26" s="60" t="b">
        <v>1</v>
      </c>
      <c r="F26" s="80" t="s">
        <v>159</v>
      </c>
      <c r="G26" s="58" t="s">
        <v>1455</v>
      </c>
      <c r="H26" s="58" t="s">
        <v>1413</v>
      </c>
      <c r="I26" s="64" t="s">
        <v>1456</v>
      </c>
      <c r="J26" s="66"/>
      <c r="K26" s="66"/>
      <c r="L26" s="68"/>
      <c r="M26" s="63" t="str">
        <f>HYPERLINK("http://nsgreg.nga.mil/genc/view?v=862226&amp;end_month=12&amp;end_day=31&amp;end_year=2016","Correlation")</f>
        <v>Correlation</v>
      </c>
    </row>
    <row r="27" spans="1:13" x14ac:dyDescent="0.2">
      <c r="A27" s="113"/>
      <c r="B27" s="58" t="s">
        <v>1457</v>
      </c>
      <c r="C27" s="58" t="s">
        <v>1413</v>
      </c>
      <c r="D27" s="58" t="s">
        <v>1458</v>
      </c>
      <c r="E27" s="60" t="b">
        <v>1</v>
      </c>
      <c r="F27" s="80" t="s">
        <v>159</v>
      </c>
      <c r="G27" s="58" t="s">
        <v>1457</v>
      </c>
      <c r="H27" s="58" t="s">
        <v>1413</v>
      </c>
      <c r="I27" s="64" t="s">
        <v>1458</v>
      </c>
      <c r="J27" s="66"/>
      <c r="K27" s="66"/>
      <c r="L27" s="68"/>
      <c r="M27" s="63" t="str">
        <f>HYPERLINK("http://nsgreg.nga.mil/genc/view?v=862227&amp;end_month=12&amp;end_day=31&amp;end_year=2016","Correlation")</f>
        <v>Correlation</v>
      </c>
    </row>
    <row r="28" spans="1:13" x14ac:dyDescent="0.2">
      <c r="A28" s="113"/>
      <c r="B28" s="58" t="s">
        <v>1459</v>
      </c>
      <c r="C28" s="58" t="s">
        <v>1413</v>
      </c>
      <c r="D28" s="58" t="s">
        <v>1460</v>
      </c>
      <c r="E28" s="60" t="b">
        <v>1</v>
      </c>
      <c r="F28" s="80" t="s">
        <v>159</v>
      </c>
      <c r="G28" s="58" t="s">
        <v>1459</v>
      </c>
      <c r="H28" s="58" t="s">
        <v>1413</v>
      </c>
      <c r="I28" s="64" t="s">
        <v>1460</v>
      </c>
      <c r="J28" s="66"/>
      <c r="K28" s="66"/>
      <c r="L28" s="68"/>
      <c r="M28" s="63" t="str">
        <f>HYPERLINK("http://nsgreg.nga.mil/genc/view?v=862228&amp;end_month=12&amp;end_day=31&amp;end_year=2016","Correlation")</f>
        <v>Correlation</v>
      </c>
    </row>
    <row r="29" spans="1:13" x14ac:dyDescent="0.2">
      <c r="A29" s="113"/>
      <c r="B29" s="58" t="s">
        <v>1461</v>
      </c>
      <c r="C29" s="58" t="s">
        <v>1413</v>
      </c>
      <c r="D29" s="58" t="s">
        <v>1462</v>
      </c>
      <c r="E29" s="60" t="b">
        <v>1</v>
      </c>
      <c r="F29" s="80" t="s">
        <v>159</v>
      </c>
      <c r="G29" s="58" t="s">
        <v>1461</v>
      </c>
      <c r="H29" s="58" t="s">
        <v>1413</v>
      </c>
      <c r="I29" s="64" t="s">
        <v>1462</v>
      </c>
      <c r="J29" s="66"/>
      <c r="K29" s="66"/>
      <c r="L29" s="68"/>
      <c r="M29" s="63" t="str">
        <f>HYPERLINK("http://nsgreg.nga.mil/genc/view?v=862232&amp;end_month=12&amp;end_day=31&amp;end_year=2016","Correlation")</f>
        <v>Correlation</v>
      </c>
    </row>
    <row r="30" spans="1:13" x14ac:dyDescent="0.2">
      <c r="A30" s="113"/>
      <c r="B30" s="58" t="s">
        <v>1463</v>
      </c>
      <c r="C30" s="58" t="s">
        <v>1413</v>
      </c>
      <c r="D30" s="58" t="s">
        <v>1464</v>
      </c>
      <c r="E30" s="60" t="b">
        <v>1</v>
      </c>
      <c r="F30" s="80" t="s">
        <v>159</v>
      </c>
      <c r="G30" s="58" t="s">
        <v>1463</v>
      </c>
      <c r="H30" s="58" t="s">
        <v>1413</v>
      </c>
      <c r="I30" s="64" t="s">
        <v>1464</v>
      </c>
      <c r="J30" s="66"/>
      <c r="K30" s="66"/>
      <c r="L30" s="68"/>
      <c r="M30" s="63" t="str">
        <f>HYPERLINK("http://nsgreg.nga.mil/genc/view?v=862231&amp;end_month=12&amp;end_day=31&amp;end_year=2016","Correlation")</f>
        <v>Correlation</v>
      </c>
    </row>
    <row r="31" spans="1:13" x14ac:dyDescent="0.2">
      <c r="A31" s="113"/>
      <c r="B31" s="58" t="s">
        <v>1465</v>
      </c>
      <c r="C31" s="58" t="s">
        <v>1413</v>
      </c>
      <c r="D31" s="58" t="s">
        <v>1466</v>
      </c>
      <c r="E31" s="60" t="b">
        <v>1</v>
      </c>
      <c r="F31" s="80" t="s">
        <v>159</v>
      </c>
      <c r="G31" s="58" t="s">
        <v>1467</v>
      </c>
      <c r="H31" s="58" t="s">
        <v>1413</v>
      </c>
      <c r="I31" s="64" t="s">
        <v>1466</v>
      </c>
      <c r="J31" s="66"/>
      <c r="K31" s="66"/>
      <c r="L31" s="68"/>
      <c r="M31" s="63" t="str">
        <f>HYPERLINK("http://nsgreg.nga.mil/genc/view?v=862229&amp;end_month=12&amp;end_day=31&amp;end_year=2016","Correlation")</f>
        <v>Correlation</v>
      </c>
    </row>
    <row r="32" spans="1:13" x14ac:dyDescent="0.2">
      <c r="A32" s="113"/>
      <c r="B32" s="58" t="s">
        <v>1468</v>
      </c>
      <c r="C32" s="58" t="s">
        <v>1413</v>
      </c>
      <c r="D32" s="58" t="s">
        <v>1469</v>
      </c>
      <c r="E32" s="60" t="b">
        <v>1</v>
      </c>
      <c r="F32" s="80" t="s">
        <v>159</v>
      </c>
      <c r="G32" s="58" t="s">
        <v>1468</v>
      </c>
      <c r="H32" s="58" t="s">
        <v>1413</v>
      </c>
      <c r="I32" s="64" t="s">
        <v>1469</v>
      </c>
      <c r="J32" s="66"/>
      <c r="K32" s="66"/>
      <c r="L32" s="68"/>
      <c r="M32" s="63" t="str">
        <f>HYPERLINK("http://nsgreg.nga.mil/genc/view?v=862230&amp;end_month=12&amp;end_day=31&amp;end_year=2016","Correlation")</f>
        <v>Correlation</v>
      </c>
    </row>
    <row r="33" spans="1:13" x14ac:dyDescent="0.2">
      <c r="A33" s="113"/>
      <c r="B33" s="58" t="s">
        <v>1470</v>
      </c>
      <c r="C33" s="58" t="s">
        <v>1413</v>
      </c>
      <c r="D33" s="58" t="s">
        <v>1471</v>
      </c>
      <c r="E33" s="60" t="b">
        <v>1</v>
      </c>
      <c r="F33" s="80" t="s">
        <v>159</v>
      </c>
      <c r="G33" s="58" t="s">
        <v>1470</v>
      </c>
      <c r="H33" s="58" t="s">
        <v>1413</v>
      </c>
      <c r="I33" s="64" t="s">
        <v>1471</v>
      </c>
      <c r="J33" s="66"/>
      <c r="K33" s="66"/>
      <c r="L33" s="68"/>
      <c r="M33" s="63" t="str">
        <f>HYPERLINK("http://nsgreg.nga.mil/genc/view?v=862233&amp;end_month=12&amp;end_day=31&amp;end_year=2016","Correlation")</f>
        <v>Correlation</v>
      </c>
    </row>
    <row r="34" spans="1:13" x14ac:dyDescent="0.2">
      <c r="A34" s="113"/>
      <c r="B34" s="58" t="s">
        <v>1472</v>
      </c>
      <c r="C34" s="58" t="s">
        <v>1413</v>
      </c>
      <c r="D34" s="58" t="s">
        <v>1473</v>
      </c>
      <c r="E34" s="60" t="b">
        <v>1</v>
      </c>
      <c r="F34" s="80" t="s">
        <v>159</v>
      </c>
      <c r="G34" s="58" t="s">
        <v>1472</v>
      </c>
      <c r="H34" s="58" t="s">
        <v>1413</v>
      </c>
      <c r="I34" s="64" t="s">
        <v>1473</v>
      </c>
      <c r="J34" s="66"/>
      <c r="K34" s="66"/>
      <c r="L34" s="68"/>
      <c r="M34" s="63" t="str">
        <f>HYPERLINK("http://nsgreg.nga.mil/genc/view?v=862234&amp;end_month=12&amp;end_day=31&amp;end_year=2016","Correlation")</f>
        <v>Correlation</v>
      </c>
    </row>
    <row r="35" spans="1:13" x14ac:dyDescent="0.2">
      <c r="A35" s="113"/>
      <c r="B35" s="58" t="s">
        <v>1474</v>
      </c>
      <c r="C35" s="58" t="s">
        <v>1413</v>
      </c>
      <c r="D35" s="58" t="s">
        <v>1475</v>
      </c>
      <c r="E35" s="60" t="b">
        <v>1</v>
      </c>
      <c r="F35" s="80" t="s">
        <v>159</v>
      </c>
      <c r="G35" s="58" t="s">
        <v>1474</v>
      </c>
      <c r="H35" s="58" t="s">
        <v>1413</v>
      </c>
      <c r="I35" s="64" t="s">
        <v>1475</v>
      </c>
      <c r="J35" s="66"/>
      <c r="K35" s="66"/>
      <c r="L35" s="68"/>
      <c r="M35" s="63" t="str">
        <f>HYPERLINK("http://nsgreg.nga.mil/genc/view?v=862235&amp;end_month=12&amp;end_day=31&amp;end_year=2016","Correlation")</f>
        <v>Correlation</v>
      </c>
    </row>
    <row r="36" spans="1:13" x14ac:dyDescent="0.2">
      <c r="A36" s="113"/>
      <c r="B36" s="58" t="s">
        <v>1476</v>
      </c>
      <c r="C36" s="58" t="s">
        <v>1413</v>
      </c>
      <c r="D36" s="58" t="s">
        <v>1477</v>
      </c>
      <c r="E36" s="60" t="b">
        <v>1</v>
      </c>
      <c r="F36" s="80" t="s">
        <v>159</v>
      </c>
      <c r="G36" s="58" t="s">
        <v>1476</v>
      </c>
      <c r="H36" s="58" t="s">
        <v>1413</v>
      </c>
      <c r="I36" s="64" t="s">
        <v>1477</v>
      </c>
      <c r="J36" s="66"/>
      <c r="K36" s="66"/>
      <c r="L36" s="68"/>
      <c r="M36" s="63" t="str">
        <f>HYPERLINK("http://nsgreg.nga.mil/genc/view?v=862236&amp;end_month=12&amp;end_day=31&amp;end_year=2016","Correlation")</f>
        <v>Correlation</v>
      </c>
    </row>
    <row r="37" spans="1:13" x14ac:dyDescent="0.2">
      <c r="A37" s="113"/>
      <c r="B37" s="58" t="s">
        <v>1478</v>
      </c>
      <c r="C37" s="58" t="s">
        <v>1413</v>
      </c>
      <c r="D37" s="58" t="s">
        <v>1479</v>
      </c>
      <c r="E37" s="60" t="b">
        <v>1</v>
      </c>
      <c r="F37" s="80" t="s">
        <v>159</v>
      </c>
      <c r="G37" s="58" t="s">
        <v>1478</v>
      </c>
      <c r="H37" s="58" t="s">
        <v>1413</v>
      </c>
      <c r="I37" s="64" t="s">
        <v>1479</v>
      </c>
      <c r="J37" s="66"/>
      <c r="K37" s="66"/>
      <c r="L37" s="68"/>
      <c r="M37" s="63" t="str">
        <f>HYPERLINK("http://nsgreg.nga.mil/genc/view?v=862237&amp;end_month=12&amp;end_day=31&amp;end_year=2016","Correlation")</f>
        <v>Correlation</v>
      </c>
    </row>
    <row r="38" spans="1:13" x14ac:dyDescent="0.2">
      <c r="A38" s="114"/>
      <c r="B38" s="71" t="s">
        <v>1480</v>
      </c>
      <c r="C38" s="71" t="s">
        <v>1413</v>
      </c>
      <c r="D38" s="71" t="s">
        <v>1481</v>
      </c>
      <c r="E38" s="73" t="b">
        <v>1</v>
      </c>
      <c r="F38" s="81" t="s">
        <v>159</v>
      </c>
      <c r="G38" s="71" t="s">
        <v>1480</v>
      </c>
      <c r="H38" s="71" t="s">
        <v>1413</v>
      </c>
      <c r="I38" s="74" t="s">
        <v>1481</v>
      </c>
      <c r="J38" s="76"/>
      <c r="K38" s="76"/>
      <c r="L38" s="82"/>
      <c r="M38" s="77" t="str">
        <f>HYPERLINK("http://nsgreg.nga.mil/genc/view?v=862238&amp;end_month=12&amp;end_day=31&amp;end_year=2016","Correlation")</f>
        <v>Correlation</v>
      </c>
    </row>
    <row r="39" spans="1:13" x14ac:dyDescent="0.2">
      <c r="A39" s="112" t="s">
        <v>168</v>
      </c>
      <c r="B39" s="50" t="s">
        <v>1482</v>
      </c>
      <c r="C39" s="50" t="s">
        <v>1483</v>
      </c>
      <c r="D39" s="50" t="s">
        <v>1484</v>
      </c>
      <c r="E39" s="52" t="b">
        <v>1</v>
      </c>
      <c r="F39" s="78" t="s">
        <v>168</v>
      </c>
      <c r="G39" s="50" t="s">
        <v>1482</v>
      </c>
      <c r="H39" s="50" t="s">
        <v>1483</v>
      </c>
      <c r="I39" s="53" t="s">
        <v>1484</v>
      </c>
      <c r="J39" s="55"/>
      <c r="K39" s="55"/>
      <c r="L39" s="79"/>
      <c r="M39" s="56" t="str">
        <f>HYPERLINK("http://nsgreg.nga.mil/genc/view?v=862247&amp;end_month=12&amp;end_day=31&amp;end_year=2016","Correlation")</f>
        <v>Correlation</v>
      </c>
    </row>
    <row r="40" spans="1:13" x14ac:dyDescent="0.2">
      <c r="A40" s="113"/>
      <c r="B40" s="58" t="s">
        <v>1485</v>
      </c>
      <c r="C40" s="58" t="s">
        <v>1483</v>
      </c>
      <c r="D40" s="58" t="s">
        <v>1486</v>
      </c>
      <c r="E40" s="60" t="b">
        <v>1</v>
      </c>
      <c r="F40" s="80" t="s">
        <v>168</v>
      </c>
      <c r="G40" s="58" t="s">
        <v>1485</v>
      </c>
      <c r="H40" s="58" t="s">
        <v>1483</v>
      </c>
      <c r="I40" s="64" t="s">
        <v>1486</v>
      </c>
      <c r="J40" s="66"/>
      <c r="K40" s="66"/>
      <c r="L40" s="68"/>
      <c r="M40" s="63" t="str">
        <f>HYPERLINK("http://nsgreg.nga.mil/genc/view?v=862255&amp;end_month=12&amp;end_day=31&amp;end_year=2016","Correlation")</f>
        <v>Correlation</v>
      </c>
    </row>
    <row r="41" spans="1:13" x14ac:dyDescent="0.2">
      <c r="A41" s="113"/>
      <c r="B41" s="58" t="s">
        <v>1487</v>
      </c>
      <c r="C41" s="58" t="s">
        <v>1483</v>
      </c>
      <c r="D41" s="58" t="s">
        <v>1488</v>
      </c>
      <c r="E41" s="60" t="b">
        <v>1</v>
      </c>
      <c r="F41" s="80" t="s">
        <v>168</v>
      </c>
      <c r="G41" s="58" t="s">
        <v>1487</v>
      </c>
      <c r="H41" s="58" t="s">
        <v>1483</v>
      </c>
      <c r="I41" s="64" t="s">
        <v>1488</v>
      </c>
      <c r="J41" s="66"/>
      <c r="K41" s="66"/>
      <c r="L41" s="68"/>
      <c r="M41" s="63" t="str">
        <f>HYPERLINK("http://nsgreg.nga.mil/genc/view?v=862248&amp;end_month=12&amp;end_day=31&amp;end_year=2016","Correlation")</f>
        <v>Correlation</v>
      </c>
    </row>
    <row r="42" spans="1:13" x14ac:dyDescent="0.2">
      <c r="A42" s="113"/>
      <c r="B42" s="58" t="s">
        <v>1489</v>
      </c>
      <c r="C42" s="58" t="s">
        <v>1483</v>
      </c>
      <c r="D42" s="58" t="s">
        <v>1490</v>
      </c>
      <c r="E42" s="60" t="b">
        <v>1</v>
      </c>
      <c r="F42" s="80" t="s">
        <v>168</v>
      </c>
      <c r="G42" s="58" t="s">
        <v>1489</v>
      </c>
      <c r="H42" s="58" t="s">
        <v>1483</v>
      </c>
      <c r="I42" s="64" t="s">
        <v>1490</v>
      </c>
      <c r="J42" s="66"/>
      <c r="K42" s="66"/>
      <c r="L42" s="68"/>
      <c r="M42" s="63" t="str">
        <f>HYPERLINK("http://nsgreg.nga.mil/genc/view?v=862249&amp;end_month=12&amp;end_day=31&amp;end_year=2016","Correlation")</f>
        <v>Correlation</v>
      </c>
    </row>
    <row r="43" spans="1:13" x14ac:dyDescent="0.2">
      <c r="A43" s="113"/>
      <c r="B43" s="58" t="s">
        <v>1491</v>
      </c>
      <c r="C43" s="58" t="s">
        <v>1483</v>
      </c>
      <c r="D43" s="58" t="s">
        <v>1492</v>
      </c>
      <c r="E43" s="60" t="b">
        <v>1</v>
      </c>
      <c r="F43" s="80" t="s">
        <v>168</v>
      </c>
      <c r="G43" s="58" t="s">
        <v>1491</v>
      </c>
      <c r="H43" s="58" t="s">
        <v>1483</v>
      </c>
      <c r="I43" s="64" t="s">
        <v>1492</v>
      </c>
      <c r="J43" s="66"/>
      <c r="K43" s="66"/>
      <c r="L43" s="68"/>
      <c r="M43" s="63" t="str">
        <f>HYPERLINK("http://nsgreg.nga.mil/genc/view?v=862250&amp;end_month=12&amp;end_day=31&amp;end_year=2016","Correlation")</f>
        <v>Correlation</v>
      </c>
    </row>
    <row r="44" spans="1:13" x14ac:dyDescent="0.2">
      <c r="A44" s="113"/>
      <c r="B44" s="58" t="s">
        <v>1493</v>
      </c>
      <c r="C44" s="58" t="s">
        <v>1483</v>
      </c>
      <c r="D44" s="58" t="s">
        <v>1494</v>
      </c>
      <c r="E44" s="60" t="b">
        <v>1</v>
      </c>
      <c r="F44" s="80" t="s">
        <v>168</v>
      </c>
      <c r="G44" s="58" t="s">
        <v>1493</v>
      </c>
      <c r="H44" s="58" t="s">
        <v>1483</v>
      </c>
      <c r="I44" s="64" t="s">
        <v>1494</v>
      </c>
      <c r="J44" s="66"/>
      <c r="K44" s="66"/>
      <c r="L44" s="68"/>
      <c r="M44" s="63" t="str">
        <f>HYPERLINK("http://nsgreg.nga.mil/genc/view?v=862251&amp;end_month=12&amp;end_day=31&amp;end_year=2016","Correlation")</f>
        <v>Correlation</v>
      </c>
    </row>
    <row r="45" spans="1:13" x14ac:dyDescent="0.2">
      <c r="A45" s="113"/>
      <c r="B45" s="58" t="s">
        <v>1495</v>
      </c>
      <c r="C45" s="58" t="s">
        <v>1483</v>
      </c>
      <c r="D45" s="58" t="s">
        <v>1496</v>
      </c>
      <c r="E45" s="60" t="b">
        <v>1</v>
      </c>
      <c r="F45" s="80" t="s">
        <v>168</v>
      </c>
      <c r="G45" s="58" t="s">
        <v>1495</v>
      </c>
      <c r="H45" s="58" t="s">
        <v>1483</v>
      </c>
      <c r="I45" s="64" t="s">
        <v>1496</v>
      </c>
      <c r="J45" s="66"/>
      <c r="K45" s="66"/>
      <c r="L45" s="68"/>
      <c r="M45" s="63" t="str">
        <f>HYPERLINK("http://nsgreg.nga.mil/genc/view?v=862252&amp;end_month=12&amp;end_day=31&amp;end_year=2016","Correlation")</f>
        <v>Correlation</v>
      </c>
    </row>
    <row r="46" spans="1:13" x14ac:dyDescent="0.2">
      <c r="A46" s="113"/>
      <c r="B46" s="58" t="s">
        <v>1497</v>
      </c>
      <c r="C46" s="58" t="s">
        <v>1483</v>
      </c>
      <c r="D46" s="58" t="s">
        <v>1498</v>
      </c>
      <c r="E46" s="60" t="b">
        <v>1</v>
      </c>
      <c r="F46" s="80" t="s">
        <v>168</v>
      </c>
      <c r="G46" s="58" t="s">
        <v>1497</v>
      </c>
      <c r="H46" s="58" t="s">
        <v>1483</v>
      </c>
      <c r="I46" s="64" t="s">
        <v>1498</v>
      </c>
      <c r="J46" s="66"/>
      <c r="K46" s="66"/>
      <c r="L46" s="68"/>
      <c r="M46" s="63" t="str">
        <f>HYPERLINK("http://nsgreg.nga.mil/genc/view?v=862253&amp;end_month=12&amp;end_day=31&amp;end_year=2016","Correlation")</f>
        <v>Correlation</v>
      </c>
    </row>
    <row r="47" spans="1:13" x14ac:dyDescent="0.2">
      <c r="A47" s="113"/>
      <c r="B47" s="58" t="s">
        <v>1499</v>
      </c>
      <c r="C47" s="58" t="s">
        <v>1483</v>
      </c>
      <c r="D47" s="58" t="s">
        <v>1500</v>
      </c>
      <c r="E47" s="60" t="b">
        <v>1</v>
      </c>
      <c r="F47" s="80" t="s">
        <v>168</v>
      </c>
      <c r="G47" s="58" t="s">
        <v>1499</v>
      </c>
      <c r="H47" s="58" t="s">
        <v>1483</v>
      </c>
      <c r="I47" s="64" t="s">
        <v>1500</v>
      </c>
      <c r="J47" s="66"/>
      <c r="K47" s="66"/>
      <c r="L47" s="68"/>
      <c r="M47" s="63" t="str">
        <f>HYPERLINK("http://nsgreg.nga.mil/genc/view?v=862254&amp;end_month=12&amp;end_day=31&amp;end_year=2016","Correlation")</f>
        <v>Correlation</v>
      </c>
    </row>
    <row r="48" spans="1:13" x14ac:dyDescent="0.2">
      <c r="A48" s="113"/>
      <c r="B48" s="58" t="s">
        <v>1501</v>
      </c>
      <c r="C48" s="58" t="s">
        <v>1483</v>
      </c>
      <c r="D48" s="58" t="s">
        <v>1502</v>
      </c>
      <c r="E48" s="60" t="b">
        <v>1</v>
      </c>
      <c r="F48" s="80" t="s">
        <v>168</v>
      </c>
      <c r="G48" s="58" t="s">
        <v>1501</v>
      </c>
      <c r="H48" s="58" t="s">
        <v>1483</v>
      </c>
      <c r="I48" s="64" t="s">
        <v>1502</v>
      </c>
      <c r="J48" s="66"/>
      <c r="K48" s="66"/>
      <c r="L48" s="68"/>
      <c r="M48" s="63" t="str">
        <f>HYPERLINK("http://nsgreg.nga.mil/genc/view?v=862256&amp;end_month=12&amp;end_day=31&amp;end_year=2016","Correlation")</f>
        <v>Correlation</v>
      </c>
    </row>
    <row r="49" spans="1:13" x14ac:dyDescent="0.2">
      <c r="A49" s="113"/>
      <c r="B49" s="58" t="s">
        <v>1503</v>
      </c>
      <c r="C49" s="58" t="s">
        <v>1483</v>
      </c>
      <c r="D49" s="58" t="s">
        <v>1504</v>
      </c>
      <c r="E49" s="60" t="b">
        <v>1</v>
      </c>
      <c r="F49" s="80" t="s">
        <v>168</v>
      </c>
      <c r="G49" s="58" t="s">
        <v>1503</v>
      </c>
      <c r="H49" s="58" t="s">
        <v>1483</v>
      </c>
      <c r="I49" s="64" t="s">
        <v>1504</v>
      </c>
      <c r="J49" s="66"/>
      <c r="K49" s="66"/>
      <c r="L49" s="68"/>
      <c r="M49" s="63" t="str">
        <f>HYPERLINK("http://nsgreg.nga.mil/genc/view?v=862257&amp;end_month=12&amp;end_day=31&amp;end_year=2016","Correlation")</f>
        <v>Correlation</v>
      </c>
    </row>
    <row r="50" spans="1:13" x14ac:dyDescent="0.2">
      <c r="A50" s="114"/>
      <c r="B50" s="71" t="s">
        <v>1505</v>
      </c>
      <c r="C50" s="71" t="s">
        <v>1483</v>
      </c>
      <c r="D50" s="71" t="s">
        <v>1506</v>
      </c>
      <c r="E50" s="73" t="b">
        <v>1</v>
      </c>
      <c r="F50" s="81" t="s">
        <v>168</v>
      </c>
      <c r="G50" s="71" t="s">
        <v>1505</v>
      </c>
      <c r="H50" s="71" t="s">
        <v>1483</v>
      </c>
      <c r="I50" s="74" t="s">
        <v>1506</v>
      </c>
      <c r="J50" s="76"/>
      <c r="K50" s="76"/>
      <c r="L50" s="82"/>
      <c r="M50" s="77" t="str">
        <f>HYPERLINK("http://nsgreg.nga.mil/genc/view?v=862258&amp;end_month=12&amp;end_day=31&amp;end_year=2016","Correlation")</f>
        <v>Correlation</v>
      </c>
    </row>
    <row r="51" spans="1:13" x14ac:dyDescent="0.2">
      <c r="A51" s="112" t="s">
        <v>172</v>
      </c>
      <c r="B51" s="50" t="s">
        <v>1507</v>
      </c>
      <c r="C51" s="50" t="s">
        <v>1413</v>
      </c>
      <c r="D51" s="50" t="s">
        <v>1508</v>
      </c>
      <c r="E51" s="52" t="b">
        <v>1</v>
      </c>
      <c r="F51" s="78" t="s">
        <v>172</v>
      </c>
      <c r="G51" s="50" t="s">
        <v>1507</v>
      </c>
      <c r="H51" s="50" t="s">
        <v>1413</v>
      </c>
      <c r="I51" s="53" t="s">
        <v>1508</v>
      </c>
      <c r="J51" s="55"/>
      <c r="K51" s="55"/>
      <c r="L51" s="79"/>
      <c r="M51" s="56" t="str">
        <f>HYPERLINK("http://nsgreg.nga.mil/genc/view?v=863201&amp;end_month=12&amp;end_day=31&amp;end_year=2016","Correlation")</f>
        <v>Correlation</v>
      </c>
    </row>
    <row r="52" spans="1:13" x14ac:dyDescent="0.2">
      <c r="A52" s="113"/>
      <c r="B52" s="58" t="s">
        <v>1509</v>
      </c>
      <c r="C52" s="58" t="s">
        <v>1413</v>
      </c>
      <c r="D52" s="58" t="s">
        <v>1510</v>
      </c>
      <c r="E52" s="60" t="b">
        <v>1</v>
      </c>
      <c r="F52" s="80" t="s">
        <v>172</v>
      </c>
      <c r="G52" s="58" t="s">
        <v>1509</v>
      </c>
      <c r="H52" s="58" t="s">
        <v>1413</v>
      </c>
      <c r="I52" s="64" t="s">
        <v>1510</v>
      </c>
      <c r="J52" s="66"/>
      <c r="K52" s="66"/>
      <c r="L52" s="68"/>
      <c r="M52" s="63" t="str">
        <f>HYPERLINK("http://nsgreg.nga.mil/genc/view?v=863244&amp;end_month=12&amp;end_day=31&amp;end_year=2016","Correlation")</f>
        <v>Correlation</v>
      </c>
    </row>
    <row r="53" spans="1:13" x14ac:dyDescent="0.2">
      <c r="A53" s="113"/>
      <c r="B53" s="58" t="s">
        <v>1511</v>
      </c>
      <c r="C53" s="58" t="s">
        <v>1413</v>
      </c>
      <c r="D53" s="58" t="s">
        <v>1512</v>
      </c>
      <c r="E53" s="60" t="b">
        <v>1</v>
      </c>
      <c r="F53" s="80" t="s">
        <v>172</v>
      </c>
      <c r="G53" s="58" t="s">
        <v>1513</v>
      </c>
      <c r="H53" s="58" t="s">
        <v>1413</v>
      </c>
      <c r="I53" s="64" t="s">
        <v>1512</v>
      </c>
      <c r="J53" s="66"/>
      <c r="K53" s="66"/>
      <c r="L53" s="68"/>
      <c r="M53" s="63" t="str">
        <f>HYPERLINK("http://nsgreg.nga.mil/genc/view?v=863246&amp;end_month=12&amp;end_day=31&amp;end_year=2016","Correlation")</f>
        <v>Correlation</v>
      </c>
    </row>
    <row r="54" spans="1:13" x14ac:dyDescent="0.2">
      <c r="A54" s="113"/>
      <c r="B54" s="58" t="s">
        <v>1514</v>
      </c>
      <c r="C54" s="58" t="s">
        <v>1413</v>
      </c>
      <c r="D54" s="58" t="s">
        <v>1515</v>
      </c>
      <c r="E54" s="60" t="b">
        <v>1</v>
      </c>
      <c r="F54" s="80" t="s">
        <v>172</v>
      </c>
      <c r="G54" s="58" t="s">
        <v>1514</v>
      </c>
      <c r="H54" s="58" t="s">
        <v>1413</v>
      </c>
      <c r="I54" s="64" t="s">
        <v>1515</v>
      </c>
      <c r="J54" s="66"/>
      <c r="K54" s="66"/>
      <c r="L54" s="68"/>
      <c r="M54" s="63" t="str">
        <f>HYPERLINK("http://nsgreg.nga.mil/genc/view?v=863216&amp;end_month=12&amp;end_day=31&amp;end_year=2016","Correlation")</f>
        <v>Correlation</v>
      </c>
    </row>
    <row r="55" spans="1:13" x14ac:dyDescent="0.2">
      <c r="A55" s="113"/>
      <c r="B55" s="58" t="s">
        <v>1516</v>
      </c>
      <c r="C55" s="58" t="s">
        <v>1413</v>
      </c>
      <c r="D55" s="58" t="s">
        <v>1517</v>
      </c>
      <c r="E55" s="60" t="b">
        <v>1</v>
      </c>
      <c r="F55" s="80" t="s">
        <v>172</v>
      </c>
      <c r="G55" s="58" t="s">
        <v>1516</v>
      </c>
      <c r="H55" s="58" t="s">
        <v>1413</v>
      </c>
      <c r="I55" s="64" t="s">
        <v>1517</v>
      </c>
      <c r="J55" s="66"/>
      <c r="K55" s="66"/>
      <c r="L55" s="68"/>
      <c r="M55" s="63" t="str">
        <f>HYPERLINK("http://nsgreg.nga.mil/genc/view?v=863223&amp;end_month=12&amp;end_day=31&amp;end_year=2016","Correlation")</f>
        <v>Correlation</v>
      </c>
    </row>
    <row r="56" spans="1:13" x14ac:dyDescent="0.2">
      <c r="A56" s="113"/>
      <c r="B56" s="58" t="s">
        <v>1518</v>
      </c>
      <c r="C56" s="58" t="s">
        <v>1413</v>
      </c>
      <c r="D56" s="58" t="s">
        <v>1519</v>
      </c>
      <c r="E56" s="60" t="b">
        <v>1</v>
      </c>
      <c r="F56" s="80" t="s">
        <v>172</v>
      </c>
      <c r="G56" s="58" t="s">
        <v>1518</v>
      </c>
      <c r="H56" s="58" t="s">
        <v>1413</v>
      </c>
      <c r="I56" s="64" t="s">
        <v>1519</v>
      </c>
      <c r="J56" s="66"/>
      <c r="K56" s="66"/>
      <c r="L56" s="68"/>
      <c r="M56" s="63" t="str">
        <f>HYPERLINK("http://nsgreg.nga.mil/genc/view?v=863205&amp;end_month=12&amp;end_day=31&amp;end_year=2016","Correlation")</f>
        <v>Correlation</v>
      </c>
    </row>
    <row r="57" spans="1:13" x14ac:dyDescent="0.2">
      <c r="A57" s="113"/>
      <c r="B57" s="58" t="s">
        <v>1520</v>
      </c>
      <c r="C57" s="58" t="s">
        <v>1413</v>
      </c>
      <c r="D57" s="58" t="s">
        <v>1521</v>
      </c>
      <c r="E57" s="60" t="b">
        <v>1</v>
      </c>
      <c r="F57" s="80" t="s">
        <v>172</v>
      </c>
      <c r="G57" s="58" t="s">
        <v>1520</v>
      </c>
      <c r="H57" s="58" t="s">
        <v>1413</v>
      </c>
      <c r="I57" s="64" t="s">
        <v>1521</v>
      </c>
      <c r="J57" s="66"/>
      <c r="K57" s="66"/>
      <c r="L57" s="68"/>
      <c r="M57" s="63" t="str">
        <f>HYPERLINK("http://nsgreg.nga.mil/genc/view?v=863208&amp;end_month=12&amp;end_day=31&amp;end_year=2016","Correlation")</f>
        <v>Correlation</v>
      </c>
    </row>
    <row r="58" spans="1:13" x14ac:dyDescent="0.2">
      <c r="A58" s="113"/>
      <c r="B58" s="58" t="s">
        <v>1522</v>
      </c>
      <c r="C58" s="58" t="s">
        <v>1413</v>
      </c>
      <c r="D58" s="58" t="s">
        <v>1523</v>
      </c>
      <c r="E58" s="60" t="b">
        <v>1</v>
      </c>
      <c r="F58" s="80" t="s">
        <v>172</v>
      </c>
      <c r="G58" s="58" t="s">
        <v>1524</v>
      </c>
      <c r="H58" s="58" t="s">
        <v>1413</v>
      </c>
      <c r="I58" s="64" t="s">
        <v>1523</v>
      </c>
      <c r="J58" s="66"/>
      <c r="K58" s="66"/>
      <c r="L58" s="68"/>
      <c r="M58" s="63" t="str">
        <f>HYPERLINK("http://nsgreg.nga.mil/genc/view?v=863206&amp;end_month=12&amp;end_day=31&amp;end_year=2016","Correlation")</f>
        <v>Correlation</v>
      </c>
    </row>
    <row r="59" spans="1:13" x14ac:dyDescent="0.2">
      <c r="A59" s="113"/>
      <c r="B59" s="58" t="s">
        <v>1525</v>
      </c>
      <c r="C59" s="58" t="s">
        <v>1413</v>
      </c>
      <c r="D59" s="58" t="s">
        <v>1526</v>
      </c>
      <c r="E59" s="60" t="b">
        <v>1</v>
      </c>
      <c r="F59" s="80" t="s">
        <v>172</v>
      </c>
      <c r="G59" s="58" t="s">
        <v>1525</v>
      </c>
      <c r="H59" s="58" t="s">
        <v>1413</v>
      </c>
      <c r="I59" s="64" t="s">
        <v>1526</v>
      </c>
      <c r="J59" s="66"/>
      <c r="K59" s="66"/>
      <c r="L59" s="68"/>
      <c r="M59" s="63" t="str">
        <f>HYPERLINK("http://nsgreg.nga.mil/genc/view?v=863207&amp;end_month=12&amp;end_day=31&amp;end_year=2016","Correlation")</f>
        <v>Correlation</v>
      </c>
    </row>
    <row r="60" spans="1:13" x14ac:dyDescent="0.2">
      <c r="A60" s="113"/>
      <c r="B60" s="58" t="s">
        <v>1527</v>
      </c>
      <c r="C60" s="58" t="s">
        <v>1413</v>
      </c>
      <c r="D60" s="58" t="s">
        <v>1528</v>
      </c>
      <c r="E60" s="60" t="b">
        <v>1</v>
      </c>
      <c r="F60" s="80" t="s">
        <v>172</v>
      </c>
      <c r="G60" s="58" t="s">
        <v>1527</v>
      </c>
      <c r="H60" s="58" t="s">
        <v>1413</v>
      </c>
      <c r="I60" s="64" t="s">
        <v>1528</v>
      </c>
      <c r="J60" s="66"/>
      <c r="K60" s="66"/>
      <c r="L60" s="68"/>
      <c r="M60" s="63" t="str">
        <f>HYPERLINK("http://nsgreg.nga.mil/genc/view?v=863209&amp;end_month=12&amp;end_day=31&amp;end_year=2016","Correlation")</f>
        <v>Correlation</v>
      </c>
    </row>
    <row r="61" spans="1:13" x14ac:dyDescent="0.2">
      <c r="A61" s="113"/>
      <c r="B61" s="58" t="s">
        <v>1529</v>
      </c>
      <c r="C61" s="58" t="s">
        <v>1413</v>
      </c>
      <c r="D61" s="58" t="s">
        <v>1530</v>
      </c>
      <c r="E61" s="60" t="b">
        <v>1</v>
      </c>
      <c r="F61" s="80" t="s">
        <v>172</v>
      </c>
      <c r="G61" s="58" t="s">
        <v>1529</v>
      </c>
      <c r="H61" s="58" t="s">
        <v>1413</v>
      </c>
      <c r="I61" s="64" t="s">
        <v>1530</v>
      </c>
      <c r="J61" s="66"/>
      <c r="K61" s="66"/>
      <c r="L61" s="68"/>
      <c r="M61" s="63" t="str">
        <f>HYPERLINK("http://nsgreg.nga.mil/genc/view?v=863234&amp;end_month=12&amp;end_day=31&amp;end_year=2016","Correlation")</f>
        <v>Correlation</v>
      </c>
    </row>
    <row r="62" spans="1:13" x14ac:dyDescent="0.2">
      <c r="A62" s="113"/>
      <c r="B62" s="58" t="s">
        <v>1531</v>
      </c>
      <c r="C62" s="58" t="s">
        <v>1413</v>
      </c>
      <c r="D62" s="58" t="s">
        <v>1532</v>
      </c>
      <c r="E62" s="60" t="b">
        <v>1</v>
      </c>
      <c r="F62" s="80" t="s">
        <v>172</v>
      </c>
      <c r="G62" s="58" t="s">
        <v>1531</v>
      </c>
      <c r="H62" s="58" t="s">
        <v>1413</v>
      </c>
      <c r="I62" s="64" t="s">
        <v>1532</v>
      </c>
      <c r="J62" s="66"/>
      <c r="K62" s="66"/>
      <c r="L62" s="68"/>
      <c r="M62" s="63" t="str">
        <f>HYPERLINK("http://nsgreg.nga.mil/genc/view?v=863210&amp;end_month=12&amp;end_day=31&amp;end_year=2016","Correlation")</f>
        <v>Correlation</v>
      </c>
    </row>
    <row r="63" spans="1:13" x14ac:dyDescent="0.2">
      <c r="A63" s="113"/>
      <c r="B63" s="58" t="s">
        <v>1533</v>
      </c>
      <c r="C63" s="58" t="s">
        <v>1413</v>
      </c>
      <c r="D63" s="58" t="s">
        <v>1534</v>
      </c>
      <c r="E63" s="60" t="b">
        <v>1</v>
      </c>
      <c r="F63" s="80" t="s">
        <v>172</v>
      </c>
      <c r="G63" s="58" t="s">
        <v>1535</v>
      </c>
      <c r="H63" s="58" t="s">
        <v>1413</v>
      </c>
      <c r="I63" s="64" t="s">
        <v>1534</v>
      </c>
      <c r="J63" s="66"/>
      <c r="K63" s="66"/>
      <c r="L63" s="68"/>
      <c r="M63" s="63" t="str">
        <f>HYPERLINK("http://nsgreg.nga.mil/genc/view?v=863235&amp;end_month=12&amp;end_day=31&amp;end_year=2016","Correlation")</f>
        <v>Correlation</v>
      </c>
    </row>
    <row r="64" spans="1:13" x14ac:dyDescent="0.2">
      <c r="A64" s="113"/>
      <c r="B64" s="58" t="s">
        <v>1536</v>
      </c>
      <c r="C64" s="58" t="s">
        <v>1413</v>
      </c>
      <c r="D64" s="58" t="s">
        <v>1537</v>
      </c>
      <c r="E64" s="60" t="b">
        <v>1</v>
      </c>
      <c r="F64" s="80" t="s">
        <v>172</v>
      </c>
      <c r="G64" s="58" t="s">
        <v>1536</v>
      </c>
      <c r="H64" s="58" t="s">
        <v>1413</v>
      </c>
      <c r="I64" s="64" t="s">
        <v>1537</v>
      </c>
      <c r="J64" s="66"/>
      <c r="K64" s="66"/>
      <c r="L64" s="68"/>
      <c r="M64" s="63" t="str">
        <f>HYPERLINK("http://nsgreg.nga.mil/genc/view?v=863202&amp;end_month=12&amp;end_day=31&amp;end_year=2016","Correlation")</f>
        <v>Correlation</v>
      </c>
    </row>
    <row r="65" spans="1:13" x14ac:dyDescent="0.2">
      <c r="A65" s="113"/>
      <c r="B65" s="58" t="s">
        <v>1538</v>
      </c>
      <c r="C65" s="58" t="s">
        <v>1413</v>
      </c>
      <c r="D65" s="58" t="s">
        <v>1539</v>
      </c>
      <c r="E65" s="60" t="b">
        <v>1</v>
      </c>
      <c r="F65" s="80" t="s">
        <v>172</v>
      </c>
      <c r="G65" s="58" t="s">
        <v>1538</v>
      </c>
      <c r="H65" s="58" t="s">
        <v>1413</v>
      </c>
      <c r="I65" s="64" t="s">
        <v>1539</v>
      </c>
      <c r="J65" s="66"/>
      <c r="K65" s="66"/>
      <c r="L65" s="68"/>
      <c r="M65" s="63" t="str">
        <f>HYPERLINK("http://nsgreg.nga.mil/genc/view?v=863225&amp;end_month=12&amp;end_day=31&amp;end_year=2016","Correlation")</f>
        <v>Correlation</v>
      </c>
    </row>
    <row r="66" spans="1:13" x14ac:dyDescent="0.2">
      <c r="A66" s="113"/>
      <c r="B66" s="58" t="s">
        <v>1540</v>
      </c>
      <c r="C66" s="58" t="s">
        <v>1413</v>
      </c>
      <c r="D66" s="58" t="s">
        <v>1541</v>
      </c>
      <c r="E66" s="60" t="b">
        <v>1</v>
      </c>
      <c r="F66" s="80" t="s">
        <v>172</v>
      </c>
      <c r="G66" s="58" t="s">
        <v>1540</v>
      </c>
      <c r="H66" s="58" t="s">
        <v>1413</v>
      </c>
      <c r="I66" s="64" t="s">
        <v>1541</v>
      </c>
      <c r="J66" s="66"/>
      <c r="K66" s="66"/>
      <c r="L66" s="68"/>
      <c r="M66" s="63" t="str">
        <f>HYPERLINK("http://nsgreg.nga.mil/genc/view?v=863217&amp;end_month=12&amp;end_day=31&amp;end_year=2016","Correlation")</f>
        <v>Correlation</v>
      </c>
    </row>
    <row r="67" spans="1:13" x14ac:dyDescent="0.2">
      <c r="A67" s="113"/>
      <c r="B67" s="58" t="s">
        <v>1542</v>
      </c>
      <c r="C67" s="58" t="s">
        <v>1413</v>
      </c>
      <c r="D67" s="58" t="s">
        <v>1543</v>
      </c>
      <c r="E67" s="60" t="b">
        <v>1</v>
      </c>
      <c r="F67" s="80" t="s">
        <v>172</v>
      </c>
      <c r="G67" s="58" t="s">
        <v>1542</v>
      </c>
      <c r="H67" s="58" t="s">
        <v>1413</v>
      </c>
      <c r="I67" s="64" t="s">
        <v>1543</v>
      </c>
      <c r="J67" s="66"/>
      <c r="K67" s="66"/>
      <c r="L67" s="68"/>
      <c r="M67" s="63" t="str">
        <f>HYPERLINK("http://nsgreg.nga.mil/genc/view?v=863232&amp;end_month=12&amp;end_day=31&amp;end_year=2016","Correlation")</f>
        <v>Correlation</v>
      </c>
    </row>
    <row r="68" spans="1:13" x14ac:dyDescent="0.2">
      <c r="A68" s="113"/>
      <c r="B68" s="58" t="s">
        <v>1544</v>
      </c>
      <c r="C68" s="58" t="s">
        <v>1413</v>
      </c>
      <c r="D68" s="58" t="s">
        <v>1545</v>
      </c>
      <c r="E68" s="60" t="b">
        <v>1</v>
      </c>
      <c r="F68" s="80" t="s">
        <v>172</v>
      </c>
      <c r="G68" s="58" t="s">
        <v>1544</v>
      </c>
      <c r="H68" s="58" t="s">
        <v>1413</v>
      </c>
      <c r="I68" s="64" t="s">
        <v>1545</v>
      </c>
      <c r="J68" s="66"/>
      <c r="K68" s="66"/>
      <c r="L68" s="68"/>
      <c r="M68" s="63" t="str">
        <f>HYPERLINK("http://nsgreg.nga.mil/genc/view?v=863239&amp;end_month=12&amp;end_day=31&amp;end_year=2016","Correlation")</f>
        <v>Correlation</v>
      </c>
    </row>
    <row r="69" spans="1:13" x14ac:dyDescent="0.2">
      <c r="A69" s="113"/>
      <c r="B69" s="58" t="s">
        <v>1546</v>
      </c>
      <c r="C69" s="58" t="s">
        <v>1413</v>
      </c>
      <c r="D69" s="58" t="s">
        <v>1547</v>
      </c>
      <c r="E69" s="60" t="b">
        <v>1</v>
      </c>
      <c r="F69" s="80" t="s">
        <v>172</v>
      </c>
      <c r="G69" s="58" t="s">
        <v>1546</v>
      </c>
      <c r="H69" s="58" t="s">
        <v>1413</v>
      </c>
      <c r="I69" s="64" t="s">
        <v>1547</v>
      </c>
      <c r="J69" s="66"/>
      <c r="K69" s="66"/>
      <c r="L69" s="68"/>
      <c r="M69" s="63" t="str">
        <f>HYPERLINK("http://nsgreg.nga.mil/genc/view?v=863236&amp;end_month=12&amp;end_day=31&amp;end_year=2016","Correlation")</f>
        <v>Correlation</v>
      </c>
    </row>
    <row r="70" spans="1:13" x14ac:dyDescent="0.2">
      <c r="A70" s="113"/>
      <c r="B70" s="58" t="s">
        <v>1548</v>
      </c>
      <c r="C70" s="58" t="s">
        <v>1413</v>
      </c>
      <c r="D70" s="58" t="s">
        <v>1549</v>
      </c>
      <c r="E70" s="60" t="b">
        <v>1</v>
      </c>
      <c r="F70" s="80" t="s">
        <v>172</v>
      </c>
      <c r="G70" s="58" t="s">
        <v>1548</v>
      </c>
      <c r="H70" s="58" t="s">
        <v>1413</v>
      </c>
      <c r="I70" s="64" t="s">
        <v>1549</v>
      </c>
      <c r="J70" s="66"/>
      <c r="K70" s="66"/>
      <c r="L70" s="68"/>
      <c r="M70" s="63" t="str">
        <f>HYPERLINK("http://nsgreg.nga.mil/genc/view?v=863247&amp;end_month=12&amp;end_day=31&amp;end_year=2016","Correlation")</f>
        <v>Correlation</v>
      </c>
    </row>
    <row r="71" spans="1:13" x14ac:dyDescent="0.2">
      <c r="A71" s="113"/>
      <c r="B71" s="58" t="s">
        <v>1550</v>
      </c>
      <c r="C71" s="58" t="s">
        <v>1413</v>
      </c>
      <c r="D71" s="58" t="s">
        <v>1551</v>
      </c>
      <c r="E71" s="60" t="b">
        <v>1</v>
      </c>
      <c r="F71" s="80" t="s">
        <v>172</v>
      </c>
      <c r="G71" s="58" t="s">
        <v>1550</v>
      </c>
      <c r="H71" s="58" t="s">
        <v>1413</v>
      </c>
      <c r="I71" s="64" t="s">
        <v>1551</v>
      </c>
      <c r="J71" s="66"/>
      <c r="K71" s="66"/>
      <c r="L71" s="68"/>
      <c r="M71" s="63" t="str">
        <f>HYPERLINK("http://nsgreg.nga.mil/genc/view?v=863224&amp;end_month=12&amp;end_day=31&amp;end_year=2016","Correlation")</f>
        <v>Correlation</v>
      </c>
    </row>
    <row r="72" spans="1:13" x14ac:dyDescent="0.2">
      <c r="A72" s="113"/>
      <c r="B72" s="58" t="s">
        <v>1552</v>
      </c>
      <c r="C72" s="58" t="s">
        <v>1413</v>
      </c>
      <c r="D72" s="58" t="s">
        <v>1553</v>
      </c>
      <c r="E72" s="60" t="b">
        <v>1</v>
      </c>
      <c r="F72" s="80" t="s">
        <v>172</v>
      </c>
      <c r="G72" s="58" t="s">
        <v>1552</v>
      </c>
      <c r="H72" s="58" t="s">
        <v>1413</v>
      </c>
      <c r="I72" s="64" t="s">
        <v>1553</v>
      </c>
      <c r="J72" s="66"/>
      <c r="K72" s="66"/>
      <c r="L72" s="68"/>
      <c r="M72" s="63" t="str">
        <f>HYPERLINK("http://nsgreg.nga.mil/genc/view?v=863233&amp;end_month=12&amp;end_day=31&amp;end_year=2016","Correlation")</f>
        <v>Correlation</v>
      </c>
    </row>
    <row r="73" spans="1:13" x14ac:dyDescent="0.2">
      <c r="A73" s="113"/>
      <c r="B73" s="58" t="s">
        <v>1554</v>
      </c>
      <c r="C73" s="58" t="s">
        <v>1413</v>
      </c>
      <c r="D73" s="58" t="s">
        <v>1555</v>
      </c>
      <c r="E73" s="60" t="b">
        <v>1</v>
      </c>
      <c r="F73" s="80" t="s">
        <v>172</v>
      </c>
      <c r="G73" s="58" t="s">
        <v>1554</v>
      </c>
      <c r="H73" s="58" t="s">
        <v>1413</v>
      </c>
      <c r="I73" s="64" t="s">
        <v>1555</v>
      </c>
      <c r="J73" s="66"/>
      <c r="K73" s="66"/>
      <c r="L73" s="68"/>
      <c r="M73" s="63" t="str">
        <f>HYPERLINK("http://nsgreg.nga.mil/genc/view?v=863218&amp;end_month=12&amp;end_day=31&amp;end_year=2016","Correlation")</f>
        <v>Correlation</v>
      </c>
    </row>
    <row r="74" spans="1:13" x14ac:dyDescent="0.2">
      <c r="A74" s="113"/>
      <c r="B74" s="58" t="s">
        <v>1556</v>
      </c>
      <c r="C74" s="58" t="s">
        <v>1413</v>
      </c>
      <c r="D74" s="58" t="s">
        <v>1557</v>
      </c>
      <c r="E74" s="60" t="b">
        <v>1</v>
      </c>
      <c r="F74" s="80" t="s">
        <v>172</v>
      </c>
      <c r="G74" s="58" t="s">
        <v>1556</v>
      </c>
      <c r="H74" s="58" t="s">
        <v>1413</v>
      </c>
      <c r="I74" s="64" t="s">
        <v>1557</v>
      </c>
      <c r="J74" s="66"/>
      <c r="K74" s="66"/>
      <c r="L74" s="68"/>
      <c r="M74" s="63" t="str">
        <f>HYPERLINK("http://nsgreg.nga.mil/genc/view?v=863240&amp;end_month=12&amp;end_day=31&amp;end_year=2016","Correlation")</f>
        <v>Correlation</v>
      </c>
    </row>
    <row r="75" spans="1:13" x14ac:dyDescent="0.2">
      <c r="A75" s="113"/>
      <c r="B75" s="58" t="s">
        <v>1558</v>
      </c>
      <c r="C75" s="58" t="s">
        <v>1413</v>
      </c>
      <c r="D75" s="58" t="s">
        <v>1559</v>
      </c>
      <c r="E75" s="60" t="b">
        <v>1</v>
      </c>
      <c r="F75" s="80" t="s">
        <v>172</v>
      </c>
      <c r="G75" s="58" t="s">
        <v>1558</v>
      </c>
      <c r="H75" s="58" t="s">
        <v>1413</v>
      </c>
      <c r="I75" s="64" t="s">
        <v>1559</v>
      </c>
      <c r="J75" s="66"/>
      <c r="K75" s="66"/>
      <c r="L75" s="68"/>
      <c r="M75" s="63" t="str">
        <f>HYPERLINK("http://nsgreg.nga.mil/genc/view?v=863203&amp;end_month=12&amp;end_day=31&amp;end_year=2016","Correlation")</f>
        <v>Correlation</v>
      </c>
    </row>
    <row r="76" spans="1:13" x14ac:dyDescent="0.2">
      <c r="A76" s="113"/>
      <c r="B76" s="58" t="s">
        <v>1560</v>
      </c>
      <c r="C76" s="58" t="s">
        <v>1413</v>
      </c>
      <c r="D76" s="58" t="s">
        <v>1561</v>
      </c>
      <c r="E76" s="60" t="b">
        <v>1</v>
      </c>
      <c r="F76" s="80" t="s">
        <v>172</v>
      </c>
      <c r="G76" s="58" t="s">
        <v>1560</v>
      </c>
      <c r="H76" s="58" t="s">
        <v>1413</v>
      </c>
      <c r="I76" s="64" t="s">
        <v>1561</v>
      </c>
      <c r="J76" s="66"/>
      <c r="K76" s="66"/>
      <c r="L76" s="68"/>
      <c r="M76" s="63" t="str">
        <f>HYPERLINK("http://nsgreg.nga.mil/genc/view?v=863229&amp;end_month=12&amp;end_day=31&amp;end_year=2016","Correlation")</f>
        <v>Correlation</v>
      </c>
    </row>
    <row r="77" spans="1:13" x14ac:dyDescent="0.2">
      <c r="A77" s="113"/>
      <c r="B77" s="58" t="s">
        <v>1562</v>
      </c>
      <c r="C77" s="58" t="s">
        <v>1413</v>
      </c>
      <c r="D77" s="58" t="s">
        <v>1563</v>
      </c>
      <c r="E77" s="60" t="b">
        <v>1</v>
      </c>
      <c r="F77" s="80" t="s">
        <v>172</v>
      </c>
      <c r="G77" s="58" t="s">
        <v>1562</v>
      </c>
      <c r="H77" s="58" t="s">
        <v>1413</v>
      </c>
      <c r="I77" s="64" t="s">
        <v>1563</v>
      </c>
      <c r="J77" s="66"/>
      <c r="K77" s="66"/>
      <c r="L77" s="68"/>
      <c r="M77" s="63" t="str">
        <f>HYPERLINK("http://nsgreg.nga.mil/genc/view?v=863226&amp;end_month=12&amp;end_day=31&amp;end_year=2016","Correlation")</f>
        <v>Correlation</v>
      </c>
    </row>
    <row r="78" spans="1:13" x14ac:dyDescent="0.2">
      <c r="A78" s="113"/>
      <c r="B78" s="58" t="s">
        <v>1564</v>
      </c>
      <c r="C78" s="58" t="s">
        <v>1413</v>
      </c>
      <c r="D78" s="58" t="s">
        <v>1565</v>
      </c>
      <c r="E78" s="60" t="b">
        <v>1</v>
      </c>
      <c r="F78" s="80" t="s">
        <v>172</v>
      </c>
      <c r="G78" s="58" t="s">
        <v>1564</v>
      </c>
      <c r="H78" s="58" t="s">
        <v>1413</v>
      </c>
      <c r="I78" s="64" t="s">
        <v>1565</v>
      </c>
      <c r="J78" s="66"/>
      <c r="K78" s="66"/>
      <c r="L78" s="68"/>
      <c r="M78" s="63" t="str">
        <f>HYPERLINK("http://nsgreg.nga.mil/genc/view?v=863243&amp;end_month=12&amp;end_day=31&amp;end_year=2016","Correlation")</f>
        <v>Correlation</v>
      </c>
    </row>
    <row r="79" spans="1:13" x14ac:dyDescent="0.2">
      <c r="A79" s="113"/>
      <c r="B79" s="58" t="s">
        <v>1566</v>
      </c>
      <c r="C79" s="58" t="s">
        <v>1413</v>
      </c>
      <c r="D79" s="58" t="s">
        <v>1567</v>
      </c>
      <c r="E79" s="60" t="b">
        <v>1</v>
      </c>
      <c r="F79" s="80" t="s">
        <v>172</v>
      </c>
      <c r="G79" s="58" t="s">
        <v>1566</v>
      </c>
      <c r="H79" s="58" t="s">
        <v>1413</v>
      </c>
      <c r="I79" s="64" t="s">
        <v>1567</v>
      </c>
      <c r="J79" s="66"/>
      <c r="K79" s="66"/>
      <c r="L79" s="68"/>
      <c r="M79" s="63" t="str">
        <f>HYPERLINK("http://nsgreg.nga.mil/genc/view?v=863227&amp;end_month=12&amp;end_day=31&amp;end_year=2016","Correlation")</f>
        <v>Correlation</v>
      </c>
    </row>
    <row r="80" spans="1:13" x14ac:dyDescent="0.2">
      <c r="A80" s="113"/>
      <c r="B80" s="58" t="s">
        <v>1568</v>
      </c>
      <c r="C80" s="58" t="s">
        <v>1413</v>
      </c>
      <c r="D80" s="58" t="s">
        <v>1569</v>
      </c>
      <c r="E80" s="60" t="b">
        <v>1</v>
      </c>
      <c r="F80" s="80" t="s">
        <v>172</v>
      </c>
      <c r="G80" s="58" t="s">
        <v>1568</v>
      </c>
      <c r="H80" s="58" t="s">
        <v>1413</v>
      </c>
      <c r="I80" s="64" t="s">
        <v>1569</v>
      </c>
      <c r="J80" s="66"/>
      <c r="K80" s="66"/>
      <c r="L80" s="68"/>
      <c r="M80" s="63" t="str">
        <f>HYPERLINK("http://nsgreg.nga.mil/genc/view?v=863228&amp;end_month=12&amp;end_day=31&amp;end_year=2016","Correlation")</f>
        <v>Correlation</v>
      </c>
    </row>
    <row r="81" spans="1:13" x14ac:dyDescent="0.2">
      <c r="A81" s="113"/>
      <c r="B81" s="58" t="s">
        <v>1570</v>
      </c>
      <c r="C81" s="58" t="s">
        <v>1413</v>
      </c>
      <c r="D81" s="58" t="s">
        <v>1571</v>
      </c>
      <c r="E81" s="60" t="b">
        <v>1</v>
      </c>
      <c r="F81" s="80" t="s">
        <v>172</v>
      </c>
      <c r="G81" s="58" t="s">
        <v>1570</v>
      </c>
      <c r="H81" s="58" t="s">
        <v>1413</v>
      </c>
      <c r="I81" s="64" t="s">
        <v>1571</v>
      </c>
      <c r="J81" s="66"/>
      <c r="K81" s="66"/>
      <c r="L81" s="68"/>
      <c r="M81" s="63" t="str">
        <f>HYPERLINK("http://nsgreg.nga.mil/genc/view?v=863245&amp;end_month=12&amp;end_day=31&amp;end_year=2016","Correlation")</f>
        <v>Correlation</v>
      </c>
    </row>
    <row r="82" spans="1:13" x14ac:dyDescent="0.2">
      <c r="A82" s="113"/>
      <c r="B82" s="58" t="s">
        <v>1572</v>
      </c>
      <c r="C82" s="58" t="s">
        <v>1413</v>
      </c>
      <c r="D82" s="58" t="s">
        <v>1573</v>
      </c>
      <c r="E82" s="60" t="b">
        <v>1</v>
      </c>
      <c r="F82" s="80" t="s">
        <v>172</v>
      </c>
      <c r="G82" s="58" t="s">
        <v>1572</v>
      </c>
      <c r="H82" s="58" t="s">
        <v>1413</v>
      </c>
      <c r="I82" s="64" t="s">
        <v>1573</v>
      </c>
      <c r="J82" s="66"/>
      <c r="K82" s="66"/>
      <c r="L82" s="68"/>
      <c r="M82" s="63" t="str">
        <f>HYPERLINK("http://nsgreg.nga.mil/genc/view?v=863231&amp;end_month=12&amp;end_day=31&amp;end_year=2016","Correlation")</f>
        <v>Correlation</v>
      </c>
    </row>
    <row r="83" spans="1:13" x14ac:dyDescent="0.2">
      <c r="A83" s="113"/>
      <c r="B83" s="58" t="s">
        <v>1574</v>
      </c>
      <c r="C83" s="58" t="s">
        <v>1413</v>
      </c>
      <c r="D83" s="58" t="s">
        <v>1575</v>
      </c>
      <c r="E83" s="60" t="b">
        <v>1</v>
      </c>
      <c r="F83" s="80" t="s">
        <v>172</v>
      </c>
      <c r="G83" s="58" t="s">
        <v>1574</v>
      </c>
      <c r="H83" s="58" t="s">
        <v>1413</v>
      </c>
      <c r="I83" s="64" t="s">
        <v>1575</v>
      </c>
      <c r="J83" s="66"/>
      <c r="K83" s="66"/>
      <c r="L83" s="68"/>
      <c r="M83" s="63" t="str">
        <f>HYPERLINK("http://nsgreg.nga.mil/genc/view?v=863230&amp;end_month=12&amp;end_day=31&amp;end_year=2016","Correlation")</f>
        <v>Correlation</v>
      </c>
    </row>
    <row r="84" spans="1:13" x14ac:dyDescent="0.2">
      <c r="A84" s="113"/>
      <c r="B84" s="58" t="s">
        <v>1576</v>
      </c>
      <c r="C84" s="58" t="s">
        <v>1413</v>
      </c>
      <c r="D84" s="58" t="s">
        <v>1577</v>
      </c>
      <c r="E84" s="60" t="b">
        <v>1</v>
      </c>
      <c r="F84" s="80" t="s">
        <v>172</v>
      </c>
      <c r="G84" s="58" t="s">
        <v>1576</v>
      </c>
      <c r="H84" s="58" t="s">
        <v>1413</v>
      </c>
      <c r="I84" s="64" t="s">
        <v>1577</v>
      </c>
      <c r="J84" s="66"/>
      <c r="K84" s="66"/>
      <c r="L84" s="68"/>
      <c r="M84" s="63" t="str">
        <f>HYPERLINK("http://nsgreg.nga.mil/genc/view?v=863204&amp;end_month=12&amp;end_day=31&amp;end_year=2016","Correlation")</f>
        <v>Correlation</v>
      </c>
    </row>
    <row r="85" spans="1:13" x14ac:dyDescent="0.2">
      <c r="A85" s="113"/>
      <c r="B85" s="58" t="s">
        <v>1578</v>
      </c>
      <c r="C85" s="58" t="s">
        <v>1413</v>
      </c>
      <c r="D85" s="58" t="s">
        <v>1579</v>
      </c>
      <c r="E85" s="60" t="b">
        <v>1</v>
      </c>
      <c r="F85" s="80" t="s">
        <v>172</v>
      </c>
      <c r="G85" s="58" t="s">
        <v>1578</v>
      </c>
      <c r="H85" s="58" t="s">
        <v>1413</v>
      </c>
      <c r="I85" s="64" t="s">
        <v>1579</v>
      </c>
      <c r="J85" s="66"/>
      <c r="K85" s="66"/>
      <c r="L85" s="68"/>
      <c r="M85" s="63" t="str">
        <f>HYPERLINK("http://nsgreg.nga.mil/genc/view?v=863248&amp;end_month=12&amp;end_day=31&amp;end_year=2016","Correlation")</f>
        <v>Correlation</v>
      </c>
    </row>
    <row r="86" spans="1:13" x14ac:dyDescent="0.2">
      <c r="A86" s="113"/>
      <c r="B86" s="58" t="s">
        <v>1580</v>
      </c>
      <c r="C86" s="58" t="s">
        <v>1413</v>
      </c>
      <c r="D86" s="58" t="s">
        <v>1581</v>
      </c>
      <c r="E86" s="60" t="b">
        <v>1</v>
      </c>
      <c r="F86" s="80" t="s">
        <v>172</v>
      </c>
      <c r="G86" s="58" t="s">
        <v>1580</v>
      </c>
      <c r="H86" s="58" t="s">
        <v>1413</v>
      </c>
      <c r="I86" s="64" t="s">
        <v>1581</v>
      </c>
      <c r="J86" s="66"/>
      <c r="K86" s="66"/>
      <c r="L86" s="68"/>
      <c r="M86" s="63" t="str">
        <f>HYPERLINK("http://nsgreg.nga.mil/genc/view?v=863220&amp;end_month=12&amp;end_day=31&amp;end_year=2016","Correlation")</f>
        <v>Correlation</v>
      </c>
    </row>
    <row r="87" spans="1:13" x14ac:dyDescent="0.2">
      <c r="A87" s="113"/>
      <c r="B87" s="58" t="s">
        <v>1582</v>
      </c>
      <c r="C87" s="58" t="s">
        <v>1413</v>
      </c>
      <c r="D87" s="58" t="s">
        <v>1583</v>
      </c>
      <c r="E87" s="60" t="b">
        <v>1</v>
      </c>
      <c r="F87" s="80" t="s">
        <v>172</v>
      </c>
      <c r="G87" s="58" t="s">
        <v>1582</v>
      </c>
      <c r="H87" s="58" t="s">
        <v>1413</v>
      </c>
      <c r="I87" s="64" t="s">
        <v>1583</v>
      </c>
      <c r="J87" s="66"/>
      <c r="K87" s="66"/>
      <c r="L87" s="68"/>
      <c r="M87" s="63" t="str">
        <f>HYPERLINK("http://nsgreg.nga.mil/genc/view?v=863219&amp;end_month=12&amp;end_day=31&amp;end_year=2016","Correlation")</f>
        <v>Correlation</v>
      </c>
    </row>
    <row r="88" spans="1:13" x14ac:dyDescent="0.2">
      <c r="A88" s="113"/>
      <c r="B88" s="58" t="s">
        <v>1584</v>
      </c>
      <c r="C88" s="58" t="s">
        <v>1413</v>
      </c>
      <c r="D88" s="58" t="s">
        <v>1585</v>
      </c>
      <c r="E88" s="60" t="b">
        <v>1</v>
      </c>
      <c r="F88" s="80" t="s">
        <v>172</v>
      </c>
      <c r="G88" s="58" t="s">
        <v>1584</v>
      </c>
      <c r="H88" s="58" t="s">
        <v>1413</v>
      </c>
      <c r="I88" s="64" t="s">
        <v>1585</v>
      </c>
      <c r="J88" s="66"/>
      <c r="K88" s="66"/>
      <c r="L88" s="68"/>
      <c r="M88" s="63" t="str">
        <f>HYPERLINK("http://nsgreg.nga.mil/genc/view?v=863222&amp;end_month=12&amp;end_day=31&amp;end_year=2016","Correlation")</f>
        <v>Correlation</v>
      </c>
    </row>
    <row r="89" spans="1:13" x14ac:dyDescent="0.2">
      <c r="A89" s="113"/>
      <c r="B89" s="58" t="s">
        <v>1586</v>
      </c>
      <c r="C89" s="58" t="s">
        <v>1413</v>
      </c>
      <c r="D89" s="58" t="s">
        <v>1587</v>
      </c>
      <c r="E89" s="60" t="b">
        <v>1</v>
      </c>
      <c r="F89" s="80" t="s">
        <v>172</v>
      </c>
      <c r="G89" s="58" t="s">
        <v>1586</v>
      </c>
      <c r="H89" s="58" t="s">
        <v>1413</v>
      </c>
      <c r="I89" s="64" t="s">
        <v>1587</v>
      </c>
      <c r="J89" s="66"/>
      <c r="K89" s="66"/>
      <c r="L89" s="68"/>
      <c r="M89" s="63" t="str">
        <f>HYPERLINK("http://nsgreg.nga.mil/genc/view?v=863221&amp;end_month=12&amp;end_day=31&amp;end_year=2016","Correlation")</f>
        <v>Correlation</v>
      </c>
    </row>
    <row r="90" spans="1:13" x14ac:dyDescent="0.2">
      <c r="A90" s="113"/>
      <c r="B90" s="58" t="s">
        <v>1588</v>
      </c>
      <c r="C90" s="58" t="s">
        <v>1413</v>
      </c>
      <c r="D90" s="58" t="s">
        <v>1589</v>
      </c>
      <c r="E90" s="60" t="b">
        <v>1</v>
      </c>
      <c r="F90" s="80" t="s">
        <v>172</v>
      </c>
      <c r="G90" s="58" t="s">
        <v>1588</v>
      </c>
      <c r="H90" s="58" t="s">
        <v>1413</v>
      </c>
      <c r="I90" s="64" t="s">
        <v>1589</v>
      </c>
      <c r="J90" s="66"/>
      <c r="K90" s="66"/>
      <c r="L90" s="68"/>
      <c r="M90" s="63" t="str">
        <f>HYPERLINK("http://nsgreg.nga.mil/genc/view?v=863241&amp;end_month=12&amp;end_day=31&amp;end_year=2016","Correlation")</f>
        <v>Correlation</v>
      </c>
    </row>
    <row r="91" spans="1:13" x14ac:dyDescent="0.2">
      <c r="A91" s="113"/>
      <c r="B91" s="58" t="s">
        <v>1590</v>
      </c>
      <c r="C91" s="58" t="s">
        <v>1413</v>
      </c>
      <c r="D91" s="58" t="s">
        <v>1591</v>
      </c>
      <c r="E91" s="60" t="b">
        <v>1</v>
      </c>
      <c r="F91" s="80" t="s">
        <v>172</v>
      </c>
      <c r="G91" s="58" t="s">
        <v>1590</v>
      </c>
      <c r="H91" s="58" t="s">
        <v>1413</v>
      </c>
      <c r="I91" s="64" t="s">
        <v>1591</v>
      </c>
      <c r="J91" s="66"/>
      <c r="K91" s="66"/>
      <c r="L91" s="68"/>
      <c r="M91" s="63" t="str">
        <f>HYPERLINK("http://nsgreg.nga.mil/genc/view?v=863211&amp;end_month=12&amp;end_day=31&amp;end_year=2016","Correlation")</f>
        <v>Correlation</v>
      </c>
    </row>
    <row r="92" spans="1:13" x14ac:dyDescent="0.2">
      <c r="A92" s="113"/>
      <c r="B92" s="58" t="s">
        <v>1592</v>
      </c>
      <c r="C92" s="58" t="s">
        <v>1413</v>
      </c>
      <c r="D92" s="58" t="s">
        <v>1593</v>
      </c>
      <c r="E92" s="60" t="b">
        <v>1</v>
      </c>
      <c r="F92" s="80" t="s">
        <v>172</v>
      </c>
      <c r="G92" s="58" t="s">
        <v>1592</v>
      </c>
      <c r="H92" s="58" t="s">
        <v>1413</v>
      </c>
      <c r="I92" s="64" t="s">
        <v>1593</v>
      </c>
      <c r="J92" s="66"/>
      <c r="K92" s="66"/>
      <c r="L92" s="68"/>
      <c r="M92" s="63" t="str">
        <f>HYPERLINK("http://nsgreg.nga.mil/genc/view?v=863212&amp;end_month=12&amp;end_day=31&amp;end_year=2016","Correlation")</f>
        <v>Correlation</v>
      </c>
    </row>
    <row r="93" spans="1:13" x14ac:dyDescent="0.2">
      <c r="A93" s="113"/>
      <c r="B93" s="58" t="s">
        <v>1594</v>
      </c>
      <c r="C93" s="58" t="s">
        <v>1413</v>
      </c>
      <c r="D93" s="58" t="s">
        <v>1595</v>
      </c>
      <c r="E93" s="60" t="b">
        <v>1</v>
      </c>
      <c r="F93" s="80" t="s">
        <v>172</v>
      </c>
      <c r="G93" s="58" t="s">
        <v>1594</v>
      </c>
      <c r="H93" s="58" t="s">
        <v>1413</v>
      </c>
      <c r="I93" s="64" t="s">
        <v>1595</v>
      </c>
      <c r="J93" s="66"/>
      <c r="K93" s="66"/>
      <c r="L93" s="68"/>
      <c r="M93" s="63" t="str">
        <f>HYPERLINK("http://nsgreg.nga.mil/genc/view?v=863214&amp;end_month=12&amp;end_day=31&amp;end_year=2016","Correlation")</f>
        <v>Correlation</v>
      </c>
    </row>
    <row r="94" spans="1:13" x14ac:dyDescent="0.2">
      <c r="A94" s="113"/>
      <c r="B94" s="58" t="s">
        <v>1596</v>
      </c>
      <c r="C94" s="58" t="s">
        <v>1413</v>
      </c>
      <c r="D94" s="58" t="s">
        <v>1597</v>
      </c>
      <c r="E94" s="60" t="b">
        <v>1</v>
      </c>
      <c r="F94" s="80" t="s">
        <v>172</v>
      </c>
      <c r="G94" s="58" t="s">
        <v>1596</v>
      </c>
      <c r="H94" s="58" t="s">
        <v>1413</v>
      </c>
      <c r="I94" s="64" t="s">
        <v>1597</v>
      </c>
      <c r="J94" s="66"/>
      <c r="K94" s="66"/>
      <c r="L94" s="68"/>
      <c r="M94" s="63" t="str">
        <f>HYPERLINK("http://nsgreg.nga.mil/genc/view?v=863237&amp;end_month=12&amp;end_day=31&amp;end_year=2016","Correlation")</f>
        <v>Correlation</v>
      </c>
    </row>
    <row r="95" spans="1:13" x14ac:dyDescent="0.2">
      <c r="A95" s="113"/>
      <c r="B95" s="58" t="s">
        <v>1598</v>
      </c>
      <c r="C95" s="58" t="s">
        <v>1413</v>
      </c>
      <c r="D95" s="58" t="s">
        <v>1599</v>
      </c>
      <c r="E95" s="60" t="b">
        <v>1</v>
      </c>
      <c r="F95" s="80" t="s">
        <v>172</v>
      </c>
      <c r="G95" s="58" t="s">
        <v>1598</v>
      </c>
      <c r="H95" s="58" t="s">
        <v>1413</v>
      </c>
      <c r="I95" s="64" t="s">
        <v>1599</v>
      </c>
      <c r="J95" s="66"/>
      <c r="K95" s="66"/>
      <c r="L95" s="68"/>
      <c r="M95" s="63" t="str">
        <f>HYPERLINK("http://nsgreg.nga.mil/genc/view?v=863242&amp;end_month=12&amp;end_day=31&amp;end_year=2016","Correlation")</f>
        <v>Correlation</v>
      </c>
    </row>
    <row r="96" spans="1:13" x14ac:dyDescent="0.2">
      <c r="A96" s="113"/>
      <c r="B96" s="58" t="s">
        <v>1600</v>
      </c>
      <c r="C96" s="58" t="s">
        <v>1413</v>
      </c>
      <c r="D96" s="58" t="s">
        <v>1601</v>
      </c>
      <c r="E96" s="60" t="b">
        <v>1</v>
      </c>
      <c r="F96" s="80" t="s">
        <v>172</v>
      </c>
      <c r="G96" s="58" t="s">
        <v>1600</v>
      </c>
      <c r="H96" s="58" t="s">
        <v>1413</v>
      </c>
      <c r="I96" s="64" t="s">
        <v>1601</v>
      </c>
      <c r="J96" s="66"/>
      <c r="K96" s="66"/>
      <c r="L96" s="68"/>
      <c r="M96" s="63" t="str">
        <f>HYPERLINK("http://nsgreg.nga.mil/genc/view?v=863238&amp;end_month=12&amp;end_day=31&amp;end_year=2016","Correlation")</f>
        <v>Correlation</v>
      </c>
    </row>
    <row r="97" spans="1:13" x14ac:dyDescent="0.2">
      <c r="A97" s="113"/>
      <c r="B97" s="58" t="s">
        <v>1602</v>
      </c>
      <c r="C97" s="58" t="s">
        <v>1413</v>
      </c>
      <c r="D97" s="58" t="s">
        <v>1603</v>
      </c>
      <c r="E97" s="60" t="b">
        <v>1</v>
      </c>
      <c r="F97" s="80" t="s">
        <v>172</v>
      </c>
      <c r="G97" s="58" t="s">
        <v>1602</v>
      </c>
      <c r="H97" s="58" t="s">
        <v>1413</v>
      </c>
      <c r="I97" s="64" t="s">
        <v>1603</v>
      </c>
      <c r="J97" s="66"/>
      <c r="K97" s="66"/>
      <c r="L97" s="68"/>
      <c r="M97" s="63" t="str">
        <f>HYPERLINK("http://nsgreg.nga.mil/genc/view?v=863215&amp;end_month=12&amp;end_day=31&amp;end_year=2016","Correlation")</f>
        <v>Correlation</v>
      </c>
    </row>
    <row r="98" spans="1:13" x14ac:dyDescent="0.2">
      <c r="A98" s="114"/>
      <c r="B98" s="71" t="s">
        <v>1604</v>
      </c>
      <c r="C98" s="71" t="s">
        <v>1413</v>
      </c>
      <c r="D98" s="71" t="s">
        <v>1605</v>
      </c>
      <c r="E98" s="73" t="b">
        <v>1</v>
      </c>
      <c r="F98" s="81" t="s">
        <v>172</v>
      </c>
      <c r="G98" s="71" t="s">
        <v>1604</v>
      </c>
      <c r="H98" s="71" t="s">
        <v>1413</v>
      </c>
      <c r="I98" s="74" t="s">
        <v>1605</v>
      </c>
      <c r="J98" s="76"/>
      <c r="K98" s="76"/>
      <c r="L98" s="82"/>
      <c r="M98" s="77" t="str">
        <f>HYPERLINK("http://nsgreg.nga.mil/genc/view?v=863213&amp;end_month=12&amp;end_day=31&amp;end_year=2016","Correlation")</f>
        <v>Correlation</v>
      </c>
    </row>
    <row r="99" spans="1:13" x14ac:dyDescent="0.2">
      <c r="A99" s="112" t="s">
        <v>182</v>
      </c>
      <c r="B99" s="50" t="s">
        <v>1606</v>
      </c>
      <c r="C99" s="50" t="s">
        <v>1607</v>
      </c>
      <c r="D99" s="50" t="s">
        <v>1608</v>
      </c>
      <c r="E99" s="52" t="b">
        <v>1</v>
      </c>
      <c r="F99" s="78" t="s">
        <v>182</v>
      </c>
      <c r="G99" s="50" t="s">
        <v>1606</v>
      </c>
      <c r="H99" s="50" t="s">
        <v>1607</v>
      </c>
      <c r="I99" s="53" t="s">
        <v>1608</v>
      </c>
      <c r="J99" s="55"/>
      <c r="K99" s="55"/>
      <c r="L99" s="79"/>
      <c r="M99" s="56" t="str">
        <f>HYPERLINK("http://nsgreg.nga.mil/genc/view?v=862196&amp;end_month=12&amp;end_day=31&amp;end_year=2016","Correlation")</f>
        <v>Correlation</v>
      </c>
    </row>
    <row r="100" spans="1:13" x14ac:dyDescent="0.2">
      <c r="A100" s="113"/>
      <c r="B100" s="58" t="s">
        <v>1609</v>
      </c>
      <c r="C100" s="58" t="s">
        <v>1607</v>
      </c>
      <c r="D100" s="58" t="s">
        <v>1610</v>
      </c>
      <c r="E100" s="60" t="b">
        <v>1</v>
      </c>
      <c r="F100" s="80" t="s">
        <v>182</v>
      </c>
      <c r="G100" s="58" t="s">
        <v>1609</v>
      </c>
      <c r="H100" s="58" t="s">
        <v>1607</v>
      </c>
      <c r="I100" s="64" t="s">
        <v>1610</v>
      </c>
      <c r="J100" s="66"/>
      <c r="K100" s="66"/>
      <c r="L100" s="68"/>
      <c r="M100" s="63" t="str">
        <f>HYPERLINK("http://nsgreg.nga.mil/genc/view?v=862191&amp;end_month=12&amp;end_day=31&amp;end_year=2016","Correlation")</f>
        <v>Correlation</v>
      </c>
    </row>
    <row r="101" spans="1:13" x14ac:dyDescent="0.2">
      <c r="A101" s="113"/>
      <c r="B101" s="58" t="s">
        <v>1611</v>
      </c>
      <c r="C101" s="58" t="s">
        <v>1607</v>
      </c>
      <c r="D101" s="58" t="s">
        <v>1612</v>
      </c>
      <c r="E101" s="60" t="b">
        <v>1</v>
      </c>
      <c r="F101" s="80" t="s">
        <v>182</v>
      </c>
      <c r="G101" s="58" t="s">
        <v>1611</v>
      </c>
      <c r="H101" s="58" t="s">
        <v>1607</v>
      </c>
      <c r="I101" s="64" t="s">
        <v>1612</v>
      </c>
      <c r="J101" s="66"/>
      <c r="K101" s="66"/>
      <c r="L101" s="68"/>
      <c r="M101" s="63" t="str">
        <f>HYPERLINK("http://nsgreg.nga.mil/genc/view?v=862192&amp;end_month=12&amp;end_day=31&amp;end_year=2016","Correlation")</f>
        <v>Correlation</v>
      </c>
    </row>
    <row r="102" spans="1:13" x14ac:dyDescent="0.2">
      <c r="A102" s="113"/>
      <c r="B102" s="58" t="s">
        <v>1613</v>
      </c>
      <c r="C102" s="58" t="s">
        <v>1607</v>
      </c>
      <c r="D102" s="58" t="s">
        <v>1614</v>
      </c>
      <c r="E102" s="60" t="b">
        <v>1</v>
      </c>
      <c r="F102" s="80" t="s">
        <v>182</v>
      </c>
      <c r="G102" s="58" t="s">
        <v>1613</v>
      </c>
      <c r="H102" s="58" t="s">
        <v>1607</v>
      </c>
      <c r="I102" s="64" t="s">
        <v>1614</v>
      </c>
      <c r="J102" s="66"/>
      <c r="K102" s="66"/>
      <c r="L102" s="68"/>
      <c r="M102" s="63" t="str">
        <f>HYPERLINK("http://nsgreg.nga.mil/genc/view?v=862197&amp;end_month=12&amp;end_day=31&amp;end_year=2016","Correlation")</f>
        <v>Correlation</v>
      </c>
    </row>
    <row r="103" spans="1:13" x14ac:dyDescent="0.2">
      <c r="A103" s="113"/>
      <c r="B103" s="58" t="s">
        <v>1615</v>
      </c>
      <c r="C103" s="58" t="s">
        <v>1607</v>
      </c>
      <c r="D103" s="58" t="s">
        <v>1616</v>
      </c>
      <c r="E103" s="60" t="b">
        <v>1</v>
      </c>
      <c r="F103" s="80" t="s">
        <v>182</v>
      </c>
      <c r="G103" s="58" t="s">
        <v>1615</v>
      </c>
      <c r="H103" s="58" t="s">
        <v>1607</v>
      </c>
      <c r="I103" s="64" t="s">
        <v>1616</v>
      </c>
      <c r="J103" s="66"/>
      <c r="K103" s="66"/>
      <c r="L103" s="68"/>
      <c r="M103" s="63" t="str">
        <f>HYPERLINK("http://nsgreg.nga.mil/genc/view?v=862193&amp;end_month=12&amp;end_day=31&amp;end_year=2016","Correlation")</f>
        <v>Correlation</v>
      </c>
    </row>
    <row r="104" spans="1:13" x14ac:dyDescent="0.2">
      <c r="A104" s="113"/>
      <c r="B104" s="58" t="s">
        <v>1617</v>
      </c>
      <c r="C104" s="58" t="s">
        <v>1607</v>
      </c>
      <c r="D104" s="58" t="s">
        <v>1618</v>
      </c>
      <c r="E104" s="60" t="b">
        <v>1</v>
      </c>
      <c r="F104" s="80" t="s">
        <v>182</v>
      </c>
      <c r="G104" s="58" t="s">
        <v>1617</v>
      </c>
      <c r="H104" s="58" t="s">
        <v>1607</v>
      </c>
      <c r="I104" s="64" t="s">
        <v>1618</v>
      </c>
      <c r="J104" s="66"/>
      <c r="K104" s="66"/>
      <c r="L104" s="68"/>
      <c r="M104" s="63" t="str">
        <f>HYPERLINK("http://nsgreg.nga.mil/genc/view?v=862194&amp;end_month=12&amp;end_day=31&amp;end_year=2016","Correlation")</f>
        <v>Correlation</v>
      </c>
    </row>
    <row r="105" spans="1:13" x14ac:dyDescent="0.2">
      <c r="A105" s="114"/>
      <c r="B105" s="71" t="s">
        <v>1619</v>
      </c>
      <c r="C105" s="71" t="s">
        <v>1607</v>
      </c>
      <c r="D105" s="71" t="s">
        <v>1620</v>
      </c>
      <c r="E105" s="73" t="b">
        <v>1</v>
      </c>
      <c r="F105" s="81" t="s">
        <v>182</v>
      </c>
      <c r="G105" s="71" t="s">
        <v>1619</v>
      </c>
      <c r="H105" s="71" t="s">
        <v>1607</v>
      </c>
      <c r="I105" s="74" t="s">
        <v>1620</v>
      </c>
      <c r="J105" s="76"/>
      <c r="K105" s="76"/>
      <c r="L105" s="82"/>
      <c r="M105" s="77" t="str">
        <f>HYPERLINK("http://nsgreg.nga.mil/genc/view?v=862195&amp;end_month=12&amp;end_day=31&amp;end_year=2016","Correlation")</f>
        <v>Correlation</v>
      </c>
    </row>
    <row r="106" spans="1:13" x14ac:dyDescent="0.2">
      <c r="A106" s="112" t="s">
        <v>186</v>
      </c>
      <c r="B106" s="50" t="s">
        <v>1621</v>
      </c>
      <c r="C106" s="50" t="s">
        <v>1413</v>
      </c>
      <c r="D106" s="50" t="s">
        <v>1622</v>
      </c>
      <c r="E106" s="52" t="b">
        <v>1</v>
      </c>
      <c r="F106" s="78" t="s">
        <v>186</v>
      </c>
      <c r="G106" s="50" t="s">
        <v>1621</v>
      </c>
      <c r="H106" s="50" t="s">
        <v>1413</v>
      </c>
      <c r="I106" s="53" t="s">
        <v>1622</v>
      </c>
      <c r="J106" s="55"/>
      <c r="K106" s="55"/>
      <c r="L106" s="79"/>
      <c r="M106" s="56" t="str">
        <f>HYPERLINK("http://nsgreg.nga.mil/genc/view?v=862270&amp;end_month=12&amp;end_day=31&amp;end_year=2016","Correlation")</f>
        <v>Correlation</v>
      </c>
    </row>
    <row r="107" spans="1:13" x14ac:dyDescent="0.2">
      <c r="A107" s="113"/>
      <c r="B107" s="58" t="s">
        <v>1623</v>
      </c>
      <c r="C107" s="58" t="s">
        <v>1413</v>
      </c>
      <c r="D107" s="58" t="s">
        <v>1624</v>
      </c>
      <c r="E107" s="60" t="b">
        <v>1</v>
      </c>
      <c r="F107" s="80" t="s">
        <v>186</v>
      </c>
      <c r="G107" s="58" t="s">
        <v>1623</v>
      </c>
      <c r="H107" s="58" t="s">
        <v>1413</v>
      </c>
      <c r="I107" s="64" t="s">
        <v>1624</v>
      </c>
      <c r="J107" s="66"/>
      <c r="K107" s="66"/>
      <c r="L107" s="68"/>
      <c r="M107" s="63" t="str">
        <f>HYPERLINK("http://nsgreg.nga.mil/genc/view?v=862271&amp;end_month=12&amp;end_day=31&amp;end_year=2016","Correlation")</f>
        <v>Correlation</v>
      </c>
    </row>
    <row r="108" spans="1:13" x14ac:dyDescent="0.2">
      <c r="A108" s="113"/>
      <c r="B108" s="58" t="s">
        <v>1625</v>
      </c>
      <c r="C108" s="58" t="s">
        <v>1413</v>
      </c>
      <c r="D108" s="58" t="s">
        <v>1626</v>
      </c>
      <c r="E108" s="60" t="b">
        <v>1</v>
      </c>
      <c r="F108" s="80" t="s">
        <v>186</v>
      </c>
      <c r="G108" s="58" t="s">
        <v>1625</v>
      </c>
      <c r="H108" s="58" t="s">
        <v>1413</v>
      </c>
      <c r="I108" s="64" t="s">
        <v>1626</v>
      </c>
      <c r="J108" s="66"/>
      <c r="K108" s="66"/>
      <c r="L108" s="68"/>
      <c r="M108" s="63" t="str">
        <f>HYPERLINK("http://nsgreg.nga.mil/genc/view?v=862272&amp;end_month=12&amp;end_day=31&amp;end_year=2016","Correlation")</f>
        <v>Correlation</v>
      </c>
    </row>
    <row r="109" spans="1:13" x14ac:dyDescent="0.2">
      <c r="A109" s="113"/>
      <c r="B109" s="58" t="s">
        <v>1627</v>
      </c>
      <c r="C109" s="58" t="s">
        <v>1413</v>
      </c>
      <c r="D109" s="58" t="s">
        <v>1628</v>
      </c>
      <c r="E109" s="60" t="b">
        <v>1</v>
      </c>
      <c r="F109" s="80" t="s">
        <v>186</v>
      </c>
      <c r="G109" s="58" t="s">
        <v>1627</v>
      </c>
      <c r="H109" s="58" t="s">
        <v>1413</v>
      </c>
      <c r="I109" s="64" t="s">
        <v>1628</v>
      </c>
      <c r="J109" s="66"/>
      <c r="K109" s="66"/>
      <c r="L109" s="68"/>
      <c r="M109" s="63" t="str">
        <f>HYPERLINK("http://nsgreg.nga.mil/genc/view?v=862273&amp;end_month=12&amp;end_day=31&amp;end_year=2016","Correlation")</f>
        <v>Correlation</v>
      </c>
    </row>
    <row r="110" spans="1:13" x14ac:dyDescent="0.2">
      <c r="A110" s="113"/>
      <c r="B110" s="58" t="s">
        <v>1629</v>
      </c>
      <c r="C110" s="58" t="s">
        <v>1413</v>
      </c>
      <c r="D110" s="58" t="s">
        <v>1630</v>
      </c>
      <c r="E110" s="60" t="b">
        <v>1</v>
      </c>
      <c r="F110" s="80" t="s">
        <v>186</v>
      </c>
      <c r="G110" s="58" t="s">
        <v>1629</v>
      </c>
      <c r="H110" s="58" t="s">
        <v>1413</v>
      </c>
      <c r="I110" s="64" t="s">
        <v>1630</v>
      </c>
      <c r="J110" s="66"/>
      <c r="K110" s="66"/>
      <c r="L110" s="68"/>
      <c r="M110" s="63" t="str">
        <f>HYPERLINK("http://nsgreg.nga.mil/genc/view?v=862275&amp;end_month=12&amp;end_day=31&amp;end_year=2016","Correlation")</f>
        <v>Correlation</v>
      </c>
    </row>
    <row r="111" spans="1:13" x14ac:dyDescent="0.2">
      <c r="A111" s="113"/>
      <c r="B111" s="58" t="s">
        <v>1631</v>
      </c>
      <c r="C111" s="58" t="s">
        <v>1413</v>
      </c>
      <c r="D111" s="58" t="s">
        <v>1632</v>
      </c>
      <c r="E111" s="60" t="b">
        <v>1</v>
      </c>
      <c r="F111" s="80" t="s">
        <v>186</v>
      </c>
      <c r="G111" s="58" t="s">
        <v>1631</v>
      </c>
      <c r="H111" s="58" t="s">
        <v>1413</v>
      </c>
      <c r="I111" s="64" t="s">
        <v>1632</v>
      </c>
      <c r="J111" s="66"/>
      <c r="K111" s="66"/>
      <c r="L111" s="68"/>
      <c r="M111" s="63" t="str">
        <f>HYPERLINK("http://nsgreg.nga.mil/genc/view?v=862278&amp;end_month=12&amp;end_day=31&amp;end_year=2016","Correlation")</f>
        <v>Correlation</v>
      </c>
    </row>
    <row r="112" spans="1:13" x14ac:dyDescent="0.2">
      <c r="A112" s="113"/>
      <c r="B112" s="58" t="s">
        <v>1633</v>
      </c>
      <c r="C112" s="58" t="s">
        <v>1413</v>
      </c>
      <c r="D112" s="58" t="s">
        <v>1634</v>
      </c>
      <c r="E112" s="60" t="b">
        <v>1</v>
      </c>
      <c r="F112" s="80" t="s">
        <v>186</v>
      </c>
      <c r="G112" s="58" t="s">
        <v>1633</v>
      </c>
      <c r="H112" s="58" t="s">
        <v>1413</v>
      </c>
      <c r="I112" s="64" t="s">
        <v>1634</v>
      </c>
      <c r="J112" s="66"/>
      <c r="K112" s="66"/>
      <c r="L112" s="68"/>
      <c r="M112" s="63" t="str">
        <f>HYPERLINK("http://nsgreg.nga.mil/genc/view?v=862279&amp;end_month=12&amp;end_day=31&amp;end_year=2016","Correlation")</f>
        <v>Correlation</v>
      </c>
    </row>
    <row r="113" spans="1:13" x14ac:dyDescent="0.2">
      <c r="A113" s="113"/>
      <c r="B113" s="58" t="s">
        <v>1635</v>
      </c>
      <c r="C113" s="58" t="s">
        <v>1413</v>
      </c>
      <c r="D113" s="58" t="s">
        <v>1636</v>
      </c>
      <c r="E113" s="60" t="b">
        <v>1</v>
      </c>
      <c r="F113" s="80" t="s">
        <v>186</v>
      </c>
      <c r="G113" s="58" t="s">
        <v>1635</v>
      </c>
      <c r="H113" s="58" t="s">
        <v>1413</v>
      </c>
      <c r="I113" s="64" t="s">
        <v>1636</v>
      </c>
      <c r="J113" s="66"/>
      <c r="K113" s="66"/>
      <c r="L113" s="68"/>
      <c r="M113" s="63" t="str">
        <f>HYPERLINK("http://nsgreg.nga.mil/genc/view?v=862274&amp;end_month=12&amp;end_day=31&amp;end_year=2016","Correlation")</f>
        <v>Correlation</v>
      </c>
    </row>
    <row r="114" spans="1:13" x14ac:dyDescent="0.2">
      <c r="A114" s="113"/>
      <c r="B114" s="58" t="s">
        <v>1637</v>
      </c>
      <c r="C114" s="58" t="s">
        <v>1413</v>
      </c>
      <c r="D114" s="58" t="s">
        <v>1638</v>
      </c>
      <c r="E114" s="60" t="b">
        <v>1</v>
      </c>
      <c r="F114" s="80" t="s">
        <v>186</v>
      </c>
      <c r="G114" s="58" t="s">
        <v>1637</v>
      </c>
      <c r="H114" s="58" t="s">
        <v>1413</v>
      </c>
      <c r="I114" s="64" t="s">
        <v>1638</v>
      </c>
      <c r="J114" s="66"/>
      <c r="K114" s="66"/>
      <c r="L114" s="68"/>
      <c r="M114" s="63" t="str">
        <f>HYPERLINK("http://nsgreg.nga.mil/genc/view?v=862276&amp;end_month=12&amp;end_day=31&amp;end_year=2016","Correlation")</f>
        <v>Correlation</v>
      </c>
    </row>
    <row r="115" spans="1:13" x14ac:dyDescent="0.2">
      <c r="A115" s="113"/>
      <c r="B115" s="58" t="s">
        <v>1639</v>
      </c>
      <c r="C115" s="58" t="s">
        <v>1413</v>
      </c>
      <c r="D115" s="58" t="s">
        <v>1640</v>
      </c>
      <c r="E115" s="60" t="b">
        <v>1</v>
      </c>
      <c r="F115" s="80" t="s">
        <v>186</v>
      </c>
      <c r="G115" s="58" t="s">
        <v>1639</v>
      </c>
      <c r="H115" s="58" t="s">
        <v>1413</v>
      </c>
      <c r="I115" s="64" t="s">
        <v>1640</v>
      </c>
      <c r="J115" s="66"/>
      <c r="K115" s="66"/>
      <c r="L115" s="68"/>
      <c r="M115" s="63" t="str">
        <f>HYPERLINK("http://nsgreg.nga.mil/genc/view?v=862277&amp;end_month=12&amp;end_day=31&amp;end_year=2016","Correlation")</f>
        <v>Correlation</v>
      </c>
    </row>
    <row r="116" spans="1:13" x14ac:dyDescent="0.2">
      <c r="A116" s="113"/>
      <c r="B116" s="58" t="s">
        <v>1641</v>
      </c>
      <c r="C116" s="58" t="s">
        <v>1413</v>
      </c>
      <c r="D116" s="58" t="s">
        <v>1642</v>
      </c>
      <c r="E116" s="60" t="b">
        <v>1</v>
      </c>
      <c r="F116" s="80" t="s">
        <v>186</v>
      </c>
      <c r="G116" s="58" t="s">
        <v>1641</v>
      </c>
      <c r="H116" s="58" t="s">
        <v>1413</v>
      </c>
      <c r="I116" s="64" t="s">
        <v>1642</v>
      </c>
      <c r="J116" s="66"/>
      <c r="K116" s="66"/>
      <c r="L116" s="68"/>
      <c r="M116" s="63" t="str">
        <f>HYPERLINK("http://nsgreg.nga.mil/genc/view?v=862282&amp;end_month=12&amp;end_day=31&amp;end_year=2016","Correlation")</f>
        <v>Correlation</v>
      </c>
    </row>
    <row r="117" spans="1:13" x14ac:dyDescent="0.2">
      <c r="A117" s="113"/>
      <c r="B117" s="58" t="s">
        <v>1643</v>
      </c>
      <c r="C117" s="58" t="s">
        <v>1413</v>
      </c>
      <c r="D117" s="58" t="s">
        <v>1644</v>
      </c>
      <c r="E117" s="60" t="b">
        <v>1</v>
      </c>
      <c r="F117" s="80" t="s">
        <v>186</v>
      </c>
      <c r="G117" s="58" t="s">
        <v>1643</v>
      </c>
      <c r="H117" s="58" t="s">
        <v>1413</v>
      </c>
      <c r="I117" s="64" t="s">
        <v>1644</v>
      </c>
      <c r="J117" s="66"/>
      <c r="K117" s="66"/>
      <c r="L117" s="68"/>
      <c r="M117" s="63" t="str">
        <f>HYPERLINK("http://nsgreg.nga.mil/genc/view?v=862280&amp;end_month=12&amp;end_day=31&amp;end_year=2016","Correlation")</f>
        <v>Correlation</v>
      </c>
    </row>
    <row r="118" spans="1:13" x14ac:dyDescent="0.2">
      <c r="A118" s="113"/>
      <c r="B118" s="58" t="s">
        <v>1645</v>
      </c>
      <c r="C118" s="58" t="s">
        <v>1413</v>
      </c>
      <c r="D118" s="58" t="s">
        <v>1646</v>
      </c>
      <c r="E118" s="60" t="b">
        <v>1</v>
      </c>
      <c r="F118" s="80" t="s">
        <v>186</v>
      </c>
      <c r="G118" s="58" t="s">
        <v>1645</v>
      </c>
      <c r="H118" s="58" t="s">
        <v>1413</v>
      </c>
      <c r="I118" s="64" t="s">
        <v>1646</v>
      </c>
      <c r="J118" s="66"/>
      <c r="K118" s="66"/>
      <c r="L118" s="68"/>
      <c r="M118" s="63" t="str">
        <f>HYPERLINK("http://nsgreg.nga.mil/genc/view?v=862281&amp;end_month=12&amp;end_day=31&amp;end_year=2016","Correlation")</f>
        <v>Correlation</v>
      </c>
    </row>
    <row r="119" spans="1:13" x14ac:dyDescent="0.2">
      <c r="A119" s="113"/>
      <c r="B119" s="58" t="s">
        <v>1647</v>
      </c>
      <c r="C119" s="58" t="s">
        <v>1413</v>
      </c>
      <c r="D119" s="58" t="s">
        <v>1648</v>
      </c>
      <c r="E119" s="60" t="b">
        <v>1</v>
      </c>
      <c r="F119" s="80" t="s">
        <v>186</v>
      </c>
      <c r="G119" s="58" t="s">
        <v>1649</v>
      </c>
      <c r="H119" s="58" t="s">
        <v>1413</v>
      </c>
      <c r="I119" s="64" t="s">
        <v>1648</v>
      </c>
      <c r="J119" s="66"/>
      <c r="K119" s="66"/>
      <c r="L119" s="68"/>
      <c r="M119" s="63" t="str">
        <f>HYPERLINK("http://nsgreg.nga.mil/genc/view?v=862283&amp;end_month=12&amp;end_day=31&amp;end_year=2016","Correlation")</f>
        <v>Correlation</v>
      </c>
    </row>
    <row r="120" spans="1:13" x14ac:dyDescent="0.2">
      <c r="A120" s="113"/>
      <c r="B120" s="58" t="s">
        <v>1650</v>
      </c>
      <c r="C120" s="58" t="s">
        <v>1413</v>
      </c>
      <c r="D120" s="58" t="s">
        <v>1651</v>
      </c>
      <c r="E120" s="60" t="b">
        <v>1</v>
      </c>
      <c r="F120" s="80" t="s">
        <v>186</v>
      </c>
      <c r="G120" s="58" t="s">
        <v>1650</v>
      </c>
      <c r="H120" s="58" t="s">
        <v>1413</v>
      </c>
      <c r="I120" s="64" t="s">
        <v>1651</v>
      </c>
      <c r="J120" s="66"/>
      <c r="K120" s="66"/>
      <c r="L120" s="68"/>
      <c r="M120" s="63" t="str">
        <f>HYPERLINK("http://nsgreg.nga.mil/genc/view?v=862284&amp;end_month=12&amp;end_day=31&amp;end_year=2016","Correlation")</f>
        <v>Correlation</v>
      </c>
    </row>
    <row r="121" spans="1:13" x14ac:dyDescent="0.2">
      <c r="A121" s="113"/>
      <c r="B121" s="58" t="s">
        <v>1652</v>
      </c>
      <c r="C121" s="58" t="s">
        <v>1413</v>
      </c>
      <c r="D121" s="58" t="s">
        <v>1653</v>
      </c>
      <c r="E121" s="60" t="b">
        <v>1</v>
      </c>
      <c r="F121" s="80" t="s">
        <v>186</v>
      </c>
      <c r="G121" s="58" t="s">
        <v>1652</v>
      </c>
      <c r="H121" s="58" t="s">
        <v>1413</v>
      </c>
      <c r="I121" s="64" t="s">
        <v>1653</v>
      </c>
      <c r="J121" s="66"/>
      <c r="K121" s="66"/>
      <c r="L121" s="68"/>
      <c r="M121" s="63" t="str">
        <f>HYPERLINK("http://nsgreg.nga.mil/genc/view?v=862285&amp;end_month=12&amp;end_day=31&amp;end_year=2016","Correlation")</f>
        <v>Correlation</v>
      </c>
    </row>
    <row r="122" spans="1:13" x14ac:dyDescent="0.2">
      <c r="A122" s="113"/>
      <c r="B122" s="58" t="s">
        <v>1654</v>
      </c>
      <c r="C122" s="58" t="s">
        <v>1413</v>
      </c>
      <c r="D122" s="58" t="s">
        <v>1655</v>
      </c>
      <c r="E122" s="60" t="b">
        <v>1</v>
      </c>
      <c r="F122" s="80" t="s">
        <v>186</v>
      </c>
      <c r="G122" s="58" t="s">
        <v>1654</v>
      </c>
      <c r="H122" s="58" t="s">
        <v>1413</v>
      </c>
      <c r="I122" s="64" t="s">
        <v>1655</v>
      </c>
      <c r="J122" s="66"/>
      <c r="K122" s="66"/>
      <c r="L122" s="68"/>
      <c r="M122" s="63" t="str">
        <f>HYPERLINK("http://nsgreg.nga.mil/genc/view?v=862286&amp;end_month=12&amp;end_day=31&amp;end_year=2016","Correlation")</f>
        <v>Correlation</v>
      </c>
    </row>
    <row r="123" spans="1:13" x14ac:dyDescent="0.2">
      <c r="A123" s="114"/>
      <c r="B123" s="71" t="s">
        <v>1656</v>
      </c>
      <c r="C123" s="71" t="s">
        <v>1413</v>
      </c>
      <c r="D123" s="71" t="s">
        <v>1657</v>
      </c>
      <c r="E123" s="73" t="b">
        <v>1</v>
      </c>
      <c r="F123" s="81" t="s">
        <v>186</v>
      </c>
      <c r="G123" s="71" t="s">
        <v>1656</v>
      </c>
      <c r="H123" s="71" t="s">
        <v>1413</v>
      </c>
      <c r="I123" s="74" t="s">
        <v>1657</v>
      </c>
      <c r="J123" s="76"/>
      <c r="K123" s="76"/>
      <c r="L123" s="82"/>
      <c r="M123" s="77" t="str">
        <f>HYPERLINK("http://nsgreg.nga.mil/genc/view?v=862287&amp;end_month=12&amp;end_day=31&amp;end_year=2016","Correlation")</f>
        <v>Correlation</v>
      </c>
    </row>
    <row r="124" spans="1:13" x14ac:dyDescent="0.2">
      <c r="A124" s="112" t="s">
        <v>198</v>
      </c>
      <c r="B124" s="50" t="s">
        <v>1658</v>
      </c>
      <c r="C124" s="50" t="s">
        <v>1659</v>
      </c>
      <c r="D124" s="50" t="s">
        <v>1660</v>
      </c>
      <c r="E124" s="52" t="b">
        <v>1</v>
      </c>
      <c r="F124" s="78" t="s">
        <v>198</v>
      </c>
      <c r="G124" s="50" t="s">
        <v>1658</v>
      </c>
      <c r="H124" s="50" t="s">
        <v>1659</v>
      </c>
      <c r="I124" s="53" t="s">
        <v>1660</v>
      </c>
      <c r="J124" s="55"/>
      <c r="K124" s="55"/>
      <c r="L124" s="79"/>
      <c r="M124" s="56" t="str">
        <f>HYPERLINK("http://nsgreg.nga.mil/genc/view?v=862245&amp;end_month=12&amp;end_day=31&amp;end_year=2016","Correlation")</f>
        <v>Correlation</v>
      </c>
    </row>
    <row r="125" spans="1:13" x14ac:dyDescent="0.2">
      <c r="A125" s="113"/>
      <c r="B125" s="58" t="s">
        <v>1661</v>
      </c>
      <c r="C125" s="58" t="s">
        <v>1659</v>
      </c>
      <c r="D125" s="58" t="s">
        <v>1662</v>
      </c>
      <c r="E125" s="60" t="b">
        <v>1</v>
      </c>
      <c r="F125" s="80" t="s">
        <v>198</v>
      </c>
      <c r="G125" s="58" t="s">
        <v>1661</v>
      </c>
      <c r="H125" s="58" t="s">
        <v>1659</v>
      </c>
      <c r="I125" s="64" t="s">
        <v>1662</v>
      </c>
      <c r="J125" s="66"/>
      <c r="K125" s="66"/>
      <c r="L125" s="68"/>
      <c r="M125" s="63" t="str">
        <f>HYPERLINK("http://nsgreg.nga.mil/genc/view?v=862246&amp;end_month=12&amp;end_day=31&amp;end_year=2016","Correlation")</f>
        <v>Correlation</v>
      </c>
    </row>
    <row r="126" spans="1:13" x14ac:dyDescent="0.2">
      <c r="A126" s="113"/>
      <c r="B126" s="58" t="s">
        <v>1663</v>
      </c>
      <c r="C126" s="58" t="s">
        <v>1607</v>
      </c>
      <c r="D126" s="58" t="s">
        <v>1664</v>
      </c>
      <c r="E126" s="60" t="b">
        <v>1</v>
      </c>
      <c r="F126" s="80" t="s">
        <v>198</v>
      </c>
      <c r="G126" s="58" t="s">
        <v>1663</v>
      </c>
      <c r="H126" s="58" t="s">
        <v>1607</v>
      </c>
      <c r="I126" s="64" t="s">
        <v>1664</v>
      </c>
      <c r="J126" s="66"/>
      <c r="K126" s="66"/>
      <c r="L126" s="68"/>
      <c r="M126" s="63" t="str">
        <f>HYPERLINK("http://nsgreg.nga.mil/genc/view?v=862239&amp;end_month=12&amp;end_day=31&amp;end_year=2016","Correlation")</f>
        <v>Correlation</v>
      </c>
    </row>
    <row r="127" spans="1:13" x14ac:dyDescent="0.2">
      <c r="A127" s="113"/>
      <c r="B127" s="58" t="s">
        <v>1665</v>
      </c>
      <c r="C127" s="58" t="s">
        <v>1607</v>
      </c>
      <c r="D127" s="58" t="s">
        <v>1666</v>
      </c>
      <c r="E127" s="60" t="b">
        <v>1</v>
      </c>
      <c r="F127" s="80" t="s">
        <v>198</v>
      </c>
      <c r="G127" s="58" t="s">
        <v>1665</v>
      </c>
      <c r="H127" s="58" t="s">
        <v>1607</v>
      </c>
      <c r="I127" s="64" t="s">
        <v>1666</v>
      </c>
      <c r="J127" s="66"/>
      <c r="K127" s="66"/>
      <c r="L127" s="68"/>
      <c r="M127" s="63" t="str">
        <f>HYPERLINK("http://nsgreg.nga.mil/genc/view?v=862240&amp;end_month=12&amp;end_day=31&amp;end_year=2016","Correlation")</f>
        <v>Correlation</v>
      </c>
    </row>
    <row r="128" spans="1:13" x14ac:dyDescent="0.2">
      <c r="A128" s="113"/>
      <c r="B128" s="58" t="s">
        <v>1667</v>
      </c>
      <c r="C128" s="58" t="s">
        <v>1607</v>
      </c>
      <c r="D128" s="58" t="s">
        <v>1668</v>
      </c>
      <c r="E128" s="60" t="b">
        <v>1</v>
      </c>
      <c r="F128" s="80" t="s">
        <v>198</v>
      </c>
      <c r="G128" s="58" t="s">
        <v>1667</v>
      </c>
      <c r="H128" s="58" t="s">
        <v>1607</v>
      </c>
      <c r="I128" s="64" t="s">
        <v>1668</v>
      </c>
      <c r="J128" s="66"/>
      <c r="K128" s="66"/>
      <c r="L128" s="68"/>
      <c r="M128" s="63" t="str">
        <f>HYPERLINK("http://nsgreg.nga.mil/genc/view?v=862241&amp;end_month=12&amp;end_day=31&amp;end_year=2016","Correlation")</f>
        <v>Correlation</v>
      </c>
    </row>
    <row r="129" spans="1:13" x14ac:dyDescent="0.2">
      <c r="A129" s="113"/>
      <c r="B129" s="58" t="s">
        <v>1669</v>
      </c>
      <c r="C129" s="58" t="s">
        <v>1607</v>
      </c>
      <c r="D129" s="58" t="s">
        <v>1670</v>
      </c>
      <c r="E129" s="60" t="b">
        <v>1</v>
      </c>
      <c r="F129" s="80" t="s">
        <v>198</v>
      </c>
      <c r="G129" s="58" t="s">
        <v>1669</v>
      </c>
      <c r="H129" s="58" t="s">
        <v>1607</v>
      </c>
      <c r="I129" s="64" t="s">
        <v>1670</v>
      </c>
      <c r="J129" s="66"/>
      <c r="K129" s="66"/>
      <c r="L129" s="68"/>
      <c r="M129" s="63" t="str">
        <f>HYPERLINK("http://nsgreg.nga.mil/genc/view?v=862242&amp;end_month=12&amp;end_day=31&amp;end_year=2016","Correlation")</f>
        <v>Correlation</v>
      </c>
    </row>
    <row r="130" spans="1:13" x14ac:dyDescent="0.2">
      <c r="A130" s="113"/>
      <c r="B130" s="58" t="s">
        <v>1671</v>
      </c>
      <c r="C130" s="58" t="s">
        <v>1607</v>
      </c>
      <c r="D130" s="58" t="s">
        <v>1672</v>
      </c>
      <c r="E130" s="60" t="b">
        <v>1</v>
      </c>
      <c r="F130" s="80" t="s">
        <v>198</v>
      </c>
      <c r="G130" s="58" t="s">
        <v>1671</v>
      </c>
      <c r="H130" s="58" t="s">
        <v>1607</v>
      </c>
      <c r="I130" s="64" t="s">
        <v>1672</v>
      </c>
      <c r="J130" s="66"/>
      <c r="K130" s="66"/>
      <c r="L130" s="68"/>
      <c r="M130" s="63" t="str">
        <f>HYPERLINK("http://nsgreg.nga.mil/genc/view?v=862243&amp;end_month=12&amp;end_day=31&amp;end_year=2016","Correlation")</f>
        <v>Correlation</v>
      </c>
    </row>
    <row r="131" spans="1:13" x14ac:dyDescent="0.2">
      <c r="A131" s="114"/>
      <c r="B131" s="71" t="s">
        <v>1673</v>
      </c>
      <c r="C131" s="71" t="s">
        <v>1607</v>
      </c>
      <c r="D131" s="71" t="s">
        <v>1674</v>
      </c>
      <c r="E131" s="73" t="b">
        <v>1</v>
      </c>
      <c r="F131" s="81" t="s">
        <v>198</v>
      </c>
      <c r="G131" s="71" t="s">
        <v>1673</v>
      </c>
      <c r="H131" s="71" t="s">
        <v>1607</v>
      </c>
      <c r="I131" s="74" t="s">
        <v>1674</v>
      </c>
      <c r="J131" s="76"/>
      <c r="K131" s="76"/>
      <c r="L131" s="82"/>
      <c r="M131" s="77" t="str">
        <f>HYPERLINK("http://nsgreg.nga.mil/genc/view?v=862244&amp;end_month=12&amp;end_day=31&amp;end_year=2016","Correlation")</f>
        <v>Correlation</v>
      </c>
    </row>
    <row r="132" spans="1:13" x14ac:dyDescent="0.2">
      <c r="A132" s="112" t="s">
        <v>202</v>
      </c>
      <c r="B132" s="50" t="s">
        <v>1675</v>
      </c>
      <c r="C132" s="50" t="s">
        <v>1413</v>
      </c>
      <c r="D132" s="50" t="s">
        <v>1676</v>
      </c>
      <c r="E132" s="52" t="b">
        <v>1</v>
      </c>
      <c r="F132" s="78" t="s">
        <v>202</v>
      </c>
      <c r="G132" s="50" t="s">
        <v>1675</v>
      </c>
      <c r="H132" s="50" t="s">
        <v>1413</v>
      </c>
      <c r="I132" s="53" t="s">
        <v>1676</v>
      </c>
      <c r="J132" s="55"/>
      <c r="K132" s="55"/>
      <c r="L132" s="79"/>
      <c r="M132" s="56" t="str">
        <f>HYPERLINK("http://nsgreg.nga.mil/genc/view?v=862289&amp;end_month=12&amp;end_day=31&amp;end_year=2016","Correlation")</f>
        <v>Correlation</v>
      </c>
    </row>
    <row r="133" spans="1:13" x14ac:dyDescent="0.2">
      <c r="A133" s="113"/>
      <c r="B133" s="58" t="s">
        <v>1677</v>
      </c>
      <c r="C133" s="58" t="s">
        <v>1678</v>
      </c>
      <c r="D133" s="58" t="s">
        <v>1679</v>
      </c>
      <c r="E133" s="60" t="b">
        <v>1</v>
      </c>
      <c r="F133" s="80" t="s">
        <v>202</v>
      </c>
      <c r="G133" s="58" t="s">
        <v>1680</v>
      </c>
      <c r="H133" s="58" t="s">
        <v>1681</v>
      </c>
      <c r="I133" s="64" t="s">
        <v>1679</v>
      </c>
      <c r="J133" s="66"/>
      <c r="K133" s="66"/>
      <c r="L133" s="68"/>
      <c r="M133" s="63" t="str">
        <f>HYPERLINK("http://nsgreg.nga.mil/genc/view?v=862290&amp;end_month=12&amp;end_day=31&amp;end_year=2016","Correlation")</f>
        <v>Correlation</v>
      </c>
    </row>
    <row r="134" spans="1:13" x14ac:dyDescent="0.2">
      <c r="A134" s="113"/>
      <c r="B134" s="58" t="s">
        <v>1682</v>
      </c>
      <c r="C134" s="58" t="s">
        <v>1413</v>
      </c>
      <c r="D134" s="58" t="s">
        <v>1683</v>
      </c>
      <c r="E134" s="60" t="b">
        <v>1</v>
      </c>
      <c r="F134" s="80" t="s">
        <v>202</v>
      </c>
      <c r="G134" s="58" t="s">
        <v>1682</v>
      </c>
      <c r="H134" s="58" t="s">
        <v>1413</v>
      </c>
      <c r="I134" s="64" t="s">
        <v>1683</v>
      </c>
      <c r="J134" s="66"/>
      <c r="K134" s="66"/>
      <c r="L134" s="68"/>
      <c r="M134" s="63" t="str">
        <f>HYPERLINK("http://nsgreg.nga.mil/genc/view?v=862297&amp;end_month=12&amp;end_day=31&amp;end_year=2016","Correlation")</f>
        <v>Correlation</v>
      </c>
    </row>
    <row r="135" spans="1:13" x14ac:dyDescent="0.2">
      <c r="A135" s="113"/>
      <c r="B135" s="58" t="s">
        <v>1684</v>
      </c>
      <c r="C135" s="58" t="s">
        <v>1413</v>
      </c>
      <c r="D135" s="58" t="s">
        <v>1685</v>
      </c>
      <c r="E135" s="60" t="b">
        <v>1</v>
      </c>
      <c r="F135" s="80" t="s">
        <v>202</v>
      </c>
      <c r="G135" s="58" t="s">
        <v>1684</v>
      </c>
      <c r="H135" s="58" t="s">
        <v>1413</v>
      </c>
      <c r="I135" s="64" t="s">
        <v>1685</v>
      </c>
      <c r="J135" s="66"/>
      <c r="K135" s="66"/>
      <c r="L135" s="68"/>
      <c r="M135" s="63" t="str">
        <f>HYPERLINK("http://nsgreg.nga.mil/genc/view?v=862295&amp;end_month=12&amp;end_day=31&amp;end_year=2016","Correlation")</f>
        <v>Correlation</v>
      </c>
    </row>
    <row r="136" spans="1:13" x14ac:dyDescent="0.2">
      <c r="A136" s="113"/>
      <c r="B136" s="58" t="s">
        <v>1686</v>
      </c>
      <c r="C136" s="58" t="s">
        <v>1413</v>
      </c>
      <c r="D136" s="58" t="s">
        <v>1687</v>
      </c>
      <c r="E136" s="60" t="b">
        <v>1</v>
      </c>
      <c r="F136" s="80" t="s">
        <v>202</v>
      </c>
      <c r="G136" s="58" t="s">
        <v>1686</v>
      </c>
      <c r="H136" s="58" t="s">
        <v>1413</v>
      </c>
      <c r="I136" s="64" t="s">
        <v>1687</v>
      </c>
      <c r="J136" s="66"/>
      <c r="K136" s="66"/>
      <c r="L136" s="68"/>
      <c r="M136" s="63" t="str">
        <f>HYPERLINK("http://nsgreg.nga.mil/genc/view?v=862306&amp;end_month=12&amp;end_day=31&amp;end_year=2016","Correlation")</f>
        <v>Correlation</v>
      </c>
    </row>
    <row r="137" spans="1:13" x14ac:dyDescent="0.2">
      <c r="A137" s="113"/>
      <c r="B137" s="58" t="s">
        <v>1688</v>
      </c>
      <c r="C137" s="58" t="s">
        <v>1413</v>
      </c>
      <c r="D137" s="58" t="s">
        <v>1689</v>
      </c>
      <c r="E137" s="60" t="b">
        <v>1</v>
      </c>
      <c r="F137" s="80" t="s">
        <v>202</v>
      </c>
      <c r="G137" s="58" t="s">
        <v>1688</v>
      </c>
      <c r="H137" s="58" t="s">
        <v>1413</v>
      </c>
      <c r="I137" s="64" t="s">
        <v>1689</v>
      </c>
      <c r="J137" s="66"/>
      <c r="K137" s="66"/>
      <c r="L137" s="68"/>
      <c r="M137" s="63" t="str">
        <f>HYPERLINK("http://nsgreg.nga.mil/genc/view?v=862309&amp;end_month=12&amp;end_day=31&amp;end_year=2016","Correlation")</f>
        <v>Correlation</v>
      </c>
    </row>
    <row r="138" spans="1:13" x14ac:dyDescent="0.2">
      <c r="A138" s="113"/>
      <c r="B138" s="58" t="s">
        <v>1690</v>
      </c>
      <c r="C138" s="58" t="s">
        <v>1413</v>
      </c>
      <c r="D138" s="58" t="s">
        <v>1691</v>
      </c>
      <c r="E138" s="60" t="b">
        <v>1</v>
      </c>
      <c r="F138" s="80" t="s">
        <v>202</v>
      </c>
      <c r="G138" s="58" t="s">
        <v>1690</v>
      </c>
      <c r="H138" s="58" t="s">
        <v>1413</v>
      </c>
      <c r="I138" s="64" t="s">
        <v>1691</v>
      </c>
      <c r="J138" s="66"/>
      <c r="K138" s="66"/>
      <c r="L138" s="68"/>
      <c r="M138" s="63" t="str">
        <f>HYPERLINK("http://nsgreg.nga.mil/genc/view?v=862308&amp;end_month=12&amp;end_day=31&amp;end_year=2016","Correlation")</f>
        <v>Correlation</v>
      </c>
    </row>
    <row r="139" spans="1:13" x14ac:dyDescent="0.2">
      <c r="A139" s="113"/>
      <c r="B139" s="58" t="s">
        <v>1692</v>
      </c>
      <c r="C139" s="58" t="s">
        <v>1413</v>
      </c>
      <c r="D139" s="58" t="s">
        <v>1693</v>
      </c>
      <c r="E139" s="60" t="b">
        <v>1</v>
      </c>
      <c r="F139" s="80" t="s">
        <v>202</v>
      </c>
      <c r="G139" s="58" t="s">
        <v>1692</v>
      </c>
      <c r="H139" s="58" t="s">
        <v>1413</v>
      </c>
      <c r="I139" s="64" t="s">
        <v>1693</v>
      </c>
      <c r="J139" s="66"/>
      <c r="K139" s="66"/>
      <c r="L139" s="68"/>
      <c r="M139" s="63" t="str">
        <f>HYPERLINK("http://nsgreg.nga.mil/genc/view?v=862292&amp;end_month=12&amp;end_day=31&amp;end_year=2016","Correlation")</f>
        <v>Correlation</v>
      </c>
    </row>
    <row r="140" spans="1:13" x14ac:dyDescent="0.2">
      <c r="A140" s="113"/>
      <c r="B140" s="58" t="s">
        <v>1694</v>
      </c>
      <c r="C140" s="58" t="s">
        <v>1413</v>
      </c>
      <c r="D140" s="58" t="s">
        <v>1695</v>
      </c>
      <c r="E140" s="60" t="b">
        <v>1</v>
      </c>
      <c r="F140" s="80" t="s">
        <v>202</v>
      </c>
      <c r="G140" s="58" t="s">
        <v>1694</v>
      </c>
      <c r="H140" s="58" t="s">
        <v>1413</v>
      </c>
      <c r="I140" s="64" t="s">
        <v>1695</v>
      </c>
      <c r="J140" s="66"/>
      <c r="K140" s="66"/>
      <c r="L140" s="68"/>
      <c r="M140" s="63" t="str">
        <f>HYPERLINK("http://nsgreg.nga.mil/genc/view?v=862301&amp;end_month=12&amp;end_day=31&amp;end_year=2016","Correlation")</f>
        <v>Correlation</v>
      </c>
    </row>
    <row r="141" spans="1:13" x14ac:dyDescent="0.2">
      <c r="A141" s="113"/>
      <c r="B141" s="58" t="s">
        <v>1696</v>
      </c>
      <c r="C141" s="58" t="s">
        <v>1413</v>
      </c>
      <c r="D141" s="58" t="s">
        <v>1697</v>
      </c>
      <c r="E141" s="60" t="b">
        <v>1</v>
      </c>
      <c r="F141" s="80" t="s">
        <v>202</v>
      </c>
      <c r="G141" s="58" t="s">
        <v>1696</v>
      </c>
      <c r="H141" s="58" t="s">
        <v>1413</v>
      </c>
      <c r="I141" s="64" t="s">
        <v>1697</v>
      </c>
      <c r="J141" s="66"/>
      <c r="K141" s="66"/>
      <c r="L141" s="68"/>
      <c r="M141" s="63" t="str">
        <f>HYPERLINK("http://nsgreg.nga.mil/genc/view?v=862310&amp;end_month=12&amp;end_day=31&amp;end_year=2016","Correlation")</f>
        <v>Correlation</v>
      </c>
    </row>
    <row r="142" spans="1:13" x14ac:dyDescent="0.2">
      <c r="A142" s="113"/>
      <c r="B142" s="58" t="s">
        <v>1698</v>
      </c>
      <c r="C142" s="58" t="s">
        <v>1413</v>
      </c>
      <c r="D142" s="58" t="s">
        <v>1699</v>
      </c>
      <c r="E142" s="60" t="b">
        <v>1</v>
      </c>
      <c r="F142" s="80" t="s">
        <v>202</v>
      </c>
      <c r="G142" s="58" t="s">
        <v>1698</v>
      </c>
      <c r="H142" s="58" t="s">
        <v>1413</v>
      </c>
      <c r="I142" s="64" t="s">
        <v>1699</v>
      </c>
      <c r="J142" s="66"/>
      <c r="K142" s="66"/>
      <c r="L142" s="68"/>
      <c r="M142" s="63" t="str">
        <f>HYPERLINK("http://nsgreg.nga.mil/genc/view?v=862298&amp;end_month=12&amp;end_day=31&amp;end_year=2016","Correlation")</f>
        <v>Correlation</v>
      </c>
    </row>
    <row r="143" spans="1:13" x14ac:dyDescent="0.2">
      <c r="A143" s="113"/>
      <c r="B143" s="58" t="s">
        <v>1700</v>
      </c>
      <c r="C143" s="58" t="s">
        <v>1413</v>
      </c>
      <c r="D143" s="58" t="s">
        <v>1701</v>
      </c>
      <c r="E143" s="60" t="b">
        <v>1</v>
      </c>
      <c r="F143" s="80" t="s">
        <v>202</v>
      </c>
      <c r="G143" s="58" t="s">
        <v>1700</v>
      </c>
      <c r="H143" s="58" t="s">
        <v>1413</v>
      </c>
      <c r="I143" s="64" t="s">
        <v>1701</v>
      </c>
      <c r="J143" s="66"/>
      <c r="K143" s="66"/>
      <c r="L143" s="68"/>
      <c r="M143" s="63" t="str">
        <f>HYPERLINK("http://nsgreg.nga.mil/genc/view?v=862293&amp;end_month=12&amp;end_day=31&amp;end_year=2016","Correlation")</f>
        <v>Correlation</v>
      </c>
    </row>
    <row r="144" spans="1:13" x14ac:dyDescent="0.2">
      <c r="A144" s="113"/>
      <c r="B144" s="58" t="s">
        <v>1702</v>
      </c>
      <c r="C144" s="58" t="s">
        <v>1413</v>
      </c>
      <c r="D144" s="58" t="s">
        <v>1703</v>
      </c>
      <c r="E144" s="60" t="b">
        <v>1</v>
      </c>
      <c r="F144" s="80" t="s">
        <v>202</v>
      </c>
      <c r="G144" s="58" t="s">
        <v>1702</v>
      </c>
      <c r="H144" s="58" t="s">
        <v>1413</v>
      </c>
      <c r="I144" s="64" t="s">
        <v>1703</v>
      </c>
      <c r="J144" s="66"/>
      <c r="K144" s="66"/>
      <c r="L144" s="68"/>
      <c r="M144" s="63" t="str">
        <f>HYPERLINK("http://nsgreg.nga.mil/genc/view?v=862299&amp;end_month=12&amp;end_day=31&amp;end_year=2016","Correlation")</f>
        <v>Correlation</v>
      </c>
    </row>
    <row r="145" spans="1:13" x14ac:dyDescent="0.2">
      <c r="A145" s="113"/>
      <c r="B145" s="58" t="s">
        <v>1704</v>
      </c>
      <c r="C145" s="58" t="s">
        <v>1413</v>
      </c>
      <c r="D145" s="58" t="s">
        <v>1705</v>
      </c>
      <c r="E145" s="60" t="b">
        <v>1</v>
      </c>
      <c r="F145" s="80" t="s">
        <v>202</v>
      </c>
      <c r="G145" s="58" t="s">
        <v>1704</v>
      </c>
      <c r="H145" s="58" t="s">
        <v>1413</v>
      </c>
      <c r="I145" s="64" t="s">
        <v>1705</v>
      </c>
      <c r="J145" s="66"/>
      <c r="K145" s="66"/>
      <c r="L145" s="68"/>
      <c r="M145" s="63" t="str">
        <f>HYPERLINK("http://nsgreg.nga.mil/genc/view?v=862300&amp;end_month=12&amp;end_day=31&amp;end_year=2016","Correlation")</f>
        <v>Correlation</v>
      </c>
    </row>
    <row r="146" spans="1:13" x14ac:dyDescent="0.2">
      <c r="A146" s="113"/>
      <c r="B146" s="58" t="s">
        <v>1706</v>
      </c>
      <c r="C146" s="58" t="s">
        <v>1413</v>
      </c>
      <c r="D146" s="58" t="s">
        <v>1707</v>
      </c>
      <c r="E146" s="60" t="b">
        <v>1</v>
      </c>
      <c r="F146" s="80" t="s">
        <v>202</v>
      </c>
      <c r="G146" s="58" t="s">
        <v>1706</v>
      </c>
      <c r="H146" s="58" t="s">
        <v>1413</v>
      </c>
      <c r="I146" s="64" t="s">
        <v>1707</v>
      </c>
      <c r="J146" s="66"/>
      <c r="K146" s="66"/>
      <c r="L146" s="68"/>
      <c r="M146" s="63" t="str">
        <f>HYPERLINK("http://nsgreg.nga.mil/genc/view?v=862302&amp;end_month=12&amp;end_day=31&amp;end_year=2016","Correlation")</f>
        <v>Correlation</v>
      </c>
    </row>
    <row r="147" spans="1:13" x14ac:dyDescent="0.2">
      <c r="A147" s="113"/>
      <c r="B147" s="58" t="s">
        <v>1708</v>
      </c>
      <c r="C147" s="58" t="s">
        <v>1413</v>
      </c>
      <c r="D147" s="58" t="s">
        <v>1709</v>
      </c>
      <c r="E147" s="60" t="b">
        <v>1</v>
      </c>
      <c r="F147" s="80" t="s">
        <v>202</v>
      </c>
      <c r="G147" s="58" t="s">
        <v>1708</v>
      </c>
      <c r="H147" s="58" t="s">
        <v>1413</v>
      </c>
      <c r="I147" s="64" t="s">
        <v>1709</v>
      </c>
      <c r="J147" s="66"/>
      <c r="K147" s="66"/>
      <c r="L147" s="68"/>
      <c r="M147" s="63" t="str">
        <f>HYPERLINK("http://nsgreg.nga.mil/genc/view?v=862303&amp;end_month=12&amp;end_day=31&amp;end_year=2016","Correlation")</f>
        <v>Correlation</v>
      </c>
    </row>
    <row r="148" spans="1:13" x14ac:dyDescent="0.2">
      <c r="A148" s="113"/>
      <c r="B148" s="58" t="s">
        <v>1710</v>
      </c>
      <c r="C148" s="58" t="s">
        <v>1413</v>
      </c>
      <c r="D148" s="58" t="s">
        <v>1711</v>
      </c>
      <c r="E148" s="60" t="b">
        <v>1</v>
      </c>
      <c r="F148" s="80" t="s">
        <v>202</v>
      </c>
      <c r="G148" s="58" t="s">
        <v>1710</v>
      </c>
      <c r="H148" s="58" t="s">
        <v>1413</v>
      </c>
      <c r="I148" s="64" t="s">
        <v>1711</v>
      </c>
      <c r="J148" s="66"/>
      <c r="K148" s="66"/>
      <c r="L148" s="68"/>
      <c r="M148" s="63" t="str">
        <f>HYPERLINK("http://nsgreg.nga.mil/genc/view?v=862288&amp;end_month=12&amp;end_day=31&amp;end_year=2016","Correlation")</f>
        <v>Correlation</v>
      </c>
    </row>
    <row r="149" spans="1:13" x14ac:dyDescent="0.2">
      <c r="A149" s="113"/>
      <c r="B149" s="58" t="s">
        <v>1712</v>
      </c>
      <c r="C149" s="58" t="s">
        <v>1413</v>
      </c>
      <c r="D149" s="58" t="s">
        <v>1713</v>
      </c>
      <c r="E149" s="60" t="b">
        <v>1</v>
      </c>
      <c r="F149" s="80" t="s">
        <v>202</v>
      </c>
      <c r="G149" s="58" t="s">
        <v>1712</v>
      </c>
      <c r="H149" s="58" t="s">
        <v>1413</v>
      </c>
      <c r="I149" s="64" t="s">
        <v>1713</v>
      </c>
      <c r="J149" s="66"/>
      <c r="K149" s="66"/>
      <c r="L149" s="68"/>
      <c r="M149" s="63" t="str">
        <f>HYPERLINK("http://nsgreg.nga.mil/genc/view?v=862296&amp;end_month=12&amp;end_day=31&amp;end_year=2016","Correlation")</f>
        <v>Correlation</v>
      </c>
    </row>
    <row r="150" spans="1:13" x14ac:dyDescent="0.2">
      <c r="A150" s="113"/>
      <c r="B150" s="58" t="s">
        <v>1714</v>
      </c>
      <c r="C150" s="58" t="s">
        <v>1413</v>
      </c>
      <c r="D150" s="58" t="s">
        <v>1715</v>
      </c>
      <c r="E150" s="60" t="b">
        <v>1</v>
      </c>
      <c r="F150" s="80" t="s">
        <v>202</v>
      </c>
      <c r="G150" s="58" t="s">
        <v>1714</v>
      </c>
      <c r="H150" s="58" t="s">
        <v>1413</v>
      </c>
      <c r="I150" s="64" t="s">
        <v>1715</v>
      </c>
      <c r="J150" s="66"/>
      <c r="K150" s="66"/>
      <c r="L150" s="68"/>
      <c r="M150" s="63" t="str">
        <f>HYPERLINK("http://nsgreg.nga.mil/genc/view?v=862291&amp;end_month=12&amp;end_day=31&amp;end_year=2016","Correlation")</f>
        <v>Correlation</v>
      </c>
    </row>
    <row r="151" spans="1:13" x14ac:dyDescent="0.2">
      <c r="A151" s="113"/>
      <c r="B151" s="58" t="s">
        <v>1716</v>
      </c>
      <c r="C151" s="58" t="s">
        <v>1413</v>
      </c>
      <c r="D151" s="58" t="s">
        <v>1717</v>
      </c>
      <c r="E151" s="60" t="b">
        <v>1</v>
      </c>
      <c r="F151" s="80" t="s">
        <v>202</v>
      </c>
      <c r="G151" s="58" t="s">
        <v>1716</v>
      </c>
      <c r="H151" s="58" t="s">
        <v>1413</v>
      </c>
      <c r="I151" s="64" t="s">
        <v>1717</v>
      </c>
      <c r="J151" s="66"/>
      <c r="K151" s="66"/>
      <c r="L151" s="68"/>
      <c r="M151" s="63" t="str">
        <f>HYPERLINK("http://nsgreg.nga.mil/genc/view?v=862311&amp;end_month=12&amp;end_day=31&amp;end_year=2016","Correlation")</f>
        <v>Correlation</v>
      </c>
    </row>
    <row r="152" spans="1:13" x14ac:dyDescent="0.2">
      <c r="A152" s="113"/>
      <c r="B152" s="58" t="s">
        <v>1718</v>
      </c>
      <c r="C152" s="58" t="s">
        <v>1413</v>
      </c>
      <c r="D152" s="58" t="s">
        <v>1719</v>
      </c>
      <c r="E152" s="60" t="b">
        <v>1</v>
      </c>
      <c r="F152" s="80" t="s">
        <v>202</v>
      </c>
      <c r="G152" s="58" t="s">
        <v>1718</v>
      </c>
      <c r="H152" s="58" t="s">
        <v>1413</v>
      </c>
      <c r="I152" s="64" t="s">
        <v>1719</v>
      </c>
      <c r="J152" s="66"/>
      <c r="K152" s="66"/>
      <c r="L152" s="68"/>
      <c r="M152" s="63" t="str">
        <f>HYPERLINK("http://nsgreg.nga.mil/genc/view?v=862304&amp;end_month=12&amp;end_day=31&amp;end_year=2016","Correlation")</f>
        <v>Correlation</v>
      </c>
    </row>
    <row r="153" spans="1:13" x14ac:dyDescent="0.2">
      <c r="A153" s="113"/>
      <c r="B153" s="58" t="s">
        <v>1720</v>
      </c>
      <c r="C153" s="58" t="s">
        <v>1413</v>
      </c>
      <c r="D153" s="58" t="s">
        <v>1721</v>
      </c>
      <c r="E153" s="60" t="b">
        <v>1</v>
      </c>
      <c r="F153" s="80" t="s">
        <v>202</v>
      </c>
      <c r="G153" s="58" t="s">
        <v>1720</v>
      </c>
      <c r="H153" s="58" t="s">
        <v>1413</v>
      </c>
      <c r="I153" s="64" t="s">
        <v>1721</v>
      </c>
      <c r="J153" s="66"/>
      <c r="K153" s="66"/>
      <c r="L153" s="68"/>
      <c r="M153" s="63" t="str">
        <f>HYPERLINK("http://nsgreg.nga.mil/genc/view?v=862294&amp;end_month=12&amp;end_day=31&amp;end_year=2016","Correlation")</f>
        <v>Correlation</v>
      </c>
    </row>
    <row r="154" spans="1:13" x14ac:dyDescent="0.2">
      <c r="A154" s="113"/>
      <c r="B154" s="58" t="s">
        <v>1722</v>
      </c>
      <c r="C154" s="58" t="s">
        <v>1413</v>
      </c>
      <c r="D154" s="58" t="s">
        <v>1723</v>
      </c>
      <c r="E154" s="60" t="b">
        <v>1</v>
      </c>
      <c r="F154" s="80" t="s">
        <v>202</v>
      </c>
      <c r="G154" s="58" t="s">
        <v>1724</v>
      </c>
      <c r="H154" s="58" t="s">
        <v>1413</v>
      </c>
      <c r="I154" s="64" t="s">
        <v>1723</v>
      </c>
      <c r="J154" s="66"/>
      <c r="K154" s="66"/>
      <c r="L154" s="68"/>
      <c r="M154" s="63" t="str">
        <f>HYPERLINK("http://nsgreg.nga.mil/genc/view?v=862307&amp;end_month=12&amp;end_day=31&amp;end_year=2016","Correlation")</f>
        <v>Correlation</v>
      </c>
    </row>
    <row r="155" spans="1:13" x14ac:dyDescent="0.2">
      <c r="A155" s="114"/>
      <c r="B155" s="71" t="s">
        <v>1725</v>
      </c>
      <c r="C155" s="71" t="s">
        <v>1413</v>
      </c>
      <c r="D155" s="71" t="s">
        <v>1726</v>
      </c>
      <c r="E155" s="73" t="b">
        <v>1</v>
      </c>
      <c r="F155" s="81" t="s">
        <v>202</v>
      </c>
      <c r="G155" s="71" t="s">
        <v>1725</v>
      </c>
      <c r="H155" s="71" t="s">
        <v>1413</v>
      </c>
      <c r="I155" s="74" t="s">
        <v>1726</v>
      </c>
      <c r="J155" s="76"/>
      <c r="K155" s="76"/>
      <c r="L155" s="82"/>
      <c r="M155" s="77" t="str">
        <f>HYPERLINK("http://nsgreg.nga.mil/genc/view?v=862305&amp;end_month=12&amp;end_day=31&amp;end_year=2016","Correlation")</f>
        <v>Correlation</v>
      </c>
    </row>
    <row r="156" spans="1:13" x14ac:dyDescent="0.2">
      <c r="A156" s="112" t="s">
        <v>206</v>
      </c>
      <c r="B156" s="50" t="s">
        <v>1727</v>
      </c>
      <c r="C156" s="50" t="s">
        <v>1728</v>
      </c>
      <c r="D156" s="50" t="s">
        <v>1729</v>
      </c>
      <c r="E156" s="52" t="b">
        <v>1</v>
      </c>
      <c r="F156" s="78" t="s">
        <v>206</v>
      </c>
      <c r="G156" s="50" t="s">
        <v>1730</v>
      </c>
      <c r="H156" s="50" t="s">
        <v>1728</v>
      </c>
      <c r="I156" s="53" t="s">
        <v>1729</v>
      </c>
      <c r="J156" s="55"/>
      <c r="K156" s="55"/>
      <c r="L156" s="79"/>
      <c r="M156" s="56" t="str">
        <f>HYPERLINK("http://nsgreg.nga.mil/genc/view?v=862259&amp;end_month=12&amp;end_day=31&amp;end_year=2016","Correlation")</f>
        <v>Correlation</v>
      </c>
    </row>
    <row r="157" spans="1:13" x14ac:dyDescent="0.2">
      <c r="A157" s="113"/>
      <c r="B157" s="58" t="s">
        <v>1731</v>
      </c>
      <c r="C157" s="58" t="s">
        <v>1728</v>
      </c>
      <c r="D157" s="58" t="s">
        <v>1732</v>
      </c>
      <c r="E157" s="60" t="b">
        <v>1</v>
      </c>
      <c r="F157" s="80" t="s">
        <v>206</v>
      </c>
      <c r="G157" s="58" t="s">
        <v>1731</v>
      </c>
      <c r="H157" s="58" t="s">
        <v>1728</v>
      </c>
      <c r="I157" s="64" t="s">
        <v>1732</v>
      </c>
      <c r="J157" s="66"/>
      <c r="K157" s="66"/>
      <c r="L157" s="68"/>
      <c r="M157" s="63" t="str">
        <f>HYPERLINK("http://nsgreg.nga.mil/genc/view?v=862260&amp;end_month=12&amp;end_day=31&amp;end_year=2016","Correlation")</f>
        <v>Correlation</v>
      </c>
    </row>
    <row r="158" spans="1:13" x14ac:dyDescent="0.2">
      <c r="A158" s="113"/>
      <c r="B158" s="58" t="s">
        <v>1733</v>
      </c>
      <c r="C158" s="58" t="s">
        <v>1728</v>
      </c>
      <c r="D158" s="58" t="s">
        <v>1734</v>
      </c>
      <c r="E158" s="60" t="b">
        <v>1</v>
      </c>
      <c r="F158" s="80" t="s">
        <v>206</v>
      </c>
      <c r="G158" s="58" t="s">
        <v>1733</v>
      </c>
      <c r="H158" s="58" t="s">
        <v>1728</v>
      </c>
      <c r="I158" s="64" t="s">
        <v>1734</v>
      </c>
      <c r="J158" s="66"/>
      <c r="K158" s="66"/>
      <c r="L158" s="68"/>
      <c r="M158" s="63" t="str">
        <f>HYPERLINK("http://nsgreg.nga.mil/genc/view?v=862261&amp;end_month=12&amp;end_day=31&amp;end_year=2016","Correlation")</f>
        <v>Correlation</v>
      </c>
    </row>
    <row r="159" spans="1:13" x14ac:dyDescent="0.2">
      <c r="A159" s="113"/>
      <c r="B159" s="58" t="s">
        <v>1735</v>
      </c>
      <c r="C159" s="58" t="s">
        <v>1728</v>
      </c>
      <c r="D159" s="58" t="s">
        <v>1736</v>
      </c>
      <c r="E159" s="60" t="b">
        <v>1</v>
      </c>
      <c r="F159" s="80" t="s">
        <v>206</v>
      </c>
      <c r="G159" s="58" t="s">
        <v>1737</v>
      </c>
      <c r="H159" s="58" t="s">
        <v>1728</v>
      </c>
      <c r="I159" s="64" t="s">
        <v>1736</v>
      </c>
      <c r="J159" s="66"/>
      <c r="K159" s="66"/>
      <c r="L159" s="68"/>
      <c r="M159" s="63" t="str">
        <f>HYPERLINK("http://nsgreg.nga.mil/genc/view?v=862263&amp;end_month=12&amp;end_day=31&amp;end_year=2016","Correlation")</f>
        <v>Correlation</v>
      </c>
    </row>
    <row r="160" spans="1:13" x14ac:dyDescent="0.2">
      <c r="A160" s="113"/>
      <c r="B160" s="58" t="s">
        <v>1738</v>
      </c>
      <c r="C160" s="58" t="s">
        <v>1728</v>
      </c>
      <c r="D160" s="58" t="s">
        <v>1739</v>
      </c>
      <c r="E160" s="60" t="b">
        <v>1</v>
      </c>
      <c r="F160" s="80" t="s">
        <v>206</v>
      </c>
      <c r="G160" s="58" t="s">
        <v>1740</v>
      </c>
      <c r="H160" s="58" t="s">
        <v>1728</v>
      </c>
      <c r="I160" s="64" t="s">
        <v>1739</v>
      </c>
      <c r="J160" s="66"/>
      <c r="K160" s="66"/>
      <c r="L160" s="68"/>
      <c r="M160" s="63" t="str">
        <f>HYPERLINK("http://nsgreg.nga.mil/genc/view?v=862264&amp;end_month=12&amp;end_day=31&amp;end_year=2016","Correlation")</f>
        <v>Correlation</v>
      </c>
    </row>
    <row r="161" spans="1:13" x14ac:dyDescent="0.2">
      <c r="A161" s="113"/>
      <c r="B161" s="58" t="s">
        <v>1741</v>
      </c>
      <c r="C161" s="58" t="s">
        <v>1728</v>
      </c>
      <c r="D161" s="58" t="s">
        <v>1742</v>
      </c>
      <c r="E161" s="60" t="b">
        <v>1</v>
      </c>
      <c r="F161" s="80" t="s">
        <v>206</v>
      </c>
      <c r="G161" s="58" t="s">
        <v>1743</v>
      </c>
      <c r="H161" s="58" t="s">
        <v>1728</v>
      </c>
      <c r="I161" s="64" t="s">
        <v>1742</v>
      </c>
      <c r="J161" s="66"/>
      <c r="K161" s="66"/>
      <c r="L161" s="68"/>
      <c r="M161" s="63" t="str">
        <f>HYPERLINK("http://nsgreg.nga.mil/genc/view?v=862265&amp;end_month=12&amp;end_day=31&amp;end_year=2016","Correlation")</f>
        <v>Correlation</v>
      </c>
    </row>
    <row r="162" spans="1:13" x14ac:dyDescent="0.2">
      <c r="A162" s="113"/>
      <c r="B162" s="58" t="s">
        <v>1744</v>
      </c>
      <c r="C162" s="58" t="s">
        <v>1728</v>
      </c>
      <c r="D162" s="58" t="s">
        <v>1745</v>
      </c>
      <c r="E162" s="60" t="b">
        <v>1</v>
      </c>
      <c r="F162" s="80" t="s">
        <v>206</v>
      </c>
      <c r="G162" s="58" t="s">
        <v>1746</v>
      </c>
      <c r="H162" s="58" t="s">
        <v>1728</v>
      </c>
      <c r="I162" s="64" t="s">
        <v>1745</v>
      </c>
      <c r="J162" s="66"/>
      <c r="K162" s="66"/>
      <c r="L162" s="68"/>
      <c r="M162" s="63" t="str">
        <f>HYPERLINK("http://nsgreg.nga.mil/genc/view?v=862266&amp;end_month=12&amp;end_day=31&amp;end_year=2016","Correlation")</f>
        <v>Correlation</v>
      </c>
    </row>
    <row r="163" spans="1:13" x14ac:dyDescent="0.2">
      <c r="A163" s="113"/>
      <c r="B163" s="58" t="s">
        <v>1747</v>
      </c>
      <c r="C163" s="58" t="s">
        <v>1728</v>
      </c>
      <c r="D163" s="58" t="s">
        <v>1748</v>
      </c>
      <c r="E163" s="60" t="b">
        <v>1</v>
      </c>
      <c r="F163" s="80" t="s">
        <v>206</v>
      </c>
      <c r="G163" s="58" t="s">
        <v>1749</v>
      </c>
      <c r="H163" s="58" t="s">
        <v>1728</v>
      </c>
      <c r="I163" s="64" t="s">
        <v>1748</v>
      </c>
      <c r="J163" s="66"/>
      <c r="K163" s="66"/>
      <c r="L163" s="68"/>
      <c r="M163" s="63" t="str">
        <f>HYPERLINK("http://nsgreg.nga.mil/genc/view?v=862267&amp;end_month=12&amp;end_day=31&amp;end_year=2016","Correlation")</f>
        <v>Correlation</v>
      </c>
    </row>
    <row r="164" spans="1:13" x14ac:dyDescent="0.2">
      <c r="A164" s="113"/>
      <c r="B164" s="58" t="s">
        <v>1750</v>
      </c>
      <c r="C164" s="58" t="s">
        <v>1728</v>
      </c>
      <c r="D164" s="58" t="s">
        <v>1751</v>
      </c>
      <c r="E164" s="60" t="b">
        <v>1</v>
      </c>
      <c r="F164" s="80" t="s">
        <v>206</v>
      </c>
      <c r="G164" s="58" t="s">
        <v>1752</v>
      </c>
      <c r="H164" s="58" t="s">
        <v>1728</v>
      </c>
      <c r="I164" s="64" t="s">
        <v>1751</v>
      </c>
      <c r="J164" s="66"/>
      <c r="K164" s="66"/>
      <c r="L164" s="68"/>
      <c r="M164" s="63" t="str">
        <f>HYPERLINK("http://nsgreg.nga.mil/genc/view?v=862268&amp;end_month=12&amp;end_day=31&amp;end_year=2016","Correlation")</f>
        <v>Correlation</v>
      </c>
    </row>
    <row r="165" spans="1:13" x14ac:dyDescent="0.2">
      <c r="A165" s="113"/>
      <c r="B165" s="58" t="s">
        <v>1753</v>
      </c>
      <c r="C165" s="58" t="s">
        <v>1728</v>
      </c>
      <c r="D165" s="58" t="s">
        <v>1754</v>
      </c>
      <c r="E165" s="60" t="b">
        <v>1</v>
      </c>
      <c r="F165" s="80" t="s">
        <v>206</v>
      </c>
      <c r="G165" s="58" t="s">
        <v>1755</v>
      </c>
      <c r="H165" s="58" t="s">
        <v>1728</v>
      </c>
      <c r="I165" s="64" t="s">
        <v>1754</v>
      </c>
      <c r="J165" s="66"/>
      <c r="K165" s="66"/>
      <c r="L165" s="68"/>
      <c r="M165" s="63" t="str">
        <f>HYPERLINK("http://nsgreg.nga.mil/genc/view?v=862269&amp;end_month=12&amp;end_day=31&amp;end_year=2016","Correlation")</f>
        <v>Correlation</v>
      </c>
    </row>
    <row r="166" spans="1:13" x14ac:dyDescent="0.2">
      <c r="A166" s="114"/>
      <c r="B166" s="71" t="s">
        <v>1756</v>
      </c>
      <c r="C166" s="71" t="s">
        <v>1681</v>
      </c>
      <c r="D166" s="71" t="s">
        <v>1757</v>
      </c>
      <c r="E166" s="73" t="b">
        <v>1</v>
      </c>
      <c r="F166" s="81" t="s">
        <v>206</v>
      </c>
      <c r="G166" s="71" t="s">
        <v>1758</v>
      </c>
      <c r="H166" s="71" t="s">
        <v>1681</v>
      </c>
      <c r="I166" s="74" t="s">
        <v>1757</v>
      </c>
      <c r="J166" s="76"/>
      <c r="K166" s="76"/>
      <c r="L166" s="82"/>
      <c r="M166" s="77" t="str">
        <f>HYPERLINK("http://nsgreg.nga.mil/genc/view?v=862262&amp;end_month=12&amp;end_day=31&amp;end_year=2016","Correlation")</f>
        <v>Correlation</v>
      </c>
    </row>
    <row r="167" spans="1:13" x14ac:dyDescent="0.2">
      <c r="A167" s="112" t="s">
        <v>220</v>
      </c>
      <c r="B167" s="50" t="s">
        <v>1759</v>
      </c>
      <c r="C167" s="50" t="s">
        <v>1760</v>
      </c>
      <c r="D167" s="50" t="s">
        <v>1761</v>
      </c>
      <c r="E167" s="52" t="b">
        <v>1</v>
      </c>
      <c r="F167" s="78" t="s">
        <v>220</v>
      </c>
      <c r="G167" s="50" t="s">
        <v>1759</v>
      </c>
      <c r="H167" s="50" t="s">
        <v>1760</v>
      </c>
      <c r="I167" s="53" t="s">
        <v>1761</v>
      </c>
      <c r="J167" s="55"/>
      <c r="K167" s="55"/>
      <c r="L167" s="79"/>
      <c r="M167" s="56" t="str">
        <f>HYPERLINK("http://nsgreg.nga.mil/genc/view?v=862321&amp;end_month=12&amp;end_day=31&amp;end_year=2016","Correlation")</f>
        <v>Correlation</v>
      </c>
    </row>
    <row r="168" spans="1:13" x14ac:dyDescent="0.2">
      <c r="A168" s="113"/>
      <c r="B168" s="58" t="s">
        <v>1762</v>
      </c>
      <c r="C168" s="58" t="s">
        <v>1763</v>
      </c>
      <c r="D168" s="58" t="s">
        <v>1764</v>
      </c>
      <c r="E168" s="60" t="b">
        <v>1</v>
      </c>
      <c r="F168" s="80" t="s">
        <v>220</v>
      </c>
      <c r="G168" s="58" t="s">
        <v>1762</v>
      </c>
      <c r="H168" s="58" t="s">
        <v>1763</v>
      </c>
      <c r="I168" s="64" t="s">
        <v>1764</v>
      </c>
      <c r="J168" s="66"/>
      <c r="K168" s="66"/>
      <c r="L168" s="68"/>
      <c r="M168" s="63" t="str">
        <f>HYPERLINK("http://nsgreg.nga.mil/genc/view?v=862322&amp;end_month=12&amp;end_day=31&amp;end_year=2016","Correlation")</f>
        <v>Correlation</v>
      </c>
    </row>
    <row r="169" spans="1:13" x14ac:dyDescent="0.2">
      <c r="A169" s="113"/>
      <c r="B169" s="58" t="s">
        <v>1765</v>
      </c>
      <c r="C169" s="58" t="s">
        <v>1760</v>
      </c>
      <c r="D169" s="58" t="s">
        <v>1766</v>
      </c>
      <c r="E169" s="60" t="b">
        <v>1</v>
      </c>
      <c r="F169" s="80" t="s">
        <v>220</v>
      </c>
      <c r="G169" s="58" t="s">
        <v>1765</v>
      </c>
      <c r="H169" s="58" t="s">
        <v>1760</v>
      </c>
      <c r="I169" s="64" t="s">
        <v>1766</v>
      </c>
      <c r="J169" s="66"/>
      <c r="K169" s="66"/>
      <c r="L169" s="68"/>
      <c r="M169" s="63" t="str">
        <f>HYPERLINK("http://nsgreg.nga.mil/genc/view?v=862323&amp;end_month=12&amp;end_day=31&amp;end_year=2016","Correlation")</f>
        <v>Correlation</v>
      </c>
    </row>
    <row r="170" spans="1:13" x14ac:dyDescent="0.2">
      <c r="A170" s="113"/>
      <c r="B170" s="58" t="s">
        <v>1767</v>
      </c>
      <c r="C170" s="58" t="s">
        <v>1763</v>
      </c>
      <c r="D170" s="58" t="s">
        <v>1768</v>
      </c>
      <c r="E170" s="60" t="b">
        <v>1</v>
      </c>
      <c r="F170" s="80" t="s">
        <v>220</v>
      </c>
      <c r="G170" s="58" t="s">
        <v>1767</v>
      </c>
      <c r="H170" s="58" t="s">
        <v>1763</v>
      </c>
      <c r="I170" s="64" t="s">
        <v>1768</v>
      </c>
      <c r="J170" s="66"/>
      <c r="K170" s="66"/>
      <c r="L170" s="68"/>
      <c r="M170" s="63" t="str">
        <f>HYPERLINK("http://nsgreg.nga.mil/genc/view?v=862324&amp;end_month=12&amp;end_day=31&amp;end_year=2016","Correlation")</f>
        <v>Correlation</v>
      </c>
    </row>
    <row r="171" spans="1:13" x14ac:dyDescent="0.2">
      <c r="A171" s="113"/>
      <c r="B171" s="58" t="s">
        <v>1769</v>
      </c>
      <c r="C171" s="58" t="s">
        <v>1763</v>
      </c>
      <c r="D171" s="58" t="s">
        <v>1770</v>
      </c>
      <c r="E171" s="60" t="b">
        <v>1</v>
      </c>
      <c r="F171" s="80" t="s">
        <v>220</v>
      </c>
      <c r="G171" s="58" t="s">
        <v>1769</v>
      </c>
      <c r="H171" s="58" t="s">
        <v>1763</v>
      </c>
      <c r="I171" s="64" t="s">
        <v>1770</v>
      </c>
      <c r="J171" s="66"/>
      <c r="K171" s="66"/>
      <c r="L171" s="68"/>
      <c r="M171" s="63" t="str">
        <f>HYPERLINK("http://nsgreg.nga.mil/genc/view?v=862325&amp;end_month=12&amp;end_day=31&amp;end_year=2016","Correlation")</f>
        <v>Correlation</v>
      </c>
    </row>
    <row r="172" spans="1:13" x14ac:dyDescent="0.2">
      <c r="A172" s="113"/>
      <c r="B172" s="58" t="s">
        <v>1771</v>
      </c>
      <c r="C172" s="58" t="s">
        <v>1763</v>
      </c>
      <c r="D172" s="58" t="s">
        <v>1772</v>
      </c>
      <c r="E172" s="60" t="b">
        <v>1</v>
      </c>
      <c r="F172" s="80" t="s">
        <v>220</v>
      </c>
      <c r="G172" s="58" t="s">
        <v>1771</v>
      </c>
      <c r="H172" s="58" t="s">
        <v>1763</v>
      </c>
      <c r="I172" s="64" t="s">
        <v>1772</v>
      </c>
      <c r="J172" s="66"/>
      <c r="K172" s="66"/>
      <c r="L172" s="68"/>
      <c r="M172" s="63" t="str">
        <f>HYPERLINK("http://nsgreg.nga.mil/genc/view?v=862326&amp;end_month=12&amp;end_day=31&amp;end_year=2016","Correlation")</f>
        <v>Correlation</v>
      </c>
    </row>
    <row r="173" spans="1:13" x14ac:dyDescent="0.2">
      <c r="A173" s="113"/>
      <c r="B173" s="58" t="s">
        <v>1773</v>
      </c>
      <c r="C173" s="58" t="s">
        <v>1763</v>
      </c>
      <c r="D173" s="58" t="s">
        <v>1774</v>
      </c>
      <c r="E173" s="60" t="b">
        <v>1</v>
      </c>
      <c r="F173" s="80" t="s">
        <v>220</v>
      </c>
      <c r="G173" s="58" t="s">
        <v>1773</v>
      </c>
      <c r="H173" s="58" t="s">
        <v>1763</v>
      </c>
      <c r="I173" s="64" t="s">
        <v>1774</v>
      </c>
      <c r="J173" s="66"/>
      <c r="K173" s="66"/>
      <c r="L173" s="68"/>
      <c r="M173" s="63" t="str">
        <f>HYPERLINK("http://nsgreg.nga.mil/genc/view?v=862327&amp;end_month=12&amp;end_day=31&amp;end_year=2016","Correlation")</f>
        <v>Correlation</v>
      </c>
    </row>
    <row r="174" spans="1:13" x14ac:dyDescent="0.2">
      <c r="A174" s="114"/>
      <c r="B174" s="71" t="s">
        <v>1775</v>
      </c>
      <c r="C174" s="71" t="s">
        <v>1763</v>
      </c>
      <c r="D174" s="71" t="s">
        <v>1776</v>
      </c>
      <c r="E174" s="73" t="b">
        <v>1</v>
      </c>
      <c r="F174" s="81" t="s">
        <v>220</v>
      </c>
      <c r="G174" s="71" t="s">
        <v>1775</v>
      </c>
      <c r="H174" s="71" t="s">
        <v>1763</v>
      </c>
      <c r="I174" s="74" t="s">
        <v>1776</v>
      </c>
      <c r="J174" s="76"/>
      <c r="K174" s="76"/>
      <c r="L174" s="82"/>
      <c r="M174" s="77" t="str">
        <f>HYPERLINK("http://nsgreg.nga.mil/genc/view?v=862328&amp;end_month=12&amp;end_day=31&amp;end_year=2016","Correlation")</f>
        <v>Correlation</v>
      </c>
    </row>
    <row r="175" spans="1:13" x14ac:dyDescent="0.2">
      <c r="A175" s="112" t="s">
        <v>224</v>
      </c>
      <c r="B175" s="50" t="s">
        <v>1777</v>
      </c>
      <c r="C175" s="50" t="s">
        <v>1763</v>
      </c>
      <c r="D175" s="50" t="s">
        <v>1778</v>
      </c>
      <c r="E175" s="52" t="b">
        <v>1</v>
      </c>
      <c r="F175" s="78" t="s">
        <v>224</v>
      </c>
      <c r="G175" s="50" t="s">
        <v>1777</v>
      </c>
      <c r="H175" s="50" t="s">
        <v>1763</v>
      </c>
      <c r="I175" s="53" t="s">
        <v>1778</v>
      </c>
      <c r="J175" s="55"/>
      <c r="K175" s="55"/>
      <c r="L175" s="79"/>
      <c r="M175" s="56" t="str">
        <f>HYPERLINK("http://nsgreg.nga.mil/genc/view?v=862312&amp;end_month=12&amp;end_day=31&amp;end_year=2016","Correlation")</f>
        <v>Correlation</v>
      </c>
    </row>
    <row r="176" spans="1:13" x14ac:dyDescent="0.2">
      <c r="A176" s="113"/>
      <c r="B176" s="58" t="s">
        <v>1779</v>
      </c>
      <c r="C176" s="58" t="s">
        <v>1763</v>
      </c>
      <c r="D176" s="58" t="s">
        <v>1780</v>
      </c>
      <c r="E176" s="60" t="b">
        <v>1</v>
      </c>
      <c r="F176" s="80" t="s">
        <v>224</v>
      </c>
      <c r="G176" s="58" t="s">
        <v>1779</v>
      </c>
      <c r="H176" s="58" t="s">
        <v>1763</v>
      </c>
      <c r="I176" s="64" t="s">
        <v>1780</v>
      </c>
      <c r="J176" s="66"/>
      <c r="K176" s="66"/>
      <c r="L176" s="68"/>
      <c r="M176" s="63" t="str">
        <f>HYPERLINK("http://nsgreg.nga.mil/genc/view?v=862313&amp;end_month=12&amp;end_day=31&amp;end_year=2016","Correlation")</f>
        <v>Correlation</v>
      </c>
    </row>
    <row r="177" spans="1:13" x14ac:dyDescent="0.2">
      <c r="A177" s="113"/>
      <c r="B177" s="58" t="s">
        <v>1781</v>
      </c>
      <c r="C177" s="58" t="s">
        <v>1763</v>
      </c>
      <c r="D177" s="58" t="s">
        <v>1782</v>
      </c>
      <c r="E177" s="60" t="b">
        <v>1</v>
      </c>
      <c r="F177" s="80" t="s">
        <v>224</v>
      </c>
      <c r="G177" s="58" t="s">
        <v>1781</v>
      </c>
      <c r="H177" s="58" t="s">
        <v>1763</v>
      </c>
      <c r="I177" s="64" t="s">
        <v>1782</v>
      </c>
      <c r="J177" s="66"/>
      <c r="K177" s="66"/>
      <c r="L177" s="68"/>
      <c r="M177" s="63" t="str">
        <f>HYPERLINK("http://nsgreg.nga.mil/genc/view?v=862314&amp;end_month=12&amp;end_day=31&amp;end_year=2016","Correlation")</f>
        <v>Correlation</v>
      </c>
    </row>
    <row r="178" spans="1:13" x14ac:dyDescent="0.2">
      <c r="A178" s="113"/>
      <c r="B178" s="58" t="s">
        <v>1783</v>
      </c>
      <c r="C178" s="58" t="s">
        <v>1763</v>
      </c>
      <c r="D178" s="58" t="s">
        <v>1784</v>
      </c>
      <c r="E178" s="60" t="b">
        <v>1</v>
      </c>
      <c r="F178" s="80" t="s">
        <v>224</v>
      </c>
      <c r="G178" s="58" t="s">
        <v>1783</v>
      </c>
      <c r="H178" s="58" t="s">
        <v>1763</v>
      </c>
      <c r="I178" s="64" t="s">
        <v>1784</v>
      </c>
      <c r="J178" s="66"/>
      <c r="K178" s="66"/>
      <c r="L178" s="68"/>
      <c r="M178" s="63" t="str">
        <f>HYPERLINK("http://nsgreg.nga.mil/genc/view?v=862315&amp;end_month=12&amp;end_day=31&amp;end_year=2016","Correlation")</f>
        <v>Correlation</v>
      </c>
    </row>
    <row r="179" spans="1:13" x14ac:dyDescent="0.2">
      <c r="A179" s="113"/>
      <c r="B179" s="58" t="s">
        <v>1785</v>
      </c>
      <c r="C179" s="58" t="s">
        <v>1763</v>
      </c>
      <c r="D179" s="58" t="s">
        <v>1786</v>
      </c>
      <c r="E179" s="60" t="b">
        <v>1</v>
      </c>
      <c r="F179" s="80" t="s">
        <v>224</v>
      </c>
      <c r="G179" s="58" t="s">
        <v>1785</v>
      </c>
      <c r="H179" s="58" t="s">
        <v>1763</v>
      </c>
      <c r="I179" s="64" t="s">
        <v>1786</v>
      </c>
      <c r="J179" s="66"/>
      <c r="K179" s="66"/>
      <c r="L179" s="68"/>
      <c r="M179" s="63" t="str">
        <f>HYPERLINK("http://nsgreg.nga.mil/genc/view?v=862316&amp;end_month=12&amp;end_day=31&amp;end_year=2016","Correlation")</f>
        <v>Correlation</v>
      </c>
    </row>
    <row r="180" spans="1:13" x14ac:dyDescent="0.2">
      <c r="A180" s="113"/>
      <c r="B180" s="58" t="s">
        <v>1787</v>
      </c>
      <c r="C180" s="58" t="s">
        <v>1763</v>
      </c>
      <c r="D180" s="58" t="s">
        <v>1788</v>
      </c>
      <c r="E180" s="60" t="b">
        <v>1</v>
      </c>
      <c r="F180" s="80" t="s">
        <v>224</v>
      </c>
      <c r="G180" s="58" t="s">
        <v>1787</v>
      </c>
      <c r="H180" s="58" t="s">
        <v>1763</v>
      </c>
      <c r="I180" s="64" t="s">
        <v>1788</v>
      </c>
      <c r="J180" s="66"/>
      <c r="K180" s="66"/>
      <c r="L180" s="68"/>
      <c r="M180" s="63" t="str">
        <f>HYPERLINK("http://nsgreg.nga.mil/genc/view?v=862317&amp;end_month=12&amp;end_day=31&amp;end_year=2016","Correlation")</f>
        <v>Correlation</v>
      </c>
    </row>
    <row r="181" spans="1:13" x14ac:dyDescent="0.2">
      <c r="A181" s="113"/>
      <c r="B181" s="58" t="s">
        <v>1789</v>
      </c>
      <c r="C181" s="58" t="s">
        <v>1763</v>
      </c>
      <c r="D181" s="58" t="s">
        <v>1790</v>
      </c>
      <c r="E181" s="60" t="b">
        <v>1</v>
      </c>
      <c r="F181" s="80" t="s">
        <v>224</v>
      </c>
      <c r="G181" s="58" t="s">
        <v>1789</v>
      </c>
      <c r="H181" s="58" t="s">
        <v>1763</v>
      </c>
      <c r="I181" s="64" t="s">
        <v>1790</v>
      </c>
      <c r="J181" s="66"/>
      <c r="K181" s="66"/>
      <c r="L181" s="68"/>
      <c r="M181" s="63" t="str">
        <f>HYPERLINK("http://nsgreg.nga.mil/genc/view?v=862318&amp;end_month=12&amp;end_day=31&amp;end_year=2016","Correlation")</f>
        <v>Correlation</v>
      </c>
    </row>
    <row r="182" spans="1:13" x14ac:dyDescent="0.2">
      <c r="A182" s="113"/>
      <c r="B182" s="58" t="s">
        <v>1791</v>
      </c>
      <c r="C182" s="58" t="s">
        <v>1763</v>
      </c>
      <c r="D182" s="58" t="s">
        <v>1792</v>
      </c>
      <c r="E182" s="60" t="b">
        <v>1</v>
      </c>
      <c r="F182" s="80" t="s">
        <v>224</v>
      </c>
      <c r="G182" s="58" t="s">
        <v>1791</v>
      </c>
      <c r="H182" s="58" t="s">
        <v>1763</v>
      </c>
      <c r="I182" s="64" t="s">
        <v>1792</v>
      </c>
      <c r="J182" s="66"/>
      <c r="K182" s="66"/>
      <c r="L182" s="68"/>
      <c r="M182" s="63" t="str">
        <f>HYPERLINK("http://nsgreg.nga.mil/genc/view?v=862319&amp;end_month=12&amp;end_day=31&amp;end_year=2016","Correlation")</f>
        <v>Correlation</v>
      </c>
    </row>
    <row r="183" spans="1:13" x14ac:dyDescent="0.2">
      <c r="A183" s="114"/>
      <c r="B183" s="71" t="s">
        <v>1793</v>
      </c>
      <c r="C183" s="71" t="s">
        <v>1763</v>
      </c>
      <c r="D183" s="71" t="s">
        <v>1794</v>
      </c>
      <c r="E183" s="73" t="b">
        <v>1</v>
      </c>
      <c r="F183" s="81" t="s">
        <v>224</v>
      </c>
      <c r="G183" s="71" t="s">
        <v>1793</v>
      </c>
      <c r="H183" s="71" t="s">
        <v>1763</v>
      </c>
      <c r="I183" s="74" t="s">
        <v>1794</v>
      </c>
      <c r="J183" s="76"/>
      <c r="K183" s="76"/>
      <c r="L183" s="82"/>
      <c r="M183" s="77" t="str">
        <f>HYPERLINK("http://nsgreg.nga.mil/genc/view?v=862320&amp;end_month=12&amp;end_day=31&amp;end_year=2016","Correlation")</f>
        <v>Correlation</v>
      </c>
    </row>
    <row r="184" spans="1:13" x14ac:dyDescent="0.2">
      <c r="A184" s="112" t="s">
        <v>228</v>
      </c>
      <c r="B184" s="50" t="s">
        <v>1795</v>
      </c>
      <c r="C184" s="50" t="s">
        <v>1796</v>
      </c>
      <c r="D184" s="50" t="s">
        <v>1797</v>
      </c>
      <c r="E184" s="52" t="b">
        <v>1</v>
      </c>
      <c r="F184" s="78" t="s">
        <v>228</v>
      </c>
      <c r="G184" s="50" t="s">
        <v>1795</v>
      </c>
      <c r="H184" s="50" t="s">
        <v>1798</v>
      </c>
      <c r="I184" s="53" t="s">
        <v>1797</v>
      </c>
      <c r="J184" s="55"/>
      <c r="K184" s="55"/>
      <c r="L184" s="79"/>
      <c r="M184" s="56" t="str">
        <f>HYPERLINK("http://nsgreg.nga.mil/genc/view?v=862329&amp;end_month=12&amp;end_day=31&amp;end_year=2016","Correlation")</f>
        <v>Correlation</v>
      </c>
    </row>
    <row r="185" spans="1:13" x14ac:dyDescent="0.2">
      <c r="A185" s="113"/>
      <c r="B185" s="58" t="s">
        <v>1799</v>
      </c>
      <c r="C185" s="58" t="s">
        <v>1796</v>
      </c>
      <c r="D185" s="58" t="s">
        <v>1800</v>
      </c>
      <c r="E185" s="60" t="b">
        <v>1</v>
      </c>
      <c r="F185" s="80" t="s">
        <v>228</v>
      </c>
      <c r="G185" s="58" t="s">
        <v>1801</v>
      </c>
      <c r="H185" s="58" t="s">
        <v>1798</v>
      </c>
      <c r="I185" s="64" t="s">
        <v>1800</v>
      </c>
      <c r="J185" s="66"/>
      <c r="K185" s="66"/>
      <c r="L185" s="68"/>
      <c r="M185" s="63" t="str">
        <f>HYPERLINK("http://nsgreg.nga.mil/genc/view?v=862331&amp;end_month=12&amp;end_day=31&amp;end_year=2016","Correlation")</f>
        <v>Correlation</v>
      </c>
    </row>
    <row r="186" spans="1:13" x14ac:dyDescent="0.2">
      <c r="A186" s="113"/>
      <c r="B186" s="58" t="s">
        <v>1802</v>
      </c>
      <c r="C186" s="58" t="s">
        <v>1796</v>
      </c>
      <c r="D186" s="58" t="s">
        <v>1803</v>
      </c>
      <c r="E186" s="60" t="b">
        <v>1</v>
      </c>
      <c r="F186" s="80" t="s">
        <v>228</v>
      </c>
      <c r="G186" s="58" t="s">
        <v>1802</v>
      </c>
      <c r="H186" s="58" t="s">
        <v>1798</v>
      </c>
      <c r="I186" s="64" t="s">
        <v>1803</v>
      </c>
      <c r="J186" s="66"/>
      <c r="K186" s="66"/>
      <c r="L186" s="68"/>
      <c r="M186" s="63" t="str">
        <f>HYPERLINK("http://nsgreg.nga.mil/genc/view?v=862332&amp;end_month=12&amp;end_day=31&amp;end_year=2016","Correlation")</f>
        <v>Correlation</v>
      </c>
    </row>
    <row r="187" spans="1:13" x14ac:dyDescent="0.2">
      <c r="A187" s="113"/>
      <c r="B187" s="58" t="s">
        <v>1804</v>
      </c>
      <c r="C187" s="58" t="s">
        <v>1796</v>
      </c>
      <c r="D187" s="58" t="s">
        <v>1805</v>
      </c>
      <c r="E187" s="60" t="b">
        <v>1</v>
      </c>
      <c r="F187" s="80" t="s">
        <v>228</v>
      </c>
      <c r="G187" s="58" t="s">
        <v>1804</v>
      </c>
      <c r="H187" s="58" t="s">
        <v>1798</v>
      </c>
      <c r="I187" s="64" t="s">
        <v>1805</v>
      </c>
      <c r="J187" s="66"/>
      <c r="K187" s="66"/>
      <c r="L187" s="68"/>
      <c r="M187" s="63" t="str">
        <f>HYPERLINK("http://nsgreg.nga.mil/genc/view?v=862333&amp;end_month=12&amp;end_day=31&amp;end_year=2016","Correlation")</f>
        <v>Correlation</v>
      </c>
    </row>
    <row r="188" spans="1:13" x14ac:dyDescent="0.2">
      <c r="A188" s="113"/>
      <c r="B188" s="58" t="s">
        <v>1806</v>
      </c>
      <c r="C188" s="58" t="s">
        <v>1796</v>
      </c>
      <c r="D188" s="58" t="s">
        <v>1807</v>
      </c>
      <c r="E188" s="60" t="b">
        <v>1</v>
      </c>
      <c r="F188" s="80" t="s">
        <v>228</v>
      </c>
      <c r="G188" s="58" t="s">
        <v>1806</v>
      </c>
      <c r="H188" s="58" t="s">
        <v>1798</v>
      </c>
      <c r="I188" s="64" t="s">
        <v>1807</v>
      </c>
      <c r="J188" s="66"/>
      <c r="K188" s="66"/>
      <c r="L188" s="68"/>
      <c r="M188" s="63" t="str">
        <f>HYPERLINK("http://nsgreg.nga.mil/genc/view?v=862330&amp;end_month=12&amp;end_day=31&amp;end_year=2016","Correlation")</f>
        <v>Correlation</v>
      </c>
    </row>
    <row r="189" spans="1:13" x14ac:dyDescent="0.2">
      <c r="A189" s="113"/>
      <c r="B189" s="58" t="s">
        <v>1808</v>
      </c>
      <c r="C189" s="58" t="s">
        <v>1796</v>
      </c>
      <c r="D189" s="58" t="s">
        <v>1809</v>
      </c>
      <c r="E189" s="60" t="b">
        <v>1</v>
      </c>
      <c r="F189" s="80" t="s">
        <v>228</v>
      </c>
      <c r="G189" s="58" t="s">
        <v>1808</v>
      </c>
      <c r="H189" s="58" t="s">
        <v>1798</v>
      </c>
      <c r="I189" s="64" t="s">
        <v>1809</v>
      </c>
      <c r="J189" s="66"/>
      <c r="K189" s="66"/>
      <c r="L189" s="68"/>
      <c r="M189" s="63" t="str">
        <f>HYPERLINK("http://nsgreg.nga.mil/genc/view?v=862334&amp;end_month=12&amp;end_day=31&amp;end_year=2016","Correlation")</f>
        <v>Correlation</v>
      </c>
    </row>
    <row r="190" spans="1:13" x14ac:dyDescent="0.2">
      <c r="A190" s="113"/>
      <c r="B190" s="58" t="s">
        <v>1810</v>
      </c>
      <c r="C190" s="58" t="s">
        <v>1796</v>
      </c>
      <c r="D190" s="58" t="s">
        <v>1811</v>
      </c>
      <c r="E190" s="60" t="b">
        <v>1</v>
      </c>
      <c r="F190" s="80" t="s">
        <v>228</v>
      </c>
      <c r="G190" s="58" t="s">
        <v>1810</v>
      </c>
      <c r="H190" s="58" t="s">
        <v>1798</v>
      </c>
      <c r="I190" s="64" t="s">
        <v>1811</v>
      </c>
      <c r="J190" s="66"/>
      <c r="K190" s="66"/>
      <c r="L190" s="68"/>
      <c r="M190" s="63" t="str">
        <f>HYPERLINK("http://nsgreg.nga.mil/genc/view?v=862335&amp;end_month=12&amp;end_day=31&amp;end_year=2016","Correlation")</f>
        <v>Correlation</v>
      </c>
    </row>
    <row r="191" spans="1:13" x14ac:dyDescent="0.2">
      <c r="A191" s="113"/>
      <c r="B191" s="58" t="s">
        <v>1812</v>
      </c>
      <c r="C191" s="58" t="s">
        <v>1796</v>
      </c>
      <c r="D191" s="58" t="s">
        <v>1813</v>
      </c>
      <c r="E191" s="60" t="b">
        <v>1</v>
      </c>
      <c r="F191" s="80" t="s">
        <v>228</v>
      </c>
      <c r="G191" s="58" t="s">
        <v>1812</v>
      </c>
      <c r="H191" s="58" t="s">
        <v>1798</v>
      </c>
      <c r="I191" s="64" t="s">
        <v>1813</v>
      </c>
      <c r="J191" s="66"/>
      <c r="K191" s="66"/>
      <c r="L191" s="68"/>
      <c r="M191" s="63" t="str">
        <f>HYPERLINK("http://nsgreg.nga.mil/genc/view?v=862337&amp;end_month=12&amp;end_day=31&amp;end_year=2016","Correlation")</f>
        <v>Correlation</v>
      </c>
    </row>
    <row r="192" spans="1:13" x14ac:dyDescent="0.2">
      <c r="A192" s="113"/>
      <c r="B192" s="58" t="s">
        <v>1814</v>
      </c>
      <c r="C192" s="58" t="s">
        <v>1681</v>
      </c>
      <c r="D192" s="58" t="s">
        <v>1815</v>
      </c>
      <c r="E192" s="60" t="b">
        <v>1</v>
      </c>
      <c r="F192" s="80" t="s">
        <v>228</v>
      </c>
      <c r="G192" s="58" t="s">
        <v>1814</v>
      </c>
      <c r="H192" s="58" t="s">
        <v>1816</v>
      </c>
      <c r="I192" s="64" t="s">
        <v>1815</v>
      </c>
      <c r="J192" s="66"/>
      <c r="K192" s="66"/>
      <c r="L192" s="68"/>
      <c r="M192" s="63" t="str">
        <f>HYPERLINK("http://nsgreg.nga.mil/genc/view?v=862336&amp;end_month=12&amp;end_day=31&amp;end_year=2016","Correlation")</f>
        <v>Correlation</v>
      </c>
    </row>
    <row r="193" spans="1:13" x14ac:dyDescent="0.2">
      <c r="A193" s="113"/>
      <c r="B193" s="58" t="s">
        <v>1817</v>
      </c>
      <c r="C193" s="58" t="s">
        <v>1796</v>
      </c>
      <c r="D193" s="58" t="s">
        <v>1818</v>
      </c>
      <c r="E193" s="60" t="b">
        <v>1</v>
      </c>
      <c r="F193" s="80" t="s">
        <v>228</v>
      </c>
      <c r="G193" s="58" t="s">
        <v>1817</v>
      </c>
      <c r="H193" s="58" t="s">
        <v>1798</v>
      </c>
      <c r="I193" s="64" t="s">
        <v>1818</v>
      </c>
      <c r="J193" s="66"/>
      <c r="K193" s="66"/>
      <c r="L193" s="68"/>
      <c r="M193" s="63" t="str">
        <f>HYPERLINK("http://nsgreg.nga.mil/genc/view?v=862338&amp;end_month=12&amp;end_day=31&amp;end_year=2016","Correlation")</f>
        <v>Correlation</v>
      </c>
    </row>
    <row r="194" spans="1:13" x14ac:dyDescent="0.2">
      <c r="A194" s="113"/>
      <c r="B194" s="58" t="s">
        <v>1819</v>
      </c>
      <c r="C194" s="58" t="s">
        <v>1796</v>
      </c>
      <c r="D194" s="58" t="s">
        <v>1820</v>
      </c>
      <c r="E194" s="60" t="b">
        <v>1</v>
      </c>
      <c r="F194" s="80" t="s">
        <v>228</v>
      </c>
      <c r="G194" s="58" t="s">
        <v>1819</v>
      </c>
      <c r="H194" s="58" t="s">
        <v>1798</v>
      </c>
      <c r="I194" s="64" t="s">
        <v>1820</v>
      </c>
      <c r="J194" s="66"/>
      <c r="K194" s="66"/>
      <c r="L194" s="68"/>
      <c r="M194" s="63" t="str">
        <f>HYPERLINK("http://nsgreg.nga.mil/genc/view?v=862339&amp;end_month=12&amp;end_day=31&amp;end_year=2016","Correlation")</f>
        <v>Correlation</v>
      </c>
    </row>
    <row r="195" spans="1:13" x14ac:dyDescent="0.2">
      <c r="A195" s="113"/>
      <c r="B195" s="58" t="s">
        <v>1821</v>
      </c>
      <c r="C195" s="58" t="s">
        <v>1796</v>
      </c>
      <c r="D195" s="58" t="s">
        <v>1822</v>
      </c>
      <c r="E195" s="60" t="b">
        <v>1</v>
      </c>
      <c r="F195" s="80" t="s">
        <v>228</v>
      </c>
      <c r="G195" s="58" t="s">
        <v>1821</v>
      </c>
      <c r="H195" s="58" t="s">
        <v>1798</v>
      </c>
      <c r="I195" s="64" t="s">
        <v>1822</v>
      </c>
      <c r="J195" s="66"/>
      <c r="K195" s="66"/>
      <c r="L195" s="68"/>
      <c r="M195" s="63" t="str">
        <f>HYPERLINK("http://nsgreg.nga.mil/genc/view?v=862340&amp;end_month=12&amp;end_day=31&amp;end_year=2016","Correlation")</f>
        <v>Correlation</v>
      </c>
    </row>
    <row r="196" spans="1:13" x14ac:dyDescent="0.2">
      <c r="A196" s="113"/>
      <c r="B196" s="58" t="s">
        <v>1823</v>
      </c>
      <c r="C196" s="58" t="s">
        <v>1796</v>
      </c>
      <c r="D196" s="58" t="s">
        <v>1824</v>
      </c>
      <c r="E196" s="60" t="b">
        <v>1</v>
      </c>
      <c r="F196" s="80" t="s">
        <v>228</v>
      </c>
      <c r="G196" s="58" t="s">
        <v>1823</v>
      </c>
      <c r="H196" s="58" t="s">
        <v>1798</v>
      </c>
      <c r="I196" s="64" t="s">
        <v>1824</v>
      </c>
      <c r="J196" s="66"/>
      <c r="K196" s="66"/>
      <c r="L196" s="68"/>
      <c r="M196" s="63" t="str">
        <f>HYPERLINK("http://nsgreg.nga.mil/genc/view?v=862341&amp;end_month=12&amp;end_day=31&amp;end_year=2016","Correlation")</f>
        <v>Correlation</v>
      </c>
    </row>
    <row r="197" spans="1:13" x14ac:dyDescent="0.2">
      <c r="A197" s="113"/>
      <c r="B197" s="58" t="s">
        <v>1825</v>
      </c>
      <c r="C197" s="58" t="s">
        <v>1796</v>
      </c>
      <c r="D197" s="58" t="s">
        <v>1826</v>
      </c>
      <c r="E197" s="60" t="b">
        <v>1</v>
      </c>
      <c r="F197" s="80" t="s">
        <v>228</v>
      </c>
      <c r="G197" s="58" t="s">
        <v>1825</v>
      </c>
      <c r="H197" s="58" t="s">
        <v>1798</v>
      </c>
      <c r="I197" s="64" t="s">
        <v>1826</v>
      </c>
      <c r="J197" s="66"/>
      <c r="K197" s="66"/>
      <c r="L197" s="68"/>
      <c r="M197" s="63" t="str">
        <f>HYPERLINK("http://nsgreg.nga.mil/genc/view?v=862342&amp;end_month=12&amp;end_day=31&amp;end_year=2016","Correlation")</f>
        <v>Correlation</v>
      </c>
    </row>
    <row r="198" spans="1:13" x14ac:dyDescent="0.2">
      <c r="A198" s="113"/>
      <c r="B198" s="58" t="s">
        <v>1827</v>
      </c>
      <c r="C198" s="58" t="s">
        <v>1796</v>
      </c>
      <c r="D198" s="58" t="s">
        <v>1828</v>
      </c>
      <c r="E198" s="60" t="b">
        <v>1</v>
      </c>
      <c r="F198" s="80" t="s">
        <v>228</v>
      </c>
      <c r="G198" s="58" t="s">
        <v>1827</v>
      </c>
      <c r="H198" s="58" t="s">
        <v>1798</v>
      </c>
      <c r="I198" s="64" t="s">
        <v>1828</v>
      </c>
      <c r="J198" s="66"/>
      <c r="K198" s="66"/>
      <c r="L198" s="68"/>
      <c r="M198" s="63" t="str">
        <f>HYPERLINK("http://nsgreg.nga.mil/genc/view?v=862343&amp;end_month=12&amp;end_day=31&amp;end_year=2016","Correlation")</f>
        <v>Correlation</v>
      </c>
    </row>
    <row r="199" spans="1:13" x14ac:dyDescent="0.2">
      <c r="A199" s="113"/>
      <c r="B199" s="58" t="s">
        <v>1829</v>
      </c>
      <c r="C199" s="58" t="s">
        <v>1796</v>
      </c>
      <c r="D199" s="58" t="s">
        <v>1830</v>
      </c>
      <c r="E199" s="60" t="b">
        <v>1</v>
      </c>
      <c r="F199" s="80" t="s">
        <v>228</v>
      </c>
      <c r="G199" s="58" t="s">
        <v>1829</v>
      </c>
      <c r="H199" s="58" t="s">
        <v>1798</v>
      </c>
      <c r="I199" s="64" t="s">
        <v>1830</v>
      </c>
      <c r="J199" s="66"/>
      <c r="K199" s="66"/>
      <c r="L199" s="68"/>
      <c r="M199" s="63" t="str">
        <f>HYPERLINK("http://nsgreg.nga.mil/genc/view?v=862344&amp;end_month=12&amp;end_day=31&amp;end_year=2016","Correlation")</f>
        <v>Correlation</v>
      </c>
    </row>
    <row r="200" spans="1:13" x14ac:dyDescent="0.2">
      <c r="A200" s="113"/>
      <c r="B200" s="58" t="s">
        <v>1831</v>
      </c>
      <c r="C200" s="58" t="s">
        <v>1796</v>
      </c>
      <c r="D200" s="58" t="s">
        <v>1832</v>
      </c>
      <c r="E200" s="60" t="b">
        <v>1</v>
      </c>
      <c r="F200" s="80" t="s">
        <v>228</v>
      </c>
      <c r="G200" s="58" t="s">
        <v>1831</v>
      </c>
      <c r="H200" s="58" t="s">
        <v>1798</v>
      </c>
      <c r="I200" s="64" t="s">
        <v>1832</v>
      </c>
      <c r="J200" s="66"/>
      <c r="K200" s="66"/>
      <c r="L200" s="68"/>
      <c r="M200" s="63" t="str">
        <f>HYPERLINK("http://nsgreg.nga.mil/genc/view?v=862345&amp;end_month=12&amp;end_day=31&amp;end_year=2016","Correlation")</f>
        <v>Correlation</v>
      </c>
    </row>
    <row r="201" spans="1:13" x14ac:dyDescent="0.2">
      <c r="A201" s="113"/>
      <c r="B201" s="58" t="s">
        <v>1833</v>
      </c>
      <c r="C201" s="58" t="s">
        <v>1796</v>
      </c>
      <c r="D201" s="58" t="s">
        <v>1834</v>
      </c>
      <c r="E201" s="60" t="b">
        <v>1</v>
      </c>
      <c r="F201" s="80" t="s">
        <v>228</v>
      </c>
      <c r="G201" s="58" t="s">
        <v>1833</v>
      </c>
      <c r="H201" s="58" t="s">
        <v>1798</v>
      </c>
      <c r="I201" s="64" t="s">
        <v>1834</v>
      </c>
      <c r="J201" s="66"/>
      <c r="K201" s="66"/>
      <c r="L201" s="68"/>
      <c r="M201" s="63" t="str">
        <f>HYPERLINK("http://nsgreg.nga.mil/genc/view?v=862346&amp;end_month=12&amp;end_day=31&amp;end_year=2016","Correlation")</f>
        <v>Correlation</v>
      </c>
    </row>
    <row r="202" spans="1:13" x14ac:dyDescent="0.2">
      <c r="A202" s="113"/>
      <c r="B202" s="58" t="s">
        <v>1835</v>
      </c>
      <c r="C202" s="58" t="s">
        <v>1796</v>
      </c>
      <c r="D202" s="58" t="s">
        <v>1836</v>
      </c>
      <c r="E202" s="60" t="b">
        <v>1</v>
      </c>
      <c r="F202" s="80" t="s">
        <v>228</v>
      </c>
      <c r="G202" s="58" t="s">
        <v>1835</v>
      </c>
      <c r="H202" s="58" t="s">
        <v>1798</v>
      </c>
      <c r="I202" s="64" t="s">
        <v>1836</v>
      </c>
      <c r="J202" s="66"/>
      <c r="K202" s="66"/>
      <c r="L202" s="68"/>
      <c r="M202" s="63" t="str">
        <f>HYPERLINK("http://nsgreg.nga.mil/genc/view?v=862348&amp;end_month=12&amp;end_day=31&amp;end_year=2016","Correlation")</f>
        <v>Correlation</v>
      </c>
    </row>
    <row r="203" spans="1:13" x14ac:dyDescent="0.2">
      <c r="A203" s="113"/>
      <c r="B203" s="58" t="s">
        <v>1837</v>
      </c>
      <c r="C203" s="58" t="s">
        <v>1681</v>
      </c>
      <c r="D203" s="58" t="s">
        <v>1838</v>
      </c>
      <c r="E203" s="60" t="b">
        <v>1</v>
      </c>
      <c r="F203" s="80" t="s">
        <v>228</v>
      </c>
      <c r="G203" s="58" t="s">
        <v>1839</v>
      </c>
      <c r="H203" s="58" t="s">
        <v>1816</v>
      </c>
      <c r="I203" s="64" t="s">
        <v>1838</v>
      </c>
      <c r="J203" s="66"/>
      <c r="K203" s="66"/>
      <c r="L203" s="68"/>
      <c r="M203" s="63" t="str">
        <f>HYPERLINK("http://nsgreg.nga.mil/genc/view?v=862347&amp;end_month=12&amp;end_day=31&amp;end_year=2016","Correlation")</f>
        <v>Correlation</v>
      </c>
    </row>
    <row r="204" spans="1:13" x14ac:dyDescent="0.2">
      <c r="A204" s="113"/>
      <c r="B204" s="58" t="s">
        <v>1840</v>
      </c>
      <c r="C204" s="58" t="s">
        <v>1796</v>
      </c>
      <c r="D204" s="58" t="s">
        <v>1841</v>
      </c>
      <c r="E204" s="60" t="b">
        <v>1</v>
      </c>
      <c r="F204" s="80" t="s">
        <v>228</v>
      </c>
      <c r="G204" s="58" t="s">
        <v>1840</v>
      </c>
      <c r="H204" s="58" t="s">
        <v>1798</v>
      </c>
      <c r="I204" s="64" t="s">
        <v>1841</v>
      </c>
      <c r="J204" s="66"/>
      <c r="K204" s="66"/>
      <c r="L204" s="68"/>
      <c r="M204" s="63" t="str">
        <f>HYPERLINK("http://nsgreg.nga.mil/genc/view?v=862349&amp;end_month=12&amp;end_day=31&amp;end_year=2016","Correlation")</f>
        <v>Correlation</v>
      </c>
    </row>
    <row r="205" spans="1:13" x14ac:dyDescent="0.2">
      <c r="A205" s="113"/>
      <c r="B205" s="58" t="s">
        <v>1842</v>
      </c>
      <c r="C205" s="58" t="s">
        <v>1796</v>
      </c>
      <c r="D205" s="58" t="s">
        <v>1843</v>
      </c>
      <c r="E205" s="60" t="b">
        <v>1</v>
      </c>
      <c r="F205" s="80" t="s">
        <v>228</v>
      </c>
      <c r="G205" s="58" t="s">
        <v>1842</v>
      </c>
      <c r="H205" s="58" t="s">
        <v>1798</v>
      </c>
      <c r="I205" s="64" t="s">
        <v>1843</v>
      </c>
      <c r="J205" s="66"/>
      <c r="K205" s="66"/>
      <c r="L205" s="68"/>
      <c r="M205" s="63" t="str">
        <f>HYPERLINK("http://nsgreg.nga.mil/genc/view?v=862350&amp;end_month=12&amp;end_day=31&amp;end_year=2016","Correlation")</f>
        <v>Correlation</v>
      </c>
    </row>
    <row r="206" spans="1:13" x14ac:dyDescent="0.2">
      <c r="A206" s="113"/>
      <c r="B206" s="58" t="s">
        <v>1844</v>
      </c>
      <c r="C206" s="58" t="s">
        <v>1796</v>
      </c>
      <c r="D206" s="58" t="s">
        <v>1845</v>
      </c>
      <c r="E206" s="60" t="b">
        <v>1</v>
      </c>
      <c r="F206" s="80" t="s">
        <v>228</v>
      </c>
      <c r="G206" s="58" t="s">
        <v>1844</v>
      </c>
      <c r="H206" s="58" t="s">
        <v>1798</v>
      </c>
      <c r="I206" s="64" t="s">
        <v>1845</v>
      </c>
      <c r="J206" s="66"/>
      <c r="K206" s="66"/>
      <c r="L206" s="68"/>
      <c r="M206" s="63" t="str">
        <f>HYPERLINK("http://nsgreg.nga.mil/genc/view?v=862351&amp;end_month=12&amp;end_day=31&amp;end_year=2016","Correlation")</f>
        <v>Correlation</v>
      </c>
    </row>
    <row r="207" spans="1:13" x14ac:dyDescent="0.2">
      <c r="A207" s="113"/>
      <c r="B207" s="58" t="s">
        <v>1846</v>
      </c>
      <c r="C207" s="58" t="s">
        <v>1796</v>
      </c>
      <c r="D207" s="58" t="s">
        <v>1847</v>
      </c>
      <c r="E207" s="60" t="b">
        <v>1</v>
      </c>
      <c r="F207" s="80" t="s">
        <v>228</v>
      </c>
      <c r="G207" s="58" t="s">
        <v>1846</v>
      </c>
      <c r="H207" s="58" t="s">
        <v>1798</v>
      </c>
      <c r="I207" s="64" t="s">
        <v>1847</v>
      </c>
      <c r="J207" s="66"/>
      <c r="K207" s="66"/>
      <c r="L207" s="68"/>
      <c r="M207" s="63" t="str">
        <f>HYPERLINK("http://nsgreg.nga.mil/genc/view?v=862352&amp;end_month=12&amp;end_day=31&amp;end_year=2016","Correlation")</f>
        <v>Correlation</v>
      </c>
    </row>
    <row r="208" spans="1:13" x14ac:dyDescent="0.2">
      <c r="A208" s="113"/>
      <c r="B208" s="58" t="s">
        <v>1848</v>
      </c>
      <c r="C208" s="58" t="s">
        <v>1796</v>
      </c>
      <c r="D208" s="58" t="s">
        <v>1849</v>
      </c>
      <c r="E208" s="60" t="b">
        <v>1</v>
      </c>
      <c r="F208" s="80" t="s">
        <v>228</v>
      </c>
      <c r="G208" s="58" t="s">
        <v>1848</v>
      </c>
      <c r="H208" s="58" t="s">
        <v>1798</v>
      </c>
      <c r="I208" s="64" t="s">
        <v>1849</v>
      </c>
      <c r="J208" s="66"/>
      <c r="K208" s="66"/>
      <c r="L208" s="68"/>
      <c r="M208" s="63" t="str">
        <f>HYPERLINK("http://nsgreg.nga.mil/genc/view?v=862353&amp;end_month=12&amp;end_day=31&amp;end_year=2016","Correlation")</f>
        <v>Correlation</v>
      </c>
    </row>
    <row r="209" spans="1:13" x14ac:dyDescent="0.2">
      <c r="A209" s="113"/>
      <c r="B209" s="58" t="s">
        <v>1850</v>
      </c>
      <c r="C209" s="58" t="s">
        <v>1796</v>
      </c>
      <c r="D209" s="58" t="s">
        <v>1851</v>
      </c>
      <c r="E209" s="60" t="b">
        <v>1</v>
      </c>
      <c r="F209" s="80" t="s">
        <v>228</v>
      </c>
      <c r="G209" s="58" t="s">
        <v>1850</v>
      </c>
      <c r="H209" s="58" t="s">
        <v>1798</v>
      </c>
      <c r="I209" s="64" t="s">
        <v>1851</v>
      </c>
      <c r="J209" s="66"/>
      <c r="K209" s="66"/>
      <c r="L209" s="68"/>
      <c r="M209" s="63" t="str">
        <f>HYPERLINK("http://nsgreg.nga.mil/genc/view?v=862354&amp;end_month=12&amp;end_day=31&amp;end_year=2016","Correlation")</f>
        <v>Correlation</v>
      </c>
    </row>
    <row r="210" spans="1:13" x14ac:dyDescent="0.2">
      <c r="A210" s="113"/>
      <c r="B210" s="58" t="s">
        <v>1852</v>
      </c>
      <c r="C210" s="58" t="s">
        <v>1796</v>
      </c>
      <c r="D210" s="58" t="s">
        <v>1853</v>
      </c>
      <c r="E210" s="60" t="b">
        <v>1</v>
      </c>
      <c r="F210" s="80" t="s">
        <v>228</v>
      </c>
      <c r="G210" s="58" t="s">
        <v>1852</v>
      </c>
      <c r="H210" s="58" t="s">
        <v>1798</v>
      </c>
      <c r="I210" s="64" t="s">
        <v>1853</v>
      </c>
      <c r="J210" s="66"/>
      <c r="K210" s="66"/>
      <c r="L210" s="68"/>
      <c r="M210" s="63" t="str">
        <f>HYPERLINK("http://nsgreg.nga.mil/genc/view?v=862355&amp;end_month=12&amp;end_day=31&amp;end_year=2016","Correlation")</f>
        <v>Correlation</v>
      </c>
    </row>
    <row r="211" spans="1:13" x14ac:dyDescent="0.2">
      <c r="A211" s="113"/>
      <c r="B211" s="58" t="s">
        <v>1854</v>
      </c>
      <c r="C211" s="58" t="s">
        <v>1796</v>
      </c>
      <c r="D211" s="58" t="s">
        <v>1855</v>
      </c>
      <c r="E211" s="60" t="b">
        <v>1</v>
      </c>
      <c r="F211" s="80" t="s">
        <v>228</v>
      </c>
      <c r="G211" s="58" t="s">
        <v>1856</v>
      </c>
      <c r="H211" s="58" t="s">
        <v>1798</v>
      </c>
      <c r="I211" s="64" t="s">
        <v>1855</v>
      </c>
      <c r="J211" s="66"/>
      <c r="K211" s="66"/>
      <c r="L211" s="68"/>
      <c r="M211" s="63" t="str">
        <f>HYPERLINK("http://nsgreg.nga.mil/genc/view?v=862356&amp;end_month=12&amp;end_day=31&amp;end_year=2016","Correlation")</f>
        <v>Correlation</v>
      </c>
    </row>
    <row r="212" spans="1:13" x14ac:dyDescent="0.2">
      <c r="A212" s="113"/>
      <c r="B212" s="58" t="s">
        <v>1857</v>
      </c>
      <c r="C212" s="58" t="s">
        <v>1796</v>
      </c>
      <c r="D212" s="58" t="s">
        <v>1858</v>
      </c>
      <c r="E212" s="60" t="b">
        <v>1</v>
      </c>
      <c r="F212" s="80" t="s">
        <v>228</v>
      </c>
      <c r="G212" s="58" t="s">
        <v>1857</v>
      </c>
      <c r="H212" s="58" t="s">
        <v>1798</v>
      </c>
      <c r="I212" s="64" t="s">
        <v>1858</v>
      </c>
      <c r="J212" s="66"/>
      <c r="K212" s="66"/>
      <c r="L212" s="68"/>
      <c r="M212" s="63" t="str">
        <f>HYPERLINK("http://nsgreg.nga.mil/genc/view?v=862357&amp;end_month=12&amp;end_day=31&amp;end_year=2016","Correlation")</f>
        <v>Correlation</v>
      </c>
    </row>
    <row r="213" spans="1:13" x14ac:dyDescent="0.2">
      <c r="A213" s="113"/>
      <c r="B213" s="58" t="s">
        <v>1859</v>
      </c>
      <c r="C213" s="58" t="s">
        <v>1796</v>
      </c>
      <c r="D213" s="58" t="s">
        <v>1860</v>
      </c>
      <c r="E213" s="60" t="b">
        <v>1</v>
      </c>
      <c r="F213" s="80" t="s">
        <v>228</v>
      </c>
      <c r="G213" s="58" t="s">
        <v>1859</v>
      </c>
      <c r="H213" s="58" t="s">
        <v>1798</v>
      </c>
      <c r="I213" s="64" t="s">
        <v>1860</v>
      </c>
      <c r="J213" s="66"/>
      <c r="K213" s="66"/>
      <c r="L213" s="68"/>
      <c r="M213" s="63" t="str">
        <f>HYPERLINK("http://nsgreg.nga.mil/genc/view?v=862359&amp;end_month=12&amp;end_day=31&amp;end_year=2016","Correlation")</f>
        <v>Correlation</v>
      </c>
    </row>
    <row r="214" spans="1:13" x14ac:dyDescent="0.2">
      <c r="A214" s="113"/>
      <c r="B214" s="58" t="s">
        <v>1861</v>
      </c>
      <c r="C214" s="58" t="s">
        <v>1681</v>
      </c>
      <c r="D214" s="58" t="s">
        <v>1862</v>
      </c>
      <c r="E214" s="60" t="b">
        <v>1</v>
      </c>
      <c r="F214" s="80" t="s">
        <v>228</v>
      </c>
      <c r="G214" s="58" t="s">
        <v>1863</v>
      </c>
      <c r="H214" s="58" t="s">
        <v>1816</v>
      </c>
      <c r="I214" s="64" t="s">
        <v>1862</v>
      </c>
      <c r="J214" s="66"/>
      <c r="K214" s="66"/>
      <c r="L214" s="68"/>
      <c r="M214" s="63" t="str">
        <f>HYPERLINK("http://nsgreg.nga.mil/genc/view?v=862358&amp;end_month=12&amp;end_day=31&amp;end_year=2016","Correlation")</f>
        <v>Correlation</v>
      </c>
    </row>
    <row r="215" spans="1:13" x14ac:dyDescent="0.2">
      <c r="A215" s="113"/>
      <c r="B215" s="58" t="s">
        <v>1861</v>
      </c>
      <c r="C215" s="58" t="s">
        <v>1796</v>
      </c>
      <c r="D215" s="58" t="s">
        <v>1864</v>
      </c>
      <c r="E215" s="60" t="b">
        <v>1</v>
      </c>
      <c r="F215" s="80" t="s">
        <v>228</v>
      </c>
      <c r="G215" s="58" t="s">
        <v>1861</v>
      </c>
      <c r="H215" s="58" t="s">
        <v>1798</v>
      </c>
      <c r="I215" s="64" t="s">
        <v>1864</v>
      </c>
      <c r="J215" s="66"/>
      <c r="K215" s="66"/>
      <c r="L215" s="68"/>
      <c r="M215" s="63" t="str">
        <f>HYPERLINK("http://nsgreg.nga.mil/genc/view?v=862360&amp;end_month=12&amp;end_day=31&amp;end_year=2016","Correlation")</f>
        <v>Correlation</v>
      </c>
    </row>
    <row r="216" spans="1:13" x14ac:dyDescent="0.2">
      <c r="A216" s="113"/>
      <c r="B216" s="58" t="s">
        <v>1865</v>
      </c>
      <c r="C216" s="58" t="s">
        <v>1796</v>
      </c>
      <c r="D216" s="58" t="s">
        <v>1866</v>
      </c>
      <c r="E216" s="60" t="b">
        <v>1</v>
      </c>
      <c r="F216" s="80" t="s">
        <v>228</v>
      </c>
      <c r="G216" s="58" t="s">
        <v>1865</v>
      </c>
      <c r="H216" s="58" t="s">
        <v>1798</v>
      </c>
      <c r="I216" s="64" t="s">
        <v>1866</v>
      </c>
      <c r="J216" s="66"/>
      <c r="K216" s="66"/>
      <c r="L216" s="68"/>
      <c r="M216" s="63" t="str">
        <f>HYPERLINK("http://nsgreg.nga.mil/genc/view?v=862361&amp;end_month=12&amp;end_day=31&amp;end_year=2016","Correlation")</f>
        <v>Correlation</v>
      </c>
    </row>
    <row r="217" spans="1:13" x14ac:dyDescent="0.2">
      <c r="A217" s="113"/>
      <c r="B217" s="58" t="s">
        <v>1867</v>
      </c>
      <c r="C217" s="58" t="s">
        <v>1796</v>
      </c>
      <c r="D217" s="58" t="s">
        <v>1868</v>
      </c>
      <c r="E217" s="60" t="b">
        <v>1</v>
      </c>
      <c r="F217" s="80" t="s">
        <v>228</v>
      </c>
      <c r="G217" s="58" t="s">
        <v>1867</v>
      </c>
      <c r="H217" s="58" t="s">
        <v>1798</v>
      </c>
      <c r="I217" s="64" t="s">
        <v>1868</v>
      </c>
      <c r="J217" s="66"/>
      <c r="K217" s="66"/>
      <c r="L217" s="68"/>
      <c r="M217" s="63" t="str">
        <f>HYPERLINK("http://nsgreg.nga.mil/genc/view?v=862362&amp;end_month=12&amp;end_day=31&amp;end_year=2016","Correlation")</f>
        <v>Correlation</v>
      </c>
    </row>
    <row r="218" spans="1:13" x14ac:dyDescent="0.2">
      <c r="A218" s="113"/>
      <c r="B218" s="58" t="s">
        <v>1869</v>
      </c>
      <c r="C218" s="58" t="s">
        <v>1681</v>
      </c>
      <c r="D218" s="58" t="s">
        <v>1870</v>
      </c>
      <c r="E218" s="60" t="b">
        <v>1</v>
      </c>
      <c r="F218" s="80" t="s">
        <v>228</v>
      </c>
      <c r="G218" s="58" t="s">
        <v>1871</v>
      </c>
      <c r="H218" s="58" t="s">
        <v>1816</v>
      </c>
      <c r="I218" s="64" t="s">
        <v>1870</v>
      </c>
      <c r="J218" s="66"/>
      <c r="K218" s="66"/>
      <c r="L218" s="68"/>
      <c r="M218" s="63" t="str">
        <f>HYPERLINK("http://nsgreg.nga.mil/genc/view?v=862363&amp;end_month=12&amp;end_day=31&amp;end_year=2016","Correlation")</f>
        <v>Correlation</v>
      </c>
    </row>
    <row r="219" spans="1:13" x14ac:dyDescent="0.2">
      <c r="A219" s="113"/>
      <c r="B219" s="58" t="s">
        <v>1872</v>
      </c>
      <c r="C219" s="58" t="s">
        <v>1681</v>
      </c>
      <c r="D219" s="58" t="s">
        <v>1873</v>
      </c>
      <c r="E219" s="60" t="b">
        <v>1</v>
      </c>
      <c r="F219" s="80" t="s">
        <v>228</v>
      </c>
      <c r="G219" s="58" t="s">
        <v>1872</v>
      </c>
      <c r="H219" s="58" t="s">
        <v>1816</v>
      </c>
      <c r="I219" s="64" t="s">
        <v>1873</v>
      </c>
      <c r="J219" s="66"/>
      <c r="K219" s="66"/>
      <c r="L219" s="68"/>
      <c r="M219" s="63" t="str">
        <f>HYPERLINK("http://nsgreg.nga.mil/genc/view?v=862364&amp;end_month=12&amp;end_day=31&amp;end_year=2016","Correlation")</f>
        <v>Correlation</v>
      </c>
    </row>
    <row r="220" spans="1:13" x14ac:dyDescent="0.2">
      <c r="A220" s="113"/>
      <c r="B220" s="58" t="s">
        <v>1874</v>
      </c>
      <c r="C220" s="58" t="s">
        <v>1875</v>
      </c>
      <c r="D220" s="58" t="s">
        <v>1876</v>
      </c>
      <c r="E220" s="60" t="b">
        <v>1</v>
      </c>
      <c r="F220" s="80" t="s">
        <v>228</v>
      </c>
      <c r="G220" s="58" t="s">
        <v>1874</v>
      </c>
      <c r="H220" s="58" t="s">
        <v>1875</v>
      </c>
      <c r="I220" s="64" t="s">
        <v>1876</v>
      </c>
      <c r="J220" s="66"/>
      <c r="K220" s="66"/>
      <c r="L220" s="68"/>
      <c r="M220" s="63" t="str">
        <f>HYPERLINK("http://nsgreg.nga.mil/genc/view?v=862367&amp;end_month=12&amp;end_day=31&amp;end_year=2016","Correlation")</f>
        <v>Correlation</v>
      </c>
    </row>
    <row r="221" spans="1:13" x14ac:dyDescent="0.2">
      <c r="A221" s="113"/>
      <c r="B221" s="58" t="s">
        <v>1874</v>
      </c>
      <c r="C221" s="58" t="s">
        <v>1681</v>
      </c>
      <c r="D221" s="58" t="s">
        <v>1877</v>
      </c>
      <c r="E221" s="60" t="b">
        <v>1</v>
      </c>
      <c r="F221" s="80" t="s">
        <v>228</v>
      </c>
      <c r="G221" s="58" t="s">
        <v>1874</v>
      </c>
      <c r="H221" s="58" t="s">
        <v>1816</v>
      </c>
      <c r="I221" s="64" t="s">
        <v>1877</v>
      </c>
      <c r="J221" s="66"/>
      <c r="K221" s="66"/>
      <c r="L221" s="68"/>
      <c r="M221" s="63" t="str">
        <f>HYPERLINK("http://nsgreg.nga.mil/genc/view?v=862366&amp;end_month=12&amp;end_day=31&amp;end_year=2016","Correlation")</f>
        <v>Correlation</v>
      </c>
    </row>
    <row r="222" spans="1:13" x14ac:dyDescent="0.2">
      <c r="A222" s="113"/>
      <c r="B222" s="58" t="s">
        <v>1878</v>
      </c>
      <c r="C222" s="58" t="s">
        <v>1796</v>
      </c>
      <c r="D222" s="58" t="s">
        <v>1879</v>
      </c>
      <c r="E222" s="60" t="b">
        <v>1</v>
      </c>
      <c r="F222" s="80" t="s">
        <v>228</v>
      </c>
      <c r="G222" s="58" t="s">
        <v>1878</v>
      </c>
      <c r="H222" s="58" t="s">
        <v>1798</v>
      </c>
      <c r="I222" s="64" t="s">
        <v>1879</v>
      </c>
      <c r="J222" s="66"/>
      <c r="K222" s="66"/>
      <c r="L222" s="68"/>
      <c r="M222" s="63" t="str">
        <f>HYPERLINK("http://nsgreg.nga.mil/genc/view?v=862365&amp;end_month=12&amp;end_day=31&amp;end_year=2016","Correlation")</f>
        <v>Correlation</v>
      </c>
    </row>
    <row r="223" spans="1:13" x14ac:dyDescent="0.2">
      <c r="A223" s="113"/>
      <c r="B223" s="58" t="s">
        <v>1880</v>
      </c>
      <c r="C223" s="58" t="s">
        <v>1796</v>
      </c>
      <c r="D223" s="58" t="s">
        <v>1881</v>
      </c>
      <c r="E223" s="60" t="b">
        <v>1</v>
      </c>
      <c r="F223" s="80" t="s">
        <v>228</v>
      </c>
      <c r="G223" s="58" t="s">
        <v>1880</v>
      </c>
      <c r="H223" s="58" t="s">
        <v>1798</v>
      </c>
      <c r="I223" s="64" t="s">
        <v>1881</v>
      </c>
      <c r="J223" s="66"/>
      <c r="K223" s="66"/>
      <c r="L223" s="68"/>
      <c r="M223" s="63" t="str">
        <f>HYPERLINK("http://nsgreg.nga.mil/genc/view?v=862368&amp;end_month=12&amp;end_day=31&amp;end_year=2016","Correlation")</f>
        <v>Correlation</v>
      </c>
    </row>
    <row r="224" spans="1:13" x14ac:dyDescent="0.2">
      <c r="A224" s="113"/>
      <c r="B224" s="58" t="s">
        <v>1882</v>
      </c>
      <c r="C224" s="58" t="s">
        <v>1796</v>
      </c>
      <c r="D224" s="58" t="s">
        <v>1883</v>
      </c>
      <c r="E224" s="60" t="b">
        <v>1</v>
      </c>
      <c r="F224" s="80" t="s">
        <v>228</v>
      </c>
      <c r="G224" s="58" t="s">
        <v>1882</v>
      </c>
      <c r="H224" s="58" t="s">
        <v>1798</v>
      </c>
      <c r="I224" s="64" t="s">
        <v>1883</v>
      </c>
      <c r="J224" s="66"/>
      <c r="K224" s="66"/>
      <c r="L224" s="68"/>
      <c r="M224" s="63" t="str">
        <f>HYPERLINK("http://nsgreg.nga.mil/genc/view?v=862369&amp;end_month=12&amp;end_day=31&amp;end_year=2016","Correlation")</f>
        <v>Correlation</v>
      </c>
    </row>
    <row r="225" spans="1:13" x14ac:dyDescent="0.2">
      <c r="A225" s="113"/>
      <c r="B225" s="58" t="s">
        <v>1884</v>
      </c>
      <c r="C225" s="58" t="s">
        <v>1796</v>
      </c>
      <c r="D225" s="58" t="s">
        <v>1885</v>
      </c>
      <c r="E225" s="60" t="b">
        <v>1</v>
      </c>
      <c r="F225" s="80" t="s">
        <v>228</v>
      </c>
      <c r="G225" s="58" t="s">
        <v>1886</v>
      </c>
      <c r="H225" s="58" t="s">
        <v>1798</v>
      </c>
      <c r="I225" s="64" t="s">
        <v>1885</v>
      </c>
      <c r="J225" s="66"/>
      <c r="K225" s="66"/>
      <c r="L225" s="68"/>
      <c r="M225" s="63" t="str">
        <f>HYPERLINK("http://nsgreg.nga.mil/genc/view?v=862370&amp;end_month=12&amp;end_day=31&amp;end_year=2016","Correlation")</f>
        <v>Correlation</v>
      </c>
    </row>
    <row r="226" spans="1:13" x14ac:dyDescent="0.2">
      <c r="A226" s="113"/>
      <c r="B226" s="58" t="s">
        <v>1887</v>
      </c>
      <c r="C226" s="58" t="s">
        <v>1796</v>
      </c>
      <c r="D226" s="58" t="s">
        <v>1888</v>
      </c>
      <c r="E226" s="60" t="b">
        <v>1</v>
      </c>
      <c r="F226" s="80" t="s">
        <v>228</v>
      </c>
      <c r="G226" s="58" t="s">
        <v>1887</v>
      </c>
      <c r="H226" s="58" t="s">
        <v>1798</v>
      </c>
      <c r="I226" s="64" t="s">
        <v>1888</v>
      </c>
      <c r="J226" s="66"/>
      <c r="K226" s="66"/>
      <c r="L226" s="68"/>
      <c r="M226" s="63" t="str">
        <f>HYPERLINK("http://nsgreg.nga.mil/genc/view?v=862371&amp;end_month=12&amp;end_day=31&amp;end_year=2016","Correlation")</f>
        <v>Correlation</v>
      </c>
    </row>
    <row r="227" spans="1:13" x14ac:dyDescent="0.2">
      <c r="A227" s="113"/>
      <c r="B227" s="58" t="s">
        <v>1889</v>
      </c>
      <c r="C227" s="58" t="s">
        <v>1796</v>
      </c>
      <c r="D227" s="58" t="s">
        <v>1890</v>
      </c>
      <c r="E227" s="60" t="b">
        <v>1</v>
      </c>
      <c r="F227" s="80" t="s">
        <v>228</v>
      </c>
      <c r="G227" s="58" t="s">
        <v>1889</v>
      </c>
      <c r="H227" s="58" t="s">
        <v>1798</v>
      </c>
      <c r="I227" s="64" t="s">
        <v>1890</v>
      </c>
      <c r="J227" s="66"/>
      <c r="K227" s="66"/>
      <c r="L227" s="68"/>
      <c r="M227" s="63" t="str">
        <f>HYPERLINK("http://nsgreg.nga.mil/genc/view?v=862372&amp;end_month=12&amp;end_day=31&amp;end_year=2016","Correlation")</f>
        <v>Correlation</v>
      </c>
    </row>
    <row r="228" spans="1:13" x14ac:dyDescent="0.2">
      <c r="A228" s="113"/>
      <c r="B228" s="58" t="s">
        <v>1891</v>
      </c>
      <c r="C228" s="58" t="s">
        <v>1796</v>
      </c>
      <c r="D228" s="58" t="s">
        <v>1892</v>
      </c>
      <c r="E228" s="60" t="b">
        <v>1</v>
      </c>
      <c r="F228" s="80" t="s">
        <v>228</v>
      </c>
      <c r="G228" s="58" t="s">
        <v>1891</v>
      </c>
      <c r="H228" s="58" t="s">
        <v>1798</v>
      </c>
      <c r="I228" s="64" t="s">
        <v>1892</v>
      </c>
      <c r="J228" s="66"/>
      <c r="K228" s="66"/>
      <c r="L228" s="68"/>
      <c r="M228" s="63" t="str">
        <f>HYPERLINK("http://nsgreg.nga.mil/genc/view?v=862375&amp;end_month=12&amp;end_day=31&amp;end_year=2016","Correlation")</f>
        <v>Correlation</v>
      </c>
    </row>
    <row r="229" spans="1:13" x14ac:dyDescent="0.2">
      <c r="A229" s="113"/>
      <c r="B229" s="58" t="s">
        <v>1893</v>
      </c>
      <c r="C229" s="58" t="s">
        <v>1796</v>
      </c>
      <c r="D229" s="58" t="s">
        <v>1894</v>
      </c>
      <c r="E229" s="60" t="b">
        <v>1</v>
      </c>
      <c r="F229" s="80" t="s">
        <v>228</v>
      </c>
      <c r="G229" s="58" t="s">
        <v>1893</v>
      </c>
      <c r="H229" s="58" t="s">
        <v>1798</v>
      </c>
      <c r="I229" s="64" t="s">
        <v>1894</v>
      </c>
      <c r="J229" s="66"/>
      <c r="K229" s="66"/>
      <c r="L229" s="68"/>
      <c r="M229" s="63" t="str">
        <f>HYPERLINK("http://nsgreg.nga.mil/genc/view?v=862373&amp;end_month=12&amp;end_day=31&amp;end_year=2016","Correlation")</f>
        <v>Correlation</v>
      </c>
    </row>
    <row r="230" spans="1:13" x14ac:dyDescent="0.2">
      <c r="A230" s="113"/>
      <c r="B230" s="58" t="s">
        <v>1895</v>
      </c>
      <c r="C230" s="58" t="s">
        <v>1796</v>
      </c>
      <c r="D230" s="58" t="s">
        <v>1896</v>
      </c>
      <c r="E230" s="60" t="b">
        <v>1</v>
      </c>
      <c r="F230" s="80" t="s">
        <v>228</v>
      </c>
      <c r="G230" s="58" t="s">
        <v>1895</v>
      </c>
      <c r="H230" s="58" t="s">
        <v>1798</v>
      </c>
      <c r="I230" s="64" t="s">
        <v>1896</v>
      </c>
      <c r="J230" s="66"/>
      <c r="K230" s="66"/>
      <c r="L230" s="68"/>
      <c r="M230" s="63" t="str">
        <f>HYPERLINK("http://nsgreg.nga.mil/genc/view?v=862374&amp;end_month=12&amp;end_day=31&amp;end_year=2016","Correlation")</f>
        <v>Correlation</v>
      </c>
    </row>
    <row r="231" spans="1:13" x14ac:dyDescent="0.2">
      <c r="A231" s="113"/>
      <c r="B231" s="58" t="s">
        <v>1897</v>
      </c>
      <c r="C231" s="58" t="s">
        <v>1796</v>
      </c>
      <c r="D231" s="58" t="s">
        <v>1898</v>
      </c>
      <c r="E231" s="60" t="b">
        <v>1</v>
      </c>
      <c r="F231" s="80" t="s">
        <v>228</v>
      </c>
      <c r="G231" s="58" t="s">
        <v>1897</v>
      </c>
      <c r="H231" s="58" t="s">
        <v>1798</v>
      </c>
      <c r="I231" s="64" t="s">
        <v>1898</v>
      </c>
      <c r="J231" s="66"/>
      <c r="K231" s="66"/>
      <c r="L231" s="68"/>
      <c r="M231" s="63" t="str">
        <f>HYPERLINK("http://nsgreg.nga.mil/genc/view?v=862376&amp;end_month=12&amp;end_day=31&amp;end_year=2016","Correlation")</f>
        <v>Correlation</v>
      </c>
    </row>
    <row r="232" spans="1:13" x14ac:dyDescent="0.2">
      <c r="A232" s="113"/>
      <c r="B232" s="58" t="s">
        <v>1899</v>
      </c>
      <c r="C232" s="58" t="s">
        <v>1796</v>
      </c>
      <c r="D232" s="58" t="s">
        <v>1900</v>
      </c>
      <c r="E232" s="60" t="b">
        <v>1</v>
      </c>
      <c r="F232" s="80" t="s">
        <v>228</v>
      </c>
      <c r="G232" s="58" t="s">
        <v>1899</v>
      </c>
      <c r="H232" s="58" t="s">
        <v>1798</v>
      </c>
      <c r="I232" s="64" t="s">
        <v>1900</v>
      </c>
      <c r="J232" s="66"/>
      <c r="K232" s="66"/>
      <c r="L232" s="68"/>
      <c r="M232" s="63" t="str">
        <f>HYPERLINK("http://nsgreg.nga.mil/genc/view?v=862384&amp;end_month=12&amp;end_day=31&amp;end_year=2016","Correlation")</f>
        <v>Correlation</v>
      </c>
    </row>
    <row r="233" spans="1:13" x14ac:dyDescent="0.2">
      <c r="A233" s="113"/>
      <c r="B233" s="58" t="s">
        <v>1901</v>
      </c>
      <c r="C233" s="58" t="s">
        <v>1796</v>
      </c>
      <c r="D233" s="58" t="s">
        <v>1902</v>
      </c>
      <c r="E233" s="60" t="b">
        <v>1</v>
      </c>
      <c r="F233" s="80" t="s">
        <v>228</v>
      </c>
      <c r="G233" s="58" t="s">
        <v>1901</v>
      </c>
      <c r="H233" s="58" t="s">
        <v>1798</v>
      </c>
      <c r="I233" s="64" t="s">
        <v>1902</v>
      </c>
      <c r="J233" s="66"/>
      <c r="K233" s="66"/>
      <c r="L233" s="68"/>
      <c r="M233" s="63" t="str">
        <f>HYPERLINK("http://nsgreg.nga.mil/genc/view?v=862378&amp;end_month=12&amp;end_day=31&amp;end_year=2016","Correlation")</f>
        <v>Correlation</v>
      </c>
    </row>
    <row r="234" spans="1:13" x14ac:dyDescent="0.2">
      <c r="A234" s="113"/>
      <c r="B234" s="58" t="s">
        <v>1903</v>
      </c>
      <c r="C234" s="58" t="s">
        <v>1796</v>
      </c>
      <c r="D234" s="58" t="s">
        <v>1904</v>
      </c>
      <c r="E234" s="60" t="b">
        <v>1</v>
      </c>
      <c r="F234" s="80" t="s">
        <v>228</v>
      </c>
      <c r="G234" s="58" t="s">
        <v>1903</v>
      </c>
      <c r="H234" s="58" t="s">
        <v>1798</v>
      </c>
      <c r="I234" s="64" t="s">
        <v>1904</v>
      </c>
      <c r="J234" s="66"/>
      <c r="K234" s="66"/>
      <c r="L234" s="68"/>
      <c r="M234" s="63" t="str">
        <f>HYPERLINK("http://nsgreg.nga.mil/genc/view?v=862385&amp;end_month=12&amp;end_day=31&amp;end_year=2016","Correlation")</f>
        <v>Correlation</v>
      </c>
    </row>
    <row r="235" spans="1:13" x14ac:dyDescent="0.2">
      <c r="A235" s="113"/>
      <c r="B235" s="58" t="s">
        <v>1905</v>
      </c>
      <c r="C235" s="58" t="s">
        <v>1796</v>
      </c>
      <c r="D235" s="58" t="s">
        <v>1906</v>
      </c>
      <c r="E235" s="60" t="b">
        <v>1</v>
      </c>
      <c r="F235" s="80" t="s">
        <v>228</v>
      </c>
      <c r="G235" s="58" t="s">
        <v>1907</v>
      </c>
      <c r="H235" s="58" t="s">
        <v>1798</v>
      </c>
      <c r="I235" s="64" t="s">
        <v>1906</v>
      </c>
      <c r="J235" s="66"/>
      <c r="K235" s="66"/>
      <c r="L235" s="68"/>
      <c r="M235" s="63" t="str">
        <f>HYPERLINK("http://nsgreg.nga.mil/genc/view?v=862379&amp;end_month=12&amp;end_day=31&amp;end_year=2016","Correlation")</f>
        <v>Correlation</v>
      </c>
    </row>
    <row r="236" spans="1:13" x14ac:dyDescent="0.2">
      <c r="A236" s="113"/>
      <c r="B236" s="58" t="s">
        <v>1908</v>
      </c>
      <c r="C236" s="58" t="s">
        <v>1796</v>
      </c>
      <c r="D236" s="58" t="s">
        <v>1909</v>
      </c>
      <c r="E236" s="60" t="b">
        <v>1</v>
      </c>
      <c r="F236" s="80" t="s">
        <v>228</v>
      </c>
      <c r="G236" s="58" t="s">
        <v>1908</v>
      </c>
      <c r="H236" s="58" t="s">
        <v>1798</v>
      </c>
      <c r="I236" s="64" t="s">
        <v>1909</v>
      </c>
      <c r="J236" s="66"/>
      <c r="K236" s="66"/>
      <c r="L236" s="68"/>
      <c r="M236" s="63" t="str">
        <f>HYPERLINK("http://nsgreg.nga.mil/genc/view?v=862380&amp;end_month=12&amp;end_day=31&amp;end_year=2016","Correlation")</f>
        <v>Correlation</v>
      </c>
    </row>
    <row r="237" spans="1:13" x14ac:dyDescent="0.2">
      <c r="A237" s="113"/>
      <c r="B237" s="58" t="s">
        <v>1910</v>
      </c>
      <c r="C237" s="58" t="s">
        <v>1681</v>
      </c>
      <c r="D237" s="58" t="s">
        <v>1911</v>
      </c>
      <c r="E237" s="60" t="b">
        <v>1</v>
      </c>
      <c r="F237" s="80" t="s">
        <v>228</v>
      </c>
      <c r="G237" s="58" t="s">
        <v>1912</v>
      </c>
      <c r="H237" s="58" t="s">
        <v>1816</v>
      </c>
      <c r="I237" s="64" t="s">
        <v>1911</v>
      </c>
      <c r="J237" s="66"/>
      <c r="K237" s="66"/>
      <c r="L237" s="68"/>
      <c r="M237" s="63" t="str">
        <f>HYPERLINK("http://nsgreg.nga.mil/genc/view?v=862377&amp;end_month=12&amp;end_day=31&amp;end_year=2016","Correlation")</f>
        <v>Correlation</v>
      </c>
    </row>
    <row r="238" spans="1:13" x14ac:dyDescent="0.2">
      <c r="A238" s="113"/>
      <c r="B238" s="58" t="s">
        <v>1910</v>
      </c>
      <c r="C238" s="58" t="s">
        <v>1796</v>
      </c>
      <c r="D238" s="58" t="s">
        <v>1913</v>
      </c>
      <c r="E238" s="60" t="b">
        <v>1</v>
      </c>
      <c r="F238" s="80" t="s">
        <v>228</v>
      </c>
      <c r="G238" s="58" t="s">
        <v>1912</v>
      </c>
      <c r="H238" s="58" t="s">
        <v>1798</v>
      </c>
      <c r="I238" s="64" t="s">
        <v>1913</v>
      </c>
      <c r="J238" s="66"/>
      <c r="K238" s="66"/>
      <c r="L238" s="68"/>
      <c r="M238" s="63" t="str">
        <f>HYPERLINK("http://nsgreg.nga.mil/genc/view?v=862381&amp;end_month=12&amp;end_day=31&amp;end_year=2016","Correlation")</f>
        <v>Correlation</v>
      </c>
    </row>
    <row r="239" spans="1:13" x14ac:dyDescent="0.2">
      <c r="A239" s="113"/>
      <c r="B239" s="58" t="s">
        <v>1914</v>
      </c>
      <c r="C239" s="58" t="s">
        <v>1796</v>
      </c>
      <c r="D239" s="58" t="s">
        <v>1915</v>
      </c>
      <c r="E239" s="60" t="b">
        <v>1</v>
      </c>
      <c r="F239" s="80" t="s">
        <v>228</v>
      </c>
      <c r="G239" s="58" t="s">
        <v>1914</v>
      </c>
      <c r="H239" s="58" t="s">
        <v>1798</v>
      </c>
      <c r="I239" s="64" t="s">
        <v>1915</v>
      </c>
      <c r="J239" s="66"/>
      <c r="K239" s="66"/>
      <c r="L239" s="68"/>
      <c r="M239" s="63" t="str">
        <f>HYPERLINK("http://nsgreg.nga.mil/genc/view?v=862382&amp;end_month=12&amp;end_day=31&amp;end_year=2016","Correlation")</f>
        <v>Correlation</v>
      </c>
    </row>
    <row r="240" spans="1:13" x14ac:dyDescent="0.2">
      <c r="A240" s="113"/>
      <c r="B240" s="58" t="s">
        <v>1916</v>
      </c>
      <c r="C240" s="58" t="s">
        <v>1796</v>
      </c>
      <c r="D240" s="58" t="s">
        <v>1917</v>
      </c>
      <c r="E240" s="60" t="b">
        <v>1</v>
      </c>
      <c r="F240" s="80" t="s">
        <v>228</v>
      </c>
      <c r="G240" s="58" t="s">
        <v>1916</v>
      </c>
      <c r="H240" s="58" t="s">
        <v>1798</v>
      </c>
      <c r="I240" s="64" t="s">
        <v>1917</v>
      </c>
      <c r="J240" s="66"/>
      <c r="K240" s="66"/>
      <c r="L240" s="68"/>
      <c r="M240" s="63" t="str">
        <f>HYPERLINK("http://nsgreg.nga.mil/genc/view?v=862389&amp;end_month=12&amp;end_day=31&amp;end_year=2016","Correlation")</f>
        <v>Correlation</v>
      </c>
    </row>
    <row r="241" spans="1:13" x14ac:dyDescent="0.2">
      <c r="A241" s="113"/>
      <c r="B241" s="58" t="s">
        <v>1918</v>
      </c>
      <c r="C241" s="58" t="s">
        <v>1796</v>
      </c>
      <c r="D241" s="58" t="s">
        <v>1919</v>
      </c>
      <c r="E241" s="60" t="b">
        <v>1</v>
      </c>
      <c r="F241" s="80" t="s">
        <v>228</v>
      </c>
      <c r="G241" s="58" t="s">
        <v>1920</v>
      </c>
      <c r="H241" s="58" t="s">
        <v>1798</v>
      </c>
      <c r="I241" s="64" t="s">
        <v>1919</v>
      </c>
      <c r="J241" s="66"/>
      <c r="K241" s="66"/>
      <c r="L241" s="68"/>
      <c r="M241" s="63" t="str">
        <f>HYPERLINK("http://nsgreg.nga.mil/genc/view?v=862387&amp;end_month=12&amp;end_day=31&amp;end_year=2016","Correlation")</f>
        <v>Correlation</v>
      </c>
    </row>
    <row r="242" spans="1:13" x14ac:dyDescent="0.2">
      <c r="A242" s="113"/>
      <c r="B242" s="58" t="s">
        <v>1921</v>
      </c>
      <c r="C242" s="58" t="s">
        <v>1796</v>
      </c>
      <c r="D242" s="58" t="s">
        <v>1922</v>
      </c>
      <c r="E242" s="60" t="b">
        <v>1</v>
      </c>
      <c r="F242" s="80" t="s">
        <v>228</v>
      </c>
      <c r="G242" s="58" t="s">
        <v>1921</v>
      </c>
      <c r="H242" s="58" t="s">
        <v>1798</v>
      </c>
      <c r="I242" s="64" t="s">
        <v>1922</v>
      </c>
      <c r="J242" s="66"/>
      <c r="K242" s="66"/>
      <c r="L242" s="68"/>
      <c r="M242" s="63" t="str">
        <f>HYPERLINK("http://nsgreg.nga.mil/genc/view?v=862390&amp;end_month=12&amp;end_day=31&amp;end_year=2016","Correlation")</f>
        <v>Correlation</v>
      </c>
    </row>
    <row r="243" spans="1:13" x14ac:dyDescent="0.2">
      <c r="A243" s="113"/>
      <c r="B243" s="58" t="s">
        <v>1923</v>
      </c>
      <c r="C243" s="58" t="s">
        <v>1796</v>
      </c>
      <c r="D243" s="58" t="s">
        <v>1924</v>
      </c>
      <c r="E243" s="60" t="b">
        <v>1</v>
      </c>
      <c r="F243" s="80" t="s">
        <v>228</v>
      </c>
      <c r="G243" s="58" t="s">
        <v>1925</v>
      </c>
      <c r="H243" s="58" t="s">
        <v>1798</v>
      </c>
      <c r="I243" s="64" t="s">
        <v>1924</v>
      </c>
      <c r="J243" s="66"/>
      <c r="K243" s="66"/>
      <c r="L243" s="68"/>
      <c r="M243" s="63" t="str">
        <f>HYPERLINK("http://nsgreg.nga.mil/genc/view?v=862383&amp;end_month=12&amp;end_day=31&amp;end_year=2016","Correlation")</f>
        <v>Correlation</v>
      </c>
    </row>
    <row r="244" spans="1:13" x14ac:dyDescent="0.2">
      <c r="A244" s="113"/>
      <c r="B244" s="58" t="s">
        <v>1926</v>
      </c>
      <c r="C244" s="58" t="s">
        <v>1681</v>
      </c>
      <c r="D244" s="58" t="s">
        <v>1927</v>
      </c>
      <c r="E244" s="60" t="b">
        <v>1</v>
      </c>
      <c r="F244" s="80" t="s">
        <v>228</v>
      </c>
      <c r="G244" s="58" t="s">
        <v>1926</v>
      </c>
      <c r="H244" s="58" t="s">
        <v>1816</v>
      </c>
      <c r="I244" s="64" t="s">
        <v>1927</v>
      </c>
      <c r="J244" s="66"/>
      <c r="K244" s="66"/>
      <c r="L244" s="68"/>
      <c r="M244" s="63" t="str">
        <f>HYPERLINK("http://nsgreg.nga.mil/genc/view?v=862391&amp;end_month=12&amp;end_day=31&amp;end_year=2016","Correlation")</f>
        <v>Correlation</v>
      </c>
    </row>
    <row r="245" spans="1:13" x14ac:dyDescent="0.2">
      <c r="A245" s="113"/>
      <c r="B245" s="58" t="s">
        <v>1928</v>
      </c>
      <c r="C245" s="58" t="s">
        <v>1796</v>
      </c>
      <c r="D245" s="58" t="s">
        <v>1929</v>
      </c>
      <c r="E245" s="60" t="b">
        <v>1</v>
      </c>
      <c r="F245" s="80" t="s">
        <v>228</v>
      </c>
      <c r="G245" s="58" t="s">
        <v>1930</v>
      </c>
      <c r="H245" s="58" t="s">
        <v>1798</v>
      </c>
      <c r="I245" s="64" t="s">
        <v>1929</v>
      </c>
      <c r="J245" s="66"/>
      <c r="K245" s="66"/>
      <c r="L245" s="68"/>
      <c r="M245" s="63" t="str">
        <f>HYPERLINK("http://nsgreg.nga.mil/genc/view?v=862386&amp;end_month=12&amp;end_day=31&amp;end_year=2016","Correlation")</f>
        <v>Correlation</v>
      </c>
    </row>
    <row r="246" spans="1:13" x14ac:dyDescent="0.2">
      <c r="A246" s="113"/>
      <c r="B246" s="58" t="s">
        <v>1931</v>
      </c>
      <c r="C246" s="58" t="s">
        <v>1681</v>
      </c>
      <c r="D246" s="58" t="s">
        <v>1932</v>
      </c>
      <c r="E246" s="60" t="b">
        <v>1</v>
      </c>
      <c r="F246" s="80" t="s">
        <v>228</v>
      </c>
      <c r="G246" s="58" t="s">
        <v>1931</v>
      </c>
      <c r="H246" s="58" t="s">
        <v>1816</v>
      </c>
      <c r="I246" s="64" t="s">
        <v>1932</v>
      </c>
      <c r="J246" s="66"/>
      <c r="K246" s="66"/>
      <c r="L246" s="68"/>
      <c r="M246" s="63" t="str">
        <f>HYPERLINK("http://nsgreg.nga.mil/genc/view?v=862388&amp;end_month=12&amp;end_day=31&amp;end_year=2016","Correlation")</f>
        <v>Correlation</v>
      </c>
    </row>
    <row r="247" spans="1:13" x14ac:dyDescent="0.2">
      <c r="A247" s="113"/>
      <c r="B247" s="58" t="s">
        <v>1933</v>
      </c>
      <c r="C247" s="58" t="s">
        <v>1796</v>
      </c>
      <c r="D247" s="58" t="s">
        <v>1934</v>
      </c>
      <c r="E247" s="60" t="b">
        <v>1</v>
      </c>
      <c r="F247" s="80" t="s">
        <v>228</v>
      </c>
      <c r="G247" s="58" t="s">
        <v>1933</v>
      </c>
      <c r="H247" s="58" t="s">
        <v>1798</v>
      </c>
      <c r="I247" s="64" t="s">
        <v>1934</v>
      </c>
      <c r="J247" s="66"/>
      <c r="K247" s="66"/>
      <c r="L247" s="68"/>
      <c r="M247" s="63" t="str">
        <f>HYPERLINK("http://nsgreg.nga.mil/genc/view?v=862392&amp;end_month=12&amp;end_day=31&amp;end_year=2016","Correlation")</f>
        <v>Correlation</v>
      </c>
    </row>
    <row r="248" spans="1:13" x14ac:dyDescent="0.2">
      <c r="A248" s="113"/>
      <c r="B248" s="58" t="s">
        <v>1935</v>
      </c>
      <c r="C248" s="58" t="s">
        <v>1796</v>
      </c>
      <c r="D248" s="58" t="s">
        <v>1936</v>
      </c>
      <c r="E248" s="60" t="b">
        <v>1</v>
      </c>
      <c r="F248" s="80" t="s">
        <v>228</v>
      </c>
      <c r="G248" s="58" t="s">
        <v>1937</v>
      </c>
      <c r="H248" s="58" t="s">
        <v>1798</v>
      </c>
      <c r="I248" s="64" t="s">
        <v>1936</v>
      </c>
      <c r="J248" s="66"/>
      <c r="K248" s="66"/>
      <c r="L248" s="68"/>
      <c r="M248" s="63" t="str">
        <f>HYPERLINK("http://nsgreg.nga.mil/genc/view?v=862393&amp;end_month=12&amp;end_day=31&amp;end_year=2016","Correlation")</f>
        <v>Correlation</v>
      </c>
    </row>
    <row r="249" spans="1:13" x14ac:dyDescent="0.2">
      <c r="A249" s="113"/>
      <c r="B249" s="58" t="s">
        <v>1938</v>
      </c>
      <c r="C249" s="58" t="s">
        <v>1796</v>
      </c>
      <c r="D249" s="58" t="s">
        <v>1939</v>
      </c>
      <c r="E249" s="60" t="b">
        <v>1</v>
      </c>
      <c r="F249" s="80" t="s">
        <v>228</v>
      </c>
      <c r="G249" s="58" t="s">
        <v>1938</v>
      </c>
      <c r="H249" s="58" t="s">
        <v>1798</v>
      </c>
      <c r="I249" s="64" t="s">
        <v>1939</v>
      </c>
      <c r="J249" s="66"/>
      <c r="K249" s="66"/>
      <c r="L249" s="68"/>
      <c r="M249" s="63" t="str">
        <f>HYPERLINK("http://nsgreg.nga.mil/genc/view?v=862394&amp;end_month=12&amp;end_day=31&amp;end_year=2016","Correlation")</f>
        <v>Correlation</v>
      </c>
    </row>
    <row r="250" spans="1:13" x14ac:dyDescent="0.2">
      <c r="A250" s="113"/>
      <c r="B250" s="58" t="s">
        <v>1940</v>
      </c>
      <c r="C250" s="58" t="s">
        <v>1796</v>
      </c>
      <c r="D250" s="58" t="s">
        <v>1941</v>
      </c>
      <c r="E250" s="60" t="b">
        <v>1</v>
      </c>
      <c r="F250" s="80" t="s">
        <v>228</v>
      </c>
      <c r="G250" s="58" t="s">
        <v>1940</v>
      </c>
      <c r="H250" s="58" t="s">
        <v>1798</v>
      </c>
      <c r="I250" s="64" t="s">
        <v>1941</v>
      </c>
      <c r="J250" s="66"/>
      <c r="K250" s="66"/>
      <c r="L250" s="68"/>
      <c r="M250" s="63" t="str">
        <f>HYPERLINK("http://nsgreg.nga.mil/genc/view?v=862395&amp;end_month=12&amp;end_day=31&amp;end_year=2016","Correlation")</f>
        <v>Correlation</v>
      </c>
    </row>
    <row r="251" spans="1:13" x14ac:dyDescent="0.2">
      <c r="A251" s="113"/>
      <c r="B251" s="58" t="s">
        <v>1942</v>
      </c>
      <c r="C251" s="58" t="s">
        <v>1796</v>
      </c>
      <c r="D251" s="58" t="s">
        <v>1943</v>
      </c>
      <c r="E251" s="60" t="b">
        <v>1</v>
      </c>
      <c r="F251" s="80" t="s">
        <v>228</v>
      </c>
      <c r="G251" s="58" t="s">
        <v>1942</v>
      </c>
      <c r="H251" s="58" t="s">
        <v>1798</v>
      </c>
      <c r="I251" s="64" t="s">
        <v>1943</v>
      </c>
      <c r="J251" s="66"/>
      <c r="K251" s="66"/>
      <c r="L251" s="68"/>
      <c r="M251" s="63" t="str">
        <f>HYPERLINK("http://nsgreg.nga.mil/genc/view?v=862397&amp;end_month=12&amp;end_day=31&amp;end_year=2016","Correlation")</f>
        <v>Correlation</v>
      </c>
    </row>
    <row r="252" spans="1:13" x14ac:dyDescent="0.2">
      <c r="A252" s="113"/>
      <c r="B252" s="58" t="s">
        <v>1944</v>
      </c>
      <c r="C252" s="58" t="s">
        <v>1681</v>
      </c>
      <c r="D252" s="58" t="s">
        <v>1945</v>
      </c>
      <c r="E252" s="60" t="b">
        <v>1</v>
      </c>
      <c r="F252" s="80" t="s">
        <v>228</v>
      </c>
      <c r="G252" s="58" t="s">
        <v>1946</v>
      </c>
      <c r="H252" s="58" t="s">
        <v>1816</v>
      </c>
      <c r="I252" s="64" t="s">
        <v>1945</v>
      </c>
      <c r="J252" s="66"/>
      <c r="K252" s="66"/>
      <c r="L252" s="68"/>
      <c r="M252" s="63" t="str">
        <f>HYPERLINK("http://nsgreg.nga.mil/genc/view?v=862396&amp;end_month=12&amp;end_day=31&amp;end_year=2016","Correlation")</f>
        <v>Correlation</v>
      </c>
    </row>
    <row r="253" spans="1:13" x14ac:dyDescent="0.2">
      <c r="A253" s="113"/>
      <c r="B253" s="58" t="s">
        <v>1947</v>
      </c>
      <c r="C253" s="58" t="s">
        <v>1796</v>
      </c>
      <c r="D253" s="58" t="s">
        <v>1948</v>
      </c>
      <c r="E253" s="60" t="b">
        <v>1</v>
      </c>
      <c r="F253" s="80" t="s">
        <v>228</v>
      </c>
      <c r="G253" s="58" t="s">
        <v>1947</v>
      </c>
      <c r="H253" s="58" t="s">
        <v>1798</v>
      </c>
      <c r="I253" s="64" t="s">
        <v>1948</v>
      </c>
      <c r="J253" s="66"/>
      <c r="K253" s="66"/>
      <c r="L253" s="68"/>
      <c r="M253" s="63" t="str">
        <f>HYPERLINK("http://nsgreg.nga.mil/genc/view?v=862399&amp;end_month=12&amp;end_day=31&amp;end_year=2016","Correlation")</f>
        <v>Correlation</v>
      </c>
    </row>
    <row r="254" spans="1:13" x14ac:dyDescent="0.2">
      <c r="A254" s="113"/>
      <c r="B254" s="58" t="s">
        <v>1949</v>
      </c>
      <c r="C254" s="58" t="s">
        <v>1796</v>
      </c>
      <c r="D254" s="58" t="s">
        <v>1950</v>
      </c>
      <c r="E254" s="60" t="b">
        <v>1</v>
      </c>
      <c r="F254" s="80" t="s">
        <v>228</v>
      </c>
      <c r="G254" s="58" t="s">
        <v>1949</v>
      </c>
      <c r="H254" s="58" t="s">
        <v>1798</v>
      </c>
      <c r="I254" s="64" t="s">
        <v>1950</v>
      </c>
      <c r="J254" s="66"/>
      <c r="K254" s="66"/>
      <c r="L254" s="68"/>
      <c r="M254" s="63" t="str">
        <f>HYPERLINK("http://nsgreg.nga.mil/genc/view?v=862398&amp;end_month=12&amp;end_day=31&amp;end_year=2016","Correlation")</f>
        <v>Correlation</v>
      </c>
    </row>
    <row r="255" spans="1:13" x14ac:dyDescent="0.2">
      <c r="A255" s="113"/>
      <c r="B255" s="58" t="s">
        <v>1951</v>
      </c>
      <c r="C255" s="58" t="s">
        <v>1796</v>
      </c>
      <c r="D255" s="58" t="s">
        <v>1952</v>
      </c>
      <c r="E255" s="60" t="b">
        <v>1</v>
      </c>
      <c r="F255" s="80" t="s">
        <v>228</v>
      </c>
      <c r="G255" s="58" t="s">
        <v>1953</v>
      </c>
      <c r="H255" s="58" t="s">
        <v>1798</v>
      </c>
      <c r="I255" s="64" t="s">
        <v>1952</v>
      </c>
      <c r="J255" s="66"/>
      <c r="K255" s="66"/>
      <c r="L255" s="68"/>
      <c r="M255" s="63" t="str">
        <f>HYPERLINK("http://nsgreg.nga.mil/genc/view?v=862400&amp;end_month=12&amp;end_day=31&amp;end_year=2016","Correlation")</f>
        <v>Correlation</v>
      </c>
    </row>
    <row r="256" spans="1:13" x14ac:dyDescent="0.2">
      <c r="A256" s="113"/>
      <c r="B256" s="58" t="s">
        <v>1954</v>
      </c>
      <c r="C256" s="58" t="s">
        <v>1796</v>
      </c>
      <c r="D256" s="58" t="s">
        <v>1955</v>
      </c>
      <c r="E256" s="60" t="b">
        <v>1</v>
      </c>
      <c r="F256" s="80" t="s">
        <v>228</v>
      </c>
      <c r="G256" s="58" t="s">
        <v>1954</v>
      </c>
      <c r="H256" s="58" t="s">
        <v>1798</v>
      </c>
      <c r="I256" s="64" t="s">
        <v>1955</v>
      </c>
      <c r="J256" s="66"/>
      <c r="K256" s="66"/>
      <c r="L256" s="68"/>
      <c r="M256" s="63" t="str">
        <f>HYPERLINK("http://nsgreg.nga.mil/genc/view?v=862401&amp;end_month=12&amp;end_day=31&amp;end_year=2016","Correlation")</f>
        <v>Correlation</v>
      </c>
    </row>
    <row r="257" spans="1:13" x14ac:dyDescent="0.2">
      <c r="A257" s="113"/>
      <c r="B257" s="58" t="s">
        <v>1956</v>
      </c>
      <c r="C257" s="58" t="s">
        <v>1681</v>
      </c>
      <c r="D257" s="58" t="s">
        <v>1957</v>
      </c>
      <c r="E257" s="60" t="b">
        <v>1</v>
      </c>
      <c r="F257" s="80" t="s">
        <v>228</v>
      </c>
      <c r="G257" s="58" t="s">
        <v>1956</v>
      </c>
      <c r="H257" s="58" t="s">
        <v>1816</v>
      </c>
      <c r="I257" s="64" t="s">
        <v>1957</v>
      </c>
      <c r="J257" s="66"/>
      <c r="K257" s="66"/>
      <c r="L257" s="68"/>
      <c r="M257" s="63" t="str">
        <f>HYPERLINK("http://nsgreg.nga.mil/genc/view?v=862402&amp;end_month=12&amp;end_day=31&amp;end_year=2016","Correlation")</f>
        <v>Correlation</v>
      </c>
    </row>
    <row r="258" spans="1:13" x14ac:dyDescent="0.2">
      <c r="A258" s="113"/>
      <c r="B258" s="58" t="s">
        <v>1956</v>
      </c>
      <c r="C258" s="58" t="s">
        <v>1796</v>
      </c>
      <c r="D258" s="58" t="s">
        <v>1958</v>
      </c>
      <c r="E258" s="60" t="b">
        <v>1</v>
      </c>
      <c r="F258" s="80" t="s">
        <v>228</v>
      </c>
      <c r="G258" s="58" t="s">
        <v>1956</v>
      </c>
      <c r="H258" s="58" t="s">
        <v>1798</v>
      </c>
      <c r="I258" s="64" t="s">
        <v>1958</v>
      </c>
      <c r="J258" s="66"/>
      <c r="K258" s="66"/>
      <c r="L258" s="68"/>
      <c r="M258" s="63" t="str">
        <f>HYPERLINK("http://nsgreg.nga.mil/genc/view?v=862403&amp;end_month=12&amp;end_day=31&amp;end_year=2016","Correlation")</f>
        <v>Correlation</v>
      </c>
    </row>
    <row r="259" spans="1:13" x14ac:dyDescent="0.2">
      <c r="A259" s="113"/>
      <c r="B259" s="58" t="s">
        <v>1959</v>
      </c>
      <c r="C259" s="58" t="s">
        <v>1796</v>
      </c>
      <c r="D259" s="58" t="s">
        <v>1960</v>
      </c>
      <c r="E259" s="60" t="b">
        <v>1</v>
      </c>
      <c r="F259" s="80" t="s">
        <v>228</v>
      </c>
      <c r="G259" s="58" t="s">
        <v>1961</v>
      </c>
      <c r="H259" s="58" t="s">
        <v>1798</v>
      </c>
      <c r="I259" s="64" t="s">
        <v>1960</v>
      </c>
      <c r="J259" s="66"/>
      <c r="K259" s="66"/>
      <c r="L259" s="68"/>
      <c r="M259" s="63" t="str">
        <f>HYPERLINK("http://nsgreg.nga.mil/genc/view?v=862404&amp;end_month=12&amp;end_day=31&amp;end_year=2016","Correlation")</f>
        <v>Correlation</v>
      </c>
    </row>
    <row r="260" spans="1:13" x14ac:dyDescent="0.2">
      <c r="A260" s="113"/>
      <c r="B260" s="58" t="s">
        <v>1962</v>
      </c>
      <c r="C260" s="58" t="s">
        <v>1796</v>
      </c>
      <c r="D260" s="58" t="s">
        <v>1963</v>
      </c>
      <c r="E260" s="60" t="b">
        <v>1</v>
      </c>
      <c r="F260" s="80" t="s">
        <v>228</v>
      </c>
      <c r="G260" s="58" t="s">
        <v>1962</v>
      </c>
      <c r="H260" s="58" t="s">
        <v>1798</v>
      </c>
      <c r="I260" s="64" t="s">
        <v>1963</v>
      </c>
      <c r="J260" s="66"/>
      <c r="K260" s="66"/>
      <c r="L260" s="68"/>
      <c r="M260" s="63" t="str">
        <f>HYPERLINK("http://nsgreg.nga.mil/genc/view?v=862405&amp;end_month=12&amp;end_day=31&amp;end_year=2016","Correlation")</f>
        <v>Correlation</v>
      </c>
    </row>
    <row r="261" spans="1:13" x14ac:dyDescent="0.2">
      <c r="A261" s="114"/>
      <c r="B261" s="71" t="s">
        <v>1964</v>
      </c>
      <c r="C261" s="71" t="s">
        <v>1796</v>
      </c>
      <c r="D261" s="71" t="s">
        <v>1965</v>
      </c>
      <c r="E261" s="73" t="b">
        <v>1</v>
      </c>
      <c r="F261" s="81" t="s">
        <v>228</v>
      </c>
      <c r="G261" s="71" t="s">
        <v>1966</v>
      </c>
      <c r="H261" s="71" t="s">
        <v>1798</v>
      </c>
      <c r="I261" s="74" t="s">
        <v>1965</v>
      </c>
      <c r="J261" s="76"/>
      <c r="K261" s="76"/>
      <c r="L261" s="82"/>
      <c r="M261" s="77" t="str">
        <f>HYPERLINK("http://nsgreg.nga.mil/genc/view?v=862406&amp;end_month=12&amp;end_day=31&amp;end_year=2016","Correlation")</f>
        <v>Correlation</v>
      </c>
    </row>
    <row r="262" spans="1:13" x14ac:dyDescent="0.2">
      <c r="A262" s="112" t="s">
        <v>232</v>
      </c>
      <c r="B262" s="50" t="s">
        <v>1967</v>
      </c>
      <c r="C262" s="50" t="s">
        <v>1796</v>
      </c>
      <c r="D262" s="50" t="s">
        <v>1968</v>
      </c>
      <c r="E262" s="52" t="b">
        <v>1</v>
      </c>
      <c r="F262" s="78" t="s">
        <v>236</v>
      </c>
      <c r="G262" s="50" t="s">
        <v>1967</v>
      </c>
      <c r="H262" s="50" t="s">
        <v>1796</v>
      </c>
      <c r="I262" s="53" t="s">
        <v>1968</v>
      </c>
      <c r="J262" s="55"/>
      <c r="K262" s="55"/>
      <c r="L262" s="79"/>
      <c r="M262" s="56" t="str">
        <f>HYPERLINK("http://nsgreg.nga.mil/genc/view?v=862680&amp;end_month=12&amp;end_day=31&amp;end_year=2016","Correlation")</f>
        <v>Correlation</v>
      </c>
    </row>
    <row r="263" spans="1:13" x14ac:dyDescent="0.2">
      <c r="A263" s="113"/>
      <c r="B263" s="58" t="s">
        <v>1969</v>
      </c>
      <c r="C263" s="58" t="s">
        <v>1796</v>
      </c>
      <c r="D263" s="58" t="s">
        <v>1970</v>
      </c>
      <c r="E263" s="60" t="b">
        <v>1</v>
      </c>
      <c r="F263" s="80" t="s">
        <v>236</v>
      </c>
      <c r="G263" s="58" t="s">
        <v>1969</v>
      </c>
      <c r="H263" s="58" t="s">
        <v>1796</v>
      </c>
      <c r="I263" s="64" t="s">
        <v>1970</v>
      </c>
      <c r="J263" s="66"/>
      <c r="K263" s="66"/>
      <c r="L263" s="68"/>
      <c r="M263" s="63" t="str">
        <f>HYPERLINK("http://nsgreg.nga.mil/genc/view?v=862683&amp;end_month=12&amp;end_day=31&amp;end_year=2016","Correlation")</f>
        <v>Correlation</v>
      </c>
    </row>
    <row r="264" spans="1:13" x14ac:dyDescent="0.2">
      <c r="A264" s="113"/>
      <c r="B264" s="58" t="s">
        <v>1971</v>
      </c>
      <c r="C264" s="58" t="s">
        <v>1796</v>
      </c>
      <c r="D264" s="58" t="s">
        <v>1972</v>
      </c>
      <c r="E264" s="60" t="b">
        <v>1</v>
      </c>
      <c r="F264" s="80" t="s">
        <v>236</v>
      </c>
      <c r="G264" s="58" t="s">
        <v>1971</v>
      </c>
      <c r="H264" s="58" t="s">
        <v>1796</v>
      </c>
      <c r="I264" s="64" t="s">
        <v>1972</v>
      </c>
      <c r="J264" s="66"/>
      <c r="K264" s="66"/>
      <c r="L264" s="68"/>
      <c r="M264" s="63" t="str">
        <f>HYPERLINK("http://nsgreg.nga.mil/genc/view?v=862681&amp;end_month=12&amp;end_day=31&amp;end_year=2016","Correlation")</f>
        <v>Correlation</v>
      </c>
    </row>
    <row r="265" spans="1:13" x14ac:dyDescent="0.2">
      <c r="A265" s="113"/>
      <c r="B265" s="58" t="s">
        <v>1973</v>
      </c>
      <c r="C265" s="58" t="s">
        <v>1796</v>
      </c>
      <c r="D265" s="58" t="s">
        <v>1974</v>
      </c>
      <c r="E265" s="60" t="b">
        <v>1</v>
      </c>
      <c r="F265" s="80" t="s">
        <v>236</v>
      </c>
      <c r="G265" s="58" t="s">
        <v>1973</v>
      </c>
      <c r="H265" s="58" t="s">
        <v>1796</v>
      </c>
      <c r="I265" s="64" t="s">
        <v>1974</v>
      </c>
      <c r="J265" s="66"/>
      <c r="K265" s="66"/>
      <c r="L265" s="68"/>
      <c r="M265" s="63" t="str">
        <f>HYPERLINK("http://nsgreg.nga.mil/genc/view?v=862682&amp;end_month=12&amp;end_day=31&amp;end_year=2016","Correlation")</f>
        <v>Correlation</v>
      </c>
    </row>
    <row r="266" spans="1:13" x14ac:dyDescent="0.2">
      <c r="A266" s="113"/>
      <c r="B266" s="58" t="s">
        <v>1975</v>
      </c>
      <c r="C266" s="58" t="s">
        <v>1796</v>
      </c>
      <c r="D266" s="58" t="s">
        <v>1976</v>
      </c>
      <c r="E266" s="60" t="b">
        <v>1</v>
      </c>
      <c r="F266" s="80" t="s">
        <v>236</v>
      </c>
      <c r="G266" s="58" t="s">
        <v>1975</v>
      </c>
      <c r="H266" s="58" t="s">
        <v>1796</v>
      </c>
      <c r="I266" s="64" t="s">
        <v>1976</v>
      </c>
      <c r="J266" s="66"/>
      <c r="K266" s="66"/>
      <c r="L266" s="68"/>
      <c r="M266" s="63" t="str">
        <f>HYPERLINK("http://nsgreg.nga.mil/genc/view?v=862685&amp;end_month=12&amp;end_day=31&amp;end_year=2016","Correlation")</f>
        <v>Correlation</v>
      </c>
    </row>
    <row r="267" spans="1:13" x14ac:dyDescent="0.2">
      <c r="A267" s="113"/>
      <c r="B267" s="58" t="s">
        <v>1977</v>
      </c>
      <c r="C267" s="58" t="s">
        <v>1796</v>
      </c>
      <c r="D267" s="58" t="s">
        <v>1978</v>
      </c>
      <c r="E267" s="60" t="b">
        <v>1</v>
      </c>
      <c r="F267" s="80" t="s">
        <v>236</v>
      </c>
      <c r="G267" s="58" t="s">
        <v>1977</v>
      </c>
      <c r="H267" s="58" t="s">
        <v>1796</v>
      </c>
      <c r="I267" s="64" t="s">
        <v>1978</v>
      </c>
      <c r="J267" s="66"/>
      <c r="K267" s="66"/>
      <c r="L267" s="68"/>
      <c r="M267" s="63" t="str">
        <f>HYPERLINK("http://nsgreg.nga.mil/genc/view?v=862687&amp;end_month=12&amp;end_day=31&amp;end_year=2016","Correlation")</f>
        <v>Correlation</v>
      </c>
    </row>
    <row r="268" spans="1:13" x14ac:dyDescent="0.2">
      <c r="A268" s="113"/>
      <c r="B268" s="58" t="s">
        <v>1979</v>
      </c>
      <c r="C268" s="58" t="s">
        <v>1796</v>
      </c>
      <c r="D268" s="58" t="s">
        <v>1980</v>
      </c>
      <c r="E268" s="60" t="b">
        <v>1</v>
      </c>
      <c r="F268" s="80" t="s">
        <v>236</v>
      </c>
      <c r="G268" s="58" t="s">
        <v>1979</v>
      </c>
      <c r="H268" s="58" t="s">
        <v>1796</v>
      </c>
      <c r="I268" s="64" t="s">
        <v>1980</v>
      </c>
      <c r="J268" s="66"/>
      <c r="K268" s="66"/>
      <c r="L268" s="68"/>
      <c r="M268" s="63" t="str">
        <f>HYPERLINK("http://nsgreg.nga.mil/genc/view?v=862688&amp;end_month=12&amp;end_day=31&amp;end_year=2016","Correlation")</f>
        <v>Correlation</v>
      </c>
    </row>
    <row r="269" spans="1:13" x14ac:dyDescent="0.2">
      <c r="A269" s="113"/>
      <c r="B269" s="58" t="s">
        <v>1981</v>
      </c>
      <c r="C269" s="58" t="s">
        <v>1796</v>
      </c>
      <c r="D269" s="58" t="s">
        <v>1982</v>
      </c>
      <c r="E269" s="60" t="b">
        <v>1</v>
      </c>
      <c r="F269" s="80" t="s">
        <v>236</v>
      </c>
      <c r="G269" s="58" t="s">
        <v>1981</v>
      </c>
      <c r="H269" s="58" t="s">
        <v>1796</v>
      </c>
      <c r="I269" s="64" t="s">
        <v>1982</v>
      </c>
      <c r="J269" s="66"/>
      <c r="K269" s="66"/>
      <c r="L269" s="68"/>
      <c r="M269" s="63" t="str">
        <f>HYPERLINK("http://nsgreg.nga.mil/genc/view?v=862684&amp;end_month=12&amp;end_day=31&amp;end_year=2016","Correlation")</f>
        <v>Correlation</v>
      </c>
    </row>
    <row r="270" spans="1:13" x14ac:dyDescent="0.2">
      <c r="A270" s="113"/>
      <c r="B270" s="58" t="s">
        <v>1983</v>
      </c>
      <c r="C270" s="58" t="s">
        <v>1796</v>
      </c>
      <c r="D270" s="58" t="s">
        <v>1984</v>
      </c>
      <c r="E270" s="60" t="b">
        <v>1</v>
      </c>
      <c r="F270" s="80" t="s">
        <v>236</v>
      </c>
      <c r="G270" s="58" t="s">
        <v>1983</v>
      </c>
      <c r="H270" s="58" t="s">
        <v>1796</v>
      </c>
      <c r="I270" s="64" t="s">
        <v>1984</v>
      </c>
      <c r="J270" s="66"/>
      <c r="K270" s="66"/>
      <c r="L270" s="68"/>
      <c r="M270" s="63" t="str">
        <f>HYPERLINK("http://nsgreg.nga.mil/genc/view?v=862691&amp;end_month=12&amp;end_day=31&amp;end_year=2016","Correlation")</f>
        <v>Correlation</v>
      </c>
    </row>
    <row r="271" spans="1:13" x14ac:dyDescent="0.2">
      <c r="A271" s="113"/>
      <c r="B271" s="58" t="s">
        <v>1985</v>
      </c>
      <c r="C271" s="58" t="s">
        <v>1796</v>
      </c>
      <c r="D271" s="58" t="s">
        <v>1986</v>
      </c>
      <c r="E271" s="60" t="b">
        <v>1</v>
      </c>
      <c r="F271" s="80" t="s">
        <v>236</v>
      </c>
      <c r="G271" s="58" t="s">
        <v>1985</v>
      </c>
      <c r="H271" s="58" t="s">
        <v>1796</v>
      </c>
      <c r="I271" s="64" t="s">
        <v>1986</v>
      </c>
      <c r="J271" s="66"/>
      <c r="K271" s="66"/>
      <c r="L271" s="68"/>
      <c r="M271" s="63" t="str">
        <f>HYPERLINK("http://nsgreg.nga.mil/genc/view?v=862686&amp;end_month=12&amp;end_day=31&amp;end_year=2016","Correlation")</f>
        <v>Correlation</v>
      </c>
    </row>
    <row r="272" spans="1:13" x14ac:dyDescent="0.2">
      <c r="A272" s="113"/>
      <c r="B272" s="58" t="s">
        <v>1987</v>
      </c>
      <c r="C272" s="58" t="s">
        <v>1796</v>
      </c>
      <c r="D272" s="58" t="s">
        <v>1988</v>
      </c>
      <c r="E272" s="60" t="b">
        <v>1</v>
      </c>
      <c r="F272" s="80" t="s">
        <v>236</v>
      </c>
      <c r="G272" s="58" t="s">
        <v>1987</v>
      </c>
      <c r="H272" s="58" t="s">
        <v>1796</v>
      </c>
      <c r="I272" s="64" t="s">
        <v>1988</v>
      </c>
      <c r="J272" s="66"/>
      <c r="K272" s="66"/>
      <c r="L272" s="68"/>
      <c r="M272" s="63" t="str">
        <f>HYPERLINK("http://nsgreg.nga.mil/genc/view?v=862689&amp;end_month=12&amp;end_day=31&amp;end_year=2016","Correlation")</f>
        <v>Correlation</v>
      </c>
    </row>
    <row r="273" spans="1:13" x14ac:dyDescent="0.2">
      <c r="A273" s="113"/>
      <c r="B273" s="58" t="s">
        <v>1989</v>
      </c>
      <c r="C273" s="58" t="s">
        <v>1796</v>
      </c>
      <c r="D273" s="58" t="s">
        <v>1990</v>
      </c>
      <c r="E273" s="60" t="b">
        <v>1</v>
      </c>
      <c r="F273" s="80" t="s">
        <v>236</v>
      </c>
      <c r="G273" s="58" t="s">
        <v>1989</v>
      </c>
      <c r="H273" s="58" t="s">
        <v>1796</v>
      </c>
      <c r="I273" s="64" t="s">
        <v>1990</v>
      </c>
      <c r="J273" s="66"/>
      <c r="K273" s="66"/>
      <c r="L273" s="68"/>
      <c r="M273" s="63" t="str">
        <f>HYPERLINK("http://nsgreg.nga.mil/genc/view?v=862690&amp;end_month=12&amp;end_day=31&amp;end_year=2016","Correlation")</f>
        <v>Correlation</v>
      </c>
    </row>
    <row r="274" spans="1:13" x14ac:dyDescent="0.2">
      <c r="A274" s="113"/>
      <c r="B274" s="58" t="s">
        <v>1991</v>
      </c>
      <c r="C274" s="58" t="s">
        <v>1796</v>
      </c>
      <c r="D274" s="58" t="s">
        <v>1992</v>
      </c>
      <c r="E274" s="60" t="b">
        <v>1</v>
      </c>
      <c r="F274" s="80" t="s">
        <v>236</v>
      </c>
      <c r="G274" s="58" t="s">
        <v>1991</v>
      </c>
      <c r="H274" s="58" t="s">
        <v>1796</v>
      </c>
      <c r="I274" s="64" t="s">
        <v>1992</v>
      </c>
      <c r="J274" s="66"/>
      <c r="K274" s="66"/>
      <c r="L274" s="68"/>
      <c r="M274" s="63" t="str">
        <f>HYPERLINK("http://nsgreg.nga.mil/genc/view?v=862692&amp;end_month=12&amp;end_day=31&amp;end_year=2016","Correlation")</f>
        <v>Correlation</v>
      </c>
    </row>
    <row r="275" spans="1:13" x14ac:dyDescent="0.2">
      <c r="A275" s="113"/>
      <c r="B275" s="58" t="s">
        <v>1993</v>
      </c>
      <c r="C275" s="58" t="s">
        <v>1796</v>
      </c>
      <c r="D275" s="58" t="s">
        <v>1994</v>
      </c>
      <c r="E275" s="60" t="b">
        <v>1</v>
      </c>
      <c r="F275" s="80" t="s">
        <v>236</v>
      </c>
      <c r="G275" s="58" t="s">
        <v>1993</v>
      </c>
      <c r="H275" s="58" t="s">
        <v>1796</v>
      </c>
      <c r="I275" s="64" t="s">
        <v>1994</v>
      </c>
      <c r="J275" s="66"/>
      <c r="K275" s="66"/>
      <c r="L275" s="68"/>
      <c r="M275" s="63" t="str">
        <f>HYPERLINK("http://nsgreg.nga.mil/genc/view?v=862693&amp;end_month=12&amp;end_day=31&amp;end_year=2016","Correlation")</f>
        <v>Correlation</v>
      </c>
    </row>
    <row r="276" spans="1:13" x14ac:dyDescent="0.2">
      <c r="A276" s="113"/>
      <c r="B276" s="58" t="s">
        <v>1995</v>
      </c>
      <c r="C276" s="58" t="s">
        <v>1796</v>
      </c>
      <c r="D276" s="58" t="s">
        <v>1996</v>
      </c>
      <c r="E276" s="60" t="b">
        <v>1</v>
      </c>
      <c r="F276" s="80" t="s">
        <v>236</v>
      </c>
      <c r="G276" s="58" t="s">
        <v>1995</v>
      </c>
      <c r="H276" s="58" t="s">
        <v>1796</v>
      </c>
      <c r="I276" s="64" t="s">
        <v>1996</v>
      </c>
      <c r="J276" s="66"/>
      <c r="K276" s="66"/>
      <c r="L276" s="68"/>
      <c r="M276" s="63" t="str">
        <f>HYPERLINK("http://nsgreg.nga.mil/genc/view?v=862694&amp;end_month=12&amp;end_day=31&amp;end_year=2016","Correlation")</f>
        <v>Correlation</v>
      </c>
    </row>
    <row r="277" spans="1:13" x14ac:dyDescent="0.2">
      <c r="A277" s="113"/>
      <c r="B277" s="58" t="s">
        <v>1997</v>
      </c>
      <c r="C277" s="58" t="s">
        <v>1796</v>
      </c>
      <c r="D277" s="58" t="s">
        <v>1998</v>
      </c>
      <c r="E277" s="60" t="b">
        <v>1</v>
      </c>
      <c r="F277" s="80" t="s">
        <v>236</v>
      </c>
      <c r="G277" s="58" t="s">
        <v>1997</v>
      </c>
      <c r="H277" s="58" t="s">
        <v>1796</v>
      </c>
      <c r="I277" s="64" t="s">
        <v>1998</v>
      </c>
      <c r="J277" s="66"/>
      <c r="K277" s="66"/>
      <c r="L277" s="68"/>
      <c r="M277" s="63" t="str">
        <f>HYPERLINK("http://nsgreg.nga.mil/genc/view?v=862695&amp;end_month=12&amp;end_day=31&amp;end_year=2016","Correlation")</f>
        <v>Correlation</v>
      </c>
    </row>
    <row r="278" spans="1:13" x14ac:dyDescent="0.2">
      <c r="A278" s="113"/>
      <c r="B278" s="58" t="s">
        <v>1999</v>
      </c>
      <c r="C278" s="58" t="s">
        <v>1796</v>
      </c>
      <c r="D278" s="58" t="s">
        <v>2000</v>
      </c>
      <c r="E278" s="60" t="b">
        <v>1</v>
      </c>
      <c r="F278" s="80" t="s">
        <v>236</v>
      </c>
      <c r="G278" s="58" t="s">
        <v>1999</v>
      </c>
      <c r="H278" s="58" t="s">
        <v>1796</v>
      </c>
      <c r="I278" s="64" t="s">
        <v>2000</v>
      </c>
      <c r="J278" s="66"/>
      <c r="K278" s="66"/>
      <c r="L278" s="68"/>
      <c r="M278" s="63" t="str">
        <f>HYPERLINK("http://nsgreg.nga.mil/genc/view?v=862696&amp;end_month=12&amp;end_day=31&amp;end_year=2016","Correlation")</f>
        <v>Correlation</v>
      </c>
    </row>
    <row r="279" spans="1:13" x14ac:dyDescent="0.2">
      <c r="A279" s="113"/>
      <c r="B279" s="58" t="s">
        <v>2001</v>
      </c>
      <c r="C279" s="58" t="s">
        <v>1796</v>
      </c>
      <c r="D279" s="58" t="s">
        <v>2002</v>
      </c>
      <c r="E279" s="60" t="b">
        <v>1</v>
      </c>
      <c r="F279" s="80" t="s">
        <v>236</v>
      </c>
      <c r="G279" s="58" t="s">
        <v>2001</v>
      </c>
      <c r="H279" s="58" t="s">
        <v>1796</v>
      </c>
      <c r="I279" s="64" t="s">
        <v>2002</v>
      </c>
      <c r="J279" s="66"/>
      <c r="K279" s="66"/>
      <c r="L279" s="68"/>
      <c r="M279" s="63" t="str">
        <f>HYPERLINK("http://nsgreg.nga.mil/genc/view?v=862697&amp;end_month=12&amp;end_day=31&amp;end_year=2016","Correlation")</f>
        <v>Correlation</v>
      </c>
    </row>
    <row r="280" spans="1:13" x14ac:dyDescent="0.2">
      <c r="A280" s="113"/>
      <c r="B280" s="58" t="s">
        <v>2003</v>
      </c>
      <c r="C280" s="58" t="s">
        <v>1796</v>
      </c>
      <c r="D280" s="58" t="s">
        <v>2004</v>
      </c>
      <c r="E280" s="60" t="b">
        <v>1</v>
      </c>
      <c r="F280" s="80" t="s">
        <v>236</v>
      </c>
      <c r="G280" s="58" t="s">
        <v>2003</v>
      </c>
      <c r="H280" s="58" t="s">
        <v>1796</v>
      </c>
      <c r="I280" s="64" t="s">
        <v>2004</v>
      </c>
      <c r="J280" s="66"/>
      <c r="K280" s="66"/>
      <c r="L280" s="68"/>
      <c r="M280" s="63" t="str">
        <f>HYPERLINK("http://nsgreg.nga.mil/genc/view?v=862698&amp;end_month=12&amp;end_day=31&amp;end_year=2016","Correlation")</f>
        <v>Correlation</v>
      </c>
    </row>
    <row r="281" spans="1:13" x14ac:dyDescent="0.2">
      <c r="A281" s="113"/>
      <c r="B281" s="58" t="s">
        <v>2005</v>
      </c>
      <c r="C281" s="58" t="s">
        <v>1796</v>
      </c>
      <c r="D281" s="58" t="s">
        <v>2006</v>
      </c>
      <c r="E281" s="60" t="b">
        <v>1</v>
      </c>
      <c r="F281" s="80" t="s">
        <v>236</v>
      </c>
      <c r="G281" s="58" t="s">
        <v>2005</v>
      </c>
      <c r="H281" s="58" t="s">
        <v>1796</v>
      </c>
      <c r="I281" s="64" t="s">
        <v>2006</v>
      </c>
      <c r="J281" s="66"/>
      <c r="K281" s="66"/>
      <c r="L281" s="68"/>
      <c r="M281" s="63" t="str">
        <f>HYPERLINK("http://nsgreg.nga.mil/genc/view?v=862699&amp;end_month=12&amp;end_day=31&amp;end_year=2016","Correlation")</f>
        <v>Correlation</v>
      </c>
    </row>
    <row r="282" spans="1:13" x14ac:dyDescent="0.2">
      <c r="A282" s="113"/>
      <c r="B282" s="58" t="s">
        <v>2007</v>
      </c>
      <c r="C282" s="58" t="s">
        <v>1796</v>
      </c>
      <c r="D282" s="58" t="s">
        <v>2008</v>
      </c>
      <c r="E282" s="60" t="b">
        <v>1</v>
      </c>
      <c r="F282" s="80" t="s">
        <v>236</v>
      </c>
      <c r="G282" s="58" t="s">
        <v>2007</v>
      </c>
      <c r="H282" s="58" t="s">
        <v>1796</v>
      </c>
      <c r="I282" s="64" t="s">
        <v>2008</v>
      </c>
      <c r="J282" s="66"/>
      <c r="K282" s="66"/>
      <c r="L282" s="68"/>
      <c r="M282" s="63" t="str">
        <f>HYPERLINK("http://nsgreg.nga.mil/genc/view?v=862701&amp;end_month=12&amp;end_day=31&amp;end_year=2016","Correlation")</f>
        <v>Correlation</v>
      </c>
    </row>
    <row r="283" spans="1:13" x14ac:dyDescent="0.2">
      <c r="A283" s="113"/>
      <c r="B283" s="58" t="s">
        <v>2009</v>
      </c>
      <c r="C283" s="58" t="s">
        <v>1796</v>
      </c>
      <c r="D283" s="58" t="s">
        <v>2010</v>
      </c>
      <c r="E283" s="60" t="b">
        <v>1</v>
      </c>
      <c r="F283" s="80" t="s">
        <v>236</v>
      </c>
      <c r="G283" s="58" t="s">
        <v>2009</v>
      </c>
      <c r="H283" s="58" t="s">
        <v>1796</v>
      </c>
      <c r="I283" s="64" t="s">
        <v>2010</v>
      </c>
      <c r="J283" s="66"/>
      <c r="K283" s="66"/>
      <c r="L283" s="68"/>
      <c r="M283" s="63" t="str">
        <f>HYPERLINK("http://nsgreg.nga.mil/genc/view?v=862702&amp;end_month=12&amp;end_day=31&amp;end_year=2016","Correlation")</f>
        <v>Correlation</v>
      </c>
    </row>
    <row r="284" spans="1:13" x14ac:dyDescent="0.2">
      <c r="A284" s="113"/>
      <c r="B284" s="58" t="s">
        <v>2011</v>
      </c>
      <c r="C284" s="58" t="s">
        <v>1796</v>
      </c>
      <c r="D284" s="58" t="s">
        <v>2012</v>
      </c>
      <c r="E284" s="60" t="b">
        <v>1</v>
      </c>
      <c r="F284" s="80" t="s">
        <v>236</v>
      </c>
      <c r="G284" s="58" t="s">
        <v>2011</v>
      </c>
      <c r="H284" s="58" t="s">
        <v>1796</v>
      </c>
      <c r="I284" s="64" t="s">
        <v>2012</v>
      </c>
      <c r="J284" s="66"/>
      <c r="K284" s="66"/>
      <c r="L284" s="68"/>
      <c r="M284" s="63" t="str">
        <f>HYPERLINK("http://nsgreg.nga.mil/genc/view?v=862700&amp;end_month=12&amp;end_day=31&amp;end_year=2016","Correlation")</f>
        <v>Correlation</v>
      </c>
    </row>
    <row r="285" spans="1:13" x14ac:dyDescent="0.2">
      <c r="A285" s="113"/>
      <c r="B285" s="58" t="s">
        <v>2013</v>
      </c>
      <c r="C285" s="58" t="s">
        <v>1796</v>
      </c>
      <c r="D285" s="58" t="s">
        <v>2014</v>
      </c>
      <c r="E285" s="60" t="b">
        <v>1</v>
      </c>
      <c r="F285" s="80" t="s">
        <v>236</v>
      </c>
      <c r="G285" s="58" t="s">
        <v>2013</v>
      </c>
      <c r="H285" s="58" t="s">
        <v>1796</v>
      </c>
      <c r="I285" s="64" t="s">
        <v>2014</v>
      </c>
      <c r="J285" s="66"/>
      <c r="K285" s="66"/>
      <c r="L285" s="68"/>
      <c r="M285" s="63" t="str">
        <f>HYPERLINK("http://nsgreg.nga.mil/genc/view?v=862704&amp;end_month=12&amp;end_day=31&amp;end_year=2016","Correlation")</f>
        <v>Correlation</v>
      </c>
    </row>
    <row r="286" spans="1:13" x14ac:dyDescent="0.2">
      <c r="A286" s="113"/>
      <c r="B286" s="58" t="s">
        <v>2015</v>
      </c>
      <c r="C286" s="58" t="s">
        <v>1796</v>
      </c>
      <c r="D286" s="58" t="s">
        <v>2016</v>
      </c>
      <c r="E286" s="60" t="b">
        <v>1</v>
      </c>
      <c r="F286" s="80" t="s">
        <v>236</v>
      </c>
      <c r="G286" s="58" t="s">
        <v>2015</v>
      </c>
      <c r="H286" s="58" t="s">
        <v>1796</v>
      </c>
      <c r="I286" s="64" t="s">
        <v>2016</v>
      </c>
      <c r="J286" s="66"/>
      <c r="K286" s="66"/>
      <c r="L286" s="68"/>
      <c r="M286" s="63" t="str">
        <f>HYPERLINK("http://nsgreg.nga.mil/genc/view?v=862703&amp;end_month=12&amp;end_day=31&amp;end_year=2016","Correlation")</f>
        <v>Correlation</v>
      </c>
    </row>
    <row r="287" spans="1:13" x14ac:dyDescent="0.2">
      <c r="A287" s="113"/>
      <c r="B287" s="58" t="s">
        <v>2017</v>
      </c>
      <c r="C287" s="58" t="s">
        <v>1796</v>
      </c>
      <c r="D287" s="58" t="s">
        <v>2018</v>
      </c>
      <c r="E287" s="60" t="b">
        <v>1</v>
      </c>
      <c r="F287" s="80" t="s">
        <v>236</v>
      </c>
      <c r="G287" s="58" t="s">
        <v>2017</v>
      </c>
      <c r="H287" s="58" t="s">
        <v>1796</v>
      </c>
      <c r="I287" s="64" t="s">
        <v>2018</v>
      </c>
      <c r="J287" s="66"/>
      <c r="K287" s="66"/>
      <c r="L287" s="68"/>
      <c r="M287" s="63" t="str">
        <f>HYPERLINK("http://nsgreg.nga.mil/genc/view?v=862708&amp;end_month=12&amp;end_day=31&amp;end_year=2016","Correlation")</f>
        <v>Correlation</v>
      </c>
    </row>
    <row r="288" spans="1:13" x14ac:dyDescent="0.2">
      <c r="A288" s="113"/>
      <c r="B288" s="58" t="s">
        <v>2019</v>
      </c>
      <c r="C288" s="58" t="s">
        <v>1796</v>
      </c>
      <c r="D288" s="58" t="s">
        <v>2020</v>
      </c>
      <c r="E288" s="60" t="b">
        <v>1</v>
      </c>
      <c r="F288" s="80" t="s">
        <v>236</v>
      </c>
      <c r="G288" s="58" t="s">
        <v>2019</v>
      </c>
      <c r="H288" s="58" t="s">
        <v>1796</v>
      </c>
      <c r="I288" s="64" t="s">
        <v>2020</v>
      </c>
      <c r="J288" s="66"/>
      <c r="K288" s="66"/>
      <c r="L288" s="68"/>
      <c r="M288" s="63" t="str">
        <f>HYPERLINK("http://nsgreg.nga.mil/genc/view?v=862707&amp;end_month=12&amp;end_day=31&amp;end_year=2016","Correlation")</f>
        <v>Correlation</v>
      </c>
    </row>
    <row r="289" spans="1:13" x14ac:dyDescent="0.2">
      <c r="A289" s="113"/>
      <c r="B289" s="58" t="s">
        <v>2021</v>
      </c>
      <c r="C289" s="58" t="s">
        <v>1796</v>
      </c>
      <c r="D289" s="58" t="s">
        <v>2022</v>
      </c>
      <c r="E289" s="60" t="b">
        <v>1</v>
      </c>
      <c r="F289" s="80" t="s">
        <v>236</v>
      </c>
      <c r="G289" s="58" t="s">
        <v>2021</v>
      </c>
      <c r="H289" s="58" t="s">
        <v>1796</v>
      </c>
      <c r="I289" s="64" t="s">
        <v>2022</v>
      </c>
      <c r="J289" s="66"/>
      <c r="K289" s="66"/>
      <c r="L289" s="68"/>
      <c r="M289" s="63" t="str">
        <f>HYPERLINK("http://nsgreg.nga.mil/genc/view?v=862705&amp;end_month=12&amp;end_day=31&amp;end_year=2016","Correlation")</f>
        <v>Correlation</v>
      </c>
    </row>
    <row r="290" spans="1:13" x14ac:dyDescent="0.2">
      <c r="A290" s="113"/>
      <c r="B290" s="58" t="s">
        <v>2023</v>
      </c>
      <c r="C290" s="58" t="s">
        <v>1796</v>
      </c>
      <c r="D290" s="58" t="s">
        <v>2024</v>
      </c>
      <c r="E290" s="60" t="b">
        <v>1</v>
      </c>
      <c r="F290" s="80" t="s">
        <v>236</v>
      </c>
      <c r="G290" s="58" t="s">
        <v>2023</v>
      </c>
      <c r="H290" s="58" t="s">
        <v>1796</v>
      </c>
      <c r="I290" s="64" t="s">
        <v>2024</v>
      </c>
      <c r="J290" s="66"/>
      <c r="K290" s="66"/>
      <c r="L290" s="68"/>
      <c r="M290" s="63" t="str">
        <f>HYPERLINK("http://nsgreg.nga.mil/genc/view?v=862706&amp;end_month=12&amp;end_day=31&amp;end_year=2016","Correlation")</f>
        <v>Correlation</v>
      </c>
    </row>
    <row r="291" spans="1:13" x14ac:dyDescent="0.2">
      <c r="A291" s="113"/>
      <c r="B291" s="58" t="s">
        <v>2025</v>
      </c>
      <c r="C291" s="58" t="s">
        <v>1796</v>
      </c>
      <c r="D291" s="58" t="s">
        <v>2026</v>
      </c>
      <c r="E291" s="60" t="b">
        <v>1</v>
      </c>
      <c r="F291" s="80" t="s">
        <v>236</v>
      </c>
      <c r="G291" s="58" t="s">
        <v>2025</v>
      </c>
      <c r="H291" s="58" t="s">
        <v>1796</v>
      </c>
      <c r="I291" s="64" t="s">
        <v>2026</v>
      </c>
      <c r="J291" s="66"/>
      <c r="K291" s="66"/>
      <c r="L291" s="68"/>
      <c r="M291" s="63" t="str">
        <f>HYPERLINK("http://nsgreg.nga.mil/genc/view?v=862709&amp;end_month=12&amp;end_day=31&amp;end_year=2016","Correlation")</f>
        <v>Correlation</v>
      </c>
    </row>
    <row r="292" spans="1:13" x14ac:dyDescent="0.2">
      <c r="A292" s="114"/>
      <c r="B292" s="71" t="s">
        <v>2027</v>
      </c>
      <c r="C292" s="71" t="s">
        <v>1796</v>
      </c>
      <c r="D292" s="71" t="s">
        <v>2028</v>
      </c>
      <c r="E292" s="73" t="b">
        <v>1</v>
      </c>
      <c r="F292" s="81" t="s">
        <v>236</v>
      </c>
      <c r="G292" s="71" t="s">
        <v>2027</v>
      </c>
      <c r="H292" s="71" t="s">
        <v>1796</v>
      </c>
      <c r="I292" s="74" t="s">
        <v>2028</v>
      </c>
      <c r="J292" s="76"/>
      <c r="K292" s="76"/>
      <c r="L292" s="82"/>
      <c r="M292" s="77" t="str">
        <f>HYPERLINK("http://nsgreg.nga.mil/genc/view?v=862710&amp;end_month=12&amp;end_day=31&amp;end_year=2016","Correlation")</f>
        <v>Correlation</v>
      </c>
    </row>
    <row r="293" spans="1:13" x14ac:dyDescent="0.2">
      <c r="A293" s="112" t="s">
        <v>237</v>
      </c>
      <c r="B293" s="50" t="s">
        <v>2029</v>
      </c>
      <c r="C293" s="50" t="s">
        <v>2030</v>
      </c>
      <c r="D293" s="50" t="s">
        <v>2031</v>
      </c>
      <c r="E293" s="52" t="b">
        <v>1</v>
      </c>
      <c r="F293" s="78" t="s">
        <v>237</v>
      </c>
      <c r="G293" s="50" t="s">
        <v>2029</v>
      </c>
      <c r="H293" s="50" t="s">
        <v>2030</v>
      </c>
      <c r="I293" s="53" t="s">
        <v>2031</v>
      </c>
      <c r="J293" s="55"/>
      <c r="K293" s="55"/>
      <c r="L293" s="79"/>
      <c r="M293" s="56" t="str">
        <f>HYPERLINK("http://nsgreg.nga.mil/genc/view?v=862592&amp;end_month=12&amp;end_day=31&amp;end_year=2016","Correlation")</f>
        <v>Correlation</v>
      </c>
    </row>
    <row r="294" spans="1:13" x14ac:dyDescent="0.2">
      <c r="A294" s="113"/>
      <c r="B294" s="58" t="s">
        <v>2032</v>
      </c>
      <c r="C294" s="58" t="s">
        <v>2030</v>
      </c>
      <c r="D294" s="58" t="s">
        <v>2033</v>
      </c>
      <c r="E294" s="60" t="b">
        <v>1</v>
      </c>
      <c r="F294" s="80" t="s">
        <v>237</v>
      </c>
      <c r="G294" s="58" t="s">
        <v>2032</v>
      </c>
      <c r="H294" s="58" t="s">
        <v>2030</v>
      </c>
      <c r="I294" s="64" t="s">
        <v>2033</v>
      </c>
      <c r="J294" s="66"/>
      <c r="K294" s="66"/>
      <c r="L294" s="68"/>
      <c r="M294" s="63" t="str">
        <f>HYPERLINK("http://nsgreg.nga.mil/genc/view?v=862593&amp;end_month=12&amp;end_day=31&amp;end_year=2016","Correlation")</f>
        <v>Correlation</v>
      </c>
    </row>
    <row r="295" spans="1:13" x14ac:dyDescent="0.2">
      <c r="A295" s="113"/>
      <c r="B295" s="58" t="s">
        <v>2034</v>
      </c>
      <c r="C295" s="58" t="s">
        <v>2030</v>
      </c>
      <c r="D295" s="58" t="s">
        <v>2035</v>
      </c>
      <c r="E295" s="60" t="b">
        <v>1</v>
      </c>
      <c r="F295" s="80" t="s">
        <v>237</v>
      </c>
      <c r="G295" s="58" t="s">
        <v>2034</v>
      </c>
      <c r="H295" s="58" t="s">
        <v>2030</v>
      </c>
      <c r="I295" s="64" t="s">
        <v>2035</v>
      </c>
      <c r="J295" s="66"/>
      <c r="K295" s="66"/>
      <c r="L295" s="68"/>
      <c r="M295" s="63" t="str">
        <f>HYPERLINK("http://nsgreg.nga.mil/genc/view?v=862594&amp;end_month=12&amp;end_day=31&amp;end_year=2016","Correlation")</f>
        <v>Correlation</v>
      </c>
    </row>
    <row r="296" spans="1:13" x14ac:dyDescent="0.2">
      <c r="A296" s="114"/>
      <c r="B296" s="71" t="s">
        <v>2036</v>
      </c>
      <c r="C296" s="71" t="s">
        <v>2030</v>
      </c>
      <c r="D296" s="71" t="s">
        <v>2037</v>
      </c>
      <c r="E296" s="73" t="b">
        <v>1</v>
      </c>
      <c r="F296" s="81" t="s">
        <v>237</v>
      </c>
      <c r="G296" s="71" t="s">
        <v>2036</v>
      </c>
      <c r="H296" s="71" t="s">
        <v>2030</v>
      </c>
      <c r="I296" s="74" t="s">
        <v>2037</v>
      </c>
      <c r="J296" s="76"/>
      <c r="K296" s="76"/>
      <c r="L296" s="82"/>
      <c r="M296" s="77" t="str">
        <f>HYPERLINK("http://nsgreg.nga.mil/genc/view?v=862595&amp;end_month=12&amp;end_day=31&amp;end_year=2016","Correlation")</f>
        <v>Correlation</v>
      </c>
    </row>
    <row r="297" spans="1:13" x14ac:dyDescent="0.2">
      <c r="A297" s="112" t="s">
        <v>253</v>
      </c>
      <c r="B297" s="50" t="s">
        <v>2038</v>
      </c>
      <c r="C297" s="50" t="s">
        <v>1796</v>
      </c>
      <c r="D297" s="50" t="s">
        <v>2039</v>
      </c>
      <c r="E297" s="52" t="b">
        <v>1</v>
      </c>
      <c r="F297" s="78" t="s">
        <v>253</v>
      </c>
      <c r="G297" s="50" t="s">
        <v>2040</v>
      </c>
      <c r="H297" s="50" t="s">
        <v>1796</v>
      </c>
      <c r="I297" s="53" t="s">
        <v>2039</v>
      </c>
      <c r="J297" s="55"/>
      <c r="K297" s="55"/>
      <c r="L297" s="79"/>
      <c r="M297" s="56" t="str">
        <f>HYPERLINK("http://nsgreg.nga.mil/genc/view?v=862425&amp;end_month=12&amp;end_day=31&amp;end_year=2016","Correlation")</f>
        <v>Correlation</v>
      </c>
    </row>
    <row r="298" spans="1:13" x14ac:dyDescent="0.2">
      <c r="A298" s="113"/>
      <c r="B298" s="58" t="s">
        <v>2041</v>
      </c>
      <c r="C298" s="58" t="s">
        <v>1796</v>
      </c>
      <c r="D298" s="58" t="s">
        <v>2042</v>
      </c>
      <c r="E298" s="60" t="b">
        <v>1</v>
      </c>
      <c r="F298" s="80" t="s">
        <v>253</v>
      </c>
      <c r="G298" s="58" t="s">
        <v>2041</v>
      </c>
      <c r="H298" s="58" t="s">
        <v>1796</v>
      </c>
      <c r="I298" s="64" t="s">
        <v>2042</v>
      </c>
      <c r="J298" s="66"/>
      <c r="K298" s="66"/>
      <c r="L298" s="68"/>
      <c r="M298" s="63" t="str">
        <f>HYPERLINK("http://nsgreg.nga.mil/genc/view?v=862421&amp;end_month=12&amp;end_day=31&amp;end_year=2016","Correlation")</f>
        <v>Correlation</v>
      </c>
    </row>
    <row r="299" spans="1:13" x14ac:dyDescent="0.2">
      <c r="A299" s="113"/>
      <c r="B299" s="58" t="s">
        <v>2043</v>
      </c>
      <c r="C299" s="58" t="s">
        <v>1796</v>
      </c>
      <c r="D299" s="58" t="s">
        <v>2044</v>
      </c>
      <c r="E299" s="60" t="b">
        <v>1</v>
      </c>
      <c r="F299" s="80" t="s">
        <v>253</v>
      </c>
      <c r="G299" s="58" t="s">
        <v>2043</v>
      </c>
      <c r="H299" s="58" t="s">
        <v>1796</v>
      </c>
      <c r="I299" s="64" t="s">
        <v>2044</v>
      </c>
      <c r="J299" s="66"/>
      <c r="K299" s="66"/>
      <c r="L299" s="68"/>
      <c r="M299" s="63" t="str">
        <f>HYPERLINK("http://nsgreg.nga.mil/genc/view?v=862422&amp;end_month=12&amp;end_day=31&amp;end_year=2016","Correlation")</f>
        <v>Correlation</v>
      </c>
    </row>
    <row r="300" spans="1:13" x14ac:dyDescent="0.2">
      <c r="A300" s="113"/>
      <c r="B300" s="58" t="s">
        <v>2045</v>
      </c>
      <c r="C300" s="58" t="s">
        <v>1796</v>
      </c>
      <c r="D300" s="58" t="s">
        <v>2046</v>
      </c>
      <c r="E300" s="60" t="b">
        <v>1</v>
      </c>
      <c r="F300" s="80" t="s">
        <v>253</v>
      </c>
      <c r="G300" s="58" t="s">
        <v>2047</v>
      </c>
      <c r="H300" s="58" t="s">
        <v>1796</v>
      </c>
      <c r="I300" s="64" t="s">
        <v>2046</v>
      </c>
      <c r="J300" s="66"/>
      <c r="K300" s="66"/>
      <c r="L300" s="68"/>
      <c r="M300" s="63" t="str">
        <f>HYPERLINK("http://nsgreg.nga.mil/genc/view?v=862426&amp;end_month=12&amp;end_day=31&amp;end_year=2016","Correlation")</f>
        <v>Correlation</v>
      </c>
    </row>
    <row r="301" spans="1:13" x14ac:dyDescent="0.2">
      <c r="A301" s="113"/>
      <c r="B301" s="58" t="s">
        <v>2045</v>
      </c>
      <c r="C301" s="58" t="s">
        <v>2048</v>
      </c>
      <c r="D301" s="58" t="s">
        <v>2049</v>
      </c>
      <c r="E301" s="60" t="b">
        <v>1</v>
      </c>
      <c r="F301" s="80" t="s">
        <v>253</v>
      </c>
      <c r="G301" s="58" t="s">
        <v>2047</v>
      </c>
      <c r="H301" s="58" t="s">
        <v>2048</v>
      </c>
      <c r="I301" s="64" t="s">
        <v>2049</v>
      </c>
      <c r="J301" s="66"/>
      <c r="K301" s="66"/>
      <c r="L301" s="68"/>
      <c r="M301" s="63" t="str">
        <f>HYPERLINK("http://nsgreg.nga.mil/genc/view?v=862485&amp;end_month=12&amp;end_day=31&amp;end_year=2016","Correlation")</f>
        <v>Correlation</v>
      </c>
    </row>
    <row r="302" spans="1:13" x14ac:dyDescent="0.2">
      <c r="A302" s="113"/>
      <c r="B302" s="58" t="s">
        <v>2050</v>
      </c>
      <c r="C302" s="58" t="s">
        <v>1796</v>
      </c>
      <c r="D302" s="58" t="s">
        <v>2051</v>
      </c>
      <c r="E302" s="60" t="b">
        <v>1</v>
      </c>
      <c r="F302" s="80" t="s">
        <v>253</v>
      </c>
      <c r="G302" s="58" t="s">
        <v>2050</v>
      </c>
      <c r="H302" s="58" t="s">
        <v>1796</v>
      </c>
      <c r="I302" s="64" t="s">
        <v>2051</v>
      </c>
      <c r="J302" s="66"/>
      <c r="K302" s="66"/>
      <c r="L302" s="68"/>
      <c r="M302" s="63" t="str">
        <f>HYPERLINK("http://nsgreg.nga.mil/genc/view?v=862427&amp;end_month=12&amp;end_day=31&amp;end_year=2016","Correlation")</f>
        <v>Correlation</v>
      </c>
    </row>
    <row r="303" spans="1:13" x14ac:dyDescent="0.2">
      <c r="A303" s="113"/>
      <c r="B303" s="58" t="s">
        <v>2052</v>
      </c>
      <c r="C303" s="58" t="s">
        <v>1796</v>
      </c>
      <c r="D303" s="58" t="s">
        <v>2053</v>
      </c>
      <c r="E303" s="60" t="b">
        <v>1</v>
      </c>
      <c r="F303" s="80" t="s">
        <v>253</v>
      </c>
      <c r="G303" s="58" t="s">
        <v>2052</v>
      </c>
      <c r="H303" s="58" t="s">
        <v>1796</v>
      </c>
      <c r="I303" s="64" t="s">
        <v>2053</v>
      </c>
      <c r="J303" s="66"/>
      <c r="K303" s="66"/>
      <c r="L303" s="68"/>
      <c r="M303" s="63" t="str">
        <f>HYPERLINK("http://nsgreg.nga.mil/genc/view?v=862423&amp;end_month=12&amp;end_day=31&amp;end_year=2016","Correlation")</f>
        <v>Correlation</v>
      </c>
    </row>
    <row r="304" spans="1:13" x14ac:dyDescent="0.2">
      <c r="A304" s="113"/>
      <c r="B304" s="58" t="s">
        <v>2054</v>
      </c>
      <c r="C304" s="58" t="s">
        <v>1796</v>
      </c>
      <c r="D304" s="58" t="s">
        <v>2055</v>
      </c>
      <c r="E304" s="60" t="b">
        <v>1</v>
      </c>
      <c r="F304" s="80" t="s">
        <v>253</v>
      </c>
      <c r="G304" s="58" t="s">
        <v>2056</v>
      </c>
      <c r="H304" s="58" t="s">
        <v>1796</v>
      </c>
      <c r="I304" s="64" t="s">
        <v>2055</v>
      </c>
      <c r="J304" s="66"/>
      <c r="K304" s="66"/>
      <c r="L304" s="68"/>
      <c r="M304" s="63" t="str">
        <f>HYPERLINK("http://nsgreg.nga.mil/genc/view?v=862424&amp;end_month=12&amp;end_day=31&amp;end_year=2016","Correlation")</f>
        <v>Correlation</v>
      </c>
    </row>
    <row r="305" spans="1:13" x14ac:dyDescent="0.2">
      <c r="A305" s="113"/>
      <c r="B305" s="58" t="s">
        <v>2057</v>
      </c>
      <c r="C305" s="58" t="s">
        <v>1796</v>
      </c>
      <c r="D305" s="58" t="s">
        <v>2058</v>
      </c>
      <c r="E305" s="60" t="b">
        <v>1</v>
      </c>
      <c r="F305" s="80" t="s">
        <v>253</v>
      </c>
      <c r="G305" s="58" t="s">
        <v>2059</v>
      </c>
      <c r="H305" s="58" t="s">
        <v>1796</v>
      </c>
      <c r="I305" s="64" t="s">
        <v>2058</v>
      </c>
      <c r="J305" s="66"/>
      <c r="K305" s="66"/>
      <c r="L305" s="68"/>
      <c r="M305" s="63" t="str">
        <f>HYPERLINK("http://nsgreg.nga.mil/genc/view?v=862429&amp;end_month=12&amp;end_day=31&amp;end_year=2016","Correlation")</f>
        <v>Correlation</v>
      </c>
    </row>
    <row r="306" spans="1:13" x14ac:dyDescent="0.2">
      <c r="A306" s="113"/>
      <c r="B306" s="58" t="s">
        <v>2060</v>
      </c>
      <c r="C306" s="58" t="s">
        <v>1796</v>
      </c>
      <c r="D306" s="58" t="s">
        <v>2061</v>
      </c>
      <c r="E306" s="60" t="b">
        <v>1</v>
      </c>
      <c r="F306" s="80" t="s">
        <v>253</v>
      </c>
      <c r="G306" s="58" t="s">
        <v>2062</v>
      </c>
      <c r="H306" s="58" t="s">
        <v>1796</v>
      </c>
      <c r="I306" s="64" t="s">
        <v>2061</v>
      </c>
      <c r="J306" s="66"/>
      <c r="K306" s="66"/>
      <c r="L306" s="68"/>
      <c r="M306" s="63" t="str">
        <f>HYPERLINK("http://nsgreg.nga.mil/genc/view?v=862465&amp;end_month=12&amp;end_day=31&amp;end_year=2016","Correlation")</f>
        <v>Correlation</v>
      </c>
    </row>
    <row r="307" spans="1:13" x14ac:dyDescent="0.2">
      <c r="A307" s="113"/>
      <c r="B307" s="58" t="s">
        <v>2063</v>
      </c>
      <c r="C307" s="58" t="s">
        <v>1796</v>
      </c>
      <c r="D307" s="58" t="s">
        <v>2064</v>
      </c>
      <c r="E307" s="60" t="b">
        <v>1</v>
      </c>
      <c r="F307" s="80" t="s">
        <v>253</v>
      </c>
      <c r="G307" s="58" t="s">
        <v>2063</v>
      </c>
      <c r="H307" s="58" t="s">
        <v>1796</v>
      </c>
      <c r="I307" s="64" t="s">
        <v>2064</v>
      </c>
      <c r="J307" s="66"/>
      <c r="K307" s="66"/>
      <c r="L307" s="68"/>
      <c r="M307" s="63" t="str">
        <f>HYPERLINK("http://nsgreg.nga.mil/genc/view?v=862430&amp;end_month=12&amp;end_day=31&amp;end_year=2016","Correlation")</f>
        <v>Correlation</v>
      </c>
    </row>
    <row r="308" spans="1:13" x14ac:dyDescent="0.2">
      <c r="A308" s="113"/>
      <c r="B308" s="58" t="s">
        <v>2063</v>
      </c>
      <c r="C308" s="58" t="s">
        <v>2048</v>
      </c>
      <c r="D308" s="58" t="s">
        <v>2065</v>
      </c>
      <c r="E308" s="60" t="b">
        <v>1</v>
      </c>
      <c r="F308" s="80" t="s">
        <v>253</v>
      </c>
      <c r="G308" s="58" t="s">
        <v>2063</v>
      </c>
      <c r="H308" s="58" t="s">
        <v>2048</v>
      </c>
      <c r="I308" s="64" t="s">
        <v>2065</v>
      </c>
      <c r="J308" s="66"/>
      <c r="K308" s="66"/>
      <c r="L308" s="68"/>
      <c r="M308" s="63" t="str">
        <f>HYPERLINK("http://nsgreg.nga.mil/genc/view?v=862486&amp;end_month=12&amp;end_day=31&amp;end_year=2016","Correlation")</f>
        <v>Correlation</v>
      </c>
    </row>
    <row r="309" spans="1:13" x14ac:dyDescent="0.2">
      <c r="A309" s="113"/>
      <c r="B309" s="58" t="s">
        <v>2066</v>
      </c>
      <c r="C309" s="58" t="s">
        <v>1796</v>
      </c>
      <c r="D309" s="58" t="s">
        <v>2067</v>
      </c>
      <c r="E309" s="60" t="b">
        <v>1</v>
      </c>
      <c r="F309" s="80" t="s">
        <v>253</v>
      </c>
      <c r="G309" s="58" t="s">
        <v>2068</v>
      </c>
      <c r="H309" s="58" t="s">
        <v>1796</v>
      </c>
      <c r="I309" s="64" t="s">
        <v>2067</v>
      </c>
      <c r="J309" s="66"/>
      <c r="K309" s="66"/>
      <c r="L309" s="68"/>
      <c r="M309" s="63" t="str">
        <f>HYPERLINK("http://nsgreg.nga.mil/genc/view?v=862432&amp;end_month=12&amp;end_day=31&amp;end_year=2016","Correlation")</f>
        <v>Correlation</v>
      </c>
    </row>
    <row r="310" spans="1:13" x14ac:dyDescent="0.2">
      <c r="A310" s="113"/>
      <c r="B310" s="58" t="s">
        <v>2069</v>
      </c>
      <c r="C310" s="58" t="s">
        <v>1796</v>
      </c>
      <c r="D310" s="58" t="s">
        <v>2070</v>
      </c>
      <c r="E310" s="60" t="b">
        <v>1</v>
      </c>
      <c r="F310" s="80" t="s">
        <v>253</v>
      </c>
      <c r="G310" s="58" t="s">
        <v>2069</v>
      </c>
      <c r="H310" s="58" t="s">
        <v>1796</v>
      </c>
      <c r="I310" s="64" t="s">
        <v>2070</v>
      </c>
      <c r="J310" s="66"/>
      <c r="K310" s="66"/>
      <c r="L310" s="68"/>
      <c r="M310" s="63" t="str">
        <f>HYPERLINK("http://nsgreg.nga.mil/genc/view?v=862428&amp;end_month=12&amp;end_day=31&amp;end_year=2016","Correlation")</f>
        <v>Correlation</v>
      </c>
    </row>
    <row r="311" spans="1:13" x14ac:dyDescent="0.2">
      <c r="A311" s="113"/>
      <c r="B311" s="58" t="s">
        <v>2071</v>
      </c>
      <c r="C311" s="58" t="s">
        <v>1796</v>
      </c>
      <c r="D311" s="58" t="s">
        <v>2072</v>
      </c>
      <c r="E311" s="60" t="b">
        <v>1</v>
      </c>
      <c r="F311" s="80" t="s">
        <v>253</v>
      </c>
      <c r="G311" s="58" t="s">
        <v>2073</v>
      </c>
      <c r="H311" s="58" t="s">
        <v>1796</v>
      </c>
      <c r="I311" s="64" t="s">
        <v>2072</v>
      </c>
      <c r="J311" s="66"/>
      <c r="K311" s="66"/>
      <c r="L311" s="68"/>
      <c r="M311" s="63" t="str">
        <f>HYPERLINK("http://nsgreg.nga.mil/genc/view?v=862431&amp;end_month=12&amp;end_day=31&amp;end_year=2016","Correlation")</f>
        <v>Correlation</v>
      </c>
    </row>
    <row r="312" spans="1:13" x14ac:dyDescent="0.2">
      <c r="A312" s="113"/>
      <c r="B312" s="58" t="s">
        <v>2074</v>
      </c>
      <c r="C312" s="58" t="s">
        <v>1796</v>
      </c>
      <c r="D312" s="58" t="s">
        <v>2075</v>
      </c>
      <c r="E312" s="60" t="b">
        <v>1</v>
      </c>
      <c r="F312" s="80" t="s">
        <v>253</v>
      </c>
      <c r="G312" s="58" t="s">
        <v>2074</v>
      </c>
      <c r="H312" s="58" t="s">
        <v>1796</v>
      </c>
      <c r="I312" s="64" t="s">
        <v>2075</v>
      </c>
      <c r="J312" s="66"/>
      <c r="K312" s="66"/>
      <c r="L312" s="68"/>
      <c r="M312" s="63" t="str">
        <f>HYPERLINK("http://nsgreg.nga.mil/genc/view?v=862433&amp;end_month=12&amp;end_day=31&amp;end_year=2016","Correlation")</f>
        <v>Correlation</v>
      </c>
    </row>
    <row r="313" spans="1:13" x14ac:dyDescent="0.2">
      <c r="A313" s="113"/>
      <c r="B313" s="58" t="s">
        <v>2074</v>
      </c>
      <c r="C313" s="58" t="s">
        <v>2048</v>
      </c>
      <c r="D313" s="58" t="s">
        <v>2076</v>
      </c>
      <c r="E313" s="60" t="b">
        <v>1</v>
      </c>
      <c r="F313" s="80" t="s">
        <v>253</v>
      </c>
      <c r="G313" s="58" t="s">
        <v>2074</v>
      </c>
      <c r="H313" s="58" t="s">
        <v>2048</v>
      </c>
      <c r="I313" s="64" t="s">
        <v>2076</v>
      </c>
      <c r="J313" s="66"/>
      <c r="K313" s="66"/>
      <c r="L313" s="68"/>
      <c r="M313" s="63" t="str">
        <f>HYPERLINK("http://nsgreg.nga.mil/genc/view?v=862487&amp;end_month=12&amp;end_day=31&amp;end_year=2016","Correlation")</f>
        <v>Correlation</v>
      </c>
    </row>
    <row r="314" spans="1:13" x14ac:dyDescent="0.2">
      <c r="A314" s="113"/>
      <c r="B314" s="58" t="s">
        <v>2077</v>
      </c>
      <c r="C314" s="58" t="s">
        <v>1796</v>
      </c>
      <c r="D314" s="58" t="s">
        <v>2078</v>
      </c>
      <c r="E314" s="60" t="b">
        <v>1</v>
      </c>
      <c r="F314" s="80" t="s">
        <v>253</v>
      </c>
      <c r="G314" s="58" t="s">
        <v>2079</v>
      </c>
      <c r="H314" s="58" t="s">
        <v>1796</v>
      </c>
      <c r="I314" s="64" t="s">
        <v>2078</v>
      </c>
      <c r="J314" s="66"/>
      <c r="K314" s="66"/>
      <c r="L314" s="68"/>
      <c r="M314" s="63" t="str">
        <f>HYPERLINK("http://nsgreg.nga.mil/genc/view?v=862434&amp;end_month=12&amp;end_day=31&amp;end_year=2016","Correlation")</f>
        <v>Correlation</v>
      </c>
    </row>
    <row r="315" spans="1:13" x14ac:dyDescent="0.2">
      <c r="A315" s="113"/>
      <c r="B315" s="58" t="s">
        <v>2080</v>
      </c>
      <c r="C315" s="58" t="s">
        <v>1796</v>
      </c>
      <c r="D315" s="58" t="s">
        <v>2081</v>
      </c>
      <c r="E315" s="60" t="b">
        <v>1</v>
      </c>
      <c r="F315" s="80" t="s">
        <v>253</v>
      </c>
      <c r="G315" s="58" t="s">
        <v>2082</v>
      </c>
      <c r="H315" s="58" t="s">
        <v>1796</v>
      </c>
      <c r="I315" s="64" t="s">
        <v>2081</v>
      </c>
      <c r="J315" s="66"/>
      <c r="K315" s="66"/>
      <c r="L315" s="68"/>
      <c r="M315" s="63" t="str">
        <f>HYPERLINK("http://nsgreg.nga.mil/genc/view?v=862435&amp;end_month=12&amp;end_day=31&amp;end_year=2016","Correlation")</f>
        <v>Correlation</v>
      </c>
    </row>
    <row r="316" spans="1:13" x14ac:dyDescent="0.2">
      <c r="A316" s="113"/>
      <c r="B316" s="58" t="s">
        <v>2083</v>
      </c>
      <c r="C316" s="58" t="s">
        <v>1796</v>
      </c>
      <c r="D316" s="58" t="s">
        <v>2084</v>
      </c>
      <c r="E316" s="60" t="b">
        <v>1</v>
      </c>
      <c r="F316" s="80" t="s">
        <v>253</v>
      </c>
      <c r="G316" s="58" t="s">
        <v>2083</v>
      </c>
      <c r="H316" s="58" t="s">
        <v>1796</v>
      </c>
      <c r="I316" s="64" t="s">
        <v>2084</v>
      </c>
      <c r="J316" s="66"/>
      <c r="K316" s="66"/>
      <c r="L316" s="68"/>
      <c r="M316" s="63" t="str">
        <f>HYPERLINK("http://nsgreg.nga.mil/genc/view?v=862436&amp;end_month=12&amp;end_day=31&amp;end_year=2016","Correlation")</f>
        <v>Correlation</v>
      </c>
    </row>
    <row r="317" spans="1:13" x14ac:dyDescent="0.2">
      <c r="A317" s="113"/>
      <c r="B317" s="58" t="s">
        <v>2085</v>
      </c>
      <c r="C317" s="58" t="s">
        <v>1796</v>
      </c>
      <c r="D317" s="58" t="s">
        <v>2086</v>
      </c>
      <c r="E317" s="60" t="b">
        <v>1</v>
      </c>
      <c r="F317" s="80" t="s">
        <v>253</v>
      </c>
      <c r="G317" s="58" t="s">
        <v>2085</v>
      </c>
      <c r="H317" s="58" t="s">
        <v>1796</v>
      </c>
      <c r="I317" s="64" t="s">
        <v>2086</v>
      </c>
      <c r="J317" s="66"/>
      <c r="K317" s="66"/>
      <c r="L317" s="68"/>
      <c r="M317" s="63" t="str">
        <f>HYPERLINK("http://nsgreg.nga.mil/genc/view?v=862439&amp;end_month=12&amp;end_day=31&amp;end_year=2016","Correlation")</f>
        <v>Correlation</v>
      </c>
    </row>
    <row r="318" spans="1:13" x14ac:dyDescent="0.2">
      <c r="A318" s="113"/>
      <c r="B318" s="58" t="s">
        <v>2087</v>
      </c>
      <c r="C318" s="58" t="s">
        <v>1796</v>
      </c>
      <c r="D318" s="58" t="s">
        <v>2088</v>
      </c>
      <c r="E318" s="60" t="b">
        <v>1</v>
      </c>
      <c r="F318" s="80" t="s">
        <v>253</v>
      </c>
      <c r="G318" s="58" t="s">
        <v>2089</v>
      </c>
      <c r="H318" s="58" t="s">
        <v>1796</v>
      </c>
      <c r="I318" s="64" t="s">
        <v>2088</v>
      </c>
      <c r="J318" s="66"/>
      <c r="K318" s="66"/>
      <c r="L318" s="68"/>
      <c r="M318" s="63" t="str">
        <f>HYPERLINK("http://nsgreg.nga.mil/genc/view?v=862438&amp;end_month=12&amp;end_day=31&amp;end_year=2016","Correlation")</f>
        <v>Correlation</v>
      </c>
    </row>
    <row r="319" spans="1:13" x14ac:dyDescent="0.2">
      <c r="A319" s="113"/>
      <c r="B319" s="58" t="s">
        <v>2090</v>
      </c>
      <c r="C319" s="58" t="s">
        <v>1796</v>
      </c>
      <c r="D319" s="58" t="s">
        <v>2091</v>
      </c>
      <c r="E319" s="60" t="b">
        <v>1</v>
      </c>
      <c r="F319" s="80" t="s">
        <v>253</v>
      </c>
      <c r="G319" s="58" t="s">
        <v>2092</v>
      </c>
      <c r="H319" s="58" t="s">
        <v>1796</v>
      </c>
      <c r="I319" s="64" t="s">
        <v>2091</v>
      </c>
      <c r="J319" s="66"/>
      <c r="K319" s="66"/>
      <c r="L319" s="68"/>
      <c r="M319" s="63" t="str">
        <f>HYPERLINK("http://nsgreg.nga.mil/genc/view?v=862437&amp;end_month=12&amp;end_day=31&amp;end_year=2016","Correlation")</f>
        <v>Correlation</v>
      </c>
    </row>
    <row r="320" spans="1:13" x14ac:dyDescent="0.2">
      <c r="A320" s="113"/>
      <c r="B320" s="58" t="s">
        <v>2093</v>
      </c>
      <c r="C320" s="58" t="s">
        <v>1796</v>
      </c>
      <c r="D320" s="58" t="s">
        <v>2094</v>
      </c>
      <c r="E320" s="60" t="b">
        <v>1</v>
      </c>
      <c r="F320" s="80" t="s">
        <v>253</v>
      </c>
      <c r="G320" s="58" t="s">
        <v>2093</v>
      </c>
      <c r="H320" s="58" t="s">
        <v>1796</v>
      </c>
      <c r="I320" s="64" t="s">
        <v>2094</v>
      </c>
      <c r="J320" s="66"/>
      <c r="K320" s="66"/>
      <c r="L320" s="68"/>
      <c r="M320" s="63" t="str">
        <f>HYPERLINK("http://nsgreg.nga.mil/genc/view?v=862440&amp;end_month=12&amp;end_day=31&amp;end_year=2016","Correlation")</f>
        <v>Correlation</v>
      </c>
    </row>
    <row r="321" spans="1:13" x14ac:dyDescent="0.2">
      <c r="A321" s="113"/>
      <c r="B321" s="58" t="s">
        <v>2095</v>
      </c>
      <c r="C321" s="58" t="s">
        <v>1796</v>
      </c>
      <c r="D321" s="58" t="s">
        <v>2096</v>
      </c>
      <c r="E321" s="60" t="b">
        <v>1</v>
      </c>
      <c r="F321" s="80" t="s">
        <v>253</v>
      </c>
      <c r="G321" s="58" t="s">
        <v>2097</v>
      </c>
      <c r="H321" s="58" t="s">
        <v>1796</v>
      </c>
      <c r="I321" s="64" t="s">
        <v>2096</v>
      </c>
      <c r="J321" s="66"/>
      <c r="K321" s="66"/>
      <c r="L321" s="68"/>
      <c r="M321" s="63" t="str">
        <f>HYPERLINK("http://nsgreg.nga.mil/genc/view?v=862444&amp;end_month=12&amp;end_day=31&amp;end_year=2016","Correlation")</f>
        <v>Correlation</v>
      </c>
    </row>
    <row r="322" spans="1:13" x14ac:dyDescent="0.2">
      <c r="A322" s="113"/>
      <c r="B322" s="58" t="s">
        <v>2098</v>
      </c>
      <c r="C322" s="58" t="s">
        <v>1796</v>
      </c>
      <c r="D322" s="58" t="s">
        <v>2099</v>
      </c>
      <c r="E322" s="60" t="b">
        <v>1</v>
      </c>
      <c r="F322" s="80" t="s">
        <v>253</v>
      </c>
      <c r="G322" s="58" t="s">
        <v>2100</v>
      </c>
      <c r="H322" s="58" t="s">
        <v>1796</v>
      </c>
      <c r="I322" s="64" t="s">
        <v>2099</v>
      </c>
      <c r="J322" s="66"/>
      <c r="K322" s="66"/>
      <c r="L322" s="68"/>
      <c r="M322" s="63" t="str">
        <f>HYPERLINK("http://nsgreg.nga.mil/genc/view?v=862441&amp;end_month=12&amp;end_day=31&amp;end_year=2016","Correlation")</f>
        <v>Correlation</v>
      </c>
    </row>
    <row r="323" spans="1:13" x14ac:dyDescent="0.2">
      <c r="A323" s="113"/>
      <c r="B323" s="58" t="s">
        <v>2101</v>
      </c>
      <c r="C323" s="58" t="s">
        <v>1796</v>
      </c>
      <c r="D323" s="58" t="s">
        <v>2102</v>
      </c>
      <c r="E323" s="60" t="b">
        <v>1</v>
      </c>
      <c r="F323" s="80" t="s">
        <v>253</v>
      </c>
      <c r="G323" s="58" t="s">
        <v>2101</v>
      </c>
      <c r="H323" s="58" t="s">
        <v>1796</v>
      </c>
      <c r="I323" s="64" t="s">
        <v>2102</v>
      </c>
      <c r="J323" s="66"/>
      <c r="K323" s="66"/>
      <c r="L323" s="68"/>
      <c r="M323" s="63" t="str">
        <f>HYPERLINK("http://nsgreg.nga.mil/genc/view?v=862442&amp;end_month=12&amp;end_day=31&amp;end_year=2016","Correlation")</f>
        <v>Correlation</v>
      </c>
    </row>
    <row r="324" spans="1:13" x14ac:dyDescent="0.2">
      <c r="A324" s="113"/>
      <c r="B324" s="58" t="s">
        <v>2103</v>
      </c>
      <c r="C324" s="58" t="s">
        <v>1796</v>
      </c>
      <c r="D324" s="58" t="s">
        <v>2104</v>
      </c>
      <c r="E324" s="60" t="b">
        <v>1</v>
      </c>
      <c r="F324" s="80" t="s">
        <v>253</v>
      </c>
      <c r="G324" s="58" t="s">
        <v>2105</v>
      </c>
      <c r="H324" s="58" t="s">
        <v>1796</v>
      </c>
      <c r="I324" s="64" t="s">
        <v>2104</v>
      </c>
      <c r="J324" s="66"/>
      <c r="K324" s="66"/>
      <c r="L324" s="68"/>
      <c r="M324" s="63" t="str">
        <f>HYPERLINK("http://nsgreg.nga.mil/genc/view?v=862445&amp;end_month=12&amp;end_day=31&amp;end_year=2016","Correlation")</f>
        <v>Correlation</v>
      </c>
    </row>
    <row r="325" spans="1:13" x14ac:dyDescent="0.2">
      <c r="A325" s="113"/>
      <c r="B325" s="58" t="s">
        <v>2106</v>
      </c>
      <c r="C325" s="58" t="s">
        <v>1796</v>
      </c>
      <c r="D325" s="58" t="s">
        <v>2107</v>
      </c>
      <c r="E325" s="60" t="b">
        <v>1</v>
      </c>
      <c r="F325" s="80" t="s">
        <v>253</v>
      </c>
      <c r="G325" s="58" t="s">
        <v>2106</v>
      </c>
      <c r="H325" s="58" t="s">
        <v>1796</v>
      </c>
      <c r="I325" s="64" t="s">
        <v>2107</v>
      </c>
      <c r="J325" s="66"/>
      <c r="K325" s="66"/>
      <c r="L325" s="68"/>
      <c r="M325" s="63" t="str">
        <f>HYPERLINK("http://nsgreg.nga.mil/genc/view?v=862443&amp;end_month=12&amp;end_day=31&amp;end_year=2016","Correlation")</f>
        <v>Correlation</v>
      </c>
    </row>
    <row r="326" spans="1:13" x14ac:dyDescent="0.2">
      <c r="A326" s="113"/>
      <c r="B326" s="58" t="s">
        <v>2108</v>
      </c>
      <c r="C326" s="58" t="s">
        <v>1796</v>
      </c>
      <c r="D326" s="58" t="s">
        <v>2109</v>
      </c>
      <c r="E326" s="60" t="b">
        <v>1</v>
      </c>
      <c r="F326" s="80" t="s">
        <v>253</v>
      </c>
      <c r="G326" s="58" t="s">
        <v>2110</v>
      </c>
      <c r="H326" s="58" t="s">
        <v>1796</v>
      </c>
      <c r="I326" s="64" t="s">
        <v>2109</v>
      </c>
      <c r="J326" s="66"/>
      <c r="K326" s="66"/>
      <c r="L326" s="68"/>
      <c r="M326" s="63" t="str">
        <f>HYPERLINK("http://nsgreg.nga.mil/genc/view?v=862449&amp;end_month=12&amp;end_day=31&amp;end_year=2016","Correlation")</f>
        <v>Correlation</v>
      </c>
    </row>
    <row r="327" spans="1:13" x14ac:dyDescent="0.2">
      <c r="A327" s="113"/>
      <c r="B327" s="58" t="s">
        <v>2111</v>
      </c>
      <c r="C327" s="58" t="s">
        <v>1796</v>
      </c>
      <c r="D327" s="58" t="s">
        <v>2112</v>
      </c>
      <c r="E327" s="60" t="b">
        <v>1</v>
      </c>
      <c r="F327" s="80" t="s">
        <v>253</v>
      </c>
      <c r="G327" s="58" t="s">
        <v>2111</v>
      </c>
      <c r="H327" s="58" t="s">
        <v>1796</v>
      </c>
      <c r="I327" s="64" t="s">
        <v>2112</v>
      </c>
      <c r="J327" s="66"/>
      <c r="K327" s="66"/>
      <c r="L327" s="68"/>
      <c r="M327" s="63" t="str">
        <f>HYPERLINK("http://nsgreg.nga.mil/genc/view?v=862447&amp;end_month=12&amp;end_day=31&amp;end_year=2016","Correlation")</f>
        <v>Correlation</v>
      </c>
    </row>
    <row r="328" spans="1:13" x14ac:dyDescent="0.2">
      <c r="A328" s="113"/>
      <c r="B328" s="58" t="s">
        <v>2111</v>
      </c>
      <c r="C328" s="58" t="s">
        <v>2048</v>
      </c>
      <c r="D328" s="58" t="s">
        <v>2113</v>
      </c>
      <c r="E328" s="60" t="b">
        <v>1</v>
      </c>
      <c r="F328" s="80" t="s">
        <v>253</v>
      </c>
      <c r="G328" s="58" t="s">
        <v>2111</v>
      </c>
      <c r="H328" s="58" t="s">
        <v>2048</v>
      </c>
      <c r="I328" s="64" t="s">
        <v>2113</v>
      </c>
      <c r="J328" s="66"/>
      <c r="K328" s="66"/>
      <c r="L328" s="68"/>
      <c r="M328" s="63" t="str">
        <f>HYPERLINK("http://nsgreg.nga.mil/genc/view?v=862488&amp;end_month=12&amp;end_day=31&amp;end_year=2016","Correlation")</f>
        <v>Correlation</v>
      </c>
    </row>
    <row r="329" spans="1:13" x14ac:dyDescent="0.2">
      <c r="A329" s="113"/>
      <c r="B329" s="58" t="s">
        <v>2114</v>
      </c>
      <c r="C329" s="58" t="s">
        <v>1796</v>
      </c>
      <c r="D329" s="58" t="s">
        <v>2115</v>
      </c>
      <c r="E329" s="60" t="b">
        <v>1</v>
      </c>
      <c r="F329" s="80" t="s">
        <v>253</v>
      </c>
      <c r="G329" s="58" t="s">
        <v>2116</v>
      </c>
      <c r="H329" s="58" t="s">
        <v>1796</v>
      </c>
      <c r="I329" s="64" t="s">
        <v>2115</v>
      </c>
      <c r="J329" s="66"/>
      <c r="K329" s="66"/>
      <c r="L329" s="68"/>
      <c r="M329" s="63" t="str">
        <f>HYPERLINK("http://nsgreg.nga.mil/genc/view?v=862446&amp;end_month=12&amp;end_day=31&amp;end_year=2016","Correlation")</f>
        <v>Correlation</v>
      </c>
    </row>
    <row r="330" spans="1:13" x14ac:dyDescent="0.2">
      <c r="A330" s="113"/>
      <c r="B330" s="58" t="s">
        <v>2117</v>
      </c>
      <c r="C330" s="58" t="s">
        <v>1796</v>
      </c>
      <c r="D330" s="58" t="s">
        <v>2118</v>
      </c>
      <c r="E330" s="60" t="b">
        <v>1</v>
      </c>
      <c r="F330" s="80" t="s">
        <v>253</v>
      </c>
      <c r="G330" s="58" t="s">
        <v>2119</v>
      </c>
      <c r="H330" s="58" t="s">
        <v>1796</v>
      </c>
      <c r="I330" s="64" t="s">
        <v>2118</v>
      </c>
      <c r="J330" s="66"/>
      <c r="K330" s="66"/>
      <c r="L330" s="68"/>
      <c r="M330" s="63" t="str">
        <f>HYPERLINK("http://nsgreg.nga.mil/genc/view?v=862448&amp;end_month=12&amp;end_day=31&amp;end_year=2016","Correlation")</f>
        <v>Correlation</v>
      </c>
    </row>
    <row r="331" spans="1:13" x14ac:dyDescent="0.2">
      <c r="A331" s="113"/>
      <c r="B331" s="58" t="s">
        <v>2120</v>
      </c>
      <c r="C331" s="58" t="s">
        <v>1796</v>
      </c>
      <c r="D331" s="58" t="s">
        <v>2121</v>
      </c>
      <c r="E331" s="60" t="b">
        <v>1</v>
      </c>
      <c r="F331" s="80" t="s">
        <v>253</v>
      </c>
      <c r="G331" s="58" t="s">
        <v>2120</v>
      </c>
      <c r="H331" s="58" t="s">
        <v>1796</v>
      </c>
      <c r="I331" s="64" t="s">
        <v>2121</v>
      </c>
      <c r="J331" s="66"/>
      <c r="K331" s="66"/>
      <c r="L331" s="68"/>
      <c r="M331" s="63" t="str">
        <f>HYPERLINK("http://nsgreg.nga.mil/genc/view?v=862450&amp;end_month=12&amp;end_day=31&amp;end_year=2016","Correlation")</f>
        <v>Correlation</v>
      </c>
    </row>
    <row r="332" spans="1:13" x14ac:dyDescent="0.2">
      <c r="A332" s="113"/>
      <c r="B332" s="58" t="s">
        <v>2122</v>
      </c>
      <c r="C332" s="58" t="s">
        <v>1796</v>
      </c>
      <c r="D332" s="58" t="s">
        <v>2123</v>
      </c>
      <c r="E332" s="60" t="b">
        <v>1</v>
      </c>
      <c r="F332" s="80" t="s">
        <v>253</v>
      </c>
      <c r="G332" s="58" t="s">
        <v>2122</v>
      </c>
      <c r="H332" s="58" t="s">
        <v>1796</v>
      </c>
      <c r="I332" s="64" t="s">
        <v>2123</v>
      </c>
      <c r="J332" s="66"/>
      <c r="K332" s="66"/>
      <c r="L332" s="68"/>
      <c r="M332" s="63" t="str">
        <f>HYPERLINK("http://nsgreg.nga.mil/genc/view?v=862451&amp;end_month=12&amp;end_day=31&amp;end_year=2016","Correlation")</f>
        <v>Correlation</v>
      </c>
    </row>
    <row r="333" spans="1:13" x14ac:dyDescent="0.2">
      <c r="A333" s="113"/>
      <c r="B333" s="58" t="s">
        <v>2124</v>
      </c>
      <c r="C333" s="58" t="s">
        <v>1796</v>
      </c>
      <c r="D333" s="58" t="s">
        <v>2125</v>
      </c>
      <c r="E333" s="60" t="b">
        <v>1</v>
      </c>
      <c r="F333" s="80" t="s">
        <v>253</v>
      </c>
      <c r="G333" s="58" t="s">
        <v>2126</v>
      </c>
      <c r="H333" s="58" t="s">
        <v>1796</v>
      </c>
      <c r="I333" s="64" t="s">
        <v>2125</v>
      </c>
      <c r="J333" s="66"/>
      <c r="K333" s="66"/>
      <c r="L333" s="68"/>
      <c r="M333" s="63" t="str">
        <f>HYPERLINK("http://nsgreg.nga.mil/genc/view?v=862452&amp;end_month=12&amp;end_day=31&amp;end_year=2016","Correlation")</f>
        <v>Correlation</v>
      </c>
    </row>
    <row r="334" spans="1:13" x14ac:dyDescent="0.2">
      <c r="A334" s="113"/>
      <c r="B334" s="58" t="s">
        <v>2127</v>
      </c>
      <c r="C334" s="58" t="s">
        <v>1796</v>
      </c>
      <c r="D334" s="58" t="s">
        <v>2128</v>
      </c>
      <c r="E334" s="60" t="b">
        <v>1</v>
      </c>
      <c r="F334" s="80" t="s">
        <v>253</v>
      </c>
      <c r="G334" s="58" t="s">
        <v>2129</v>
      </c>
      <c r="H334" s="58" t="s">
        <v>1796</v>
      </c>
      <c r="I334" s="64" t="s">
        <v>2128</v>
      </c>
      <c r="J334" s="66"/>
      <c r="K334" s="66"/>
      <c r="L334" s="68"/>
      <c r="M334" s="63" t="str">
        <f>HYPERLINK("http://nsgreg.nga.mil/genc/view?v=862456&amp;end_month=12&amp;end_day=31&amp;end_year=2016","Correlation")</f>
        <v>Correlation</v>
      </c>
    </row>
    <row r="335" spans="1:13" x14ac:dyDescent="0.2">
      <c r="A335" s="113"/>
      <c r="B335" s="58" t="s">
        <v>2130</v>
      </c>
      <c r="C335" s="58" t="s">
        <v>1796</v>
      </c>
      <c r="D335" s="58" t="s">
        <v>2131</v>
      </c>
      <c r="E335" s="60" t="b">
        <v>1</v>
      </c>
      <c r="F335" s="80" t="s">
        <v>253</v>
      </c>
      <c r="G335" s="58" t="s">
        <v>2132</v>
      </c>
      <c r="H335" s="58" t="s">
        <v>1796</v>
      </c>
      <c r="I335" s="64" t="s">
        <v>2131</v>
      </c>
      <c r="J335" s="66"/>
      <c r="K335" s="66"/>
      <c r="L335" s="68"/>
      <c r="M335" s="63" t="str">
        <f>HYPERLINK("http://nsgreg.nga.mil/genc/view?v=862457&amp;end_month=12&amp;end_day=31&amp;end_year=2016","Correlation")</f>
        <v>Correlation</v>
      </c>
    </row>
    <row r="336" spans="1:13" x14ac:dyDescent="0.2">
      <c r="A336" s="113"/>
      <c r="B336" s="58" t="s">
        <v>2133</v>
      </c>
      <c r="C336" s="58" t="s">
        <v>1796</v>
      </c>
      <c r="D336" s="58" t="s">
        <v>2134</v>
      </c>
      <c r="E336" s="60" t="b">
        <v>1</v>
      </c>
      <c r="F336" s="80" t="s">
        <v>253</v>
      </c>
      <c r="G336" s="58" t="s">
        <v>2135</v>
      </c>
      <c r="H336" s="58" t="s">
        <v>1796</v>
      </c>
      <c r="I336" s="64" t="s">
        <v>2134</v>
      </c>
      <c r="J336" s="66"/>
      <c r="K336" s="66"/>
      <c r="L336" s="68"/>
      <c r="M336" s="63" t="str">
        <f>HYPERLINK("http://nsgreg.nga.mil/genc/view?v=862453&amp;end_month=12&amp;end_day=31&amp;end_year=2016","Correlation")</f>
        <v>Correlation</v>
      </c>
    </row>
    <row r="337" spans="1:13" x14ac:dyDescent="0.2">
      <c r="A337" s="113"/>
      <c r="B337" s="58" t="s">
        <v>2136</v>
      </c>
      <c r="C337" s="58" t="s">
        <v>1796</v>
      </c>
      <c r="D337" s="58" t="s">
        <v>2137</v>
      </c>
      <c r="E337" s="60" t="b">
        <v>1</v>
      </c>
      <c r="F337" s="80" t="s">
        <v>253</v>
      </c>
      <c r="G337" s="58" t="s">
        <v>2136</v>
      </c>
      <c r="H337" s="58" t="s">
        <v>1796</v>
      </c>
      <c r="I337" s="64" t="s">
        <v>2137</v>
      </c>
      <c r="J337" s="66"/>
      <c r="K337" s="66"/>
      <c r="L337" s="68"/>
      <c r="M337" s="63" t="str">
        <f>HYPERLINK("http://nsgreg.nga.mil/genc/view?v=862459&amp;end_month=12&amp;end_day=31&amp;end_year=2016","Correlation")</f>
        <v>Correlation</v>
      </c>
    </row>
    <row r="338" spans="1:13" x14ac:dyDescent="0.2">
      <c r="A338" s="113"/>
      <c r="B338" s="58" t="s">
        <v>2138</v>
      </c>
      <c r="C338" s="58" t="s">
        <v>1796</v>
      </c>
      <c r="D338" s="58" t="s">
        <v>2139</v>
      </c>
      <c r="E338" s="60" t="b">
        <v>1</v>
      </c>
      <c r="F338" s="80" t="s">
        <v>253</v>
      </c>
      <c r="G338" s="58" t="s">
        <v>2140</v>
      </c>
      <c r="H338" s="58" t="s">
        <v>1796</v>
      </c>
      <c r="I338" s="64" t="s">
        <v>2139</v>
      </c>
      <c r="J338" s="66"/>
      <c r="K338" s="66"/>
      <c r="L338" s="68"/>
      <c r="M338" s="63" t="str">
        <f>HYPERLINK("http://nsgreg.nga.mil/genc/view?v=862458&amp;end_month=12&amp;end_day=31&amp;end_year=2016","Correlation")</f>
        <v>Correlation</v>
      </c>
    </row>
    <row r="339" spans="1:13" x14ac:dyDescent="0.2">
      <c r="A339" s="113"/>
      <c r="B339" s="58" t="s">
        <v>2141</v>
      </c>
      <c r="C339" s="58" t="s">
        <v>1796</v>
      </c>
      <c r="D339" s="58" t="s">
        <v>2142</v>
      </c>
      <c r="E339" s="60" t="b">
        <v>1</v>
      </c>
      <c r="F339" s="80" t="s">
        <v>253</v>
      </c>
      <c r="G339" s="58" t="s">
        <v>2141</v>
      </c>
      <c r="H339" s="58" t="s">
        <v>1796</v>
      </c>
      <c r="I339" s="64" t="s">
        <v>2142</v>
      </c>
      <c r="J339" s="66"/>
      <c r="K339" s="66"/>
      <c r="L339" s="68"/>
      <c r="M339" s="63" t="str">
        <f>HYPERLINK("http://nsgreg.nga.mil/genc/view?v=862455&amp;end_month=12&amp;end_day=31&amp;end_year=2016","Correlation")</f>
        <v>Correlation</v>
      </c>
    </row>
    <row r="340" spans="1:13" x14ac:dyDescent="0.2">
      <c r="A340" s="113"/>
      <c r="B340" s="58" t="s">
        <v>2143</v>
      </c>
      <c r="C340" s="58" t="s">
        <v>1796</v>
      </c>
      <c r="D340" s="58" t="s">
        <v>2144</v>
      </c>
      <c r="E340" s="60" t="b">
        <v>1</v>
      </c>
      <c r="F340" s="80" t="s">
        <v>253</v>
      </c>
      <c r="G340" s="58" t="s">
        <v>2143</v>
      </c>
      <c r="H340" s="58" t="s">
        <v>1796</v>
      </c>
      <c r="I340" s="64" t="s">
        <v>2144</v>
      </c>
      <c r="J340" s="66"/>
      <c r="K340" s="66"/>
      <c r="L340" s="68"/>
      <c r="M340" s="63" t="str">
        <f>HYPERLINK("http://nsgreg.nga.mil/genc/view?v=862454&amp;end_month=12&amp;end_day=31&amp;end_year=2016","Correlation")</f>
        <v>Correlation</v>
      </c>
    </row>
    <row r="341" spans="1:13" x14ac:dyDescent="0.2">
      <c r="A341" s="113"/>
      <c r="B341" s="58" t="s">
        <v>2143</v>
      </c>
      <c r="C341" s="58" t="s">
        <v>2048</v>
      </c>
      <c r="D341" s="58" t="s">
        <v>2145</v>
      </c>
      <c r="E341" s="60" t="b">
        <v>1</v>
      </c>
      <c r="F341" s="80" t="s">
        <v>253</v>
      </c>
      <c r="G341" s="58" t="s">
        <v>2143</v>
      </c>
      <c r="H341" s="58" t="s">
        <v>2048</v>
      </c>
      <c r="I341" s="64" t="s">
        <v>2145</v>
      </c>
      <c r="J341" s="66"/>
      <c r="K341" s="66"/>
      <c r="L341" s="68"/>
      <c r="M341" s="63" t="str">
        <f>HYPERLINK("http://nsgreg.nga.mil/genc/view?v=862492&amp;end_month=12&amp;end_day=31&amp;end_year=2016","Correlation")</f>
        <v>Correlation</v>
      </c>
    </row>
    <row r="342" spans="1:13" x14ac:dyDescent="0.2">
      <c r="A342" s="113"/>
      <c r="B342" s="58" t="s">
        <v>2146</v>
      </c>
      <c r="C342" s="58" t="s">
        <v>1796</v>
      </c>
      <c r="D342" s="58" t="s">
        <v>2147</v>
      </c>
      <c r="E342" s="60" t="b">
        <v>1</v>
      </c>
      <c r="F342" s="80" t="s">
        <v>253</v>
      </c>
      <c r="G342" s="58" t="s">
        <v>2146</v>
      </c>
      <c r="H342" s="58" t="s">
        <v>1796</v>
      </c>
      <c r="I342" s="64" t="s">
        <v>2147</v>
      </c>
      <c r="J342" s="66"/>
      <c r="K342" s="66"/>
      <c r="L342" s="68"/>
      <c r="M342" s="63" t="str">
        <f>HYPERLINK("http://nsgreg.nga.mil/genc/view?v=862468&amp;end_month=12&amp;end_day=31&amp;end_year=2016","Correlation")</f>
        <v>Correlation</v>
      </c>
    </row>
    <row r="343" spans="1:13" x14ac:dyDescent="0.2">
      <c r="A343" s="113"/>
      <c r="B343" s="58" t="s">
        <v>2148</v>
      </c>
      <c r="C343" s="58" t="s">
        <v>1796</v>
      </c>
      <c r="D343" s="58" t="s">
        <v>2149</v>
      </c>
      <c r="E343" s="60" t="b">
        <v>1</v>
      </c>
      <c r="F343" s="80" t="s">
        <v>253</v>
      </c>
      <c r="G343" s="58" t="s">
        <v>2148</v>
      </c>
      <c r="H343" s="58" t="s">
        <v>1796</v>
      </c>
      <c r="I343" s="64" t="s">
        <v>2149</v>
      </c>
      <c r="J343" s="66"/>
      <c r="K343" s="66"/>
      <c r="L343" s="68"/>
      <c r="M343" s="63" t="str">
        <f>HYPERLINK("http://nsgreg.nga.mil/genc/view?v=862463&amp;end_month=12&amp;end_day=31&amp;end_year=2016","Correlation")</f>
        <v>Correlation</v>
      </c>
    </row>
    <row r="344" spans="1:13" x14ac:dyDescent="0.2">
      <c r="A344" s="113"/>
      <c r="B344" s="58" t="s">
        <v>2150</v>
      </c>
      <c r="C344" s="58" t="s">
        <v>1796</v>
      </c>
      <c r="D344" s="58" t="s">
        <v>2151</v>
      </c>
      <c r="E344" s="60" t="b">
        <v>1</v>
      </c>
      <c r="F344" s="80" t="s">
        <v>253</v>
      </c>
      <c r="G344" s="58" t="s">
        <v>2152</v>
      </c>
      <c r="H344" s="58" t="s">
        <v>1796</v>
      </c>
      <c r="I344" s="64" t="s">
        <v>2151</v>
      </c>
      <c r="J344" s="66"/>
      <c r="K344" s="66"/>
      <c r="L344" s="68"/>
      <c r="M344" s="63" t="str">
        <f>HYPERLINK("http://nsgreg.nga.mil/genc/view?v=862460&amp;end_month=12&amp;end_day=31&amp;end_year=2016","Correlation")</f>
        <v>Correlation</v>
      </c>
    </row>
    <row r="345" spans="1:13" x14ac:dyDescent="0.2">
      <c r="A345" s="113"/>
      <c r="B345" s="58" t="s">
        <v>2153</v>
      </c>
      <c r="C345" s="58" t="s">
        <v>1796</v>
      </c>
      <c r="D345" s="58" t="s">
        <v>2154</v>
      </c>
      <c r="E345" s="60" t="b">
        <v>1</v>
      </c>
      <c r="F345" s="80" t="s">
        <v>253</v>
      </c>
      <c r="G345" s="58" t="s">
        <v>2153</v>
      </c>
      <c r="H345" s="58" t="s">
        <v>1796</v>
      </c>
      <c r="I345" s="64" t="s">
        <v>2154</v>
      </c>
      <c r="J345" s="66"/>
      <c r="K345" s="66"/>
      <c r="L345" s="68"/>
      <c r="M345" s="63" t="str">
        <f>HYPERLINK("http://nsgreg.nga.mil/genc/view?v=862462&amp;end_month=12&amp;end_day=31&amp;end_year=2016","Correlation")</f>
        <v>Correlation</v>
      </c>
    </row>
    <row r="346" spans="1:13" x14ac:dyDescent="0.2">
      <c r="A346" s="113"/>
      <c r="B346" s="58" t="s">
        <v>2155</v>
      </c>
      <c r="C346" s="58" t="s">
        <v>1796</v>
      </c>
      <c r="D346" s="58" t="s">
        <v>2156</v>
      </c>
      <c r="E346" s="60" t="b">
        <v>1</v>
      </c>
      <c r="F346" s="80" t="s">
        <v>253</v>
      </c>
      <c r="G346" s="58" t="s">
        <v>2157</v>
      </c>
      <c r="H346" s="58" t="s">
        <v>1796</v>
      </c>
      <c r="I346" s="64" t="s">
        <v>2156</v>
      </c>
      <c r="J346" s="66"/>
      <c r="K346" s="66"/>
      <c r="L346" s="68"/>
      <c r="M346" s="63" t="str">
        <f>HYPERLINK("http://nsgreg.nga.mil/genc/view?v=862464&amp;end_month=12&amp;end_day=31&amp;end_year=2016","Correlation")</f>
        <v>Correlation</v>
      </c>
    </row>
    <row r="347" spans="1:13" x14ac:dyDescent="0.2">
      <c r="A347" s="113"/>
      <c r="B347" s="58" t="s">
        <v>2158</v>
      </c>
      <c r="C347" s="58" t="s">
        <v>1796</v>
      </c>
      <c r="D347" s="58" t="s">
        <v>2159</v>
      </c>
      <c r="E347" s="60" t="b">
        <v>1</v>
      </c>
      <c r="F347" s="80" t="s">
        <v>253</v>
      </c>
      <c r="G347" s="58" t="s">
        <v>2158</v>
      </c>
      <c r="H347" s="58" t="s">
        <v>1796</v>
      </c>
      <c r="I347" s="64" t="s">
        <v>2159</v>
      </c>
      <c r="J347" s="66"/>
      <c r="K347" s="66"/>
      <c r="L347" s="68"/>
      <c r="M347" s="63" t="str">
        <f>HYPERLINK("http://nsgreg.nga.mil/genc/view?v=862461&amp;end_month=12&amp;end_day=31&amp;end_year=2016","Correlation")</f>
        <v>Correlation</v>
      </c>
    </row>
    <row r="348" spans="1:13" x14ac:dyDescent="0.2">
      <c r="A348" s="113"/>
      <c r="B348" s="58" t="s">
        <v>2160</v>
      </c>
      <c r="C348" s="58" t="s">
        <v>1796</v>
      </c>
      <c r="D348" s="58" t="s">
        <v>2161</v>
      </c>
      <c r="E348" s="60" t="b">
        <v>1</v>
      </c>
      <c r="F348" s="80" t="s">
        <v>253</v>
      </c>
      <c r="G348" s="58" t="s">
        <v>2162</v>
      </c>
      <c r="H348" s="58" t="s">
        <v>1796</v>
      </c>
      <c r="I348" s="64" t="s">
        <v>2161</v>
      </c>
      <c r="J348" s="66"/>
      <c r="K348" s="66"/>
      <c r="L348" s="68"/>
      <c r="M348" s="63" t="str">
        <f>HYPERLINK("http://nsgreg.nga.mil/genc/view?v=862466&amp;end_month=12&amp;end_day=31&amp;end_year=2016","Correlation")</f>
        <v>Correlation</v>
      </c>
    </row>
    <row r="349" spans="1:13" x14ac:dyDescent="0.2">
      <c r="A349" s="113"/>
      <c r="B349" s="58" t="s">
        <v>2163</v>
      </c>
      <c r="C349" s="58" t="s">
        <v>1796</v>
      </c>
      <c r="D349" s="58" t="s">
        <v>2164</v>
      </c>
      <c r="E349" s="60" t="b">
        <v>1</v>
      </c>
      <c r="F349" s="80" t="s">
        <v>253</v>
      </c>
      <c r="G349" s="58" t="s">
        <v>2165</v>
      </c>
      <c r="H349" s="58" t="s">
        <v>1796</v>
      </c>
      <c r="I349" s="64" t="s">
        <v>2164</v>
      </c>
      <c r="J349" s="66"/>
      <c r="K349" s="66"/>
      <c r="L349" s="68"/>
      <c r="M349" s="63" t="str">
        <f>HYPERLINK("http://nsgreg.nga.mil/genc/view?v=862467&amp;end_month=12&amp;end_day=31&amp;end_year=2016","Correlation")</f>
        <v>Correlation</v>
      </c>
    </row>
    <row r="350" spans="1:13" x14ac:dyDescent="0.2">
      <c r="A350" s="113"/>
      <c r="B350" s="58" t="s">
        <v>2166</v>
      </c>
      <c r="C350" s="58" t="s">
        <v>1796</v>
      </c>
      <c r="D350" s="58" t="s">
        <v>2167</v>
      </c>
      <c r="E350" s="60" t="b">
        <v>1</v>
      </c>
      <c r="F350" s="80" t="s">
        <v>253</v>
      </c>
      <c r="G350" s="58" t="s">
        <v>2168</v>
      </c>
      <c r="H350" s="58" t="s">
        <v>1796</v>
      </c>
      <c r="I350" s="64" t="s">
        <v>2167</v>
      </c>
      <c r="J350" s="66"/>
      <c r="K350" s="66"/>
      <c r="L350" s="68"/>
      <c r="M350" s="63" t="str">
        <f>HYPERLINK("http://nsgreg.nga.mil/genc/view?v=862469&amp;end_month=12&amp;end_day=31&amp;end_year=2016","Correlation")</f>
        <v>Correlation</v>
      </c>
    </row>
    <row r="351" spans="1:13" x14ac:dyDescent="0.2">
      <c r="A351" s="113"/>
      <c r="B351" s="58" t="s">
        <v>2169</v>
      </c>
      <c r="C351" s="58" t="s">
        <v>1796</v>
      </c>
      <c r="D351" s="58" t="s">
        <v>2170</v>
      </c>
      <c r="E351" s="60" t="b">
        <v>1</v>
      </c>
      <c r="F351" s="80" t="s">
        <v>253</v>
      </c>
      <c r="G351" s="58" t="s">
        <v>2171</v>
      </c>
      <c r="H351" s="58" t="s">
        <v>1796</v>
      </c>
      <c r="I351" s="64" t="s">
        <v>2170</v>
      </c>
      <c r="J351" s="66"/>
      <c r="K351" s="66"/>
      <c r="L351" s="68"/>
      <c r="M351" s="63" t="str">
        <f>HYPERLINK("http://nsgreg.nga.mil/genc/view?v=862472&amp;end_month=12&amp;end_day=31&amp;end_year=2016","Correlation")</f>
        <v>Correlation</v>
      </c>
    </row>
    <row r="352" spans="1:13" x14ac:dyDescent="0.2">
      <c r="A352" s="113"/>
      <c r="B352" s="58" t="s">
        <v>2172</v>
      </c>
      <c r="C352" s="58" t="s">
        <v>1796</v>
      </c>
      <c r="D352" s="58" t="s">
        <v>2173</v>
      </c>
      <c r="E352" s="60" t="b">
        <v>1</v>
      </c>
      <c r="F352" s="80" t="s">
        <v>253</v>
      </c>
      <c r="G352" s="58" t="s">
        <v>2174</v>
      </c>
      <c r="H352" s="58" t="s">
        <v>1796</v>
      </c>
      <c r="I352" s="64" t="s">
        <v>2173</v>
      </c>
      <c r="J352" s="66"/>
      <c r="K352" s="66"/>
      <c r="L352" s="68"/>
      <c r="M352" s="63" t="str">
        <f>HYPERLINK("http://nsgreg.nga.mil/genc/view?v=862471&amp;end_month=12&amp;end_day=31&amp;end_year=2016","Correlation")</f>
        <v>Correlation</v>
      </c>
    </row>
    <row r="353" spans="1:13" x14ac:dyDescent="0.2">
      <c r="A353" s="113"/>
      <c r="B353" s="58" t="s">
        <v>2175</v>
      </c>
      <c r="C353" s="58" t="s">
        <v>1796</v>
      </c>
      <c r="D353" s="58" t="s">
        <v>2176</v>
      </c>
      <c r="E353" s="60" t="b">
        <v>1</v>
      </c>
      <c r="F353" s="80" t="s">
        <v>253</v>
      </c>
      <c r="G353" s="58" t="s">
        <v>2175</v>
      </c>
      <c r="H353" s="58" t="s">
        <v>1796</v>
      </c>
      <c r="I353" s="64" t="s">
        <v>2176</v>
      </c>
      <c r="J353" s="66"/>
      <c r="K353" s="66"/>
      <c r="L353" s="68"/>
      <c r="M353" s="63" t="str">
        <f>HYPERLINK("http://nsgreg.nga.mil/genc/view?v=862470&amp;end_month=12&amp;end_day=31&amp;end_year=2016","Correlation")</f>
        <v>Correlation</v>
      </c>
    </row>
    <row r="354" spans="1:13" x14ac:dyDescent="0.2">
      <c r="A354" s="113"/>
      <c r="B354" s="58" t="s">
        <v>2177</v>
      </c>
      <c r="C354" s="58" t="s">
        <v>1796</v>
      </c>
      <c r="D354" s="58" t="s">
        <v>2178</v>
      </c>
      <c r="E354" s="60" t="b">
        <v>1</v>
      </c>
      <c r="F354" s="80" t="s">
        <v>253</v>
      </c>
      <c r="G354" s="58" t="s">
        <v>2179</v>
      </c>
      <c r="H354" s="58" t="s">
        <v>1796</v>
      </c>
      <c r="I354" s="64" t="s">
        <v>2178</v>
      </c>
      <c r="J354" s="66"/>
      <c r="K354" s="66"/>
      <c r="L354" s="68"/>
      <c r="M354" s="63" t="str">
        <f>HYPERLINK("http://nsgreg.nga.mil/genc/view?v=862473&amp;end_month=12&amp;end_day=31&amp;end_year=2016","Correlation")</f>
        <v>Correlation</v>
      </c>
    </row>
    <row r="355" spans="1:13" x14ac:dyDescent="0.2">
      <c r="A355" s="113"/>
      <c r="B355" s="58" t="s">
        <v>2180</v>
      </c>
      <c r="C355" s="58" t="s">
        <v>1796</v>
      </c>
      <c r="D355" s="58" t="s">
        <v>2181</v>
      </c>
      <c r="E355" s="60" t="b">
        <v>1</v>
      </c>
      <c r="F355" s="80" t="s">
        <v>253</v>
      </c>
      <c r="G355" s="58" t="s">
        <v>2182</v>
      </c>
      <c r="H355" s="58" t="s">
        <v>1796</v>
      </c>
      <c r="I355" s="64" t="s">
        <v>2181</v>
      </c>
      <c r="J355" s="66"/>
      <c r="K355" s="66"/>
      <c r="L355" s="68"/>
      <c r="M355" s="63" t="str">
        <f>HYPERLINK("http://nsgreg.nga.mil/genc/view?v=862474&amp;end_month=12&amp;end_day=31&amp;end_year=2016","Correlation")</f>
        <v>Correlation</v>
      </c>
    </row>
    <row r="356" spans="1:13" x14ac:dyDescent="0.2">
      <c r="A356" s="113"/>
      <c r="B356" s="58" t="s">
        <v>2180</v>
      </c>
      <c r="C356" s="58" t="s">
        <v>2048</v>
      </c>
      <c r="D356" s="58" t="s">
        <v>2183</v>
      </c>
      <c r="E356" s="60" t="b">
        <v>1</v>
      </c>
      <c r="F356" s="80" t="s">
        <v>253</v>
      </c>
      <c r="G356" s="58" t="s">
        <v>2182</v>
      </c>
      <c r="H356" s="58" t="s">
        <v>2048</v>
      </c>
      <c r="I356" s="64" t="s">
        <v>2183</v>
      </c>
      <c r="J356" s="66"/>
      <c r="K356" s="66"/>
      <c r="L356" s="68"/>
      <c r="M356" s="63" t="str">
        <f>HYPERLINK("http://nsgreg.nga.mil/genc/view?v=862489&amp;end_month=12&amp;end_day=31&amp;end_year=2016","Correlation")</f>
        <v>Correlation</v>
      </c>
    </row>
    <row r="357" spans="1:13" x14ac:dyDescent="0.2">
      <c r="A357" s="113"/>
      <c r="B357" s="58" t="s">
        <v>2184</v>
      </c>
      <c r="C357" s="58" t="s">
        <v>1796</v>
      </c>
      <c r="D357" s="58" t="s">
        <v>2185</v>
      </c>
      <c r="E357" s="60" t="b">
        <v>1</v>
      </c>
      <c r="F357" s="80" t="s">
        <v>253</v>
      </c>
      <c r="G357" s="58" t="s">
        <v>2184</v>
      </c>
      <c r="H357" s="58" t="s">
        <v>1796</v>
      </c>
      <c r="I357" s="64" t="s">
        <v>2185</v>
      </c>
      <c r="J357" s="66"/>
      <c r="K357" s="66"/>
      <c r="L357" s="68"/>
      <c r="M357" s="63" t="str">
        <f>HYPERLINK("http://nsgreg.nga.mil/genc/view?v=862476&amp;end_month=12&amp;end_day=31&amp;end_year=2016","Correlation")</f>
        <v>Correlation</v>
      </c>
    </row>
    <row r="358" spans="1:13" x14ac:dyDescent="0.2">
      <c r="A358" s="113"/>
      <c r="B358" s="58" t="s">
        <v>2186</v>
      </c>
      <c r="C358" s="58" t="s">
        <v>1796</v>
      </c>
      <c r="D358" s="58" t="s">
        <v>2187</v>
      </c>
      <c r="E358" s="60" t="b">
        <v>1</v>
      </c>
      <c r="F358" s="80" t="s">
        <v>253</v>
      </c>
      <c r="G358" s="58" t="s">
        <v>2186</v>
      </c>
      <c r="H358" s="58" t="s">
        <v>1796</v>
      </c>
      <c r="I358" s="64" t="s">
        <v>2187</v>
      </c>
      <c r="J358" s="66"/>
      <c r="K358" s="66"/>
      <c r="L358" s="68"/>
      <c r="M358" s="63" t="str">
        <f>HYPERLINK("http://nsgreg.nga.mil/genc/view?v=862475&amp;end_month=12&amp;end_day=31&amp;end_year=2016","Correlation")</f>
        <v>Correlation</v>
      </c>
    </row>
    <row r="359" spans="1:13" x14ac:dyDescent="0.2">
      <c r="A359" s="113"/>
      <c r="B359" s="58" t="s">
        <v>2186</v>
      </c>
      <c r="C359" s="58" t="s">
        <v>2048</v>
      </c>
      <c r="D359" s="58" t="s">
        <v>2188</v>
      </c>
      <c r="E359" s="60" t="b">
        <v>1</v>
      </c>
      <c r="F359" s="80" t="s">
        <v>253</v>
      </c>
      <c r="G359" s="58" t="s">
        <v>2186</v>
      </c>
      <c r="H359" s="58" t="s">
        <v>2048</v>
      </c>
      <c r="I359" s="64" t="s">
        <v>2188</v>
      </c>
      <c r="J359" s="66"/>
      <c r="K359" s="66"/>
      <c r="L359" s="68"/>
      <c r="M359" s="63" t="str">
        <f>HYPERLINK("http://nsgreg.nga.mil/genc/view?v=862490&amp;end_month=12&amp;end_day=31&amp;end_year=2016","Correlation")</f>
        <v>Correlation</v>
      </c>
    </row>
    <row r="360" spans="1:13" x14ac:dyDescent="0.2">
      <c r="A360" s="113"/>
      <c r="B360" s="58" t="s">
        <v>2189</v>
      </c>
      <c r="C360" s="58" t="s">
        <v>1796</v>
      </c>
      <c r="D360" s="58" t="s">
        <v>2190</v>
      </c>
      <c r="E360" s="60" t="b">
        <v>1</v>
      </c>
      <c r="F360" s="80" t="s">
        <v>253</v>
      </c>
      <c r="G360" s="58" t="s">
        <v>2191</v>
      </c>
      <c r="H360" s="58" t="s">
        <v>1796</v>
      </c>
      <c r="I360" s="64" t="s">
        <v>2190</v>
      </c>
      <c r="J360" s="66"/>
      <c r="K360" s="66"/>
      <c r="L360" s="68"/>
      <c r="M360" s="63" t="str">
        <f>HYPERLINK("http://nsgreg.nga.mil/genc/view?v=862478&amp;end_month=12&amp;end_day=31&amp;end_year=2016","Correlation")</f>
        <v>Correlation</v>
      </c>
    </row>
    <row r="361" spans="1:13" x14ac:dyDescent="0.2">
      <c r="A361" s="113"/>
      <c r="B361" s="58" t="s">
        <v>2192</v>
      </c>
      <c r="C361" s="58" t="s">
        <v>1796</v>
      </c>
      <c r="D361" s="58" t="s">
        <v>2193</v>
      </c>
      <c r="E361" s="60" t="b">
        <v>1</v>
      </c>
      <c r="F361" s="80" t="s">
        <v>253</v>
      </c>
      <c r="G361" s="58" t="s">
        <v>2194</v>
      </c>
      <c r="H361" s="58" t="s">
        <v>1796</v>
      </c>
      <c r="I361" s="64" t="s">
        <v>2193</v>
      </c>
      <c r="J361" s="66"/>
      <c r="K361" s="66"/>
      <c r="L361" s="68"/>
      <c r="M361" s="63" t="str">
        <f>HYPERLINK("http://nsgreg.nga.mil/genc/view?v=862482&amp;end_month=12&amp;end_day=31&amp;end_year=2016","Correlation")</f>
        <v>Correlation</v>
      </c>
    </row>
    <row r="362" spans="1:13" x14ac:dyDescent="0.2">
      <c r="A362" s="113"/>
      <c r="B362" s="58" t="s">
        <v>2195</v>
      </c>
      <c r="C362" s="58" t="s">
        <v>1796</v>
      </c>
      <c r="D362" s="58" t="s">
        <v>2196</v>
      </c>
      <c r="E362" s="60" t="b">
        <v>1</v>
      </c>
      <c r="F362" s="80" t="s">
        <v>253</v>
      </c>
      <c r="G362" s="58" t="s">
        <v>2195</v>
      </c>
      <c r="H362" s="58" t="s">
        <v>1796</v>
      </c>
      <c r="I362" s="64" t="s">
        <v>2196</v>
      </c>
      <c r="J362" s="66"/>
      <c r="K362" s="66"/>
      <c r="L362" s="68"/>
      <c r="M362" s="63" t="str">
        <f>HYPERLINK("http://nsgreg.nga.mil/genc/view?v=862477&amp;end_month=12&amp;end_day=31&amp;end_year=2016","Correlation")</f>
        <v>Correlation</v>
      </c>
    </row>
    <row r="363" spans="1:13" x14ac:dyDescent="0.2">
      <c r="A363" s="113"/>
      <c r="B363" s="58" t="s">
        <v>2197</v>
      </c>
      <c r="C363" s="58" t="s">
        <v>1796</v>
      </c>
      <c r="D363" s="58" t="s">
        <v>2198</v>
      </c>
      <c r="E363" s="60" t="b">
        <v>1</v>
      </c>
      <c r="F363" s="80" t="s">
        <v>253</v>
      </c>
      <c r="G363" s="58" t="s">
        <v>2199</v>
      </c>
      <c r="H363" s="58" t="s">
        <v>1796</v>
      </c>
      <c r="I363" s="64" t="s">
        <v>2198</v>
      </c>
      <c r="J363" s="66"/>
      <c r="K363" s="66"/>
      <c r="L363" s="68"/>
      <c r="M363" s="63" t="str">
        <f>HYPERLINK("http://nsgreg.nga.mil/genc/view?v=862479&amp;end_month=12&amp;end_day=31&amp;end_year=2016","Correlation")</f>
        <v>Correlation</v>
      </c>
    </row>
    <row r="364" spans="1:13" x14ac:dyDescent="0.2">
      <c r="A364" s="113"/>
      <c r="B364" s="58" t="s">
        <v>2200</v>
      </c>
      <c r="C364" s="58" t="s">
        <v>1796</v>
      </c>
      <c r="D364" s="58" t="s">
        <v>2201</v>
      </c>
      <c r="E364" s="60" t="b">
        <v>1</v>
      </c>
      <c r="F364" s="80" t="s">
        <v>253</v>
      </c>
      <c r="G364" s="58" t="s">
        <v>2202</v>
      </c>
      <c r="H364" s="58" t="s">
        <v>1796</v>
      </c>
      <c r="I364" s="64" t="s">
        <v>2201</v>
      </c>
      <c r="J364" s="66"/>
      <c r="K364" s="66"/>
      <c r="L364" s="68"/>
      <c r="M364" s="63" t="str">
        <f>HYPERLINK("http://nsgreg.nga.mil/genc/view?v=862481&amp;end_month=12&amp;end_day=31&amp;end_year=2016","Correlation")</f>
        <v>Correlation</v>
      </c>
    </row>
    <row r="365" spans="1:13" x14ac:dyDescent="0.2">
      <c r="A365" s="113"/>
      <c r="B365" s="58" t="s">
        <v>2203</v>
      </c>
      <c r="C365" s="58" t="s">
        <v>1796</v>
      </c>
      <c r="D365" s="58" t="s">
        <v>2204</v>
      </c>
      <c r="E365" s="60" t="b">
        <v>1</v>
      </c>
      <c r="F365" s="80" t="s">
        <v>253</v>
      </c>
      <c r="G365" s="58" t="s">
        <v>2203</v>
      </c>
      <c r="H365" s="58" t="s">
        <v>1796</v>
      </c>
      <c r="I365" s="64" t="s">
        <v>2204</v>
      </c>
      <c r="J365" s="66"/>
      <c r="K365" s="66"/>
      <c r="L365" s="68"/>
      <c r="M365" s="63" t="str">
        <f>HYPERLINK("http://nsgreg.nga.mil/genc/view?v=862480&amp;end_month=12&amp;end_day=31&amp;end_year=2016","Correlation")</f>
        <v>Correlation</v>
      </c>
    </row>
    <row r="366" spans="1:13" x14ac:dyDescent="0.2">
      <c r="A366" s="113"/>
      <c r="B366" s="58" t="s">
        <v>2203</v>
      </c>
      <c r="C366" s="58" t="s">
        <v>2048</v>
      </c>
      <c r="D366" s="58" t="s">
        <v>2205</v>
      </c>
      <c r="E366" s="60" t="b">
        <v>1</v>
      </c>
      <c r="F366" s="80" t="s">
        <v>253</v>
      </c>
      <c r="G366" s="58" t="s">
        <v>2203</v>
      </c>
      <c r="H366" s="58" t="s">
        <v>2048</v>
      </c>
      <c r="I366" s="64" t="s">
        <v>2205</v>
      </c>
      <c r="J366" s="66"/>
      <c r="K366" s="66"/>
      <c r="L366" s="68"/>
      <c r="M366" s="63" t="str">
        <f>HYPERLINK("http://nsgreg.nga.mil/genc/view?v=862491&amp;end_month=12&amp;end_day=31&amp;end_year=2016","Correlation")</f>
        <v>Correlation</v>
      </c>
    </row>
    <row r="367" spans="1:13" x14ac:dyDescent="0.2">
      <c r="A367" s="113"/>
      <c r="B367" s="58" t="s">
        <v>2206</v>
      </c>
      <c r="C367" s="58" t="s">
        <v>1796</v>
      </c>
      <c r="D367" s="58" t="s">
        <v>2207</v>
      </c>
      <c r="E367" s="60" t="b">
        <v>1</v>
      </c>
      <c r="F367" s="80" t="s">
        <v>253</v>
      </c>
      <c r="G367" s="58" t="s">
        <v>2206</v>
      </c>
      <c r="H367" s="58" t="s">
        <v>1796</v>
      </c>
      <c r="I367" s="64" t="s">
        <v>2207</v>
      </c>
      <c r="J367" s="66"/>
      <c r="K367" s="66"/>
      <c r="L367" s="68"/>
      <c r="M367" s="63" t="str">
        <f>HYPERLINK("http://nsgreg.nga.mil/genc/view?v=862483&amp;end_month=12&amp;end_day=31&amp;end_year=2016","Correlation")</f>
        <v>Correlation</v>
      </c>
    </row>
    <row r="368" spans="1:13" x14ac:dyDescent="0.2">
      <c r="A368" s="114"/>
      <c r="B368" s="71" t="s">
        <v>2208</v>
      </c>
      <c r="C368" s="71" t="s">
        <v>1796</v>
      </c>
      <c r="D368" s="71" t="s">
        <v>2209</v>
      </c>
      <c r="E368" s="73" t="b">
        <v>1</v>
      </c>
      <c r="F368" s="81" t="s">
        <v>253</v>
      </c>
      <c r="G368" s="71" t="s">
        <v>2210</v>
      </c>
      <c r="H368" s="71" t="s">
        <v>1796</v>
      </c>
      <c r="I368" s="74" t="s">
        <v>2209</v>
      </c>
      <c r="J368" s="76"/>
      <c r="K368" s="76"/>
      <c r="L368" s="82"/>
      <c r="M368" s="77" t="str">
        <f>HYPERLINK("http://nsgreg.nga.mil/genc/view?v=862484&amp;end_month=12&amp;end_day=31&amp;end_year=2016","Correlation")</f>
        <v>Correlation</v>
      </c>
    </row>
    <row r="369" spans="1:13" x14ac:dyDescent="0.2">
      <c r="A369" s="112" t="s">
        <v>257</v>
      </c>
      <c r="B369" s="50" t="s">
        <v>2211</v>
      </c>
      <c r="C369" s="50" t="s">
        <v>1607</v>
      </c>
      <c r="D369" s="50" t="s">
        <v>2212</v>
      </c>
      <c r="E369" s="52" t="b">
        <v>1</v>
      </c>
      <c r="F369" s="78" t="s">
        <v>257</v>
      </c>
      <c r="G369" s="50" t="s">
        <v>2211</v>
      </c>
      <c r="H369" s="50" t="s">
        <v>1607</v>
      </c>
      <c r="I369" s="53" t="s">
        <v>2212</v>
      </c>
      <c r="J369" s="55"/>
      <c r="K369" s="55"/>
      <c r="L369" s="79"/>
      <c r="M369" s="56" t="str">
        <f>HYPERLINK("http://nsgreg.nga.mil/genc/view?v=862410&amp;end_month=12&amp;end_day=31&amp;end_year=2016","Correlation")</f>
        <v>Correlation</v>
      </c>
    </row>
    <row r="370" spans="1:13" x14ac:dyDescent="0.2">
      <c r="A370" s="113"/>
      <c r="B370" s="58" t="s">
        <v>2213</v>
      </c>
      <c r="C370" s="58" t="s">
        <v>1607</v>
      </c>
      <c r="D370" s="58" t="s">
        <v>2214</v>
      </c>
      <c r="E370" s="60" t="b">
        <v>1</v>
      </c>
      <c r="F370" s="80" t="s">
        <v>257</v>
      </c>
      <c r="G370" s="58" t="s">
        <v>2213</v>
      </c>
      <c r="H370" s="58" t="s">
        <v>1607</v>
      </c>
      <c r="I370" s="64" t="s">
        <v>2214</v>
      </c>
      <c r="J370" s="66"/>
      <c r="K370" s="66"/>
      <c r="L370" s="68"/>
      <c r="M370" s="63" t="str">
        <f>HYPERLINK("http://nsgreg.nga.mil/genc/view?v=862411&amp;end_month=12&amp;end_day=31&amp;end_year=2016","Correlation")</f>
        <v>Correlation</v>
      </c>
    </row>
    <row r="371" spans="1:13" x14ac:dyDescent="0.2">
      <c r="A371" s="113"/>
      <c r="B371" s="58" t="s">
        <v>1663</v>
      </c>
      <c r="C371" s="58" t="s">
        <v>1607</v>
      </c>
      <c r="D371" s="58" t="s">
        <v>2215</v>
      </c>
      <c r="E371" s="60" t="b">
        <v>1</v>
      </c>
      <c r="F371" s="80" t="s">
        <v>257</v>
      </c>
      <c r="G371" s="58" t="s">
        <v>1663</v>
      </c>
      <c r="H371" s="58" t="s">
        <v>1607</v>
      </c>
      <c r="I371" s="64" t="s">
        <v>2215</v>
      </c>
      <c r="J371" s="66"/>
      <c r="K371" s="66"/>
      <c r="L371" s="68"/>
      <c r="M371" s="63" t="str">
        <f>HYPERLINK("http://nsgreg.nga.mil/genc/view?v=862412&amp;end_month=12&amp;end_day=31&amp;end_year=2016","Correlation")</f>
        <v>Correlation</v>
      </c>
    </row>
    <row r="372" spans="1:13" x14ac:dyDescent="0.2">
      <c r="A372" s="113"/>
      <c r="B372" s="58" t="s">
        <v>2216</v>
      </c>
      <c r="C372" s="58" t="s">
        <v>1607</v>
      </c>
      <c r="D372" s="58" t="s">
        <v>2217</v>
      </c>
      <c r="E372" s="60" t="b">
        <v>1</v>
      </c>
      <c r="F372" s="80" t="s">
        <v>257</v>
      </c>
      <c r="G372" s="58" t="s">
        <v>2216</v>
      </c>
      <c r="H372" s="58" t="s">
        <v>1607</v>
      </c>
      <c r="I372" s="64" t="s">
        <v>2217</v>
      </c>
      <c r="J372" s="66"/>
      <c r="K372" s="66"/>
      <c r="L372" s="68"/>
      <c r="M372" s="63" t="str">
        <f>HYPERLINK("http://nsgreg.nga.mil/genc/view?v=862413&amp;end_month=12&amp;end_day=31&amp;end_year=2016","Correlation")</f>
        <v>Correlation</v>
      </c>
    </row>
    <row r="373" spans="1:13" x14ac:dyDescent="0.2">
      <c r="A373" s="113"/>
      <c r="B373" s="58" t="s">
        <v>1665</v>
      </c>
      <c r="C373" s="58" t="s">
        <v>1607</v>
      </c>
      <c r="D373" s="58" t="s">
        <v>2218</v>
      </c>
      <c r="E373" s="60" t="b">
        <v>1</v>
      </c>
      <c r="F373" s="80" t="s">
        <v>257</v>
      </c>
      <c r="G373" s="58" t="s">
        <v>1665</v>
      </c>
      <c r="H373" s="58" t="s">
        <v>1607</v>
      </c>
      <c r="I373" s="64" t="s">
        <v>2218</v>
      </c>
      <c r="J373" s="66"/>
      <c r="K373" s="66"/>
      <c r="L373" s="68"/>
      <c r="M373" s="63" t="str">
        <f>HYPERLINK("http://nsgreg.nga.mil/genc/view?v=862414&amp;end_month=12&amp;end_day=31&amp;end_year=2016","Correlation")</f>
        <v>Correlation</v>
      </c>
    </row>
    <row r="374" spans="1:13" x14ac:dyDescent="0.2">
      <c r="A374" s="113"/>
      <c r="B374" s="58" t="s">
        <v>2219</v>
      </c>
      <c r="C374" s="58" t="s">
        <v>1607</v>
      </c>
      <c r="D374" s="58" t="s">
        <v>2220</v>
      </c>
      <c r="E374" s="60" t="b">
        <v>1</v>
      </c>
      <c r="F374" s="80" t="s">
        <v>257</v>
      </c>
      <c r="G374" s="58" t="s">
        <v>2219</v>
      </c>
      <c r="H374" s="58" t="s">
        <v>1607</v>
      </c>
      <c r="I374" s="64" t="s">
        <v>2220</v>
      </c>
      <c r="J374" s="66"/>
      <c r="K374" s="66"/>
      <c r="L374" s="68"/>
      <c r="M374" s="63" t="str">
        <f>HYPERLINK("http://nsgreg.nga.mil/genc/view?v=862415&amp;end_month=12&amp;end_day=31&amp;end_year=2016","Correlation")</f>
        <v>Correlation</v>
      </c>
    </row>
    <row r="375" spans="1:13" x14ac:dyDescent="0.2">
      <c r="A375" s="113"/>
      <c r="B375" s="58" t="s">
        <v>2221</v>
      </c>
      <c r="C375" s="58" t="s">
        <v>1607</v>
      </c>
      <c r="D375" s="58" t="s">
        <v>2222</v>
      </c>
      <c r="E375" s="60" t="b">
        <v>1</v>
      </c>
      <c r="F375" s="80" t="s">
        <v>257</v>
      </c>
      <c r="G375" s="58" t="s">
        <v>2221</v>
      </c>
      <c r="H375" s="58" t="s">
        <v>1607</v>
      </c>
      <c r="I375" s="64" t="s">
        <v>2222</v>
      </c>
      <c r="J375" s="66"/>
      <c r="K375" s="66"/>
      <c r="L375" s="68"/>
      <c r="M375" s="63" t="str">
        <f>HYPERLINK("http://nsgreg.nga.mil/genc/view?v=862416&amp;end_month=12&amp;end_day=31&amp;end_year=2016","Correlation")</f>
        <v>Correlation</v>
      </c>
    </row>
    <row r="376" spans="1:13" x14ac:dyDescent="0.2">
      <c r="A376" s="113"/>
      <c r="B376" s="58" t="s">
        <v>2223</v>
      </c>
      <c r="C376" s="58" t="s">
        <v>1607</v>
      </c>
      <c r="D376" s="58" t="s">
        <v>2224</v>
      </c>
      <c r="E376" s="60" t="b">
        <v>1</v>
      </c>
      <c r="F376" s="80" t="s">
        <v>257</v>
      </c>
      <c r="G376" s="58" t="s">
        <v>2223</v>
      </c>
      <c r="H376" s="58" t="s">
        <v>1607</v>
      </c>
      <c r="I376" s="64" t="s">
        <v>2224</v>
      </c>
      <c r="J376" s="66"/>
      <c r="K376" s="66"/>
      <c r="L376" s="68"/>
      <c r="M376" s="63" t="str">
        <f>HYPERLINK("http://nsgreg.nga.mil/genc/view?v=862417&amp;end_month=12&amp;end_day=31&amp;end_year=2016","Correlation")</f>
        <v>Correlation</v>
      </c>
    </row>
    <row r="377" spans="1:13" x14ac:dyDescent="0.2">
      <c r="A377" s="113"/>
      <c r="B377" s="58" t="s">
        <v>1671</v>
      </c>
      <c r="C377" s="58" t="s">
        <v>1607</v>
      </c>
      <c r="D377" s="58" t="s">
        <v>2225</v>
      </c>
      <c r="E377" s="60" t="b">
        <v>1</v>
      </c>
      <c r="F377" s="80" t="s">
        <v>257</v>
      </c>
      <c r="G377" s="58" t="s">
        <v>1671</v>
      </c>
      <c r="H377" s="58" t="s">
        <v>1607</v>
      </c>
      <c r="I377" s="64" t="s">
        <v>2225</v>
      </c>
      <c r="J377" s="66"/>
      <c r="K377" s="66"/>
      <c r="L377" s="68"/>
      <c r="M377" s="63" t="str">
        <f>HYPERLINK("http://nsgreg.nga.mil/genc/view?v=862418&amp;end_month=12&amp;end_day=31&amp;end_year=2016","Correlation")</f>
        <v>Correlation</v>
      </c>
    </row>
    <row r="378" spans="1:13" x14ac:dyDescent="0.2">
      <c r="A378" s="113"/>
      <c r="B378" s="58" t="s">
        <v>1673</v>
      </c>
      <c r="C378" s="58" t="s">
        <v>1607</v>
      </c>
      <c r="D378" s="58" t="s">
        <v>2226</v>
      </c>
      <c r="E378" s="60" t="b">
        <v>1</v>
      </c>
      <c r="F378" s="80" t="s">
        <v>257</v>
      </c>
      <c r="G378" s="58" t="s">
        <v>1673</v>
      </c>
      <c r="H378" s="58" t="s">
        <v>1607</v>
      </c>
      <c r="I378" s="64" t="s">
        <v>2226</v>
      </c>
      <c r="J378" s="66"/>
      <c r="K378" s="66"/>
      <c r="L378" s="68"/>
      <c r="M378" s="63" t="str">
        <f>HYPERLINK("http://nsgreg.nga.mil/genc/view?v=862419&amp;end_month=12&amp;end_day=31&amp;end_year=2016","Correlation")</f>
        <v>Correlation</v>
      </c>
    </row>
    <row r="379" spans="1:13" x14ac:dyDescent="0.2">
      <c r="A379" s="114"/>
      <c r="B379" s="71" t="s">
        <v>2227</v>
      </c>
      <c r="C379" s="71" t="s">
        <v>1607</v>
      </c>
      <c r="D379" s="71" t="s">
        <v>2228</v>
      </c>
      <c r="E379" s="73" t="b">
        <v>1</v>
      </c>
      <c r="F379" s="81" t="s">
        <v>257</v>
      </c>
      <c r="G379" s="71" t="s">
        <v>2227</v>
      </c>
      <c r="H379" s="71" t="s">
        <v>1607</v>
      </c>
      <c r="I379" s="74" t="s">
        <v>2228</v>
      </c>
      <c r="J379" s="76"/>
      <c r="K379" s="76"/>
      <c r="L379" s="82"/>
      <c r="M379" s="77" t="str">
        <f>HYPERLINK("http://nsgreg.nga.mil/genc/view?v=862420&amp;end_month=12&amp;end_day=31&amp;end_year=2016","Correlation")</f>
        <v>Correlation</v>
      </c>
    </row>
    <row r="380" spans="1:13" x14ac:dyDescent="0.2">
      <c r="A380" s="112" t="s">
        <v>271</v>
      </c>
      <c r="B380" s="50" t="s">
        <v>2229</v>
      </c>
      <c r="C380" s="50" t="s">
        <v>1728</v>
      </c>
      <c r="D380" s="50" t="s">
        <v>2230</v>
      </c>
      <c r="E380" s="52" t="b">
        <v>1</v>
      </c>
      <c r="F380" s="78" t="s">
        <v>271</v>
      </c>
      <c r="G380" s="50" t="s">
        <v>2231</v>
      </c>
      <c r="H380" s="50" t="s">
        <v>2232</v>
      </c>
      <c r="I380" s="53" t="s">
        <v>2230</v>
      </c>
      <c r="J380" s="55"/>
      <c r="K380" s="55"/>
      <c r="L380" s="79"/>
      <c r="M380" s="56" t="str">
        <f>HYPERLINK("http://nsgreg.nga.mil/genc/view?v=862747&amp;end_month=12&amp;end_day=31&amp;end_year=2016","Correlation")</f>
        <v>Correlation</v>
      </c>
    </row>
    <row r="381" spans="1:13" x14ac:dyDescent="0.2">
      <c r="A381" s="113"/>
      <c r="B381" s="58" t="s">
        <v>2233</v>
      </c>
      <c r="C381" s="58" t="s">
        <v>1728</v>
      </c>
      <c r="D381" s="58" t="s">
        <v>2234</v>
      </c>
      <c r="E381" s="60" t="b">
        <v>1</v>
      </c>
      <c r="F381" s="80" t="s">
        <v>271</v>
      </c>
      <c r="G381" s="58" t="s">
        <v>2235</v>
      </c>
      <c r="H381" s="58" t="s">
        <v>2232</v>
      </c>
      <c r="I381" s="64" t="s">
        <v>2234</v>
      </c>
      <c r="J381" s="66"/>
      <c r="K381" s="66"/>
      <c r="L381" s="68"/>
      <c r="M381" s="63" t="str">
        <f>HYPERLINK("http://nsgreg.nga.mil/genc/view?v=862749&amp;end_month=12&amp;end_day=31&amp;end_year=2016","Correlation")</f>
        <v>Correlation</v>
      </c>
    </row>
    <row r="382" spans="1:13" x14ac:dyDescent="0.2">
      <c r="A382" s="113"/>
      <c r="B382" s="58" t="s">
        <v>2236</v>
      </c>
      <c r="C382" s="58" t="s">
        <v>1728</v>
      </c>
      <c r="D382" s="58" t="s">
        <v>2237</v>
      </c>
      <c r="E382" s="60" t="b">
        <v>1</v>
      </c>
      <c r="F382" s="80" t="s">
        <v>271</v>
      </c>
      <c r="G382" s="58" t="s">
        <v>2238</v>
      </c>
      <c r="H382" s="58" t="s">
        <v>2232</v>
      </c>
      <c r="I382" s="64" t="s">
        <v>2237</v>
      </c>
      <c r="J382" s="66"/>
      <c r="K382" s="66"/>
      <c r="L382" s="68"/>
      <c r="M382" s="63" t="str">
        <f>HYPERLINK("http://nsgreg.nga.mil/genc/view?v=862750&amp;end_month=12&amp;end_day=31&amp;end_year=2016","Correlation")</f>
        <v>Correlation</v>
      </c>
    </row>
    <row r="383" spans="1:13" x14ac:dyDescent="0.2">
      <c r="A383" s="113"/>
      <c r="B383" s="58" t="s">
        <v>2239</v>
      </c>
      <c r="C383" s="58" t="s">
        <v>1728</v>
      </c>
      <c r="D383" s="58" t="s">
        <v>2240</v>
      </c>
      <c r="E383" s="60" t="b">
        <v>1</v>
      </c>
      <c r="F383" s="80" t="s">
        <v>271</v>
      </c>
      <c r="G383" s="58" t="s">
        <v>2241</v>
      </c>
      <c r="H383" s="58" t="s">
        <v>2232</v>
      </c>
      <c r="I383" s="64" t="s">
        <v>2240</v>
      </c>
      <c r="J383" s="66"/>
      <c r="K383" s="66"/>
      <c r="L383" s="68"/>
      <c r="M383" s="63" t="str">
        <f>HYPERLINK("http://nsgreg.nga.mil/genc/view?v=862751&amp;end_month=12&amp;end_day=31&amp;end_year=2016","Correlation")</f>
        <v>Correlation</v>
      </c>
    </row>
    <row r="384" spans="1:13" x14ac:dyDescent="0.2">
      <c r="A384" s="113"/>
      <c r="B384" s="58" t="s">
        <v>2242</v>
      </c>
      <c r="C384" s="58" t="s">
        <v>1681</v>
      </c>
      <c r="D384" s="58" t="s">
        <v>2243</v>
      </c>
      <c r="E384" s="60" t="b">
        <v>1</v>
      </c>
      <c r="F384" s="80" t="s">
        <v>271</v>
      </c>
      <c r="G384" s="58" t="s">
        <v>2244</v>
      </c>
      <c r="H384" s="58" t="s">
        <v>1681</v>
      </c>
      <c r="I384" s="64" t="s">
        <v>2243</v>
      </c>
      <c r="J384" s="66"/>
      <c r="K384" s="66"/>
      <c r="L384" s="68"/>
      <c r="M384" s="63" t="str">
        <f>HYPERLINK("http://nsgreg.nga.mil/genc/view?v=862748&amp;end_month=12&amp;end_day=31&amp;end_year=2016","Correlation")</f>
        <v>Correlation</v>
      </c>
    </row>
    <row r="385" spans="1:13" x14ac:dyDescent="0.2">
      <c r="A385" s="113"/>
      <c r="B385" s="58" t="s">
        <v>2245</v>
      </c>
      <c r="C385" s="58" t="s">
        <v>1728</v>
      </c>
      <c r="D385" s="58" t="s">
        <v>2246</v>
      </c>
      <c r="E385" s="60" t="b">
        <v>1</v>
      </c>
      <c r="F385" s="80" t="s">
        <v>271</v>
      </c>
      <c r="G385" s="58" t="s">
        <v>2247</v>
      </c>
      <c r="H385" s="58" t="s">
        <v>2232</v>
      </c>
      <c r="I385" s="64" t="s">
        <v>2246</v>
      </c>
      <c r="J385" s="66"/>
      <c r="K385" s="66"/>
      <c r="L385" s="68"/>
      <c r="M385" s="63" t="str">
        <f>HYPERLINK("http://nsgreg.nga.mil/genc/view?v=862752&amp;end_month=12&amp;end_day=31&amp;end_year=2016","Correlation")</f>
        <v>Correlation</v>
      </c>
    </row>
    <row r="386" spans="1:13" x14ac:dyDescent="0.2">
      <c r="A386" s="114"/>
      <c r="B386" s="71" t="s">
        <v>2248</v>
      </c>
      <c r="C386" s="71" t="s">
        <v>1728</v>
      </c>
      <c r="D386" s="71" t="s">
        <v>2249</v>
      </c>
      <c r="E386" s="73" t="b">
        <v>1</v>
      </c>
      <c r="F386" s="81" t="s">
        <v>271</v>
      </c>
      <c r="G386" s="71" t="s">
        <v>2250</v>
      </c>
      <c r="H386" s="71" t="s">
        <v>2232</v>
      </c>
      <c r="I386" s="74" t="s">
        <v>2249</v>
      </c>
      <c r="J386" s="76"/>
      <c r="K386" s="76"/>
      <c r="L386" s="82"/>
      <c r="M386" s="77" t="str">
        <f>HYPERLINK("http://nsgreg.nga.mil/genc/view?v=862753&amp;end_month=12&amp;end_day=31&amp;end_year=2016","Correlation")</f>
        <v>Correlation</v>
      </c>
    </row>
    <row r="387" spans="1:13" x14ac:dyDescent="0.2">
      <c r="A387" s="112" t="s">
        <v>275</v>
      </c>
      <c r="B387" s="50" t="s">
        <v>2251</v>
      </c>
      <c r="C387" s="50" t="s">
        <v>1413</v>
      </c>
      <c r="D387" s="50" t="s">
        <v>2252</v>
      </c>
      <c r="E387" s="52" t="b">
        <v>1</v>
      </c>
      <c r="F387" s="78" t="s">
        <v>275</v>
      </c>
      <c r="G387" s="50" t="s">
        <v>2251</v>
      </c>
      <c r="H387" s="50" t="s">
        <v>1413</v>
      </c>
      <c r="I387" s="53" t="s">
        <v>2252</v>
      </c>
      <c r="J387" s="55"/>
      <c r="K387" s="55"/>
      <c r="L387" s="79"/>
      <c r="M387" s="56" t="str">
        <f>HYPERLINK("http://nsgreg.nga.mil/genc/view?v=862494&amp;end_month=12&amp;end_day=31&amp;end_year=2016","Correlation")</f>
        <v>Correlation</v>
      </c>
    </row>
    <row r="388" spans="1:13" x14ac:dyDescent="0.2">
      <c r="A388" s="113"/>
      <c r="B388" s="58" t="s">
        <v>2253</v>
      </c>
      <c r="C388" s="58" t="s">
        <v>1413</v>
      </c>
      <c r="D388" s="58" t="s">
        <v>2254</v>
      </c>
      <c r="E388" s="60" t="b">
        <v>1</v>
      </c>
      <c r="F388" s="80" t="s">
        <v>275</v>
      </c>
      <c r="G388" s="58" t="s">
        <v>2255</v>
      </c>
      <c r="H388" s="58" t="s">
        <v>1413</v>
      </c>
      <c r="I388" s="64" t="s">
        <v>2254</v>
      </c>
      <c r="J388" s="66"/>
      <c r="K388" s="66"/>
      <c r="L388" s="68"/>
      <c r="M388" s="63" t="str">
        <f>HYPERLINK("http://nsgreg.nga.mil/genc/view?v=862501&amp;end_month=12&amp;end_day=31&amp;end_year=2016","Correlation")</f>
        <v>Correlation</v>
      </c>
    </row>
    <row r="389" spans="1:13" x14ac:dyDescent="0.2">
      <c r="A389" s="113"/>
      <c r="B389" s="58" t="s">
        <v>2256</v>
      </c>
      <c r="C389" s="58" t="s">
        <v>1728</v>
      </c>
      <c r="D389" s="58" t="s">
        <v>2257</v>
      </c>
      <c r="E389" s="60" t="b">
        <v>1</v>
      </c>
      <c r="F389" s="80" t="s">
        <v>275</v>
      </c>
      <c r="G389" s="58" t="s">
        <v>2258</v>
      </c>
      <c r="H389" s="58" t="s">
        <v>1728</v>
      </c>
      <c r="I389" s="64" t="s">
        <v>2257</v>
      </c>
      <c r="J389" s="66"/>
      <c r="K389" s="66"/>
      <c r="L389" s="68"/>
      <c r="M389" s="63" t="str">
        <f>HYPERLINK("http://nsgreg.nga.mil/genc/view?v=862493&amp;end_month=12&amp;end_day=31&amp;end_year=2016","Correlation")</f>
        <v>Correlation</v>
      </c>
    </row>
    <row r="390" spans="1:13" x14ac:dyDescent="0.2">
      <c r="A390" s="113"/>
      <c r="B390" s="58" t="s">
        <v>2259</v>
      </c>
      <c r="C390" s="58" t="s">
        <v>1728</v>
      </c>
      <c r="D390" s="58" t="s">
        <v>2260</v>
      </c>
      <c r="E390" s="60" t="b">
        <v>1</v>
      </c>
      <c r="F390" s="80" t="s">
        <v>275</v>
      </c>
      <c r="G390" s="58" t="s">
        <v>2261</v>
      </c>
      <c r="H390" s="58" t="s">
        <v>1728</v>
      </c>
      <c r="I390" s="64" t="s">
        <v>2260</v>
      </c>
      <c r="J390" s="66"/>
      <c r="K390" s="66"/>
      <c r="L390" s="68"/>
      <c r="M390" s="63" t="str">
        <f>HYPERLINK("http://nsgreg.nga.mil/genc/view?v=862496&amp;end_month=12&amp;end_day=31&amp;end_year=2016","Correlation")</f>
        <v>Correlation</v>
      </c>
    </row>
    <row r="391" spans="1:13" x14ac:dyDescent="0.2">
      <c r="A391" s="113"/>
      <c r="B391" s="58" t="s">
        <v>2262</v>
      </c>
      <c r="C391" s="58" t="s">
        <v>1413</v>
      </c>
      <c r="D391" s="58" t="s">
        <v>2263</v>
      </c>
      <c r="E391" s="60" t="b">
        <v>1</v>
      </c>
      <c r="F391" s="80" t="s">
        <v>275</v>
      </c>
      <c r="G391" s="58" t="s">
        <v>2262</v>
      </c>
      <c r="H391" s="58" t="s">
        <v>1413</v>
      </c>
      <c r="I391" s="64" t="s">
        <v>2263</v>
      </c>
      <c r="J391" s="66"/>
      <c r="K391" s="66"/>
      <c r="L391" s="68"/>
      <c r="M391" s="63" t="str">
        <f>HYPERLINK("http://nsgreg.nga.mil/genc/view?v=862502&amp;end_month=12&amp;end_day=31&amp;end_year=2016","Correlation")</f>
        <v>Correlation</v>
      </c>
    </row>
    <row r="392" spans="1:13" x14ac:dyDescent="0.2">
      <c r="A392" s="113"/>
      <c r="B392" s="58" t="s">
        <v>2264</v>
      </c>
      <c r="C392" s="58" t="s">
        <v>1413</v>
      </c>
      <c r="D392" s="58" t="s">
        <v>2265</v>
      </c>
      <c r="E392" s="60" t="b">
        <v>1</v>
      </c>
      <c r="F392" s="80" t="s">
        <v>275</v>
      </c>
      <c r="G392" s="58" t="s">
        <v>2264</v>
      </c>
      <c r="H392" s="58" t="s">
        <v>1413</v>
      </c>
      <c r="I392" s="64" t="s">
        <v>2265</v>
      </c>
      <c r="J392" s="66"/>
      <c r="K392" s="66"/>
      <c r="L392" s="68"/>
      <c r="M392" s="63" t="str">
        <f>HYPERLINK("http://nsgreg.nga.mil/genc/view?v=862503&amp;end_month=12&amp;end_day=31&amp;end_year=2016","Correlation")</f>
        <v>Correlation</v>
      </c>
    </row>
    <row r="393" spans="1:13" x14ac:dyDescent="0.2">
      <c r="A393" s="113"/>
      <c r="B393" s="58" t="s">
        <v>2266</v>
      </c>
      <c r="C393" s="58" t="s">
        <v>1413</v>
      </c>
      <c r="D393" s="58" t="s">
        <v>2267</v>
      </c>
      <c r="E393" s="60" t="b">
        <v>1</v>
      </c>
      <c r="F393" s="80" t="s">
        <v>275</v>
      </c>
      <c r="G393" s="58" t="s">
        <v>2266</v>
      </c>
      <c r="H393" s="58" t="s">
        <v>1413</v>
      </c>
      <c r="I393" s="64" t="s">
        <v>2267</v>
      </c>
      <c r="J393" s="66"/>
      <c r="K393" s="66"/>
      <c r="L393" s="68"/>
      <c r="M393" s="63" t="str">
        <f>HYPERLINK("http://nsgreg.nga.mil/genc/view?v=862497&amp;end_month=12&amp;end_day=31&amp;end_year=2016","Correlation")</f>
        <v>Correlation</v>
      </c>
    </row>
    <row r="394" spans="1:13" x14ac:dyDescent="0.2">
      <c r="A394" s="113"/>
      <c r="B394" s="58" t="s">
        <v>2268</v>
      </c>
      <c r="C394" s="58" t="s">
        <v>1413</v>
      </c>
      <c r="D394" s="58" t="s">
        <v>2269</v>
      </c>
      <c r="E394" s="60" t="b">
        <v>1</v>
      </c>
      <c r="F394" s="80" t="s">
        <v>275</v>
      </c>
      <c r="G394" s="58" t="s">
        <v>2268</v>
      </c>
      <c r="H394" s="58" t="s">
        <v>1413</v>
      </c>
      <c r="I394" s="64" t="s">
        <v>2269</v>
      </c>
      <c r="J394" s="66"/>
      <c r="K394" s="66"/>
      <c r="L394" s="68"/>
      <c r="M394" s="63" t="str">
        <f>HYPERLINK("http://nsgreg.nga.mil/genc/view?v=862504&amp;end_month=12&amp;end_day=31&amp;end_year=2016","Correlation")</f>
        <v>Correlation</v>
      </c>
    </row>
    <row r="395" spans="1:13" x14ac:dyDescent="0.2">
      <c r="A395" s="113"/>
      <c r="B395" s="58" t="s">
        <v>2270</v>
      </c>
      <c r="C395" s="58" t="s">
        <v>1413</v>
      </c>
      <c r="D395" s="58" t="s">
        <v>2271</v>
      </c>
      <c r="E395" s="60" t="b">
        <v>1</v>
      </c>
      <c r="F395" s="80" t="s">
        <v>275</v>
      </c>
      <c r="G395" s="58" t="s">
        <v>2270</v>
      </c>
      <c r="H395" s="58" t="s">
        <v>1413</v>
      </c>
      <c r="I395" s="64" t="s">
        <v>2271</v>
      </c>
      <c r="J395" s="66"/>
      <c r="K395" s="66"/>
      <c r="L395" s="68"/>
      <c r="M395" s="63" t="str">
        <f>HYPERLINK("http://nsgreg.nga.mil/genc/view?v=862505&amp;end_month=12&amp;end_day=31&amp;end_year=2016","Correlation")</f>
        <v>Correlation</v>
      </c>
    </row>
    <row r="396" spans="1:13" x14ac:dyDescent="0.2">
      <c r="A396" s="113"/>
      <c r="B396" s="58" t="s">
        <v>2272</v>
      </c>
      <c r="C396" s="58" t="s">
        <v>1413</v>
      </c>
      <c r="D396" s="58" t="s">
        <v>2273</v>
      </c>
      <c r="E396" s="60" t="b">
        <v>1</v>
      </c>
      <c r="F396" s="80" t="s">
        <v>275</v>
      </c>
      <c r="G396" s="58" t="s">
        <v>2272</v>
      </c>
      <c r="H396" s="58" t="s">
        <v>1413</v>
      </c>
      <c r="I396" s="64" t="s">
        <v>2273</v>
      </c>
      <c r="J396" s="66"/>
      <c r="K396" s="66"/>
      <c r="L396" s="68"/>
      <c r="M396" s="63" t="str">
        <f>HYPERLINK("http://nsgreg.nga.mil/genc/view?v=862498&amp;end_month=12&amp;end_day=31&amp;end_year=2016","Correlation")</f>
        <v>Correlation</v>
      </c>
    </row>
    <row r="397" spans="1:13" x14ac:dyDescent="0.2">
      <c r="A397" s="113"/>
      <c r="B397" s="58" t="s">
        <v>2274</v>
      </c>
      <c r="C397" s="58" t="s">
        <v>1413</v>
      </c>
      <c r="D397" s="58" t="s">
        <v>2275</v>
      </c>
      <c r="E397" s="60" t="b">
        <v>1</v>
      </c>
      <c r="F397" s="80" t="s">
        <v>275</v>
      </c>
      <c r="G397" s="58" t="s">
        <v>2274</v>
      </c>
      <c r="H397" s="58" t="s">
        <v>1413</v>
      </c>
      <c r="I397" s="64" t="s">
        <v>2275</v>
      </c>
      <c r="J397" s="66"/>
      <c r="K397" s="66"/>
      <c r="L397" s="68"/>
      <c r="M397" s="63" t="str">
        <f>HYPERLINK("http://nsgreg.nga.mil/genc/view?v=862495&amp;end_month=12&amp;end_day=31&amp;end_year=2016","Correlation")</f>
        <v>Correlation</v>
      </c>
    </row>
    <row r="398" spans="1:13" x14ac:dyDescent="0.2">
      <c r="A398" s="113"/>
      <c r="B398" s="58" t="s">
        <v>2276</v>
      </c>
      <c r="C398" s="58" t="s">
        <v>1728</v>
      </c>
      <c r="D398" s="58" t="s">
        <v>2277</v>
      </c>
      <c r="E398" s="60" t="b">
        <v>1</v>
      </c>
      <c r="F398" s="80" t="s">
        <v>275</v>
      </c>
      <c r="G398" s="58" t="s">
        <v>2278</v>
      </c>
      <c r="H398" s="58" t="s">
        <v>1728</v>
      </c>
      <c r="I398" s="64" t="s">
        <v>2277</v>
      </c>
      <c r="J398" s="66"/>
      <c r="K398" s="66"/>
      <c r="L398" s="68"/>
      <c r="M398" s="63" t="str">
        <f>HYPERLINK("http://nsgreg.nga.mil/genc/view?v=862500&amp;end_month=12&amp;end_day=31&amp;end_year=2016","Correlation")</f>
        <v>Correlation</v>
      </c>
    </row>
    <row r="399" spans="1:13" x14ac:dyDescent="0.2">
      <c r="A399" s="114"/>
      <c r="B399" s="71" t="s">
        <v>2279</v>
      </c>
      <c r="C399" s="71" t="s">
        <v>1413</v>
      </c>
      <c r="D399" s="71" t="s">
        <v>2280</v>
      </c>
      <c r="E399" s="73" t="b">
        <v>1</v>
      </c>
      <c r="F399" s="81" t="s">
        <v>275</v>
      </c>
      <c r="G399" s="71" t="s">
        <v>2279</v>
      </c>
      <c r="H399" s="71" t="s">
        <v>1413</v>
      </c>
      <c r="I399" s="74" t="s">
        <v>2280</v>
      </c>
      <c r="J399" s="76"/>
      <c r="K399" s="76"/>
      <c r="L399" s="82"/>
      <c r="M399" s="77" t="str">
        <f>HYPERLINK("http://nsgreg.nga.mil/genc/view?v=862499&amp;end_month=12&amp;end_day=31&amp;end_year=2016","Correlation")</f>
        <v>Correlation</v>
      </c>
    </row>
    <row r="400" spans="1:13" x14ac:dyDescent="0.2">
      <c r="A400" s="112" t="s">
        <v>279</v>
      </c>
      <c r="B400" s="50" t="s">
        <v>2281</v>
      </c>
      <c r="C400" s="50" t="s">
        <v>1796</v>
      </c>
      <c r="D400" s="50" t="s">
        <v>2282</v>
      </c>
      <c r="E400" s="52" t="b">
        <v>1</v>
      </c>
      <c r="F400" s="78" t="s">
        <v>279</v>
      </c>
      <c r="G400" s="50" t="s">
        <v>2281</v>
      </c>
      <c r="H400" s="50" t="s">
        <v>1796</v>
      </c>
      <c r="I400" s="53" t="s">
        <v>2282</v>
      </c>
      <c r="J400" s="55"/>
      <c r="K400" s="55"/>
      <c r="L400" s="79"/>
      <c r="M400" s="56" t="str">
        <f>HYPERLINK("http://nsgreg.nga.mil/genc/view?v=862754&amp;end_month=12&amp;end_day=31&amp;end_year=2016","Correlation")</f>
        <v>Correlation</v>
      </c>
    </row>
    <row r="401" spans="1:13" x14ac:dyDescent="0.2">
      <c r="A401" s="113"/>
      <c r="B401" s="58" t="s">
        <v>2283</v>
      </c>
      <c r="C401" s="58" t="s">
        <v>1796</v>
      </c>
      <c r="D401" s="58" t="s">
        <v>2284</v>
      </c>
      <c r="E401" s="60" t="b">
        <v>1</v>
      </c>
      <c r="F401" s="80" t="s">
        <v>279</v>
      </c>
      <c r="G401" s="58" t="s">
        <v>2283</v>
      </c>
      <c r="H401" s="58" t="s">
        <v>1796</v>
      </c>
      <c r="I401" s="64" t="s">
        <v>2284</v>
      </c>
      <c r="J401" s="66"/>
      <c r="K401" s="66"/>
      <c r="L401" s="68"/>
      <c r="M401" s="63" t="str">
        <f>HYPERLINK("http://nsgreg.nga.mil/genc/view?v=862755&amp;end_month=12&amp;end_day=31&amp;end_year=2016","Correlation")</f>
        <v>Correlation</v>
      </c>
    </row>
    <row r="402" spans="1:13" x14ac:dyDescent="0.2">
      <c r="A402" s="113"/>
      <c r="B402" s="58" t="s">
        <v>2285</v>
      </c>
      <c r="C402" s="58" t="s">
        <v>1796</v>
      </c>
      <c r="D402" s="58" t="s">
        <v>2286</v>
      </c>
      <c r="E402" s="60" t="b">
        <v>1</v>
      </c>
      <c r="F402" s="80" t="s">
        <v>279</v>
      </c>
      <c r="G402" s="58" t="s">
        <v>2285</v>
      </c>
      <c r="H402" s="58" t="s">
        <v>1796</v>
      </c>
      <c r="I402" s="64" t="s">
        <v>2286</v>
      </c>
      <c r="J402" s="66"/>
      <c r="K402" s="66"/>
      <c r="L402" s="68"/>
      <c r="M402" s="63" t="str">
        <f>HYPERLINK("http://nsgreg.nga.mil/genc/view?v=862756&amp;end_month=12&amp;end_day=31&amp;end_year=2016","Correlation")</f>
        <v>Correlation</v>
      </c>
    </row>
    <row r="403" spans="1:13" x14ac:dyDescent="0.2">
      <c r="A403" s="113"/>
      <c r="B403" s="58" t="s">
        <v>2287</v>
      </c>
      <c r="C403" s="58" t="s">
        <v>1796</v>
      </c>
      <c r="D403" s="58" t="s">
        <v>2288</v>
      </c>
      <c r="E403" s="60" t="b">
        <v>1</v>
      </c>
      <c r="F403" s="80" t="s">
        <v>279</v>
      </c>
      <c r="G403" s="58" t="s">
        <v>2287</v>
      </c>
      <c r="H403" s="58" t="s">
        <v>1796</v>
      </c>
      <c r="I403" s="64" t="s">
        <v>2288</v>
      </c>
      <c r="J403" s="66"/>
      <c r="K403" s="66"/>
      <c r="L403" s="68"/>
      <c r="M403" s="63" t="str">
        <f>HYPERLINK("http://nsgreg.nga.mil/genc/view?v=862757&amp;end_month=12&amp;end_day=31&amp;end_year=2016","Correlation")</f>
        <v>Correlation</v>
      </c>
    </row>
    <row r="404" spans="1:13" x14ac:dyDescent="0.2">
      <c r="A404" s="113"/>
      <c r="B404" s="58" t="s">
        <v>2289</v>
      </c>
      <c r="C404" s="58" t="s">
        <v>1796</v>
      </c>
      <c r="D404" s="58" t="s">
        <v>2290</v>
      </c>
      <c r="E404" s="60" t="b">
        <v>1</v>
      </c>
      <c r="F404" s="80" t="s">
        <v>279</v>
      </c>
      <c r="G404" s="58" t="s">
        <v>2289</v>
      </c>
      <c r="H404" s="58" t="s">
        <v>1796</v>
      </c>
      <c r="I404" s="64" t="s">
        <v>2290</v>
      </c>
      <c r="J404" s="66"/>
      <c r="K404" s="66"/>
      <c r="L404" s="68"/>
      <c r="M404" s="63" t="str">
        <f>HYPERLINK("http://nsgreg.nga.mil/genc/view?v=862758&amp;end_month=12&amp;end_day=31&amp;end_year=2016","Correlation")</f>
        <v>Correlation</v>
      </c>
    </row>
    <row r="405" spans="1:13" x14ac:dyDescent="0.2">
      <c r="A405" s="114"/>
      <c r="B405" s="71" t="s">
        <v>2291</v>
      </c>
      <c r="C405" s="71" t="s">
        <v>1796</v>
      </c>
      <c r="D405" s="71" t="s">
        <v>2292</v>
      </c>
      <c r="E405" s="73" t="b">
        <v>1</v>
      </c>
      <c r="F405" s="81" t="s">
        <v>279</v>
      </c>
      <c r="G405" s="71" t="s">
        <v>2291</v>
      </c>
      <c r="H405" s="71" t="s">
        <v>1796</v>
      </c>
      <c r="I405" s="74" t="s">
        <v>2292</v>
      </c>
      <c r="J405" s="76"/>
      <c r="K405" s="76"/>
      <c r="L405" s="82"/>
      <c r="M405" s="77" t="str">
        <f>HYPERLINK("http://nsgreg.nga.mil/genc/view?v=862759&amp;end_month=12&amp;end_day=31&amp;end_year=2016","Correlation")</f>
        <v>Correlation</v>
      </c>
    </row>
    <row r="406" spans="1:13" x14ac:dyDescent="0.2">
      <c r="A406" s="112" t="s">
        <v>283</v>
      </c>
      <c r="B406" s="50" t="s">
        <v>2293</v>
      </c>
      <c r="C406" s="50" t="s">
        <v>2294</v>
      </c>
      <c r="D406" s="50" t="s">
        <v>2295</v>
      </c>
      <c r="E406" s="52" t="b">
        <v>1</v>
      </c>
      <c r="F406" s="78" t="s">
        <v>283</v>
      </c>
      <c r="G406" s="50" t="s">
        <v>2293</v>
      </c>
      <c r="H406" s="50" t="s">
        <v>2294</v>
      </c>
      <c r="I406" s="53" t="s">
        <v>2295</v>
      </c>
      <c r="J406" s="55"/>
      <c r="K406" s="55"/>
      <c r="L406" s="79"/>
      <c r="M406" s="56" t="str">
        <f>HYPERLINK("http://nsgreg.nga.mil/genc/view?v=862615&amp;end_month=12&amp;end_day=31&amp;end_year=2016","Correlation")</f>
        <v>Correlation</v>
      </c>
    </row>
    <row r="407" spans="1:13" x14ac:dyDescent="0.2">
      <c r="A407" s="113"/>
      <c r="B407" s="58" t="s">
        <v>2296</v>
      </c>
      <c r="C407" s="58" t="s">
        <v>2294</v>
      </c>
      <c r="D407" s="58" t="s">
        <v>2297</v>
      </c>
      <c r="E407" s="60" t="b">
        <v>1</v>
      </c>
      <c r="F407" s="80" t="s">
        <v>283</v>
      </c>
      <c r="G407" s="58" t="s">
        <v>2296</v>
      </c>
      <c r="H407" s="58" t="s">
        <v>2294</v>
      </c>
      <c r="I407" s="64" t="s">
        <v>2297</v>
      </c>
      <c r="J407" s="66"/>
      <c r="K407" s="66"/>
      <c r="L407" s="68"/>
      <c r="M407" s="63" t="str">
        <f>HYPERLINK("http://nsgreg.nga.mil/genc/view?v=862614&amp;end_month=12&amp;end_day=31&amp;end_year=2016","Correlation")</f>
        <v>Correlation</v>
      </c>
    </row>
    <row r="408" spans="1:13" x14ac:dyDescent="0.2">
      <c r="A408" s="113"/>
      <c r="B408" s="58" t="s">
        <v>2298</v>
      </c>
      <c r="C408" s="58" t="s">
        <v>2294</v>
      </c>
      <c r="D408" s="58" t="s">
        <v>2299</v>
      </c>
      <c r="E408" s="60" t="b">
        <v>1</v>
      </c>
      <c r="F408" s="80" t="s">
        <v>283</v>
      </c>
      <c r="G408" s="58" t="s">
        <v>2298</v>
      </c>
      <c r="H408" s="58" t="s">
        <v>2294</v>
      </c>
      <c r="I408" s="64" t="s">
        <v>2299</v>
      </c>
      <c r="J408" s="66"/>
      <c r="K408" s="66"/>
      <c r="L408" s="68"/>
      <c r="M408" s="63" t="str">
        <f>HYPERLINK("http://nsgreg.nga.mil/genc/view?v=862616&amp;end_month=12&amp;end_day=31&amp;end_year=2016","Correlation")</f>
        <v>Correlation</v>
      </c>
    </row>
    <row r="409" spans="1:13" x14ac:dyDescent="0.2">
      <c r="A409" s="113"/>
      <c r="B409" s="58" t="s">
        <v>2300</v>
      </c>
      <c r="C409" s="58" t="s">
        <v>2294</v>
      </c>
      <c r="D409" s="58" t="s">
        <v>2301</v>
      </c>
      <c r="E409" s="60" t="b">
        <v>1</v>
      </c>
      <c r="F409" s="80" t="s">
        <v>283</v>
      </c>
      <c r="G409" s="58" t="s">
        <v>2300</v>
      </c>
      <c r="H409" s="58" t="s">
        <v>2294</v>
      </c>
      <c r="I409" s="64" t="s">
        <v>2301</v>
      </c>
      <c r="J409" s="66"/>
      <c r="K409" s="66"/>
      <c r="L409" s="68"/>
      <c r="M409" s="63" t="str">
        <f>HYPERLINK("http://nsgreg.nga.mil/genc/view?v=862617&amp;end_month=12&amp;end_day=31&amp;end_year=2016","Correlation")</f>
        <v>Correlation</v>
      </c>
    </row>
    <row r="410" spans="1:13" x14ac:dyDescent="0.2">
      <c r="A410" s="113"/>
      <c r="B410" s="58" t="s">
        <v>2302</v>
      </c>
      <c r="C410" s="58" t="s">
        <v>2294</v>
      </c>
      <c r="D410" s="58" t="s">
        <v>2303</v>
      </c>
      <c r="E410" s="60" t="b">
        <v>1</v>
      </c>
      <c r="F410" s="80" t="s">
        <v>283</v>
      </c>
      <c r="G410" s="58" t="s">
        <v>2302</v>
      </c>
      <c r="H410" s="58" t="s">
        <v>2294</v>
      </c>
      <c r="I410" s="64" t="s">
        <v>2303</v>
      </c>
      <c r="J410" s="66"/>
      <c r="K410" s="66"/>
      <c r="L410" s="68"/>
      <c r="M410" s="63" t="str">
        <f>HYPERLINK("http://nsgreg.nga.mil/genc/view?v=862618&amp;end_month=12&amp;end_day=31&amp;end_year=2016","Correlation")</f>
        <v>Correlation</v>
      </c>
    </row>
    <row r="411" spans="1:13" x14ac:dyDescent="0.2">
      <c r="A411" s="113"/>
      <c r="B411" s="58" t="s">
        <v>2304</v>
      </c>
      <c r="C411" s="58" t="s">
        <v>2294</v>
      </c>
      <c r="D411" s="58" t="s">
        <v>2305</v>
      </c>
      <c r="E411" s="60" t="b">
        <v>1</v>
      </c>
      <c r="F411" s="80" t="s">
        <v>283</v>
      </c>
      <c r="G411" s="58" t="s">
        <v>2304</v>
      </c>
      <c r="H411" s="58" t="s">
        <v>2294</v>
      </c>
      <c r="I411" s="64" t="s">
        <v>2305</v>
      </c>
      <c r="J411" s="66"/>
      <c r="K411" s="66"/>
      <c r="L411" s="68"/>
      <c r="M411" s="63" t="str">
        <f>HYPERLINK("http://nsgreg.nga.mil/genc/view?v=862620&amp;end_month=12&amp;end_day=31&amp;end_year=2016","Correlation")</f>
        <v>Correlation</v>
      </c>
    </row>
    <row r="412" spans="1:13" x14ac:dyDescent="0.2">
      <c r="A412" s="113"/>
      <c r="B412" s="58" t="s">
        <v>2306</v>
      </c>
      <c r="C412" s="58" t="s">
        <v>2294</v>
      </c>
      <c r="D412" s="58" t="s">
        <v>2307</v>
      </c>
      <c r="E412" s="60" t="b">
        <v>1</v>
      </c>
      <c r="F412" s="80" t="s">
        <v>283</v>
      </c>
      <c r="G412" s="58" t="s">
        <v>2306</v>
      </c>
      <c r="H412" s="58" t="s">
        <v>2294</v>
      </c>
      <c r="I412" s="64" t="s">
        <v>2307</v>
      </c>
      <c r="J412" s="66"/>
      <c r="K412" s="66"/>
      <c r="L412" s="68"/>
      <c r="M412" s="63" t="str">
        <f>HYPERLINK("http://nsgreg.nga.mil/genc/view?v=862619&amp;end_month=12&amp;end_day=31&amp;end_year=2016","Correlation")</f>
        <v>Correlation</v>
      </c>
    </row>
    <row r="413" spans="1:13" x14ac:dyDescent="0.2">
      <c r="A413" s="113"/>
      <c r="B413" s="58" t="s">
        <v>2308</v>
      </c>
      <c r="C413" s="58" t="s">
        <v>2294</v>
      </c>
      <c r="D413" s="58" t="s">
        <v>2309</v>
      </c>
      <c r="E413" s="60" t="b">
        <v>1</v>
      </c>
      <c r="F413" s="80" t="s">
        <v>283</v>
      </c>
      <c r="G413" s="58" t="s">
        <v>2308</v>
      </c>
      <c r="H413" s="58" t="s">
        <v>2294</v>
      </c>
      <c r="I413" s="64" t="s">
        <v>2309</v>
      </c>
      <c r="J413" s="66"/>
      <c r="K413" s="66"/>
      <c r="L413" s="68"/>
      <c r="M413" s="63" t="str">
        <f>HYPERLINK("http://nsgreg.nga.mil/genc/view?v=862621&amp;end_month=12&amp;end_day=31&amp;end_year=2016","Correlation")</f>
        <v>Correlation</v>
      </c>
    </row>
    <row r="414" spans="1:13" x14ac:dyDescent="0.2">
      <c r="A414" s="113"/>
      <c r="B414" s="58" t="s">
        <v>2310</v>
      </c>
      <c r="C414" s="58" t="s">
        <v>2294</v>
      </c>
      <c r="D414" s="58" t="s">
        <v>2311</v>
      </c>
      <c r="E414" s="60" t="b">
        <v>1</v>
      </c>
      <c r="F414" s="80" t="s">
        <v>283</v>
      </c>
      <c r="G414" s="58" t="s">
        <v>2310</v>
      </c>
      <c r="H414" s="58" t="s">
        <v>2294</v>
      </c>
      <c r="I414" s="64" t="s">
        <v>2311</v>
      </c>
      <c r="J414" s="66"/>
      <c r="K414" s="66"/>
      <c r="L414" s="68"/>
      <c r="M414" s="63" t="str">
        <f>HYPERLINK("http://nsgreg.nga.mil/genc/view?v=862622&amp;end_month=12&amp;end_day=31&amp;end_year=2016","Correlation")</f>
        <v>Correlation</v>
      </c>
    </row>
    <row r="415" spans="1:13" x14ac:dyDescent="0.2">
      <c r="A415" s="113"/>
      <c r="B415" s="58" t="s">
        <v>2312</v>
      </c>
      <c r="C415" s="58" t="s">
        <v>2294</v>
      </c>
      <c r="D415" s="58" t="s">
        <v>2313</v>
      </c>
      <c r="E415" s="60" t="b">
        <v>1</v>
      </c>
      <c r="F415" s="80" t="s">
        <v>283</v>
      </c>
      <c r="G415" s="58" t="s">
        <v>2312</v>
      </c>
      <c r="H415" s="58" t="s">
        <v>2294</v>
      </c>
      <c r="I415" s="64" t="s">
        <v>2313</v>
      </c>
      <c r="J415" s="66"/>
      <c r="K415" s="66"/>
      <c r="L415" s="68"/>
      <c r="M415" s="63" t="str">
        <f>HYPERLINK("http://nsgreg.nga.mil/genc/view?v=862623&amp;end_month=12&amp;end_day=31&amp;end_year=2016","Correlation")</f>
        <v>Correlation</v>
      </c>
    </row>
    <row r="416" spans="1:13" x14ac:dyDescent="0.2">
      <c r="A416" s="113"/>
      <c r="B416" s="58" t="s">
        <v>2314</v>
      </c>
      <c r="C416" s="58" t="s">
        <v>2294</v>
      </c>
      <c r="D416" s="58" t="s">
        <v>2315</v>
      </c>
      <c r="E416" s="60" t="b">
        <v>1</v>
      </c>
      <c r="F416" s="80" t="s">
        <v>283</v>
      </c>
      <c r="G416" s="58" t="s">
        <v>2314</v>
      </c>
      <c r="H416" s="58" t="s">
        <v>2294</v>
      </c>
      <c r="I416" s="64" t="s">
        <v>2315</v>
      </c>
      <c r="J416" s="66"/>
      <c r="K416" s="66"/>
      <c r="L416" s="68"/>
      <c r="M416" s="63" t="str">
        <f>HYPERLINK("http://nsgreg.nga.mil/genc/view?v=862624&amp;end_month=12&amp;end_day=31&amp;end_year=2016","Correlation")</f>
        <v>Correlation</v>
      </c>
    </row>
    <row r="417" spans="1:13" x14ac:dyDescent="0.2">
      <c r="A417" s="114"/>
      <c r="B417" s="71" t="s">
        <v>2316</v>
      </c>
      <c r="C417" s="71" t="s">
        <v>2294</v>
      </c>
      <c r="D417" s="71" t="s">
        <v>2317</v>
      </c>
      <c r="E417" s="73" t="b">
        <v>1</v>
      </c>
      <c r="F417" s="81" t="s">
        <v>283</v>
      </c>
      <c r="G417" s="71" t="s">
        <v>2316</v>
      </c>
      <c r="H417" s="71" t="s">
        <v>2294</v>
      </c>
      <c r="I417" s="74" t="s">
        <v>2317</v>
      </c>
      <c r="J417" s="76"/>
      <c r="K417" s="76"/>
      <c r="L417" s="82"/>
      <c r="M417" s="77" t="str">
        <f>HYPERLINK("http://nsgreg.nga.mil/genc/view?v=862625&amp;end_month=12&amp;end_day=31&amp;end_year=2016","Correlation")</f>
        <v>Correlation</v>
      </c>
    </row>
    <row r="418" spans="1:13" x14ac:dyDescent="0.2">
      <c r="A418" s="112" t="s">
        <v>287</v>
      </c>
      <c r="B418" s="50" t="s">
        <v>2318</v>
      </c>
      <c r="C418" s="50" t="s">
        <v>1607</v>
      </c>
      <c r="D418" s="50" t="s">
        <v>2319</v>
      </c>
      <c r="E418" s="52" t="b">
        <v>1</v>
      </c>
      <c r="F418" s="83" t="s">
        <v>167</v>
      </c>
      <c r="G418" s="83"/>
      <c r="H418" s="83"/>
      <c r="I418" s="83"/>
      <c r="J418" s="83"/>
      <c r="K418" s="83"/>
      <c r="L418" s="84"/>
      <c r="M418" s="56" t="str">
        <f>HYPERLINK("http://nsgreg.nga.mil/genc/view?v=862626&amp;end_month=12&amp;end_day=31&amp;end_year=2016","Correlation")</f>
        <v>Correlation</v>
      </c>
    </row>
    <row r="419" spans="1:13" x14ac:dyDescent="0.2">
      <c r="A419" s="113"/>
      <c r="B419" s="58" t="s">
        <v>2320</v>
      </c>
      <c r="C419" s="58" t="s">
        <v>1816</v>
      </c>
      <c r="D419" s="58" t="s">
        <v>2321</v>
      </c>
      <c r="E419" s="60" t="b">
        <v>1</v>
      </c>
      <c r="F419" s="61" t="s">
        <v>167</v>
      </c>
      <c r="G419" s="61"/>
      <c r="H419" s="61"/>
      <c r="I419" s="61"/>
      <c r="J419" s="61"/>
      <c r="K419" s="61"/>
      <c r="L419" s="62"/>
      <c r="M419" s="63" t="str">
        <f>HYPERLINK("http://nsgreg.nga.mil/genc/view?v=862628&amp;end_month=12&amp;end_day=31&amp;end_year=2016","Correlation")</f>
        <v>Correlation</v>
      </c>
    </row>
    <row r="420" spans="1:13" x14ac:dyDescent="0.2">
      <c r="A420" s="113"/>
      <c r="B420" s="58" t="s">
        <v>2320</v>
      </c>
      <c r="C420" s="58" t="s">
        <v>1607</v>
      </c>
      <c r="D420" s="58" t="s">
        <v>2322</v>
      </c>
      <c r="E420" s="60" t="b">
        <v>1</v>
      </c>
      <c r="F420" s="61" t="s">
        <v>167</v>
      </c>
      <c r="G420" s="61"/>
      <c r="H420" s="61"/>
      <c r="I420" s="61"/>
      <c r="J420" s="61"/>
      <c r="K420" s="61"/>
      <c r="L420" s="62"/>
      <c r="M420" s="63" t="str">
        <f>HYPERLINK("http://nsgreg.nga.mil/genc/view?v=862627&amp;end_month=12&amp;end_day=31&amp;end_year=2016","Correlation")</f>
        <v>Correlation</v>
      </c>
    </row>
    <row r="421" spans="1:13" x14ac:dyDescent="0.2">
      <c r="A421" s="113"/>
      <c r="B421" s="58" t="s">
        <v>2323</v>
      </c>
      <c r="C421" s="58" t="s">
        <v>1607</v>
      </c>
      <c r="D421" s="58" t="s">
        <v>2324</v>
      </c>
      <c r="E421" s="60" t="b">
        <v>1</v>
      </c>
      <c r="F421" s="61" t="s">
        <v>167</v>
      </c>
      <c r="G421" s="61"/>
      <c r="H421" s="61"/>
      <c r="I421" s="61"/>
      <c r="J421" s="61"/>
      <c r="K421" s="61"/>
      <c r="L421" s="62"/>
      <c r="M421" s="63" t="str">
        <f>HYPERLINK("http://nsgreg.nga.mil/genc/view?v=862629&amp;end_month=12&amp;end_day=31&amp;end_year=2016","Correlation")</f>
        <v>Correlation</v>
      </c>
    </row>
    <row r="422" spans="1:13" x14ac:dyDescent="0.2">
      <c r="A422" s="113"/>
      <c r="B422" s="58" t="s">
        <v>2325</v>
      </c>
      <c r="C422" s="58" t="s">
        <v>1607</v>
      </c>
      <c r="D422" s="58" t="s">
        <v>2326</v>
      </c>
      <c r="E422" s="60" t="b">
        <v>1</v>
      </c>
      <c r="F422" s="61" t="s">
        <v>167</v>
      </c>
      <c r="G422" s="61"/>
      <c r="H422" s="61"/>
      <c r="I422" s="61"/>
      <c r="J422" s="61"/>
      <c r="K422" s="61"/>
      <c r="L422" s="62"/>
      <c r="M422" s="63" t="str">
        <f>HYPERLINK("http://nsgreg.nga.mil/genc/view?v=862630&amp;end_month=12&amp;end_day=31&amp;end_year=2016","Correlation")</f>
        <v>Correlation</v>
      </c>
    </row>
    <row r="423" spans="1:13" x14ac:dyDescent="0.2">
      <c r="A423" s="113"/>
      <c r="B423" s="58" t="s">
        <v>1663</v>
      </c>
      <c r="C423" s="58" t="s">
        <v>1816</v>
      </c>
      <c r="D423" s="58" t="s">
        <v>2327</v>
      </c>
      <c r="E423" s="60" t="b">
        <v>1</v>
      </c>
      <c r="F423" s="61" t="s">
        <v>167</v>
      </c>
      <c r="G423" s="61"/>
      <c r="H423" s="61"/>
      <c r="I423" s="61"/>
      <c r="J423" s="61"/>
      <c r="K423" s="61"/>
      <c r="L423" s="62"/>
      <c r="M423" s="63" t="str">
        <f>HYPERLINK("http://nsgreg.nga.mil/genc/view?v=862631&amp;end_month=12&amp;end_day=31&amp;end_year=2016","Correlation")</f>
        <v>Correlation</v>
      </c>
    </row>
    <row r="424" spans="1:13" x14ac:dyDescent="0.2">
      <c r="A424" s="113"/>
      <c r="B424" s="58" t="s">
        <v>2328</v>
      </c>
      <c r="C424" s="58" t="s">
        <v>1607</v>
      </c>
      <c r="D424" s="58" t="s">
        <v>2329</v>
      </c>
      <c r="E424" s="60" t="b">
        <v>1</v>
      </c>
      <c r="F424" s="61" t="s">
        <v>167</v>
      </c>
      <c r="G424" s="61"/>
      <c r="H424" s="61"/>
      <c r="I424" s="61"/>
      <c r="J424" s="61"/>
      <c r="K424" s="61"/>
      <c r="L424" s="62"/>
      <c r="M424" s="63" t="str">
        <f>HYPERLINK("http://nsgreg.nga.mil/genc/view?v=862632&amp;end_month=12&amp;end_day=31&amp;end_year=2016","Correlation")</f>
        <v>Correlation</v>
      </c>
    </row>
    <row r="425" spans="1:13" x14ac:dyDescent="0.2">
      <c r="A425" s="113"/>
      <c r="B425" s="58" t="s">
        <v>2330</v>
      </c>
      <c r="C425" s="58" t="s">
        <v>1607</v>
      </c>
      <c r="D425" s="58" t="s">
        <v>2331</v>
      </c>
      <c r="E425" s="60" t="b">
        <v>1</v>
      </c>
      <c r="F425" s="61" t="s">
        <v>167</v>
      </c>
      <c r="G425" s="61"/>
      <c r="H425" s="61"/>
      <c r="I425" s="61"/>
      <c r="J425" s="61"/>
      <c r="K425" s="61"/>
      <c r="L425" s="62"/>
      <c r="M425" s="63" t="str">
        <f>HYPERLINK("http://nsgreg.nga.mil/genc/view?v=862633&amp;end_month=12&amp;end_day=31&amp;end_year=2016","Correlation")</f>
        <v>Correlation</v>
      </c>
    </row>
    <row r="426" spans="1:13" x14ac:dyDescent="0.2">
      <c r="A426" s="113"/>
      <c r="B426" s="58" t="s">
        <v>2332</v>
      </c>
      <c r="C426" s="58" t="s">
        <v>1607</v>
      </c>
      <c r="D426" s="58" t="s">
        <v>2333</v>
      </c>
      <c r="E426" s="60" t="b">
        <v>1</v>
      </c>
      <c r="F426" s="61" t="s">
        <v>167</v>
      </c>
      <c r="G426" s="61"/>
      <c r="H426" s="61"/>
      <c r="I426" s="61"/>
      <c r="J426" s="61"/>
      <c r="K426" s="61"/>
      <c r="L426" s="62"/>
      <c r="M426" s="63" t="str">
        <f>HYPERLINK("http://nsgreg.nga.mil/genc/view?v=862634&amp;end_month=12&amp;end_day=31&amp;end_year=2016","Correlation")</f>
        <v>Correlation</v>
      </c>
    </row>
    <row r="427" spans="1:13" x14ac:dyDescent="0.2">
      <c r="A427" s="113"/>
      <c r="B427" s="58" t="s">
        <v>2334</v>
      </c>
      <c r="C427" s="58" t="s">
        <v>1607</v>
      </c>
      <c r="D427" s="58" t="s">
        <v>2335</v>
      </c>
      <c r="E427" s="60" t="b">
        <v>1</v>
      </c>
      <c r="F427" s="61" t="s">
        <v>167</v>
      </c>
      <c r="G427" s="61"/>
      <c r="H427" s="61"/>
      <c r="I427" s="61"/>
      <c r="J427" s="61"/>
      <c r="K427" s="61"/>
      <c r="L427" s="62"/>
      <c r="M427" s="63" t="str">
        <f>HYPERLINK("http://nsgreg.nga.mil/genc/view?v=862635&amp;end_month=12&amp;end_day=31&amp;end_year=2016","Correlation")</f>
        <v>Correlation</v>
      </c>
    </row>
    <row r="428" spans="1:13" x14ac:dyDescent="0.2">
      <c r="A428" s="114"/>
      <c r="B428" s="71" t="s">
        <v>2336</v>
      </c>
      <c r="C428" s="71" t="s">
        <v>1607</v>
      </c>
      <c r="D428" s="71" t="s">
        <v>2337</v>
      </c>
      <c r="E428" s="73" t="b">
        <v>1</v>
      </c>
      <c r="F428" s="85" t="s">
        <v>167</v>
      </c>
      <c r="G428" s="85"/>
      <c r="H428" s="85"/>
      <c r="I428" s="85"/>
      <c r="J428" s="85"/>
      <c r="K428" s="85"/>
      <c r="L428" s="86"/>
      <c r="M428" s="77" t="str">
        <f>HYPERLINK("http://nsgreg.nga.mil/genc/view?v=862636&amp;end_month=12&amp;end_day=31&amp;end_year=2016","Correlation")</f>
        <v>Correlation</v>
      </c>
    </row>
    <row r="429" spans="1:13" x14ac:dyDescent="0.2">
      <c r="A429" s="112" t="s">
        <v>291</v>
      </c>
      <c r="B429" s="50" t="s">
        <v>2338</v>
      </c>
      <c r="C429" s="50" t="s">
        <v>1796</v>
      </c>
      <c r="D429" s="50" t="s">
        <v>2339</v>
      </c>
      <c r="E429" s="52" t="b">
        <v>1</v>
      </c>
      <c r="F429" s="78" t="s">
        <v>291</v>
      </c>
      <c r="G429" s="50" t="s">
        <v>2338</v>
      </c>
      <c r="H429" s="50" t="s">
        <v>1796</v>
      </c>
      <c r="I429" s="53" t="s">
        <v>2339</v>
      </c>
      <c r="J429" s="55"/>
      <c r="K429" s="55"/>
      <c r="L429" s="79"/>
      <c r="M429" s="56" t="str">
        <f>HYPERLINK("http://nsgreg.nga.mil/genc/view?v=862722&amp;end_month=12&amp;end_day=31&amp;end_year=2016","Correlation")</f>
        <v>Correlation</v>
      </c>
    </row>
    <row r="430" spans="1:13" x14ac:dyDescent="0.2">
      <c r="A430" s="113"/>
      <c r="B430" s="58" t="s">
        <v>2340</v>
      </c>
      <c r="C430" s="58" t="s">
        <v>1796</v>
      </c>
      <c r="D430" s="58" t="s">
        <v>2341</v>
      </c>
      <c r="E430" s="60" t="b">
        <v>1</v>
      </c>
      <c r="F430" s="80" t="s">
        <v>291</v>
      </c>
      <c r="G430" s="58" t="s">
        <v>2340</v>
      </c>
      <c r="H430" s="58" t="s">
        <v>1796</v>
      </c>
      <c r="I430" s="64" t="s">
        <v>2341</v>
      </c>
      <c r="J430" s="66"/>
      <c r="K430" s="66"/>
      <c r="L430" s="68"/>
      <c r="M430" s="63" t="str">
        <f>HYPERLINK("http://nsgreg.nga.mil/genc/view?v=862712&amp;end_month=12&amp;end_day=31&amp;end_year=2016","Correlation")</f>
        <v>Correlation</v>
      </c>
    </row>
    <row r="431" spans="1:13" x14ac:dyDescent="0.2">
      <c r="A431" s="113"/>
      <c r="B431" s="58" t="s">
        <v>2342</v>
      </c>
      <c r="C431" s="58" t="s">
        <v>1796</v>
      </c>
      <c r="D431" s="58" t="s">
        <v>2343</v>
      </c>
      <c r="E431" s="60" t="b">
        <v>1</v>
      </c>
      <c r="F431" s="80" t="s">
        <v>291</v>
      </c>
      <c r="G431" s="58" t="s">
        <v>2342</v>
      </c>
      <c r="H431" s="58" t="s">
        <v>1796</v>
      </c>
      <c r="I431" s="64" t="s">
        <v>2343</v>
      </c>
      <c r="J431" s="66"/>
      <c r="K431" s="66"/>
      <c r="L431" s="68"/>
      <c r="M431" s="63" t="str">
        <f>HYPERLINK("http://nsgreg.nga.mil/genc/view?v=862717&amp;end_month=12&amp;end_day=31&amp;end_year=2016","Correlation")</f>
        <v>Correlation</v>
      </c>
    </row>
    <row r="432" spans="1:13" x14ac:dyDescent="0.2">
      <c r="A432" s="113"/>
      <c r="B432" s="58" t="s">
        <v>2344</v>
      </c>
      <c r="C432" s="58" t="s">
        <v>1796</v>
      </c>
      <c r="D432" s="58" t="s">
        <v>2345</v>
      </c>
      <c r="E432" s="60" t="b">
        <v>1</v>
      </c>
      <c r="F432" s="80" t="s">
        <v>291</v>
      </c>
      <c r="G432" s="58" t="s">
        <v>2344</v>
      </c>
      <c r="H432" s="58" t="s">
        <v>1796</v>
      </c>
      <c r="I432" s="64" t="s">
        <v>2345</v>
      </c>
      <c r="J432" s="66"/>
      <c r="K432" s="66"/>
      <c r="L432" s="68"/>
      <c r="M432" s="63" t="str">
        <f>HYPERLINK("http://nsgreg.nga.mil/genc/view?v=862729&amp;end_month=12&amp;end_day=31&amp;end_year=2016","Correlation")</f>
        <v>Correlation</v>
      </c>
    </row>
    <row r="433" spans="1:13" x14ac:dyDescent="0.2">
      <c r="A433" s="113"/>
      <c r="B433" s="58" t="s">
        <v>2346</v>
      </c>
      <c r="C433" s="58" t="s">
        <v>1796</v>
      </c>
      <c r="D433" s="58" t="s">
        <v>2347</v>
      </c>
      <c r="E433" s="60" t="b">
        <v>1</v>
      </c>
      <c r="F433" s="80" t="s">
        <v>291</v>
      </c>
      <c r="G433" s="58" t="s">
        <v>2346</v>
      </c>
      <c r="H433" s="58" t="s">
        <v>1796</v>
      </c>
      <c r="I433" s="64" t="s">
        <v>2347</v>
      </c>
      <c r="J433" s="66"/>
      <c r="K433" s="66"/>
      <c r="L433" s="68"/>
      <c r="M433" s="63" t="str">
        <f>HYPERLINK("http://nsgreg.nga.mil/genc/view?v=862713&amp;end_month=12&amp;end_day=31&amp;end_year=2016","Correlation")</f>
        <v>Correlation</v>
      </c>
    </row>
    <row r="434" spans="1:13" x14ac:dyDescent="0.2">
      <c r="A434" s="113"/>
      <c r="B434" s="58" t="s">
        <v>2348</v>
      </c>
      <c r="C434" s="58" t="s">
        <v>1796</v>
      </c>
      <c r="D434" s="58" t="s">
        <v>2349</v>
      </c>
      <c r="E434" s="60" t="b">
        <v>1</v>
      </c>
      <c r="F434" s="80" t="s">
        <v>291</v>
      </c>
      <c r="G434" s="58" t="s">
        <v>2348</v>
      </c>
      <c r="H434" s="58" t="s">
        <v>1796</v>
      </c>
      <c r="I434" s="64" t="s">
        <v>2349</v>
      </c>
      <c r="J434" s="66"/>
      <c r="K434" s="66"/>
      <c r="L434" s="68"/>
      <c r="M434" s="63" t="str">
        <f>HYPERLINK("http://nsgreg.nga.mil/genc/view?v=862727&amp;end_month=12&amp;end_day=31&amp;end_year=2016","Correlation")</f>
        <v>Correlation</v>
      </c>
    </row>
    <row r="435" spans="1:13" x14ac:dyDescent="0.2">
      <c r="A435" s="113"/>
      <c r="B435" s="58" t="s">
        <v>2350</v>
      </c>
      <c r="C435" s="58" t="s">
        <v>1796</v>
      </c>
      <c r="D435" s="58" t="s">
        <v>2351</v>
      </c>
      <c r="E435" s="60" t="b">
        <v>1</v>
      </c>
      <c r="F435" s="80" t="s">
        <v>291</v>
      </c>
      <c r="G435" s="58" t="s">
        <v>2352</v>
      </c>
      <c r="H435" s="58" t="s">
        <v>1796</v>
      </c>
      <c r="I435" s="64" t="s">
        <v>2351</v>
      </c>
      <c r="J435" s="66"/>
      <c r="K435" s="66"/>
      <c r="L435" s="68"/>
      <c r="M435" s="63" t="str">
        <f>HYPERLINK("http://nsgreg.nga.mil/genc/view?v=862725&amp;end_month=12&amp;end_day=31&amp;end_year=2016","Correlation")</f>
        <v>Correlation</v>
      </c>
    </row>
    <row r="436" spans="1:13" x14ac:dyDescent="0.2">
      <c r="A436" s="113"/>
      <c r="B436" s="58" t="s">
        <v>2353</v>
      </c>
      <c r="C436" s="58" t="s">
        <v>1796</v>
      </c>
      <c r="D436" s="58" t="s">
        <v>2354</v>
      </c>
      <c r="E436" s="60" t="b">
        <v>1</v>
      </c>
      <c r="F436" s="80" t="s">
        <v>291</v>
      </c>
      <c r="G436" s="58" t="s">
        <v>2353</v>
      </c>
      <c r="H436" s="58" t="s">
        <v>1796</v>
      </c>
      <c r="I436" s="64" t="s">
        <v>2354</v>
      </c>
      <c r="J436" s="66"/>
      <c r="K436" s="66"/>
      <c r="L436" s="68"/>
      <c r="M436" s="63" t="str">
        <f>HYPERLINK("http://nsgreg.nga.mil/genc/view?v=862711&amp;end_month=12&amp;end_day=31&amp;end_year=2016","Correlation")</f>
        <v>Correlation</v>
      </c>
    </row>
    <row r="437" spans="1:13" x14ac:dyDescent="0.2">
      <c r="A437" s="113"/>
      <c r="B437" s="58" t="s">
        <v>2355</v>
      </c>
      <c r="C437" s="58" t="s">
        <v>1796</v>
      </c>
      <c r="D437" s="58" t="s">
        <v>2356</v>
      </c>
      <c r="E437" s="60" t="b">
        <v>1</v>
      </c>
      <c r="F437" s="80" t="s">
        <v>291</v>
      </c>
      <c r="G437" s="58" t="s">
        <v>2355</v>
      </c>
      <c r="H437" s="58" t="s">
        <v>1796</v>
      </c>
      <c r="I437" s="64" t="s">
        <v>2356</v>
      </c>
      <c r="J437" s="66"/>
      <c r="K437" s="66"/>
      <c r="L437" s="68"/>
      <c r="M437" s="63" t="str">
        <f>HYPERLINK("http://nsgreg.nga.mil/genc/view?v=862726&amp;end_month=12&amp;end_day=31&amp;end_year=2016","Correlation")</f>
        <v>Correlation</v>
      </c>
    </row>
    <row r="438" spans="1:13" x14ac:dyDescent="0.2">
      <c r="A438" s="113"/>
      <c r="B438" s="58" t="s">
        <v>2357</v>
      </c>
      <c r="C438" s="58" t="s">
        <v>1796</v>
      </c>
      <c r="D438" s="58" t="s">
        <v>2358</v>
      </c>
      <c r="E438" s="60" t="b">
        <v>1</v>
      </c>
      <c r="F438" s="80" t="s">
        <v>291</v>
      </c>
      <c r="G438" s="58" t="s">
        <v>2357</v>
      </c>
      <c r="H438" s="58" t="s">
        <v>1796</v>
      </c>
      <c r="I438" s="64" t="s">
        <v>2358</v>
      </c>
      <c r="J438" s="66"/>
      <c r="K438" s="66"/>
      <c r="L438" s="68"/>
      <c r="M438" s="63" t="str">
        <f>HYPERLINK("http://nsgreg.nga.mil/genc/view?v=862718&amp;end_month=12&amp;end_day=31&amp;end_year=2016","Correlation")</f>
        <v>Correlation</v>
      </c>
    </row>
    <row r="439" spans="1:13" x14ac:dyDescent="0.2">
      <c r="A439" s="113"/>
      <c r="B439" s="58" t="s">
        <v>2359</v>
      </c>
      <c r="C439" s="58" t="s">
        <v>1796</v>
      </c>
      <c r="D439" s="58" t="s">
        <v>2360</v>
      </c>
      <c r="E439" s="60" t="b">
        <v>1</v>
      </c>
      <c r="F439" s="80" t="s">
        <v>291</v>
      </c>
      <c r="G439" s="58" t="s">
        <v>2359</v>
      </c>
      <c r="H439" s="58" t="s">
        <v>1796</v>
      </c>
      <c r="I439" s="64" t="s">
        <v>2360</v>
      </c>
      <c r="J439" s="66"/>
      <c r="K439" s="66"/>
      <c r="L439" s="68"/>
      <c r="M439" s="63" t="str">
        <f>HYPERLINK("http://nsgreg.nga.mil/genc/view?v=862728&amp;end_month=12&amp;end_day=31&amp;end_year=2016","Correlation")</f>
        <v>Correlation</v>
      </c>
    </row>
    <row r="440" spans="1:13" x14ac:dyDescent="0.2">
      <c r="A440" s="113"/>
      <c r="B440" s="58" t="s">
        <v>2361</v>
      </c>
      <c r="C440" s="58" t="s">
        <v>1796</v>
      </c>
      <c r="D440" s="58" t="s">
        <v>2362</v>
      </c>
      <c r="E440" s="60" t="b">
        <v>1</v>
      </c>
      <c r="F440" s="80" t="s">
        <v>291</v>
      </c>
      <c r="G440" s="58" t="s">
        <v>2361</v>
      </c>
      <c r="H440" s="58" t="s">
        <v>1796</v>
      </c>
      <c r="I440" s="64" t="s">
        <v>2362</v>
      </c>
      <c r="J440" s="66"/>
      <c r="K440" s="66"/>
      <c r="L440" s="68"/>
      <c r="M440" s="63" t="str">
        <f>HYPERLINK("http://nsgreg.nga.mil/genc/view?v=862714&amp;end_month=12&amp;end_day=31&amp;end_year=2016","Correlation")</f>
        <v>Correlation</v>
      </c>
    </row>
    <row r="441" spans="1:13" x14ac:dyDescent="0.2">
      <c r="A441" s="113"/>
      <c r="B441" s="58" t="s">
        <v>2363</v>
      </c>
      <c r="C441" s="58" t="s">
        <v>1796</v>
      </c>
      <c r="D441" s="58" t="s">
        <v>2364</v>
      </c>
      <c r="E441" s="60" t="b">
        <v>1</v>
      </c>
      <c r="F441" s="80" t="s">
        <v>291</v>
      </c>
      <c r="G441" s="58" t="s">
        <v>2363</v>
      </c>
      <c r="H441" s="58" t="s">
        <v>1796</v>
      </c>
      <c r="I441" s="64" t="s">
        <v>2364</v>
      </c>
      <c r="J441" s="66"/>
      <c r="K441" s="66"/>
      <c r="L441" s="68"/>
      <c r="M441" s="63" t="str">
        <f>HYPERLINK("http://nsgreg.nga.mil/genc/view?v=862720&amp;end_month=12&amp;end_day=31&amp;end_year=2016","Correlation")</f>
        <v>Correlation</v>
      </c>
    </row>
    <row r="442" spans="1:13" x14ac:dyDescent="0.2">
      <c r="A442" s="113"/>
      <c r="B442" s="58" t="s">
        <v>2365</v>
      </c>
      <c r="C442" s="58" t="s">
        <v>1796</v>
      </c>
      <c r="D442" s="58" t="s">
        <v>2366</v>
      </c>
      <c r="E442" s="60" t="b">
        <v>1</v>
      </c>
      <c r="F442" s="80" t="s">
        <v>291</v>
      </c>
      <c r="G442" s="58" t="s">
        <v>2365</v>
      </c>
      <c r="H442" s="58" t="s">
        <v>1796</v>
      </c>
      <c r="I442" s="64" t="s">
        <v>2366</v>
      </c>
      <c r="J442" s="66"/>
      <c r="K442" s="66"/>
      <c r="L442" s="68"/>
      <c r="M442" s="63" t="str">
        <f>HYPERLINK("http://nsgreg.nga.mil/genc/view?v=862715&amp;end_month=12&amp;end_day=31&amp;end_year=2016","Correlation")</f>
        <v>Correlation</v>
      </c>
    </row>
    <row r="443" spans="1:13" x14ac:dyDescent="0.2">
      <c r="A443" s="113"/>
      <c r="B443" s="58" t="s">
        <v>2367</v>
      </c>
      <c r="C443" s="58" t="s">
        <v>1796</v>
      </c>
      <c r="D443" s="58" t="s">
        <v>2368</v>
      </c>
      <c r="E443" s="60" t="b">
        <v>1</v>
      </c>
      <c r="F443" s="80" t="s">
        <v>291</v>
      </c>
      <c r="G443" s="58" t="s">
        <v>2367</v>
      </c>
      <c r="H443" s="58" t="s">
        <v>1796</v>
      </c>
      <c r="I443" s="64" t="s">
        <v>2368</v>
      </c>
      <c r="J443" s="66"/>
      <c r="K443" s="66"/>
      <c r="L443" s="68"/>
      <c r="M443" s="63" t="str">
        <f>HYPERLINK("http://nsgreg.nga.mil/genc/view?v=862724&amp;end_month=12&amp;end_day=31&amp;end_year=2016","Correlation")</f>
        <v>Correlation</v>
      </c>
    </row>
    <row r="444" spans="1:13" x14ac:dyDescent="0.2">
      <c r="A444" s="113"/>
      <c r="B444" s="58" t="s">
        <v>2369</v>
      </c>
      <c r="C444" s="58" t="s">
        <v>1796</v>
      </c>
      <c r="D444" s="58" t="s">
        <v>2370</v>
      </c>
      <c r="E444" s="60" t="b">
        <v>1</v>
      </c>
      <c r="F444" s="80" t="s">
        <v>291</v>
      </c>
      <c r="G444" s="58" t="s">
        <v>2369</v>
      </c>
      <c r="H444" s="58" t="s">
        <v>1796</v>
      </c>
      <c r="I444" s="64" t="s">
        <v>2370</v>
      </c>
      <c r="J444" s="66"/>
      <c r="K444" s="66"/>
      <c r="L444" s="68"/>
      <c r="M444" s="63" t="str">
        <f>HYPERLINK("http://nsgreg.nga.mil/genc/view?v=862730&amp;end_month=12&amp;end_day=31&amp;end_year=2016","Correlation")</f>
        <v>Correlation</v>
      </c>
    </row>
    <row r="445" spans="1:13" x14ac:dyDescent="0.2">
      <c r="A445" s="113"/>
      <c r="B445" s="58" t="s">
        <v>2371</v>
      </c>
      <c r="C445" s="58" t="s">
        <v>1796</v>
      </c>
      <c r="D445" s="58" t="s">
        <v>2372</v>
      </c>
      <c r="E445" s="60" t="b">
        <v>1</v>
      </c>
      <c r="F445" s="80" t="s">
        <v>291</v>
      </c>
      <c r="G445" s="58" t="s">
        <v>2371</v>
      </c>
      <c r="H445" s="58" t="s">
        <v>1796</v>
      </c>
      <c r="I445" s="64" t="s">
        <v>2372</v>
      </c>
      <c r="J445" s="66"/>
      <c r="K445" s="66"/>
      <c r="L445" s="68"/>
      <c r="M445" s="63" t="str">
        <f>HYPERLINK("http://nsgreg.nga.mil/genc/view?v=862721&amp;end_month=12&amp;end_day=31&amp;end_year=2016","Correlation")</f>
        <v>Correlation</v>
      </c>
    </row>
    <row r="446" spans="1:13" x14ac:dyDescent="0.2">
      <c r="A446" s="113"/>
      <c r="B446" s="58" t="s">
        <v>2373</v>
      </c>
      <c r="C446" s="58" t="s">
        <v>1796</v>
      </c>
      <c r="D446" s="58" t="s">
        <v>2374</v>
      </c>
      <c r="E446" s="60" t="b">
        <v>1</v>
      </c>
      <c r="F446" s="80" t="s">
        <v>291</v>
      </c>
      <c r="G446" s="58" t="s">
        <v>2373</v>
      </c>
      <c r="H446" s="58" t="s">
        <v>1796</v>
      </c>
      <c r="I446" s="64" t="s">
        <v>2374</v>
      </c>
      <c r="J446" s="66"/>
      <c r="K446" s="66"/>
      <c r="L446" s="68"/>
      <c r="M446" s="63" t="str">
        <f>HYPERLINK("http://nsgreg.nga.mil/genc/view?v=862716&amp;end_month=12&amp;end_day=31&amp;end_year=2016","Correlation")</f>
        <v>Correlation</v>
      </c>
    </row>
    <row r="447" spans="1:13" x14ac:dyDescent="0.2">
      <c r="A447" s="113"/>
      <c r="B447" s="58" t="s">
        <v>2375</v>
      </c>
      <c r="C447" s="58" t="s">
        <v>1796</v>
      </c>
      <c r="D447" s="58" t="s">
        <v>2376</v>
      </c>
      <c r="E447" s="60" t="b">
        <v>1</v>
      </c>
      <c r="F447" s="80" t="s">
        <v>291</v>
      </c>
      <c r="G447" s="58" t="s">
        <v>2375</v>
      </c>
      <c r="H447" s="58" t="s">
        <v>1796</v>
      </c>
      <c r="I447" s="64" t="s">
        <v>2376</v>
      </c>
      <c r="J447" s="66"/>
      <c r="K447" s="66"/>
      <c r="L447" s="68"/>
      <c r="M447" s="63" t="str">
        <f>HYPERLINK("http://nsgreg.nga.mil/genc/view?v=862719&amp;end_month=12&amp;end_day=31&amp;end_year=2016","Correlation")</f>
        <v>Correlation</v>
      </c>
    </row>
    <row r="448" spans="1:13" x14ac:dyDescent="0.2">
      <c r="A448" s="114"/>
      <c r="B448" s="71" t="s">
        <v>2377</v>
      </c>
      <c r="C448" s="71" t="s">
        <v>1796</v>
      </c>
      <c r="D448" s="71" t="s">
        <v>2378</v>
      </c>
      <c r="E448" s="73" t="b">
        <v>1</v>
      </c>
      <c r="F448" s="81" t="s">
        <v>291</v>
      </c>
      <c r="G448" s="71" t="s">
        <v>2377</v>
      </c>
      <c r="H448" s="71" t="s">
        <v>1796</v>
      </c>
      <c r="I448" s="74" t="s">
        <v>2378</v>
      </c>
      <c r="J448" s="76"/>
      <c r="K448" s="76"/>
      <c r="L448" s="82"/>
      <c r="M448" s="77" t="str">
        <f>HYPERLINK("http://nsgreg.nga.mil/genc/view?v=862723&amp;end_month=12&amp;end_day=31&amp;end_year=2016","Correlation")</f>
        <v>Correlation</v>
      </c>
    </row>
    <row r="449" spans="1:13" x14ac:dyDescent="0.2">
      <c r="A449" s="112" t="s">
        <v>295</v>
      </c>
      <c r="B449" s="50" t="s">
        <v>2379</v>
      </c>
      <c r="C449" s="50" t="s">
        <v>2294</v>
      </c>
      <c r="D449" s="50" t="s">
        <v>2380</v>
      </c>
      <c r="E449" s="52" t="b">
        <v>1</v>
      </c>
      <c r="F449" s="78" t="s">
        <v>295</v>
      </c>
      <c r="G449" s="50" t="s">
        <v>2379</v>
      </c>
      <c r="H449" s="50" t="s">
        <v>2294</v>
      </c>
      <c r="I449" s="53" t="s">
        <v>2380</v>
      </c>
      <c r="J449" s="55"/>
      <c r="K449" s="55"/>
      <c r="L449" s="79"/>
      <c r="M449" s="56" t="str">
        <f>HYPERLINK("http://nsgreg.nga.mil/genc/view?v=862643&amp;end_month=12&amp;end_day=31&amp;end_year=2016","Correlation")</f>
        <v>Correlation</v>
      </c>
    </row>
    <row r="450" spans="1:13" x14ac:dyDescent="0.2">
      <c r="A450" s="113"/>
      <c r="B450" s="58" t="s">
        <v>2381</v>
      </c>
      <c r="C450" s="58" t="s">
        <v>2294</v>
      </c>
      <c r="D450" s="58" t="s">
        <v>2382</v>
      </c>
      <c r="E450" s="60" t="b">
        <v>1</v>
      </c>
      <c r="F450" s="80" t="s">
        <v>295</v>
      </c>
      <c r="G450" s="58" t="s">
        <v>2381</v>
      </c>
      <c r="H450" s="58" t="s">
        <v>2294</v>
      </c>
      <c r="I450" s="64" t="s">
        <v>2382</v>
      </c>
      <c r="J450" s="66"/>
      <c r="K450" s="66"/>
      <c r="L450" s="68"/>
      <c r="M450" s="63" t="str">
        <f>HYPERLINK("http://nsgreg.nga.mil/genc/view?v=862642&amp;end_month=12&amp;end_day=31&amp;end_year=2016","Correlation")</f>
        <v>Correlation</v>
      </c>
    </row>
    <row r="451" spans="1:13" x14ac:dyDescent="0.2">
      <c r="A451" s="113"/>
      <c r="B451" s="58" t="s">
        <v>2383</v>
      </c>
      <c r="C451" s="58" t="s">
        <v>2294</v>
      </c>
      <c r="D451" s="58" t="s">
        <v>2384</v>
      </c>
      <c r="E451" s="60" t="b">
        <v>1</v>
      </c>
      <c r="F451" s="80" t="s">
        <v>295</v>
      </c>
      <c r="G451" s="58" t="s">
        <v>2383</v>
      </c>
      <c r="H451" s="58" t="s">
        <v>2294</v>
      </c>
      <c r="I451" s="64" t="s">
        <v>2384</v>
      </c>
      <c r="J451" s="66"/>
      <c r="K451" s="66"/>
      <c r="L451" s="68"/>
      <c r="M451" s="63" t="str">
        <f>HYPERLINK("http://nsgreg.nga.mil/genc/view?v=862641&amp;end_month=12&amp;end_day=31&amp;end_year=2016","Correlation")</f>
        <v>Correlation</v>
      </c>
    </row>
    <row r="452" spans="1:13" x14ac:dyDescent="0.2">
      <c r="A452" s="113"/>
      <c r="B452" s="58" t="s">
        <v>2385</v>
      </c>
      <c r="C452" s="58" t="s">
        <v>2294</v>
      </c>
      <c r="D452" s="58" t="s">
        <v>2386</v>
      </c>
      <c r="E452" s="60" t="b">
        <v>1</v>
      </c>
      <c r="F452" s="80" t="s">
        <v>295</v>
      </c>
      <c r="G452" s="58" t="s">
        <v>2385</v>
      </c>
      <c r="H452" s="58" t="s">
        <v>2294</v>
      </c>
      <c r="I452" s="64" t="s">
        <v>2386</v>
      </c>
      <c r="J452" s="66"/>
      <c r="K452" s="66"/>
      <c r="L452" s="68"/>
      <c r="M452" s="63" t="str">
        <f>HYPERLINK("http://nsgreg.nga.mil/genc/view?v=862644&amp;end_month=12&amp;end_day=31&amp;end_year=2016","Correlation")</f>
        <v>Correlation</v>
      </c>
    </row>
    <row r="453" spans="1:13" x14ac:dyDescent="0.2">
      <c r="A453" s="113"/>
      <c r="B453" s="58" t="s">
        <v>2387</v>
      </c>
      <c r="C453" s="58" t="s">
        <v>2294</v>
      </c>
      <c r="D453" s="58" t="s">
        <v>2388</v>
      </c>
      <c r="E453" s="60" t="b">
        <v>1</v>
      </c>
      <c r="F453" s="80" t="s">
        <v>295</v>
      </c>
      <c r="G453" s="58" t="s">
        <v>2387</v>
      </c>
      <c r="H453" s="58" t="s">
        <v>2294</v>
      </c>
      <c r="I453" s="64" t="s">
        <v>2388</v>
      </c>
      <c r="J453" s="66"/>
      <c r="K453" s="66"/>
      <c r="L453" s="68"/>
      <c r="M453" s="63" t="str">
        <f>HYPERLINK("http://nsgreg.nga.mil/genc/view?v=862646&amp;end_month=12&amp;end_day=31&amp;end_year=2016","Correlation")</f>
        <v>Correlation</v>
      </c>
    </row>
    <row r="454" spans="1:13" x14ac:dyDescent="0.2">
      <c r="A454" s="113"/>
      <c r="B454" s="58" t="s">
        <v>2389</v>
      </c>
      <c r="C454" s="58" t="s">
        <v>2294</v>
      </c>
      <c r="D454" s="58" t="s">
        <v>2390</v>
      </c>
      <c r="E454" s="60" t="b">
        <v>1</v>
      </c>
      <c r="F454" s="80" t="s">
        <v>295</v>
      </c>
      <c r="G454" s="58" t="s">
        <v>2389</v>
      </c>
      <c r="H454" s="58" t="s">
        <v>2294</v>
      </c>
      <c r="I454" s="64" t="s">
        <v>2390</v>
      </c>
      <c r="J454" s="66"/>
      <c r="K454" s="66"/>
      <c r="L454" s="68"/>
      <c r="M454" s="63" t="str">
        <f>HYPERLINK("http://nsgreg.nga.mil/genc/view?v=862645&amp;end_month=12&amp;end_day=31&amp;end_year=2016","Correlation")</f>
        <v>Correlation</v>
      </c>
    </row>
    <row r="455" spans="1:13" x14ac:dyDescent="0.2">
      <c r="A455" s="113"/>
      <c r="B455" s="58" t="s">
        <v>2391</v>
      </c>
      <c r="C455" s="58" t="s">
        <v>2294</v>
      </c>
      <c r="D455" s="58" t="s">
        <v>2392</v>
      </c>
      <c r="E455" s="60" t="b">
        <v>1</v>
      </c>
      <c r="F455" s="80" t="s">
        <v>295</v>
      </c>
      <c r="G455" s="58" t="s">
        <v>2391</v>
      </c>
      <c r="H455" s="58" t="s">
        <v>2294</v>
      </c>
      <c r="I455" s="64" t="s">
        <v>2392</v>
      </c>
      <c r="J455" s="66"/>
      <c r="K455" s="66"/>
      <c r="L455" s="68"/>
      <c r="M455" s="63" t="str">
        <f>HYPERLINK("http://nsgreg.nga.mil/genc/view?v=862647&amp;end_month=12&amp;end_day=31&amp;end_year=2016","Correlation")</f>
        <v>Correlation</v>
      </c>
    </row>
    <row r="456" spans="1:13" x14ac:dyDescent="0.2">
      <c r="A456" s="113"/>
      <c r="B456" s="58" t="s">
        <v>1716</v>
      </c>
      <c r="C456" s="58" t="s">
        <v>2294</v>
      </c>
      <c r="D456" s="58" t="s">
        <v>2393</v>
      </c>
      <c r="E456" s="60" t="b">
        <v>1</v>
      </c>
      <c r="F456" s="80" t="s">
        <v>295</v>
      </c>
      <c r="G456" s="58" t="s">
        <v>1716</v>
      </c>
      <c r="H456" s="58" t="s">
        <v>2294</v>
      </c>
      <c r="I456" s="64" t="s">
        <v>2393</v>
      </c>
      <c r="J456" s="66"/>
      <c r="K456" s="66"/>
      <c r="L456" s="68"/>
      <c r="M456" s="63" t="str">
        <f>HYPERLINK("http://nsgreg.nga.mil/genc/view?v=862648&amp;end_month=12&amp;end_day=31&amp;end_year=2016","Correlation")</f>
        <v>Correlation</v>
      </c>
    </row>
    <row r="457" spans="1:13" x14ac:dyDescent="0.2">
      <c r="A457" s="114"/>
      <c r="B457" s="71" t="s">
        <v>2394</v>
      </c>
      <c r="C457" s="71" t="s">
        <v>2294</v>
      </c>
      <c r="D457" s="71" t="s">
        <v>2395</v>
      </c>
      <c r="E457" s="73" t="b">
        <v>1</v>
      </c>
      <c r="F457" s="81" t="s">
        <v>295</v>
      </c>
      <c r="G457" s="71" t="s">
        <v>2394</v>
      </c>
      <c r="H457" s="71" t="s">
        <v>2294</v>
      </c>
      <c r="I457" s="74" t="s">
        <v>2395</v>
      </c>
      <c r="J457" s="76"/>
      <c r="K457" s="76"/>
      <c r="L457" s="82"/>
      <c r="M457" s="77" t="str">
        <f>HYPERLINK("http://nsgreg.nga.mil/genc/view?v=862649&amp;end_month=12&amp;end_day=31&amp;end_year=2016","Correlation")</f>
        <v>Correlation</v>
      </c>
    </row>
    <row r="458" spans="1:13" x14ac:dyDescent="0.2">
      <c r="A458" s="112" t="s">
        <v>300</v>
      </c>
      <c r="B458" s="50" t="s">
        <v>309</v>
      </c>
      <c r="C458" s="50" t="s">
        <v>2396</v>
      </c>
      <c r="D458" s="50" t="s">
        <v>310</v>
      </c>
      <c r="E458" s="52" t="b">
        <v>1</v>
      </c>
      <c r="F458" s="78" t="s">
        <v>2397</v>
      </c>
      <c r="G458" s="50" t="s">
        <v>309</v>
      </c>
      <c r="H458" s="50" t="s">
        <v>2396</v>
      </c>
      <c r="I458" s="53" t="s">
        <v>310</v>
      </c>
      <c r="J458" s="55"/>
      <c r="K458" s="55"/>
      <c r="L458" s="79"/>
      <c r="M458" s="56" t="str">
        <f>HYPERLINK("http://nsgreg.nga.mil/genc/view?v=862650&amp;end_month=12&amp;end_day=31&amp;end_year=2016","Correlation")</f>
        <v>Correlation</v>
      </c>
    </row>
    <row r="459" spans="1:13" x14ac:dyDescent="0.2">
      <c r="A459" s="113"/>
      <c r="B459" s="58" t="s">
        <v>311</v>
      </c>
      <c r="C459" s="58" t="s">
        <v>2396</v>
      </c>
      <c r="D459" s="58" t="s">
        <v>312</v>
      </c>
      <c r="E459" s="60" t="b">
        <v>1</v>
      </c>
      <c r="F459" s="80" t="s">
        <v>2397</v>
      </c>
      <c r="G459" s="58" t="s">
        <v>311</v>
      </c>
      <c r="H459" s="58" t="s">
        <v>2396</v>
      </c>
      <c r="I459" s="64" t="s">
        <v>312</v>
      </c>
      <c r="J459" s="66"/>
      <c r="K459" s="66"/>
      <c r="L459" s="68"/>
      <c r="M459" s="63" t="str">
        <f>HYPERLINK("http://nsgreg.nga.mil/genc/view?v=862651&amp;end_month=12&amp;end_day=31&amp;end_year=2016","Correlation")</f>
        <v>Correlation</v>
      </c>
    </row>
    <row r="460" spans="1:13" x14ac:dyDescent="0.2">
      <c r="A460" s="114"/>
      <c r="B460" s="71" t="s">
        <v>313</v>
      </c>
      <c r="C460" s="71" t="s">
        <v>2396</v>
      </c>
      <c r="D460" s="71" t="s">
        <v>314</v>
      </c>
      <c r="E460" s="73" t="b">
        <v>1</v>
      </c>
      <c r="F460" s="81" t="s">
        <v>2397</v>
      </c>
      <c r="G460" s="71" t="s">
        <v>313</v>
      </c>
      <c r="H460" s="71" t="s">
        <v>2396</v>
      </c>
      <c r="I460" s="74" t="s">
        <v>314</v>
      </c>
      <c r="J460" s="76"/>
      <c r="K460" s="76"/>
      <c r="L460" s="82"/>
      <c r="M460" s="77" t="str">
        <f>HYPERLINK("http://nsgreg.nga.mil/genc/view?v=862652&amp;end_month=12&amp;end_day=31&amp;end_year=2016","Correlation")</f>
        <v>Correlation</v>
      </c>
    </row>
    <row r="461" spans="1:13" x14ac:dyDescent="0.2">
      <c r="A461" s="112" t="s">
        <v>318</v>
      </c>
      <c r="B461" s="50" t="s">
        <v>2398</v>
      </c>
      <c r="C461" s="50" t="s">
        <v>2399</v>
      </c>
      <c r="D461" s="50" t="s">
        <v>2400</v>
      </c>
      <c r="E461" s="52" t="b">
        <v>1</v>
      </c>
      <c r="F461" s="78" t="s">
        <v>318</v>
      </c>
      <c r="G461" s="50" t="s">
        <v>2401</v>
      </c>
      <c r="H461" s="50" t="s">
        <v>2402</v>
      </c>
      <c r="I461" s="53" t="s">
        <v>2400</v>
      </c>
      <c r="J461" s="55"/>
      <c r="K461" s="55"/>
      <c r="L461" s="79"/>
      <c r="M461" s="56" t="str">
        <f>HYPERLINK("http://nsgreg.nga.mil/genc/view?v=862407&amp;end_month=12&amp;end_day=31&amp;end_year=2016","Correlation")</f>
        <v>Correlation</v>
      </c>
    </row>
    <row r="462" spans="1:13" x14ac:dyDescent="0.2">
      <c r="A462" s="113"/>
      <c r="B462" s="58" t="s">
        <v>2403</v>
      </c>
      <c r="C462" s="58" t="s">
        <v>1796</v>
      </c>
      <c r="D462" s="58" t="s">
        <v>2404</v>
      </c>
      <c r="E462" s="60" t="b">
        <v>1</v>
      </c>
      <c r="F462" s="80" t="s">
        <v>318</v>
      </c>
      <c r="G462" s="58" t="s">
        <v>2405</v>
      </c>
      <c r="H462" s="58" t="s">
        <v>2406</v>
      </c>
      <c r="I462" s="64" t="s">
        <v>2404</v>
      </c>
      <c r="J462" s="66"/>
      <c r="K462" s="66"/>
      <c r="L462" s="68"/>
      <c r="M462" s="63" t="str">
        <f>HYPERLINK("http://nsgreg.nga.mil/genc/view?v=862408&amp;end_month=12&amp;end_day=31&amp;end_year=2016","Correlation")</f>
        <v>Correlation</v>
      </c>
    </row>
    <row r="463" spans="1:13" x14ac:dyDescent="0.2">
      <c r="A463" s="114"/>
      <c r="B463" s="71" t="s">
        <v>2407</v>
      </c>
      <c r="C463" s="71" t="s">
        <v>2408</v>
      </c>
      <c r="D463" s="71" t="s">
        <v>2409</v>
      </c>
      <c r="E463" s="73" t="b">
        <v>1</v>
      </c>
      <c r="F463" s="81" t="s">
        <v>318</v>
      </c>
      <c r="G463" s="71" t="s">
        <v>2410</v>
      </c>
      <c r="H463" s="71" t="s">
        <v>2402</v>
      </c>
      <c r="I463" s="74" t="s">
        <v>2409</v>
      </c>
      <c r="J463" s="76"/>
      <c r="K463" s="76"/>
      <c r="L463" s="82"/>
      <c r="M463" s="77" t="str">
        <f>HYPERLINK("http://nsgreg.nga.mil/genc/view?v=862409&amp;end_month=12&amp;end_day=31&amp;end_year=2016","Correlation")</f>
        <v>Correlation</v>
      </c>
    </row>
    <row r="464" spans="1:13" x14ac:dyDescent="0.2">
      <c r="A464" s="112" t="s">
        <v>322</v>
      </c>
      <c r="B464" s="50" t="s">
        <v>2411</v>
      </c>
      <c r="C464" s="50" t="s">
        <v>1796</v>
      </c>
      <c r="D464" s="50" t="s">
        <v>2412</v>
      </c>
      <c r="E464" s="52" t="b">
        <v>1</v>
      </c>
      <c r="F464" s="78" t="s">
        <v>322</v>
      </c>
      <c r="G464" s="50" t="s">
        <v>2411</v>
      </c>
      <c r="H464" s="50" t="s">
        <v>1796</v>
      </c>
      <c r="I464" s="53" t="s">
        <v>2412</v>
      </c>
      <c r="J464" s="55"/>
      <c r="K464" s="55"/>
      <c r="L464" s="79"/>
      <c r="M464" s="56" t="str">
        <f>HYPERLINK("http://nsgreg.nga.mil/genc/view?v=862731&amp;end_month=12&amp;end_day=31&amp;end_year=2016","Correlation")</f>
        <v>Correlation</v>
      </c>
    </row>
    <row r="465" spans="1:13" x14ac:dyDescent="0.2">
      <c r="A465" s="113"/>
      <c r="B465" s="58" t="s">
        <v>2413</v>
      </c>
      <c r="C465" s="58" t="s">
        <v>1796</v>
      </c>
      <c r="D465" s="58" t="s">
        <v>2414</v>
      </c>
      <c r="E465" s="60" t="b">
        <v>1</v>
      </c>
      <c r="F465" s="80" t="s">
        <v>322</v>
      </c>
      <c r="G465" s="58" t="s">
        <v>2413</v>
      </c>
      <c r="H465" s="58" t="s">
        <v>1796</v>
      </c>
      <c r="I465" s="64" t="s">
        <v>2414</v>
      </c>
      <c r="J465" s="66"/>
      <c r="K465" s="66"/>
      <c r="L465" s="68"/>
      <c r="M465" s="63" t="str">
        <f>HYPERLINK("http://nsgreg.nga.mil/genc/view?v=862732&amp;end_month=12&amp;end_day=31&amp;end_year=2016","Correlation")</f>
        <v>Correlation</v>
      </c>
    </row>
    <row r="466" spans="1:13" x14ac:dyDescent="0.2">
      <c r="A466" s="113"/>
      <c r="B466" s="58" t="s">
        <v>2415</v>
      </c>
      <c r="C466" s="58" t="s">
        <v>1681</v>
      </c>
      <c r="D466" s="58" t="s">
        <v>2416</v>
      </c>
      <c r="E466" s="60" t="b">
        <v>1</v>
      </c>
      <c r="F466" s="80" t="s">
        <v>322</v>
      </c>
      <c r="G466" s="58" t="s">
        <v>2415</v>
      </c>
      <c r="H466" s="58" t="s">
        <v>1681</v>
      </c>
      <c r="I466" s="64" t="s">
        <v>2416</v>
      </c>
      <c r="J466" s="66"/>
      <c r="K466" s="66"/>
      <c r="L466" s="68"/>
      <c r="M466" s="63" t="str">
        <f>HYPERLINK("http://nsgreg.nga.mil/genc/view?v=862733&amp;end_month=12&amp;end_day=31&amp;end_year=2016","Correlation")</f>
        <v>Correlation</v>
      </c>
    </row>
    <row r="467" spans="1:13" x14ac:dyDescent="0.2">
      <c r="A467" s="113"/>
      <c r="B467" s="58" t="s">
        <v>2417</v>
      </c>
      <c r="C467" s="58" t="s">
        <v>1681</v>
      </c>
      <c r="D467" s="58" t="s">
        <v>2418</v>
      </c>
      <c r="E467" s="60" t="b">
        <v>1</v>
      </c>
      <c r="F467" s="80" t="s">
        <v>322</v>
      </c>
      <c r="G467" s="58" t="s">
        <v>2417</v>
      </c>
      <c r="H467" s="58" t="s">
        <v>1681</v>
      </c>
      <c r="I467" s="64" t="s">
        <v>2418</v>
      </c>
      <c r="J467" s="66"/>
      <c r="K467" s="66"/>
      <c r="L467" s="68"/>
      <c r="M467" s="63" t="str">
        <f>HYPERLINK("http://nsgreg.nga.mil/genc/view?v=862734&amp;end_month=12&amp;end_day=31&amp;end_year=2016","Correlation")</f>
        <v>Correlation</v>
      </c>
    </row>
    <row r="468" spans="1:13" x14ac:dyDescent="0.2">
      <c r="A468" s="113"/>
      <c r="B468" s="58" t="s">
        <v>2419</v>
      </c>
      <c r="C468" s="58" t="s">
        <v>1796</v>
      </c>
      <c r="D468" s="58" t="s">
        <v>2420</v>
      </c>
      <c r="E468" s="60" t="b">
        <v>1</v>
      </c>
      <c r="F468" s="80" t="s">
        <v>322</v>
      </c>
      <c r="G468" s="58" t="s">
        <v>2419</v>
      </c>
      <c r="H468" s="58" t="s">
        <v>1796</v>
      </c>
      <c r="I468" s="64" t="s">
        <v>2420</v>
      </c>
      <c r="J468" s="66"/>
      <c r="K468" s="66"/>
      <c r="L468" s="68"/>
      <c r="M468" s="63" t="str">
        <f>HYPERLINK("http://nsgreg.nga.mil/genc/view?v=862735&amp;end_month=12&amp;end_day=31&amp;end_year=2016","Correlation")</f>
        <v>Correlation</v>
      </c>
    </row>
    <row r="469" spans="1:13" x14ac:dyDescent="0.2">
      <c r="A469" s="113"/>
      <c r="B469" s="58" t="s">
        <v>2421</v>
      </c>
      <c r="C469" s="58" t="s">
        <v>2422</v>
      </c>
      <c r="D469" s="58" t="s">
        <v>2423</v>
      </c>
      <c r="E469" s="60" t="b">
        <v>1</v>
      </c>
      <c r="F469" s="80" t="s">
        <v>322</v>
      </c>
      <c r="G469" s="58" t="s">
        <v>2421</v>
      </c>
      <c r="H469" s="58" t="s">
        <v>2422</v>
      </c>
      <c r="I469" s="64" t="s">
        <v>2423</v>
      </c>
      <c r="J469" s="66"/>
      <c r="K469" s="66"/>
      <c r="L469" s="68"/>
      <c r="M469" s="63" t="str">
        <f>HYPERLINK("http://nsgreg.nga.mil/genc/view?v=862736&amp;end_month=12&amp;end_day=31&amp;end_year=2016","Correlation")</f>
        <v>Correlation</v>
      </c>
    </row>
    <row r="470" spans="1:13" x14ac:dyDescent="0.2">
      <c r="A470" s="113"/>
      <c r="B470" s="58" t="s">
        <v>2424</v>
      </c>
      <c r="C470" s="58" t="s">
        <v>1796</v>
      </c>
      <c r="D470" s="58" t="s">
        <v>2425</v>
      </c>
      <c r="E470" s="60" t="b">
        <v>1</v>
      </c>
      <c r="F470" s="80" t="s">
        <v>322</v>
      </c>
      <c r="G470" s="58" t="s">
        <v>2424</v>
      </c>
      <c r="H470" s="58" t="s">
        <v>1796</v>
      </c>
      <c r="I470" s="64" t="s">
        <v>2425</v>
      </c>
      <c r="J470" s="66"/>
      <c r="K470" s="66"/>
      <c r="L470" s="68"/>
      <c r="M470" s="63" t="str">
        <f>HYPERLINK("http://nsgreg.nga.mil/genc/view?v=862737&amp;end_month=12&amp;end_day=31&amp;end_year=2016","Correlation")</f>
        <v>Correlation</v>
      </c>
    </row>
    <row r="471" spans="1:13" x14ac:dyDescent="0.2">
      <c r="A471" s="113"/>
      <c r="B471" s="58" t="s">
        <v>2426</v>
      </c>
      <c r="C471" s="58" t="s">
        <v>1796</v>
      </c>
      <c r="D471" s="58" t="s">
        <v>2427</v>
      </c>
      <c r="E471" s="60" t="b">
        <v>1</v>
      </c>
      <c r="F471" s="80" t="s">
        <v>322</v>
      </c>
      <c r="G471" s="58" t="s">
        <v>2426</v>
      </c>
      <c r="H471" s="58" t="s">
        <v>1796</v>
      </c>
      <c r="I471" s="64" t="s">
        <v>2427</v>
      </c>
      <c r="J471" s="66"/>
      <c r="K471" s="66"/>
      <c r="L471" s="68"/>
      <c r="M471" s="63" t="str">
        <f>HYPERLINK("http://nsgreg.nga.mil/genc/view?v=862738&amp;end_month=12&amp;end_day=31&amp;end_year=2016","Correlation")</f>
        <v>Correlation</v>
      </c>
    </row>
    <row r="472" spans="1:13" x14ac:dyDescent="0.2">
      <c r="A472" s="113"/>
      <c r="B472" s="58" t="s">
        <v>2428</v>
      </c>
      <c r="C472" s="58" t="s">
        <v>1796</v>
      </c>
      <c r="D472" s="58" t="s">
        <v>2429</v>
      </c>
      <c r="E472" s="60" t="b">
        <v>1</v>
      </c>
      <c r="F472" s="80" t="s">
        <v>322</v>
      </c>
      <c r="G472" s="58" t="s">
        <v>2428</v>
      </c>
      <c r="H472" s="58" t="s">
        <v>1796</v>
      </c>
      <c r="I472" s="64" t="s">
        <v>2429</v>
      </c>
      <c r="J472" s="66"/>
      <c r="K472" s="66"/>
      <c r="L472" s="68"/>
      <c r="M472" s="63" t="str">
        <f>HYPERLINK("http://nsgreg.nga.mil/genc/view?v=862739&amp;end_month=12&amp;end_day=31&amp;end_year=2016","Correlation")</f>
        <v>Correlation</v>
      </c>
    </row>
    <row r="473" spans="1:13" x14ac:dyDescent="0.2">
      <c r="A473" s="113"/>
      <c r="B473" s="58" t="s">
        <v>2430</v>
      </c>
      <c r="C473" s="58" t="s">
        <v>2422</v>
      </c>
      <c r="D473" s="58" t="s">
        <v>2431</v>
      </c>
      <c r="E473" s="60" t="b">
        <v>1</v>
      </c>
      <c r="F473" s="80" t="s">
        <v>322</v>
      </c>
      <c r="G473" s="58" t="s">
        <v>2430</v>
      </c>
      <c r="H473" s="58" t="s">
        <v>2422</v>
      </c>
      <c r="I473" s="64" t="s">
        <v>2431</v>
      </c>
      <c r="J473" s="66"/>
      <c r="K473" s="66"/>
      <c r="L473" s="68"/>
      <c r="M473" s="63" t="str">
        <f>HYPERLINK("http://nsgreg.nga.mil/genc/view?v=862740&amp;end_month=12&amp;end_day=31&amp;end_year=2016","Correlation")</f>
        <v>Correlation</v>
      </c>
    </row>
    <row r="474" spans="1:13" x14ac:dyDescent="0.2">
      <c r="A474" s="113"/>
      <c r="B474" s="58" t="s">
        <v>2432</v>
      </c>
      <c r="C474" s="58" t="s">
        <v>1796</v>
      </c>
      <c r="D474" s="58" t="s">
        <v>2433</v>
      </c>
      <c r="E474" s="60" t="b">
        <v>1</v>
      </c>
      <c r="F474" s="80" t="s">
        <v>322</v>
      </c>
      <c r="G474" s="58" t="s">
        <v>2432</v>
      </c>
      <c r="H474" s="58" t="s">
        <v>1796</v>
      </c>
      <c r="I474" s="64" t="s">
        <v>2433</v>
      </c>
      <c r="J474" s="66"/>
      <c r="K474" s="66"/>
      <c r="L474" s="68"/>
      <c r="M474" s="63" t="str">
        <f>HYPERLINK("http://nsgreg.nga.mil/genc/view?v=862741&amp;end_month=12&amp;end_day=31&amp;end_year=2016","Correlation")</f>
        <v>Correlation</v>
      </c>
    </row>
    <row r="475" spans="1:13" x14ac:dyDescent="0.2">
      <c r="A475" s="113"/>
      <c r="B475" s="58" t="s">
        <v>2434</v>
      </c>
      <c r="C475" s="58" t="s">
        <v>1796</v>
      </c>
      <c r="D475" s="58" t="s">
        <v>2435</v>
      </c>
      <c r="E475" s="60" t="b">
        <v>1</v>
      </c>
      <c r="F475" s="80" t="s">
        <v>322</v>
      </c>
      <c r="G475" s="58" t="s">
        <v>2434</v>
      </c>
      <c r="H475" s="58" t="s">
        <v>1796</v>
      </c>
      <c r="I475" s="64" t="s">
        <v>2435</v>
      </c>
      <c r="J475" s="66"/>
      <c r="K475" s="66"/>
      <c r="L475" s="68"/>
      <c r="M475" s="63" t="str">
        <f>HYPERLINK("http://nsgreg.nga.mil/genc/view?v=862742&amp;end_month=12&amp;end_day=31&amp;end_year=2016","Correlation")</f>
        <v>Correlation</v>
      </c>
    </row>
    <row r="476" spans="1:13" x14ac:dyDescent="0.2">
      <c r="A476" s="113"/>
      <c r="B476" s="58" t="s">
        <v>2436</v>
      </c>
      <c r="C476" s="58" t="s">
        <v>2422</v>
      </c>
      <c r="D476" s="58" t="s">
        <v>2437</v>
      </c>
      <c r="E476" s="60" t="b">
        <v>1</v>
      </c>
      <c r="F476" s="80" t="s">
        <v>322</v>
      </c>
      <c r="G476" s="58" t="s">
        <v>2436</v>
      </c>
      <c r="H476" s="58" t="s">
        <v>2422</v>
      </c>
      <c r="I476" s="64" t="s">
        <v>2437</v>
      </c>
      <c r="J476" s="66"/>
      <c r="K476" s="66"/>
      <c r="L476" s="68"/>
      <c r="M476" s="63" t="str">
        <f>HYPERLINK("http://nsgreg.nga.mil/genc/view?v=862745&amp;end_month=12&amp;end_day=31&amp;end_year=2016","Correlation")</f>
        <v>Correlation</v>
      </c>
    </row>
    <row r="477" spans="1:13" x14ac:dyDescent="0.2">
      <c r="A477" s="113"/>
      <c r="B477" s="58" t="s">
        <v>2438</v>
      </c>
      <c r="C477" s="58" t="s">
        <v>1796</v>
      </c>
      <c r="D477" s="58" t="s">
        <v>2439</v>
      </c>
      <c r="E477" s="60" t="b">
        <v>1</v>
      </c>
      <c r="F477" s="80" t="s">
        <v>322</v>
      </c>
      <c r="G477" s="58" t="s">
        <v>2438</v>
      </c>
      <c r="H477" s="58" t="s">
        <v>1796</v>
      </c>
      <c r="I477" s="64" t="s">
        <v>2439</v>
      </c>
      <c r="J477" s="66"/>
      <c r="K477" s="66"/>
      <c r="L477" s="68"/>
      <c r="M477" s="63" t="str">
        <f>HYPERLINK("http://nsgreg.nga.mil/genc/view?v=862743&amp;end_month=12&amp;end_day=31&amp;end_year=2016","Correlation")</f>
        <v>Correlation</v>
      </c>
    </row>
    <row r="478" spans="1:13" x14ac:dyDescent="0.2">
      <c r="A478" s="113"/>
      <c r="B478" s="58" t="s">
        <v>2440</v>
      </c>
      <c r="C478" s="58" t="s">
        <v>1796</v>
      </c>
      <c r="D478" s="58" t="s">
        <v>2441</v>
      </c>
      <c r="E478" s="60" t="b">
        <v>1</v>
      </c>
      <c r="F478" s="80" t="s">
        <v>322</v>
      </c>
      <c r="G478" s="58" t="s">
        <v>2440</v>
      </c>
      <c r="H478" s="58" t="s">
        <v>1796</v>
      </c>
      <c r="I478" s="64" t="s">
        <v>2441</v>
      </c>
      <c r="J478" s="66"/>
      <c r="K478" s="66"/>
      <c r="L478" s="68"/>
      <c r="M478" s="63" t="str">
        <f>HYPERLINK("http://nsgreg.nga.mil/genc/view?v=862744&amp;end_month=12&amp;end_day=31&amp;end_year=2016","Correlation")</f>
        <v>Correlation</v>
      </c>
    </row>
    <row r="479" spans="1:13" x14ac:dyDescent="0.2">
      <c r="A479" s="114"/>
      <c r="B479" s="71" t="s">
        <v>2442</v>
      </c>
      <c r="C479" s="71" t="s">
        <v>2422</v>
      </c>
      <c r="D479" s="71" t="s">
        <v>2443</v>
      </c>
      <c r="E479" s="73" t="b">
        <v>1</v>
      </c>
      <c r="F479" s="81" t="s">
        <v>322</v>
      </c>
      <c r="G479" s="71" t="s">
        <v>2442</v>
      </c>
      <c r="H479" s="71" t="s">
        <v>2422</v>
      </c>
      <c r="I479" s="74" t="s">
        <v>2443</v>
      </c>
      <c r="J479" s="76"/>
      <c r="K479" s="76"/>
      <c r="L479" s="82"/>
      <c r="M479" s="77" t="str">
        <f>HYPERLINK("http://nsgreg.nga.mil/genc/view?v=862746&amp;end_month=12&amp;end_day=31&amp;end_year=2016","Correlation")</f>
        <v>Correlation</v>
      </c>
    </row>
    <row r="480" spans="1:13" x14ac:dyDescent="0.2">
      <c r="A480" s="112" t="s">
        <v>330</v>
      </c>
      <c r="B480" s="50" t="s">
        <v>2444</v>
      </c>
      <c r="C480" s="50" t="s">
        <v>1763</v>
      </c>
      <c r="D480" s="50" t="s">
        <v>2445</v>
      </c>
      <c r="E480" s="52" t="b">
        <v>1</v>
      </c>
      <c r="F480" s="78" t="s">
        <v>330</v>
      </c>
      <c r="G480" s="50" t="s">
        <v>2444</v>
      </c>
      <c r="H480" s="50" t="s">
        <v>1763</v>
      </c>
      <c r="I480" s="53" t="s">
        <v>2445</v>
      </c>
      <c r="J480" s="55"/>
      <c r="K480" s="55"/>
      <c r="L480" s="79"/>
      <c r="M480" s="56" t="str">
        <f>HYPERLINK("http://nsgreg.nga.mil/genc/view?v=862653&amp;end_month=12&amp;end_day=31&amp;end_year=2016","Correlation")</f>
        <v>Correlation</v>
      </c>
    </row>
    <row r="481" spans="1:13" x14ac:dyDescent="0.2">
      <c r="A481" s="113"/>
      <c r="B481" s="58" t="s">
        <v>2446</v>
      </c>
      <c r="C481" s="58" t="s">
        <v>1763</v>
      </c>
      <c r="D481" s="58" t="s">
        <v>2447</v>
      </c>
      <c r="E481" s="60" t="b">
        <v>1</v>
      </c>
      <c r="F481" s="80" t="s">
        <v>330</v>
      </c>
      <c r="G481" s="58" t="s">
        <v>2446</v>
      </c>
      <c r="H481" s="58" t="s">
        <v>1763</v>
      </c>
      <c r="I481" s="64" t="s">
        <v>2447</v>
      </c>
      <c r="J481" s="66"/>
      <c r="K481" s="66"/>
      <c r="L481" s="68"/>
      <c r="M481" s="63" t="str">
        <f>HYPERLINK("http://nsgreg.nga.mil/genc/view?v=862654&amp;end_month=12&amp;end_day=31&amp;end_year=2016","Correlation")</f>
        <v>Correlation</v>
      </c>
    </row>
    <row r="482" spans="1:13" x14ac:dyDescent="0.2">
      <c r="A482" s="113"/>
      <c r="B482" s="58" t="s">
        <v>2448</v>
      </c>
      <c r="C482" s="58" t="s">
        <v>1763</v>
      </c>
      <c r="D482" s="58" t="s">
        <v>2449</v>
      </c>
      <c r="E482" s="60" t="b">
        <v>1</v>
      </c>
      <c r="F482" s="80" t="s">
        <v>330</v>
      </c>
      <c r="G482" s="58" t="s">
        <v>2448</v>
      </c>
      <c r="H482" s="58" t="s">
        <v>1763</v>
      </c>
      <c r="I482" s="64" t="s">
        <v>2449</v>
      </c>
      <c r="J482" s="66"/>
      <c r="K482" s="66"/>
      <c r="L482" s="68"/>
      <c r="M482" s="63" t="str">
        <f>HYPERLINK("http://nsgreg.nga.mil/genc/view?v=862656&amp;end_month=12&amp;end_day=31&amp;end_year=2016","Correlation")</f>
        <v>Correlation</v>
      </c>
    </row>
    <row r="483" spans="1:13" x14ac:dyDescent="0.2">
      <c r="A483" s="113"/>
      <c r="B483" s="58" t="s">
        <v>2450</v>
      </c>
      <c r="C483" s="58" t="s">
        <v>1763</v>
      </c>
      <c r="D483" s="58" t="s">
        <v>2451</v>
      </c>
      <c r="E483" s="60" t="b">
        <v>1</v>
      </c>
      <c r="F483" s="80" t="s">
        <v>330</v>
      </c>
      <c r="G483" s="58" t="s">
        <v>2450</v>
      </c>
      <c r="H483" s="58" t="s">
        <v>1763</v>
      </c>
      <c r="I483" s="64" t="s">
        <v>2451</v>
      </c>
      <c r="J483" s="66"/>
      <c r="K483" s="66"/>
      <c r="L483" s="68"/>
      <c r="M483" s="63" t="str">
        <f>HYPERLINK("http://nsgreg.nga.mil/genc/view?v=862655&amp;end_month=12&amp;end_day=31&amp;end_year=2016","Correlation")</f>
        <v>Correlation</v>
      </c>
    </row>
    <row r="484" spans="1:13" x14ac:dyDescent="0.2">
      <c r="A484" s="113"/>
      <c r="B484" s="58" t="s">
        <v>2452</v>
      </c>
      <c r="C484" s="58" t="s">
        <v>1763</v>
      </c>
      <c r="D484" s="58" t="s">
        <v>2453</v>
      </c>
      <c r="E484" s="60" t="b">
        <v>1</v>
      </c>
      <c r="F484" s="80" t="s">
        <v>330</v>
      </c>
      <c r="G484" s="58" t="s">
        <v>2452</v>
      </c>
      <c r="H484" s="58" t="s">
        <v>1763</v>
      </c>
      <c r="I484" s="64" t="s">
        <v>2453</v>
      </c>
      <c r="J484" s="66"/>
      <c r="K484" s="66"/>
      <c r="L484" s="68"/>
      <c r="M484" s="63" t="str">
        <f>HYPERLINK("http://nsgreg.nga.mil/genc/view?v=862657&amp;end_month=12&amp;end_day=31&amp;end_year=2016","Correlation")</f>
        <v>Correlation</v>
      </c>
    </row>
    <row r="485" spans="1:13" x14ac:dyDescent="0.2">
      <c r="A485" s="113"/>
      <c r="B485" s="58" t="s">
        <v>2454</v>
      </c>
      <c r="C485" s="58" t="s">
        <v>1763</v>
      </c>
      <c r="D485" s="58" t="s">
        <v>2455</v>
      </c>
      <c r="E485" s="60" t="b">
        <v>1</v>
      </c>
      <c r="F485" s="80" t="s">
        <v>330</v>
      </c>
      <c r="G485" s="58" t="s">
        <v>2454</v>
      </c>
      <c r="H485" s="58" t="s">
        <v>1763</v>
      </c>
      <c r="I485" s="64" t="s">
        <v>2455</v>
      </c>
      <c r="J485" s="66"/>
      <c r="K485" s="66"/>
      <c r="L485" s="68"/>
      <c r="M485" s="63" t="str">
        <f>HYPERLINK("http://nsgreg.nga.mil/genc/view?v=862658&amp;end_month=12&amp;end_day=31&amp;end_year=2016","Correlation")</f>
        <v>Correlation</v>
      </c>
    </row>
    <row r="486" spans="1:13" x14ac:dyDescent="0.2">
      <c r="A486" s="113"/>
      <c r="B486" s="58" t="s">
        <v>2456</v>
      </c>
      <c r="C486" s="58" t="s">
        <v>2457</v>
      </c>
      <c r="D486" s="58" t="s">
        <v>2458</v>
      </c>
      <c r="E486" s="60" t="b">
        <v>1</v>
      </c>
      <c r="F486" s="80" t="s">
        <v>330</v>
      </c>
      <c r="G486" s="58" t="s">
        <v>2456</v>
      </c>
      <c r="H486" s="58" t="s">
        <v>2457</v>
      </c>
      <c r="I486" s="64" t="s">
        <v>2458</v>
      </c>
      <c r="J486" s="66"/>
      <c r="K486" s="66"/>
      <c r="L486" s="68"/>
      <c r="M486" s="63" t="str">
        <f>HYPERLINK("http://nsgreg.nga.mil/genc/view?v=862659&amp;end_month=12&amp;end_day=31&amp;end_year=2016","Correlation")</f>
        <v>Correlation</v>
      </c>
    </row>
    <row r="487" spans="1:13" x14ac:dyDescent="0.2">
      <c r="A487" s="113"/>
      <c r="B487" s="58" t="s">
        <v>2459</v>
      </c>
      <c r="C487" s="58" t="s">
        <v>1763</v>
      </c>
      <c r="D487" s="58" t="s">
        <v>2460</v>
      </c>
      <c r="E487" s="60" t="b">
        <v>1</v>
      </c>
      <c r="F487" s="80" t="s">
        <v>330</v>
      </c>
      <c r="G487" s="58" t="s">
        <v>2459</v>
      </c>
      <c r="H487" s="58" t="s">
        <v>1763</v>
      </c>
      <c r="I487" s="64" t="s">
        <v>2460</v>
      </c>
      <c r="J487" s="66"/>
      <c r="K487" s="66"/>
      <c r="L487" s="68"/>
      <c r="M487" s="63" t="str">
        <f>HYPERLINK("http://nsgreg.nga.mil/genc/view?v=862660&amp;end_month=12&amp;end_day=31&amp;end_year=2016","Correlation")</f>
        <v>Correlation</v>
      </c>
    </row>
    <row r="488" spans="1:13" x14ac:dyDescent="0.2">
      <c r="A488" s="113"/>
      <c r="B488" s="58" t="s">
        <v>2461</v>
      </c>
      <c r="C488" s="58" t="s">
        <v>1763</v>
      </c>
      <c r="D488" s="58" t="s">
        <v>2462</v>
      </c>
      <c r="E488" s="60" t="b">
        <v>1</v>
      </c>
      <c r="F488" s="80" t="s">
        <v>330</v>
      </c>
      <c r="G488" s="58" t="s">
        <v>2461</v>
      </c>
      <c r="H488" s="58" t="s">
        <v>1763</v>
      </c>
      <c r="I488" s="64" t="s">
        <v>2462</v>
      </c>
      <c r="J488" s="66"/>
      <c r="K488" s="66"/>
      <c r="L488" s="68"/>
      <c r="M488" s="63" t="str">
        <f>HYPERLINK("http://nsgreg.nga.mil/genc/view?v=862661&amp;end_month=12&amp;end_day=31&amp;end_year=2016","Correlation")</f>
        <v>Correlation</v>
      </c>
    </row>
    <row r="489" spans="1:13" x14ac:dyDescent="0.2">
      <c r="A489" s="113"/>
      <c r="B489" s="58" t="s">
        <v>2463</v>
      </c>
      <c r="C489" s="58" t="s">
        <v>1763</v>
      </c>
      <c r="D489" s="58" t="s">
        <v>2464</v>
      </c>
      <c r="E489" s="60" t="b">
        <v>1</v>
      </c>
      <c r="F489" s="80" t="s">
        <v>330</v>
      </c>
      <c r="G489" s="58" t="s">
        <v>2463</v>
      </c>
      <c r="H489" s="58" t="s">
        <v>1763</v>
      </c>
      <c r="I489" s="64" t="s">
        <v>2464</v>
      </c>
      <c r="J489" s="66"/>
      <c r="K489" s="66"/>
      <c r="L489" s="68"/>
      <c r="M489" s="63" t="str">
        <f>HYPERLINK("http://nsgreg.nga.mil/genc/view?v=862662&amp;end_month=12&amp;end_day=31&amp;end_year=2016","Correlation")</f>
        <v>Correlation</v>
      </c>
    </row>
    <row r="490" spans="1:13" x14ac:dyDescent="0.2">
      <c r="A490" s="113"/>
      <c r="B490" s="58" t="s">
        <v>2465</v>
      </c>
      <c r="C490" s="58" t="s">
        <v>1763</v>
      </c>
      <c r="D490" s="58" t="s">
        <v>2466</v>
      </c>
      <c r="E490" s="60" t="b">
        <v>1</v>
      </c>
      <c r="F490" s="80" t="s">
        <v>330</v>
      </c>
      <c r="G490" s="58" t="s">
        <v>2465</v>
      </c>
      <c r="H490" s="58" t="s">
        <v>1763</v>
      </c>
      <c r="I490" s="64" t="s">
        <v>2466</v>
      </c>
      <c r="J490" s="66"/>
      <c r="K490" s="66"/>
      <c r="L490" s="68"/>
      <c r="M490" s="63" t="str">
        <f>HYPERLINK("http://nsgreg.nga.mil/genc/view?v=862665&amp;end_month=12&amp;end_day=31&amp;end_year=2016","Correlation")</f>
        <v>Correlation</v>
      </c>
    </row>
    <row r="491" spans="1:13" x14ac:dyDescent="0.2">
      <c r="A491" s="113"/>
      <c r="B491" s="58" t="s">
        <v>2467</v>
      </c>
      <c r="C491" s="58" t="s">
        <v>1763</v>
      </c>
      <c r="D491" s="58" t="s">
        <v>2468</v>
      </c>
      <c r="E491" s="60" t="b">
        <v>1</v>
      </c>
      <c r="F491" s="80" t="s">
        <v>330</v>
      </c>
      <c r="G491" s="58" t="s">
        <v>2467</v>
      </c>
      <c r="H491" s="58" t="s">
        <v>1763</v>
      </c>
      <c r="I491" s="64" t="s">
        <v>2468</v>
      </c>
      <c r="J491" s="66"/>
      <c r="K491" s="66"/>
      <c r="L491" s="68"/>
      <c r="M491" s="63" t="str">
        <f>HYPERLINK("http://nsgreg.nga.mil/genc/view?v=862664&amp;end_month=12&amp;end_day=31&amp;end_year=2016","Correlation")</f>
        <v>Correlation</v>
      </c>
    </row>
    <row r="492" spans="1:13" x14ac:dyDescent="0.2">
      <c r="A492" s="113"/>
      <c r="B492" s="58" t="s">
        <v>2469</v>
      </c>
      <c r="C492" s="58" t="s">
        <v>1763</v>
      </c>
      <c r="D492" s="58" t="s">
        <v>2470</v>
      </c>
      <c r="E492" s="60" t="b">
        <v>1</v>
      </c>
      <c r="F492" s="80" t="s">
        <v>330</v>
      </c>
      <c r="G492" s="58" t="s">
        <v>2469</v>
      </c>
      <c r="H492" s="58" t="s">
        <v>1763</v>
      </c>
      <c r="I492" s="64" t="s">
        <v>2470</v>
      </c>
      <c r="J492" s="66"/>
      <c r="K492" s="66"/>
      <c r="L492" s="68"/>
      <c r="M492" s="63" t="str">
        <f>HYPERLINK("http://nsgreg.nga.mil/genc/view?v=862663&amp;end_month=12&amp;end_day=31&amp;end_year=2016","Correlation")</f>
        <v>Correlation</v>
      </c>
    </row>
    <row r="493" spans="1:13" x14ac:dyDescent="0.2">
      <c r="A493" s="113"/>
      <c r="B493" s="58" t="s">
        <v>2471</v>
      </c>
      <c r="C493" s="58" t="s">
        <v>1763</v>
      </c>
      <c r="D493" s="58" t="s">
        <v>2472</v>
      </c>
      <c r="E493" s="60" t="b">
        <v>1</v>
      </c>
      <c r="F493" s="80" t="s">
        <v>330</v>
      </c>
      <c r="G493" s="58" t="s">
        <v>2471</v>
      </c>
      <c r="H493" s="58" t="s">
        <v>1763</v>
      </c>
      <c r="I493" s="64" t="s">
        <v>2472</v>
      </c>
      <c r="J493" s="66"/>
      <c r="K493" s="66"/>
      <c r="L493" s="68"/>
      <c r="M493" s="63" t="str">
        <f>HYPERLINK("http://nsgreg.nga.mil/genc/view?v=862666&amp;end_month=12&amp;end_day=31&amp;end_year=2016","Correlation")</f>
        <v>Correlation</v>
      </c>
    </row>
    <row r="494" spans="1:13" x14ac:dyDescent="0.2">
      <c r="A494" s="113"/>
      <c r="B494" s="58" t="s">
        <v>2473</v>
      </c>
      <c r="C494" s="58" t="s">
        <v>1763</v>
      </c>
      <c r="D494" s="58" t="s">
        <v>2474</v>
      </c>
      <c r="E494" s="60" t="b">
        <v>1</v>
      </c>
      <c r="F494" s="80" t="s">
        <v>330</v>
      </c>
      <c r="G494" s="58" t="s">
        <v>2473</v>
      </c>
      <c r="H494" s="58" t="s">
        <v>1763</v>
      </c>
      <c r="I494" s="64" t="s">
        <v>2474</v>
      </c>
      <c r="J494" s="66"/>
      <c r="K494" s="66"/>
      <c r="L494" s="68"/>
      <c r="M494" s="63" t="str">
        <f>HYPERLINK("http://nsgreg.nga.mil/genc/view?v=862667&amp;end_month=12&amp;end_day=31&amp;end_year=2016","Correlation")</f>
        <v>Correlation</v>
      </c>
    </row>
    <row r="495" spans="1:13" x14ac:dyDescent="0.2">
      <c r="A495" s="113"/>
      <c r="B495" s="58" t="s">
        <v>2475</v>
      </c>
      <c r="C495" s="58" t="s">
        <v>1763</v>
      </c>
      <c r="D495" s="58" t="s">
        <v>2476</v>
      </c>
      <c r="E495" s="60" t="b">
        <v>1</v>
      </c>
      <c r="F495" s="80" t="s">
        <v>330</v>
      </c>
      <c r="G495" s="58" t="s">
        <v>2475</v>
      </c>
      <c r="H495" s="58" t="s">
        <v>1763</v>
      </c>
      <c r="I495" s="64" t="s">
        <v>2476</v>
      </c>
      <c r="J495" s="66"/>
      <c r="K495" s="66"/>
      <c r="L495" s="68"/>
      <c r="M495" s="63" t="str">
        <f>HYPERLINK("http://nsgreg.nga.mil/genc/view?v=862670&amp;end_month=12&amp;end_day=31&amp;end_year=2016","Correlation")</f>
        <v>Correlation</v>
      </c>
    </row>
    <row r="496" spans="1:13" x14ac:dyDescent="0.2">
      <c r="A496" s="113"/>
      <c r="B496" s="58" t="s">
        <v>2477</v>
      </c>
      <c r="C496" s="58" t="s">
        <v>1763</v>
      </c>
      <c r="D496" s="58" t="s">
        <v>2478</v>
      </c>
      <c r="E496" s="60" t="b">
        <v>1</v>
      </c>
      <c r="F496" s="80" t="s">
        <v>330</v>
      </c>
      <c r="G496" s="58" t="s">
        <v>2477</v>
      </c>
      <c r="H496" s="58" t="s">
        <v>1763</v>
      </c>
      <c r="I496" s="64" t="s">
        <v>2478</v>
      </c>
      <c r="J496" s="66"/>
      <c r="K496" s="66"/>
      <c r="L496" s="68"/>
      <c r="M496" s="63" t="str">
        <f>HYPERLINK("http://nsgreg.nga.mil/genc/view?v=862668&amp;end_month=12&amp;end_day=31&amp;end_year=2016","Correlation")</f>
        <v>Correlation</v>
      </c>
    </row>
    <row r="497" spans="1:13" x14ac:dyDescent="0.2">
      <c r="A497" s="113"/>
      <c r="B497" s="58" t="s">
        <v>2479</v>
      </c>
      <c r="C497" s="58" t="s">
        <v>1763</v>
      </c>
      <c r="D497" s="58" t="s">
        <v>2480</v>
      </c>
      <c r="E497" s="60" t="b">
        <v>1</v>
      </c>
      <c r="F497" s="80" t="s">
        <v>330</v>
      </c>
      <c r="G497" s="58" t="s">
        <v>2479</v>
      </c>
      <c r="H497" s="58" t="s">
        <v>1763</v>
      </c>
      <c r="I497" s="64" t="s">
        <v>2480</v>
      </c>
      <c r="J497" s="66"/>
      <c r="K497" s="66"/>
      <c r="L497" s="68"/>
      <c r="M497" s="63" t="str">
        <f>HYPERLINK("http://nsgreg.nga.mil/genc/view?v=862669&amp;end_month=12&amp;end_day=31&amp;end_year=2016","Correlation")</f>
        <v>Correlation</v>
      </c>
    </row>
    <row r="498" spans="1:13" x14ac:dyDescent="0.2">
      <c r="A498" s="113"/>
      <c r="B498" s="58" t="s">
        <v>2481</v>
      </c>
      <c r="C498" s="58" t="s">
        <v>1763</v>
      </c>
      <c r="D498" s="58" t="s">
        <v>2482</v>
      </c>
      <c r="E498" s="60" t="b">
        <v>1</v>
      </c>
      <c r="F498" s="80" t="s">
        <v>330</v>
      </c>
      <c r="G498" s="58" t="s">
        <v>2481</v>
      </c>
      <c r="H498" s="58" t="s">
        <v>1763</v>
      </c>
      <c r="I498" s="64" t="s">
        <v>2482</v>
      </c>
      <c r="J498" s="66"/>
      <c r="K498" s="66"/>
      <c r="L498" s="68"/>
      <c r="M498" s="63" t="str">
        <f>HYPERLINK("http://nsgreg.nga.mil/genc/view?v=862671&amp;end_month=12&amp;end_day=31&amp;end_year=2016","Correlation")</f>
        <v>Correlation</v>
      </c>
    </row>
    <row r="499" spans="1:13" x14ac:dyDescent="0.2">
      <c r="A499" s="113"/>
      <c r="B499" s="58" t="s">
        <v>2483</v>
      </c>
      <c r="C499" s="58" t="s">
        <v>1763</v>
      </c>
      <c r="D499" s="58" t="s">
        <v>2484</v>
      </c>
      <c r="E499" s="60" t="b">
        <v>1</v>
      </c>
      <c r="F499" s="80" t="s">
        <v>330</v>
      </c>
      <c r="G499" s="58" t="s">
        <v>2483</v>
      </c>
      <c r="H499" s="58" t="s">
        <v>1763</v>
      </c>
      <c r="I499" s="64" t="s">
        <v>2484</v>
      </c>
      <c r="J499" s="66"/>
      <c r="K499" s="66"/>
      <c r="L499" s="68"/>
      <c r="M499" s="63" t="str">
        <f>HYPERLINK("http://nsgreg.nga.mil/genc/view?v=862672&amp;end_month=12&amp;end_day=31&amp;end_year=2016","Correlation")</f>
        <v>Correlation</v>
      </c>
    </row>
    <row r="500" spans="1:13" x14ac:dyDescent="0.2">
      <c r="A500" s="113"/>
      <c r="B500" s="58" t="s">
        <v>2485</v>
      </c>
      <c r="C500" s="58" t="s">
        <v>1763</v>
      </c>
      <c r="D500" s="58" t="s">
        <v>2486</v>
      </c>
      <c r="E500" s="60" t="b">
        <v>1</v>
      </c>
      <c r="F500" s="80" t="s">
        <v>330</v>
      </c>
      <c r="G500" s="58" t="s">
        <v>2485</v>
      </c>
      <c r="H500" s="58" t="s">
        <v>1763</v>
      </c>
      <c r="I500" s="64" t="s">
        <v>2486</v>
      </c>
      <c r="J500" s="66"/>
      <c r="K500" s="66"/>
      <c r="L500" s="68"/>
      <c r="M500" s="63" t="str">
        <f>HYPERLINK("http://nsgreg.nga.mil/genc/view?v=862675&amp;end_month=12&amp;end_day=31&amp;end_year=2016","Correlation")</f>
        <v>Correlation</v>
      </c>
    </row>
    <row r="501" spans="1:13" x14ac:dyDescent="0.2">
      <c r="A501" s="113"/>
      <c r="B501" s="58" t="s">
        <v>2487</v>
      </c>
      <c r="C501" s="58" t="s">
        <v>1763</v>
      </c>
      <c r="D501" s="58" t="s">
        <v>2488</v>
      </c>
      <c r="E501" s="60" t="b">
        <v>1</v>
      </c>
      <c r="F501" s="80" t="s">
        <v>330</v>
      </c>
      <c r="G501" s="58" t="s">
        <v>2487</v>
      </c>
      <c r="H501" s="58" t="s">
        <v>1763</v>
      </c>
      <c r="I501" s="64" t="s">
        <v>2488</v>
      </c>
      <c r="J501" s="66"/>
      <c r="K501" s="66"/>
      <c r="L501" s="68"/>
      <c r="M501" s="63" t="str">
        <f>HYPERLINK("http://nsgreg.nga.mil/genc/view?v=862673&amp;end_month=12&amp;end_day=31&amp;end_year=2016","Correlation")</f>
        <v>Correlation</v>
      </c>
    </row>
    <row r="502" spans="1:13" x14ac:dyDescent="0.2">
      <c r="A502" s="113"/>
      <c r="B502" s="58" t="s">
        <v>2489</v>
      </c>
      <c r="C502" s="58" t="s">
        <v>1763</v>
      </c>
      <c r="D502" s="58" t="s">
        <v>2490</v>
      </c>
      <c r="E502" s="60" t="b">
        <v>1</v>
      </c>
      <c r="F502" s="80" t="s">
        <v>330</v>
      </c>
      <c r="G502" s="58" t="s">
        <v>2489</v>
      </c>
      <c r="H502" s="58" t="s">
        <v>1763</v>
      </c>
      <c r="I502" s="64" t="s">
        <v>2490</v>
      </c>
      <c r="J502" s="66"/>
      <c r="K502" s="66"/>
      <c r="L502" s="68"/>
      <c r="M502" s="63" t="str">
        <f>HYPERLINK("http://nsgreg.nga.mil/genc/view?v=862674&amp;end_month=12&amp;end_day=31&amp;end_year=2016","Correlation")</f>
        <v>Correlation</v>
      </c>
    </row>
    <row r="503" spans="1:13" x14ac:dyDescent="0.2">
      <c r="A503" s="113"/>
      <c r="B503" s="58" t="s">
        <v>2491</v>
      </c>
      <c r="C503" s="58" t="s">
        <v>1763</v>
      </c>
      <c r="D503" s="58" t="s">
        <v>2492</v>
      </c>
      <c r="E503" s="60" t="b">
        <v>1</v>
      </c>
      <c r="F503" s="80" t="s">
        <v>330</v>
      </c>
      <c r="G503" s="58" t="s">
        <v>2491</v>
      </c>
      <c r="H503" s="58" t="s">
        <v>1763</v>
      </c>
      <c r="I503" s="64" t="s">
        <v>2492</v>
      </c>
      <c r="J503" s="66"/>
      <c r="K503" s="66"/>
      <c r="L503" s="68"/>
      <c r="M503" s="63" t="str">
        <f>HYPERLINK("http://nsgreg.nga.mil/genc/view?v=862676&amp;end_month=12&amp;end_day=31&amp;end_year=2016","Correlation")</f>
        <v>Correlation</v>
      </c>
    </row>
    <row r="504" spans="1:13" x14ac:dyDescent="0.2">
      <c r="A504" s="113"/>
      <c r="B504" s="58" t="s">
        <v>2493</v>
      </c>
      <c r="C504" s="58" t="s">
        <v>1763</v>
      </c>
      <c r="D504" s="58" t="s">
        <v>2494</v>
      </c>
      <c r="E504" s="60" t="b">
        <v>1</v>
      </c>
      <c r="F504" s="80" t="s">
        <v>330</v>
      </c>
      <c r="G504" s="58" t="s">
        <v>2493</v>
      </c>
      <c r="H504" s="58" t="s">
        <v>1763</v>
      </c>
      <c r="I504" s="64" t="s">
        <v>2494</v>
      </c>
      <c r="J504" s="66"/>
      <c r="K504" s="66"/>
      <c r="L504" s="68"/>
      <c r="M504" s="63" t="str">
        <f>HYPERLINK("http://nsgreg.nga.mil/genc/view?v=862678&amp;end_month=12&amp;end_day=31&amp;end_year=2016","Correlation")</f>
        <v>Correlation</v>
      </c>
    </row>
    <row r="505" spans="1:13" x14ac:dyDescent="0.2">
      <c r="A505" s="113"/>
      <c r="B505" s="58" t="s">
        <v>2495</v>
      </c>
      <c r="C505" s="58" t="s">
        <v>1763</v>
      </c>
      <c r="D505" s="58" t="s">
        <v>2496</v>
      </c>
      <c r="E505" s="60" t="b">
        <v>1</v>
      </c>
      <c r="F505" s="80" t="s">
        <v>330</v>
      </c>
      <c r="G505" s="58" t="s">
        <v>2495</v>
      </c>
      <c r="H505" s="58" t="s">
        <v>1763</v>
      </c>
      <c r="I505" s="64" t="s">
        <v>2496</v>
      </c>
      <c r="J505" s="66"/>
      <c r="K505" s="66"/>
      <c r="L505" s="68"/>
      <c r="M505" s="63" t="str">
        <f>HYPERLINK("http://nsgreg.nga.mil/genc/view?v=862677&amp;end_month=12&amp;end_day=31&amp;end_year=2016","Correlation")</f>
        <v>Correlation</v>
      </c>
    </row>
    <row r="506" spans="1:13" x14ac:dyDescent="0.2">
      <c r="A506" s="114"/>
      <c r="B506" s="71" t="s">
        <v>2497</v>
      </c>
      <c r="C506" s="71" t="s">
        <v>1763</v>
      </c>
      <c r="D506" s="71" t="s">
        <v>2498</v>
      </c>
      <c r="E506" s="73" t="b">
        <v>1</v>
      </c>
      <c r="F506" s="81" t="s">
        <v>330</v>
      </c>
      <c r="G506" s="71" t="s">
        <v>2497</v>
      </c>
      <c r="H506" s="71" t="s">
        <v>1763</v>
      </c>
      <c r="I506" s="74" t="s">
        <v>2498</v>
      </c>
      <c r="J506" s="76"/>
      <c r="K506" s="76"/>
      <c r="L506" s="82"/>
      <c r="M506" s="77" t="str">
        <f>HYPERLINK("http://nsgreg.nga.mil/genc/view?v=862679&amp;end_month=12&amp;end_day=31&amp;end_year=2016","Correlation")</f>
        <v>Correlation</v>
      </c>
    </row>
    <row r="507" spans="1:13" x14ac:dyDescent="0.2">
      <c r="A507" s="112" t="s">
        <v>338</v>
      </c>
      <c r="B507" s="50" t="s">
        <v>2499</v>
      </c>
      <c r="C507" s="50" t="s">
        <v>1796</v>
      </c>
      <c r="D507" s="50" t="s">
        <v>2500</v>
      </c>
      <c r="E507" s="52" t="b">
        <v>1</v>
      </c>
      <c r="F507" s="78" t="s">
        <v>342</v>
      </c>
      <c r="G507" s="50" t="s">
        <v>2499</v>
      </c>
      <c r="H507" s="50" t="s">
        <v>1796</v>
      </c>
      <c r="I507" s="53" t="s">
        <v>2500</v>
      </c>
      <c r="J507" s="55"/>
      <c r="K507" s="55"/>
      <c r="L507" s="79"/>
      <c r="M507" s="56" t="str">
        <f>HYPERLINK("http://nsgreg.nga.mil/genc/view?v=862637&amp;end_month=12&amp;end_day=31&amp;end_year=2016","Correlation")</f>
        <v>Correlation</v>
      </c>
    </row>
    <row r="508" spans="1:13" x14ac:dyDescent="0.2">
      <c r="A508" s="113"/>
      <c r="B508" s="58" t="s">
        <v>2501</v>
      </c>
      <c r="C508" s="58" t="s">
        <v>1796</v>
      </c>
      <c r="D508" s="58" t="s">
        <v>2502</v>
      </c>
      <c r="E508" s="60" t="b">
        <v>1</v>
      </c>
      <c r="F508" s="80" t="s">
        <v>342</v>
      </c>
      <c r="G508" s="58" t="s">
        <v>2503</v>
      </c>
      <c r="H508" s="58" t="s">
        <v>1796</v>
      </c>
      <c r="I508" s="64" t="s">
        <v>2502</v>
      </c>
      <c r="J508" s="66"/>
      <c r="K508" s="66"/>
      <c r="L508" s="68"/>
      <c r="M508" s="63" t="str">
        <f>HYPERLINK("http://nsgreg.nga.mil/genc/view?v=862638&amp;end_month=12&amp;end_day=31&amp;end_year=2016","Correlation")</f>
        <v>Correlation</v>
      </c>
    </row>
    <row r="509" spans="1:13" x14ac:dyDescent="0.2">
      <c r="A509" s="113"/>
      <c r="B509" s="58" t="s">
        <v>2504</v>
      </c>
      <c r="C509" s="58" t="s">
        <v>1796</v>
      </c>
      <c r="D509" s="58" t="s">
        <v>2505</v>
      </c>
      <c r="E509" s="60" t="b">
        <v>1</v>
      </c>
      <c r="F509" s="80" t="s">
        <v>342</v>
      </c>
      <c r="G509" s="58" t="s">
        <v>2504</v>
      </c>
      <c r="H509" s="58" t="s">
        <v>1796</v>
      </c>
      <c r="I509" s="64" t="s">
        <v>2505</v>
      </c>
      <c r="J509" s="66"/>
      <c r="K509" s="66"/>
      <c r="L509" s="68"/>
      <c r="M509" s="63" t="str">
        <f>HYPERLINK("http://nsgreg.nga.mil/genc/view?v=862639&amp;end_month=12&amp;end_day=31&amp;end_year=2016","Correlation")</f>
        <v>Correlation</v>
      </c>
    </row>
    <row r="510" spans="1:13" x14ac:dyDescent="0.2">
      <c r="A510" s="114"/>
      <c r="B510" s="71" t="s">
        <v>2506</v>
      </c>
      <c r="C510" s="71" t="s">
        <v>1796</v>
      </c>
      <c r="D510" s="71" t="s">
        <v>2507</v>
      </c>
      <c r="E510" s="73" t="b">
        <v>1</v>
      </c>
      <c r="F510" s="81" t="s">
        <v>342</v>
      </c>
      <c r="G510" s="71" t="s">
        <v>2506</v>
      </c>
      <c r="H510" s="71" t="s">
        <v>1796</v>
      </c>
      <c r="I510" s="74" t="s">
        <v>2507</v>
      </c>
      <c r="J510" s="76"/>
      <c r="K510" s="76"/>
      <c r="L510" s="82"/>
      <c r="M510" s="77" t="str">
        <f>HYPERLINK("http://nsgreg.nga.mil/genc/view?v=862640&amp;end_month=12&amp;end_day=31&amp;end_year=2016","Correlation")</f>
        <v>Correlation</v>
      </c>
    </row>
    <row r="511" spans="1:13" x14ac:dyDescent="0.2">
      <c r="A511" s="112" t="s">
        <v>343</v>
      </c>
      <c r="B511" s="50" t="s">
        <v>2508</v>
      </c>
      <c r="C511" s="50" t="s">
        <v>1413</v>
      </c>
      <c r="D511" s="50" t="s">
        <v>2509</v>
      </c>
      <c r="E511" s="52" t="b">
        <v>1</v>
      </c>
      <c r="F511" s="78" t="s">
        <v>343</v>
      </c>
      <c r="G511" s="50" t="s">
        <v>2508</v>
      </c>
      <c r="H511" s="50" t="s">
        <v>1728</v>
      </c>
      <c r="I511" s="53" t="s">
        <v>2509</v>
      </c>
      <c r="J511" s="55"/>
      <c r="K511" s="55"/>
      <c r="L511" s="79"/>
      <c r="M511" s="56" t="str">
        <f>HYPERLINK("http://nsgreg.nga.mil/genc/view?v=862564&amp;end_month=12&amp;end_day=31&amp;end_year=2016","Correlation")</f>
        <v>Correlation</v>
      </c>
    </row>
    <row r="512" spans="1:13" x14ac:dyDescent="0.2">
      <c r="A512" s="113"/>
      <c r="B512" s="58" t="s">
        <v>2510</v>
      </c>
      <c r="C512" s="58" t="s">
        <v>1413</v>
      </c>
      <c r="D512" s="58" t="s">
        <v>2511</v>
      </c>
      <c r="E512" s="60" t="b">
        <v>1</v>
      </c>
      <c r="F512" s="80" t="s">
        <v>343</v>
      </c>
      <c r="G512" s="58" t="s">
        <v>2510</v>
      </c>
      <c r="H512" s="58" t="s">
        <v>1728</v>
      </c>
      <c r="I512" s="64" t="s">
        <v>2511</v>
      </c>
      <c r="J512" s="66"/>
      <c r="K512" s="66"/>
      <c r="L512" s="68"/>
      <c r="M512" s="63" t="str">
        <f>HYPERLINK("http://nsgreg.nga.mil/genc/view?v=862565&amp;end_month=12&amp;end_day=31&amp;end_year=2016","Correlation")</f>
        <v>Correlation</v>
      </c>
    </row>
    <row r="513" spans="1:13" x14ac:dyDescent="0.2">
      <c r="A513" s="113"/>
      <c r="B513" s="58" t="s">
        <v>2512</v>
      </c>
      <c r="C513" s="58" t="s">
        <v>1413</v>
      </c>
      <c r="D513" s="58" t="s">
        <v>2513</v>
      </c>
      <c r="E513" s="60" t="b">
        <v>1</v>
      </c>
      <c r="F513" s="80" t="s">
        <v>343</v>
      </c>
      <c r="G513" s="58" t="s">
        <v>2512</v>
      </c>
      <c r="H513" s="58" t="s">
        <v>1728</v>
      </c>
      <c r="I513" s="64" t="s">
        <v>2513</v>
      </c>
      <c r="J513" s="66"/>
      <c r="K513" s="66"/>
      <c r="L513" s="68"/>
      <c r="M513" s="63" t="str">
        <f>HYPERLINK("http://nsgreg.nga.mil/genc/view?v=862571&amp;end_month=12&amp;end_day=31&amp;end_year=2016","Correlation")</f>
        <v>Correlation</v>
      </c>
    </row>
    <row r="514" spans="1:13" x14ac:dyDescent="0.2">
      <c r="A514" s="113"/>
      <c r="B514" s="58" t="s">
        <v>2514</v>
      </c>
      <c r="C514" s="58" t="s">
        <v>1413</v>
      </c>
      <c r="D514" s="58" t="s">
        <v>2515</v>
      </c>
      <c r="E514" s="60" t="b">
        <v>1</v>
      </c>
      <c r="F514" s="80" t="s">
        <v>343</v>
      </c>
      <c r="G514" s="58" t="s">
        <v>2514</v>
      </c>
      <c r="H514" s="58" t="s">
        <v>1728</v>
      </c>
      <c r="I514" s="64" t="s">
        <v>2515</v>
      </c>
      <c r="J514" s="66"/>
      <c r="K514" s="66"/>
      <c r="L514" s="68"/>
      <c r="M514" s="63" t="str">
        <f>HYPERLINK("http://nsgreg.nga.mil/genc/view?v=862570&amp;end_month=12&amp;end_day=31&amp;end_year=2016","Correlation")</f>
        <v>Correlation</v>
      </c>
    </row>
    <row r="515" spans="1:13" x14ac:dyDescent="0.2">
      <c r="A515" s="113"/>
      <c r="B515" s="58" t="s">
        <v>2516</v>
      </c>
      <c r="C515" s="58" t="s">
        <v>1413</v>
      </c>
      <c r="D515" s="58" t="s">
        <v>2517</v>
      </c>
      <c r="E515" s="60" t="b">
        <v>1</v>
      </c>
      <c r="F515" s="80" t="s">
        <v>343</v>
      </c>
      <c r="G515" s="58" t="s">
        <v>2516</v>
      </c>
      <c r="H515" s="58" t="s">
        <v>1728</v>
      </c>
      <c r="I515" s="64" t="s">
        <v>2517</v>
      </c>
      <c r="J515" s="66"/>
      <c r="K515" s="66"/>
      <c r="L515" s="68"/>
      <c r="M515" s="63" t="str">
        <f>HYPERLINK("http://nsgreg.nga.mil/genc/view?v=862589&amp;end_month=12&amp;end_day=31&amp;end_year=2016","Correlation")</f>
        <v>Correlation</v>
      </c>
    </row>
    <row r="516" spans="1:13" x14ac:dyDescent="0.2">
      <c r="A516" s="113"/>
      <c r="B516" s="58" t="s">
        <v>2518</v>
      </c>
      <c r="C516" s="58" t="s">
        <v>1413</v>
      </c>
      <c r="D516" s="58" t="s">
        <v>2519</v>
      </c>
      <c r="E516" s="60" t="b">
        <v>1</v>
      </c>
      <c r="F516" s="80" t="s">
        <v>343</v>
      </c>
      <c r="G516" s="58" t="s">
        <v>2518</v>
      </c>
      <c r="H516" s="58" t="s">
        <v>1728</v>
      </c>
      <c r="I516" s="64" t="s">
        <v>2519</v>
      </c>
      <c r="J516" s="66"/>
      <c r="K516" s="66"/>
      <c r="L516" s="68"/>
      <c r="M516" s="63" t="str">
        <f>HYPERLINK("http://nsgreg.nga.mil/genc/view?v=862572&amp;end_month=12&amp;end_day=31&amp;end_year=2016","Correlation")</f>
        <v>Correlation</v>
      </c>
    </row>
    <row r="517" spans="1:13" x14ac:dyDescent="0.2">
      <c r="A517" s="113"/>
      <c r="B517" s="58" t="s">
        <v>2520</v>
      </c>
      <c r="C517" s="58" t="s">
        <v>1413</v>
      </c>
      <c r="D517" s="58" t="s">
        <v>2521</v>
      </c>
      <c r="E517" s="60" t="b">
        <v>1</v>
      </c>
      <c r="F517" s="80" t="s">
        <v>343</v>
      </c>
      <c r="G517" s="58" t="s">
        <v>2520</v>
      </c>
      <c r="H517" s="58" t="s">
        <v>1728</v>
      </c>
      <c r="I517" s="64" t="s">
        <v>2521</v>
      </c>
      <c r="J517" s="66"/>
      <c r="K517" s="66"/>
      <c r="L517" s="68"/>
      <c r="M517" s="63" t="str">
        <f>HYPERLINK("http://nsgreg.nga.mil/genc/view?v=862573&amp;end_month=12&amp;end_day=31&amp;end_year=2016","Correlation")</f>
        <v>Correlation</v>
      </c>
    </row>
    <row r="518" spans="1:13" x14ac:dyDescent="0.2">
      <c r="A518" s="113"/>
      <c r="B518" s="58" t="s">
        <v>2522</v>
      </c>
      <c r="C518" s="58" t="s">
        <v>1413</v>
      </c>
      <c r="D518" s="58" t="s">
        <v>2523</v>
      </c>
      <c r="E518" s="60" t="b">
        <v>1</v>
      </c>
      <c r="F518" s="80" t="s">
        <v>343</v>
      </c>
      <c r="G518" s="58" t="s">
        <v>2522</v>
      </c>
      <c r="H518" s="58" t="s">
        <v>1728</v>
      </c>
      <c r="I518" s="64" t="s">
        <v>2523</v>
      </c>
      <c r="J518" s="66"/>
      <c r="K518" s="66"/>
      <c r="L518" s="68"/>
      <c r="M518" s="63" t="str">
        <f>HYPERLINK("http://nsgreg.nga.mil/genc/view?v=862574&amp;end_month=12&amp;end_day=31&amp;end_year=2016","Correlation")</f>
        <v>Correlation</v>
      </c>
    </row>
    <row r="519" spans="1:13" x14ac:dyDescent="0.2">
      <c r="A519" s="113"/>
      <c r="B519" s="58" t="s">
        <v>2524</v>
      </c>
      <c r="C519" s="58" t="s">
        <v>1413</v>
      </c>
      <c r="D519" s="58" t="s">
        <v>2525</v>
      </c>
      <c r="E519" s="60" t="b">
        <v>1</v>
      </c>
      <c r="F519" s="80" t="s">
        <v>343</v>
      </c>
      <c r="G519" s="58" t="s">
        <v>2524</v>
      </c>
      <c r="H519" s="58" t="s">
        <v>1728</v>
      </c>
      <c r="I519" s="64" t="s">
        <v>2525</v>
      </c>
      <c r="J519" s="66"/>
      <c r="K519" s="66"/>
      <c r="L519" s="68"/>
      <c r="M519" s="63" t="str">
        <f>HYPERLINK("http://nsgreg.nga.mil/genc/view?v=862575&amp;end_month=12&amp;end_day=31&amp;end_year=2016","Correlation")</f>
        <v>Correlation</v>
      </c>
    </row>
    <row r="520" spans="1:13" x14ac:dyDescent="0.2">
      <c r="A520" s="113"/>
      <c r="B520" s="58" t="s">
        <v>2526</v>
      </c>
      <c r="C520" s="58" t="s">
        <v>1413</v>
      </c>
      <c r="D520" s="58" t="s">
        <v>2527</v>
      </c>
      <c r="E520" s="60" t="b">
        <v>1</v>
      </c>
      <c r="F520" s="80" t="s">
        <v>343</v>
      </c>
      <c r="G520" s="58" t="s">
        <v>2526</v>
      </c>
      <c r="H520" s="58" t="s">
        <v>1728</v>
      </c>
      <c r="I520" s="64" t="s">
        <v>2527</v>
      </c>
      <c r="J520" s="66"/>
      <c r="K520" s="66"/>
      <c r="L520" s="68"/>
      <c r="M520" s="63" t="str">
        <f>HYPERLINK("http://nsgreg.nga.mil/genc/view?v=862576&amp;end_month=12&amp;end_day=31&amp;end_year=2016","Correlation")</f>
        <v>Correlation</v>
      </c>
    </row>
    <row r="521" spans="1:13" x14ac:dyDescent="0.2">
      <c r="A521" s="113"/>
      <c r="B521" s="58" t="s">
        <v>2528</v>
      </c>
      <c r="C521" s="58" t="s">
        <v>1413</v>
      </c>
      <c r="D521" s="58" t="s">
        <v>2529</v>
      </c>
      <c r="E521" s="60" t="b">
        <v>1</v>
      </c>
      <c r="F521" s="80" t="s">
        <v>343</v>
      </c>
      <c r="G521" s="58" t="s">
        <v>2528</v>
      </c>
      <c r="H521" s="58" t="s">
        <v>1728</v>
      </c>
      <c r="I521" s="64" t="s">
        <v>2529</v>
      </c>
      <c r="J521" s="66"/>
      <c r="K521" s="66"/>
      <c r="L521" s="68"/>
      <c r="M521" s="63" t="str">
        <f>HYPERLINK("http://nsgreg.nga.mil/genc/view?v=862577&amp;end_month=12&amp;end_day=31&amp;end_year=2016","Correlation")</f>
        <v>Correlation</v>
      </c>
    </row>
    <row r="522" spans="1:13" x14ac:dyDescent="0.2">
      <c r="A522" s="113"/>
      <c r="B522" s="58" t="s">
        <v>2530</v>
      </c>
      <c r="C522" s="58" t="s">
        <v>1413</v>
      </c>
      <c r="D522" s="58" t="s">
        <v>2531</v>
      </c>
      <c r="E522" s="60" t="b">
        <v>1</v>
      </c>
      <c r="F522" s="80" t="s">
        <v>343</v>
      </c>
      <c r="G522" s="58" t="s">
        <v>2530</v>
      </c>
      <c r="H522" s="58" t="s">
        <v>1728</v>
      </c>
      <c r="I522" s="64" t="s">
        <v>2531</v>
      </c>
      <c r="J522" s="66"/>
      <c r="K522" s="66"/>
      <c r="L522" s="68"/>
      <c r="M522" s="63" t="str">
        <f>HYPERLINK("http://nsgreg.nga.mil/genc/view?v=862578&amp;end_month=12&amp;end_day=31&amp;end_year=2016","Correlation")</f>
        <v>Correlation</v>
      </c>
    </row>
    <row r="523" spans="1:13" x14ac:dyDescent="0.2">
      <c r="A523" s="113"/>
      <c r="B523" s="58" t="s">
        <v>2532</v>
      </c>
      <c r="C523" s="58" t="s">
        <v>1413</v>
      </c>
      <c r="D523" s="58" t="s">
        <v>2533</v>
      </c>
      <c r="E523" s="60" t="b">
        <v>1</v>
      </c>
      <c r="F523" s="80" t="s">
        <v>343</v>
      </c>
      <c r="G523" s="58" t="s">
        <v>2532</v>
      </c>
      <c r="H523" s="58" t="s">
        <v>1728</v>
      </c>
      <c r="I523" s="64" t="s">
        <v>2533</v>
      </c>
      <c r="J523" s="66"/>
      <c r="K523" s="66"/>
      <c r="L523" s="68"/>
      <c r="M523" s="63" t="str">
        <f>HYPERLINK("http://nsgreg.nga.mil/genc/view?v=862579&amp;end_month=12&amp;end_day=31&amp;end_year=2016","Correlation")</f>
        <v>Correlation</v>
      </c>
    </row>
    <row r="524" spans="1:13" x14ac:dyDescent="0.2">
      <c r="A524" s="113"/>
      <c r="B524" s="58" t="s">
        <v>2534</v>
      </c>
      <c r="C524" s="58" t="s">
        <v>1413</v>
      </c>
      <c r="D524" s="58" t="s">
        <v>2535</v>
      </c>
      <c r="E524" s="60" t="b">
        <v>1</v>
      </c>
      <c r="F524" s="80" t="s">
        <v>343</v>
      </c>
      <c r="G524" s="58" t="s">
        <v>2534</v>
      </c>
      <c r="H524" s="58" t="s">
        <v>1728</v>
      </c>
      <c r="I524" s="64" t="s">
        <v>2535</v>
      </c>
      <c r="J524" s="66"/>
      <c r="K524" s="66"/>
      <c r="L524" s="68"/>
      <c r="M524" s="63" t="str">
        <f>HYPERLINK("http://nsgreg.nga.mil/genc/view?v=862580&amp;end_month=12&amp;end_day=31&amp;end_year=2016","Correlation")</f>
        <v>Correlation</v>
      </c>
    </row>
    <row r="525" spans="1:13" x14ac:dyDescent="0.2">
      <c r="A525" s="113"/>
      <c r="B525" s="58" t="s">
        <v>2536</v>
      </c>
      <c r="C525" s="58" t="s">
        <v>1413</v>
      </c>
      <c r="D525" s="58" t="s">
        <v>2537</v>
      </c>
      <c r="E525" s="60" t="b">
        <v>1</v>
      </c>
      <c r="F525" s="80" t="s">
        <v>343</v>
      </c>
      <c r="G525" s="58" t="s">
        <v>2536</v>
      </c>
      <c r="H525" s="58" t="s">
        <v>1728</v>
      </c>
      <c r="I525" s="64" t="s">
        <v>2537</v>
      </c>
      <c r="J525" s="66"/>
      <c r="K525" s="66"/>
      <c r="L525" s="68"/>
      <c r="M525" s="63" t="str">
        <f>HYPERLINK("http://nsgreg.nga.mil/genc/view?v=862581&amp;end_month=12&amp;end_day=31&amp;end_year=2016","Correlation")</f>
        <v>Correlation</v>
      </c>
    </row>
    <row r="526" spans="1:13" x14ac:dyDescent="0.2">
      <c r="A526" s="113"/>
      <c r="B526" s="58" t="s">
        <v>2538</v>
      </c>
      <c r="C526" s="58" t="s">
        <v>1413</v>
      </c>
      <c r="D526" s="58" t="s">
        <v>2539</v>
      </c>
      <c r="E526" s="60" t="b">
        <v>1</v>
      </c>
      <c r="F526" s="80" t="s">
        <v>343</v>
      </c>
      <c r="G526" s="58" t="s">
        <v>2538</v>
      </c>
      <c r="H526" s="58" t="s">
        <v>1728</v>
      </c>
      <c r="I526" s="64" t="s">
        <v>2539</v>
      </c>
      <c r="J526" s="66"/>
      <c r="K526" s="66"/>
      <c r="L526" s="68"/>
      <c r="M526" s="63" t="str">
        <f>HYPERLINK("http://nsgreg.nga.mil/genc/view?v=862590&amp;end_month=12&amp;end_day=31&amp;end_year=2016","Correlation")</f>
        <v>Correlation</v>
      </c>
    </row>
    <row r="527" spans="1:13" x14ac:dyDescent="0.2">
      <c r="A527" s="113"/>
      <c r="B527" s="58" t="s">
        <v>2540</v>
      </c>
      <c r="C527" s="58" t="s">
        <v>1413</v>
      </c>
      <c r="D527" s="58" t="s">
        <v>2541</v>
      </c>
      <c r="E527" s="60" t="b">
        <v>1</v>
      </c>
      <c r="F527" s="80" t="s">
        <v>343</v>
      </c>
      <c r="G527" s="58" t="s">
        <v>2540</v>
      </c>
      <c r="H527" s="58" t="s">
        <v>1728</v>
      </c>
      <c r="I527" s="64" t="s">
        <v>2541</v>
      </c>
      <c r="J527" s="66"/>
      <c r="K527" s="66"/>
      <c r="L527" s="68"/>
      <c r="M527" s="63" t="str">
        <f>HYPERLINK("http://nsgreg.nga.mil/genc/view?v=862582&amp;end_month=12&amp;end_day=31&amp;end_year=2016","Correlation")</f>
        <v>Correlation</v>
      </c>
    </row>
    <row r="528" spans="1:13" x14ac:dyDescent="0.2">
      <c r="A528" s="113"/>
      <c r="B528" s="58" t="s">
        <v>2542</v>
      </c>
      <c r="C528" s="58" t="s">
        <v>1413</v>
      </c>
      <c r="D528" s="58" t="s">
        <v>2543</v>
      </c>
      <c r="E528" s="60" t="b">
        <v>1</v>
      </c>
      <c r="F528" s="80" t="s">
        <v>343</v>
      </c>
      <c r="G528" s="58" t="s">
        <v>2542</v>
      </c>
      <c r="H528" s="58" t="s">
        <v>1728</v>
      </c>
      <c r="I528" s="64" t="s">
        <v>2543</v>
      </c>
      <c r="J528" s="66"/>
      <c r="K528" s="66"/>
      <c r="L528" s="68"/>
      <c r="M528" s="63" t="str">
        <f>HYPERLINK("http://nsgreg.nga.mil/genc/view?v=862583&amp;end_month=12&amp;end_day=31&amp;end_year=2016","Correlation")</f>
        <v>Correlation</v>
      </c>
    </row>
    <row r="529" spans="1:13" x14ac:dyDescent="0.2">
      <c r="A529" s="113"/>
      <c r="B529" s="58" t="s">
        <v>2544</v>
      </c>
      <c r="C529" s="58" t="s">
        <v>1413</v>
      </c>
      <c r="D529" s="58" t="s">
        <v>2545</v>
      </c>
      <c r="E529" s="60" t="b">
        <v>1</v>
      </c>
      <c r="F529" s="80" t="s">
        <v>343</v>
      </c>
      <c r="G529" s="58" t="s">
        <v>2544</v>
      </c>
      <c r="H529" s="58" t="s">
        <v>1728</v>
      </c>
      <c r="I529" s="64" t="s">
        <v>2545</v>
      </c>
      <c r="J529" s="66"/>
      <c r="K529" s="66"/>
      <c r="L529" s="68"/>
      <c r="M529" s="63" t="str">
        <f>HYPERLINK("http://nsgreg.nga.mil/genc/view?v=862584&amp;end_month=12&amp;end_day=31&amp;end_year=2016","Correlation")</f>
        <v>Correlation</v>
      </c>
    </row>
    <row r="530" spans="1:13" x14ac:dyDescent="0.2">
      <c r="A530" s="113"/>
      <c r="B530" s="58" t="s">
        <v>2546</v>
      </c>
      <c r="C530" s="58" t="s">
        <v>1413</v>
      </c>
      <c r="D530" s="58" t="s">
        <v>2547</v>
      </c>
      <c r="E530" s="60" t="b">
        <v>1</v>
      </c>
      <c r="F530" s="80" t="s">
        <v>343</v>
      </c>
      <c r="G530" s="58" t="s">
        <v>2546</v>
      </c>
      <c r="H530" s="58" t="s">
        <v>1728</v>
      </c>
      <c r="I530" s="64" t="s">
        <v>2547</v>
      </c>
      <c r="J530" s="66"/>
      <c r="K530" s="66"/>
      <c r="L530" s="68"/>
      <c r="M530" s="63" t="str">
        <f>HYPERLINK("http://nsgreg.nga.mil/genc/view?v=862586&amp;end_month=12&amp;end_day=31&amp;end_year=2016","Correlation")</f>
        <v>Correlation</v>
      </c>
    </row>
    <row r="531" spans="1:13" x14ac:dyDescent="0.2">
      <c r="A531" s="113"/>
      <c r="B531" s="58" t="s">
        <v>2548</v>
      </c>
      <c r="C531" s="58" t="s">
        <v>1413</v>
      </c>
      <c r="D531" s="58" t="s">
        <v>2549</v>
      </c>
      <c r="E531" s="60" t="b">
        <v>1</v>
      </c>
      <c r="F531" s="80" t="s">
        <v>343</v>
      </c>
      <c r="G531" s="58" t="s">
        <v>2550</v>
      </c>
      <c r="H531" s="58" t="s">
        <v>1728</v>
      </c>
      <c r="I531" s="64" t="s">
        <v>2549</v>
      </c>
      <c r="J531" s="66"/>
      <c r="K531" s="66"/>
      <c r="L531" s="68"/>
      <c r="M531" s="63" t="str">
        <f>HYPERLINK("http://nsgreg.nga.mil/genc/view?v=862585&amp;end_month=12&amp;end_day=31&amp;end_year=2016","Correlation")</f>
        <v>Correlation</v>
      </c>
    </row>
    <row r="532" spans="1:13" x14ac:dyDescent="0.2">
      <c r="A532" s="113"/>
      <c r="B532" s="58" t="s">
        <v>2551</v>
      </c>
      <c r="C532" s="58" t="s">
        <v>1413</v>
      </c>
      <c r="D532" s="58" t="s">
        <v>2552</v>
      </c>
      <c r="E532" s="60" t="b">
        <v>1</v>
      </c>
      <c r="F532" s="80" t="s">
        <v>343</v>
      </c>
      <c r="G532" s="58" t="s">
        <v>2551</v>
      </c>
      <c r="H532" s="58" t="s">
        <v>1728</v>
      </c>
      <c r="I532" s="64" t="s">
        <v>2552</v>
      </c>
      <c r="J532" s="66"/>
      <c r="K532" s="66"/>
      <c r="L532" s="68"/>
      <c r="M532" s="63" t="str">
        <f>HYPERLINK("http://nsgreg.nga.mil/genc/view?v=862587&amp;end_month=12&amp;end_day=31&amp;end_year=2016","Correlation")</f>
        <v>Correlation</v>
      </c>
    </row>
    <row r="533" spans="1:13" x14ac:dyDescent="0.2">
      <c r="A533" s="113"/>
      <c r="B533" s="58" t="s">
        <v>2553</v>
      </c>
      <c r="C533" s="58" t="s">
        <v>1413</v>
      </c>
      <c r="D533" s="58" t="s">
        <v>2554</v>
      </c>
      <c r="E533" s="60" t="b">
        <v>1</v>
      </c>
      <c r="F533" s="80" t="s">
        <v>343</v>
      </c>
      <c r="G533" s="58" t="s">
        <v>2553</v>
      </c>
      <c r="H533" s="58" t="s">
        <v>1728</v>
      </c>
      <c r="I533" s="64" t="s">
        <v>2554</v>
      </c>
      <c r="J533" s="66"/>
      <c r="K533" s="66"/>
      <c r="L533" s="68"/>
      <c r="M533" s="63" t="str">
        <f>HYPERLINK("http://nsgreg.nga.mil/genc/view?v=862588&amp;end_month=12&amp;end_day=31&amp;end_year=2016","Correlation")</f>
        <v>Correlation</v>
      </c>
    </row>
    <row r="534" spans="1:13" x14ac:dyDescent="0.2">
      <c r="A534" s="113"/>
      <c r="B534" s="58" t="s">
        <v>2555</v>
      </c>
      <c r="C534" s="58" t="s">
        <v>1413</v>
      </c>
      <c r="D534" s="58" t="s">
        <v>2556</v>
      </c>
      <c r="E534" s="60" t="b">
        <v>1</v>
      </c>
      <c r="F534" s="80" t="s">
        <v>343</v>
      </c>
      <c r="G534" s="58" t="s">
        <v>2555</v>
      </c>
      <c r="H534" s="58" t="s">
        <v>1728</v>
      </c>
      <c r="I534" s="64" t="s">
        <v>2556</v>
      </c>
      <c r="J534" s="66"/>
      <c r="K534" s="66"/>
      <c r="L534" s="68"/>
      <c r="M534" s="63" t="str">
        <f>HYPERLINK("http://nsgreg.nga.mil/genc/view?v=862566&amp;end_month=12&amp;end_day=31&amp;end_year=2016","Correlation")</f>
        <v>Correlation</v>
      </c>
    </row>
    <row r="535" spans="1:13" x14ac:dyDescent="0.2">
      <c r="A535" s="113"/>
      <c r="B535" s="58" t="s">
        <v>2557</v>
      </c>
      <c r="C535" s="58" t="s">
        <v>1413</v>
      </c>
      <c r="D535" s="58" t="s">
        <v>2558</v>
      </c>
      <c r="E535" s="60" t="b">
        <v>1</v>
      </c>
      <c r="F535" s="80" t="s">
        <v>343</v>
      </c>
      <c r="G535" s="58" t="s">
        <v>2557</v>
      </c>
      <c r="H535" s="58" t="s">
        <v>1728</v>
      </c>
      <c r="I535" s="64" t="s">
        <v>2558</v>
      </c>
      <c r="J535" s="66"/>
      <c r="K535" s="66"/>
      <c r="L535" s="68"/>
      <c r="M535" s="63" t="str">
        <f>HYPERLINK("http://nsgreg.nga.mil/genc/view?v=862567&amp;end_month=12&amp;end_day=31&amp;end_year=2016","Correlation")</f>
        <v>Correlation</v>
      </c>
    </row>
    <row r="536" spans="1:13" x14ac:dyDescent="0.2">
      <c r="A536" s="113"/>
      <c r="B536" s="58" t="s">
        <v>2559</v>
      </c>
      <c r="C536" s="58" t="s">
        <v>1413</v>
      </c>
      <c r="D536" s="58" t="s">
        <v>2560</v>
      </c>
      <c r="E536" s="60" t="b">
        <v>1</v>
      </c>
      <c r="F536" s="80" t="s">
        <v>343</v>
      </c>
      <c r="G536" s="58" t="s">
        <v>2559</v>
      </c>
      <c r="H536" s="58" t="s">
        <v>1728</v>
      </c>
      <c r="I536" s="64" t="s">
        <v>2560</v>
      </c>
      <c r="J536" s="66"/>
      <c r="K536" s="66"/>
      <c r="L536" s="68"/>
      <c r="M536" s="63" t="str">
        <f>HYPERLINK("http://nsgreg.nga.mil/genc/view?v=862568&amp;end_month=12&amp;end_day=31&amp;end_year=2016","Correlation")</f>
        <v>Correlation</v>
      </c>
    </row>
    <row r="537" spans="1:13" x14ac:dyDescent="0.2">
      <c r="A537" s="113"/>
      <c r="B537" s="58" t="s">
        <v>2561</v>
      </c>
      <c r="C537" s="58" t="s">
        <v>1413</v>
      </c>
      <c r="D537" s="58" t="s">
        <v>2562</v>
      </c>
      <c r="E537" s="60" t="b">
        <v>1</v>
      </c>
      <c r="F537" s="80" t="s">
        <v>343</v>
      </c>
      <c r="G537" s="58" t="s">
        <v>2561</v>
      </c>
      <c r="H537" s="58" t="s">
        <v>1728</v>
      </c>
      <c r="I537" s="64" t="s">
        <v>2562</v>
      </c>
      <c r="J537" s="66"/>
      <c r="K537" s="66"/>
      <c r="L537" s="68"/>
      <c r="M537" s="63" t="str">
        <f>HYPERLINK("http://nsgreg.nga.mil/genc/view?v=862569&amp;end_month=12&amp;end_day=31&amp;end_year=2016","Correlation")</f>
        <v>Correlation</v>
      </c>
    </row>
    <row r="538" spans="1:13" x14ac:dyDescent="0.2">
      <c r="A538" s="114"/>
      <c r="B538" s="71" t="s">
        <v>2563</v>
      </c>
      <c r="C538" s="71" t="s">
        <v>1413</v>
      </c>
      <c r="D538" s="71" t="s">
        <v>2564</v>
      </c>
      <c r="E538" s="73" t="b">
        <v>1</v>
      </c>
      <c r="F538" s="81" t="s">
        <v>343</v>
      </c>
      <c r="G538" s="71" t="s">
        <v>2563</v>
      </c>
      <c r="H538" s="71" t="s">
        <v>1728</v>
      </c>
      <c r="I538" s="74" t="s">
        <v>2564</v>
      </c>
      <c r="J538" s="76"/>
      <c r="K538" s="76"/>
      <c r="L538" s="82"/>
      <c r="M538" s="77" t="str">
        <f>HYPERLINK("http://nsgreg.nga.mil/genc/view?v=862591&amp;end_month=12&amp;end_day=31&amp;end_year=2016","Correlation")</f>
        <v>Correlation</v>
      </c>
    </row>
    <row r="539" spans="1:13" x14ac:dyDescent="0.2">
      <c r="A539" s="112" t="s">
        <v>347</v>
      </c>
      <c r="B539" s="50" t="s">
        <v>2565</v>
      </c>
      <c r="C539" s="50" t="s">
        <v>1413</v>
      </c>
      <c r="D539" s="50" t="s">
        <v>2566</v>
      </c>
      <c r="E539" s="52" t="b">
        <v>1</v>
      </c>
      <c r="F539" s="78" t="s">
        <v>347</v>
      </c>
      <c r="G539" s="50" t="s">
        <v>2565</v>
      </c>
      <c r="H539" s="50" t="s">
        <v>1413</v>
      </c>
      <c r="I539" s="53" t="s">
        <v>2566</v>
      </c>
      <c r="J539" s="55"/>
      <c r="K539" s="55"/>
      <c r="L539" s="79"/>
      <c r="M539" s="56" t="str">
        <f>HYPERLINK("http://nsgreg.nga.mil/genc/view?v=862519&amp;end_month=12&amp;end_day=31&amp;end_year=2016","Correlation")</f>
        <v>Correlation</v>
      </c>
    </row>
    <row r="540" spans="1:13" x14ac:dyDescent="0.2">
      <c r="A540" s="113"/>
      <c r="B540" s="58" t="s">
        <v>2567</v>
      </c>
      <c r="C540" s="58" t="s">
        <v>1413</v>
      </c>
      <c r="D540" s="58" t="s">
        <v>2568</v>
      </c>
      <c r="E540" s="60" t="b">
        <v>1</v>
      </c>
      <c r="F540" s="80" t="s">
        <v>347</v>
      </c>
      <c r="G540" s="58" t="s">
        <v>2567</v>
      </c>
      <c r="H540" s="58" t="s">
        <v>1413</v>
      </c>
      <c r="I540" s="64" t="s">
        <v>2568</v>
      </c>
      <c r="J540" s="66"/>
      <c r="K540" s="66"/>
      <c r="L540" s="68"/>
      <c r="M540" s="63" t="str">
        <f>HYPERLINK("http://nsgreg.nga.mil/genc/view?v=862520&amp;end_month=12&amp;end_day=31&amp;end_year=2016","Correlation")</f>
        <v>Correlation</v>
      </c>
    </row>
    <row r="541" spans="1:13" x14ac:dyDescent="0.2">
      <c r="A541" s="113"/>
      <c r="B541" s="58" t="s">
        <v>2569</v>
      </c>
      <c r="C541" s="58" t="s">
        <v>1413</v>
      </c>
      <c r="D541" s="58" t="s">
        <v>2570</v>
      </c>
      <c r="E541" s="60" t="b">
        <v>1</v>
      </c>
      <c r="F541" s="80" t="s">
        <v>347</v>
      </c>
      <c r="G541" s="58" t="s">
        <v>2569</v>
      </c>
      <c r="H541" s="58" t="s">
        <v>1413</v>
      </c>
      <c r="I541" s="64" t="s">
        <v>2570</v>
      </c>
      <c r="J541" s="66"/>
      <c r="K541" s="66"/>
      <c r="L541" s="68"/>
      <c r="M541" s="63" t="str">
        <f>HYPERLINK("http://nsgreg.nga.mil/genc/view?v=862521&amp;end_month=12&amp;end_day=31&amp;end_year=2016","Correlation")</f>
        <v>Correlation</v>
      </c>
    </row>
    <row r="542" spans="1:13" x14ac:dyDescent="0.2">
      <c r="A542" s="113"/>
      <c r="B542" s="58" t="s">
        <v>2571</v>
      </c>
      <c r="C542" s="58" t="s">
        <v>1413</v>
      </c>
      <c r="D542" s="58" t="s">
        <v>2572</v>
      </c>
      <c r="E542" s="60" t="b">
        <v>1</v>
      </c>
      <c r="F542" s="80" t="s">
        <v>347</v>
      </c>
      <c r="G542" s="58" t="s">
        <v>2571</v>
      </c>
      <c r="H542" s="58" t="s">
        <v>1413</v>
      </c>
      <c r="I542" s="64" t="s">
        <v>2572</v>
      </c>
      <c r="J542" s="66"/>
      <c r="K542" s="66"/>
      <c r="L542" s="68"/>
      <c r="M542" s="63" t="str">
        <f>HYPERLINK("http://nsgreg.nga.mil/genc/view?v=862522&amp;end_month=12&amp;end_day=31&amp;end_year=2016","Correlation")</f>
        <v>Correlation</v>
      </c>
    </row>
    <row r="543" spans="1:13" x14ac:dyDescent="0.2">
      <c r="A543" s="113"/>
      <c r="B543" s="58" t="s">
        <v>2573</v>
      </c>
      <c r="C543" s="58" t="s">
        <v>1728</v>
      </c>
      <c r="D543" s="58" t="s">
        <v>2574</v>
      </c>
      <c r="E543" s="60" t="b">
        <v>1</v>
      </c>
      <c r="F543" s="80" t="s">
        <v>347</v>
      </c>
      <c r="G543" s="58" t="s">
        <v>2573</v>
      </c>
      <c r="H543" s="58" t="s">
        <v>1728</v>
      </c>
      <c r="I543" s="64" t="s">
        <v>2574</v>
      </c>
      <c r="J543" s="66"/>
      <c r="K543" s="66"/>
      <c r="L543" s="68"/>
      <c r="M543" s="63" t="str">
        <f>HYPERLINK("http://nsgreg.nga.mil/genc/view?v=862506&amp;end_month=12&amp;end_day=31&amp;end_year=2016","Correlation")</f>
        <v>Correlation</v>
      </c>
    </row>
    <row r="544" spans="1:13" x14ac:dyDescent="0.2">
      <c r="A544" s="113"/>
      <c r="B544" s="58" t="s">
        <v>2575</v>
      </c>
      <c r="C544" s="58" t="s">
        <v>1413</v>
      </c>
      <c r="D544" s="58" t="s">
        <v>2576</v>
      </c>
      <c r="E544" s="60" t="b">
        <v>1</v>
      </c>
      <c r="F544" s="80" t="s">
        <v>347</v>
      </c>
      <c r="G544" s="58" t="s">
        <v>2575</v>
      </c>
      <c r="H544" s="58" t="s">
        <v>1413</v>
      </c>
      <c r="I544" s="64" t="s">
        <v>2576</v>
      </c>
      <c r="J544" s="66"/>
      <c r="K544" s="66"/>
      <c r="L544" s="68"/>
      <c r="M544" s="63" t="str">
        <f>HYPERLINK("http://nsgreg.nga.mil/genc/view?v=862523&amp;end_month=12&amp;end_day=31&amp;end_year=2016","Correlation")</f>
        <v>Correlation</v>
      </c>
    </row>
    <row r="545" spans="1:13" x14ac:dyDescent="0.2">
      <c r="A545" s="113"/>
      <c r="B545" s="58" t="s">
        <v>2577</v>
      </c>
      <c r="C545" s="58" t="s">
        <v>1413</v>
      </c>
      <c r="D545" s="58" t="s">
        <v>2578</v>
      </c>
      <c r="E545" s="60" t="b">
        <v>1</v>
      </c>
      <c r="F545" s="80" t="s">
        <v>347</v>
      </c>
      <c r="G545" s="58" t="s">
        <v>2577</v>
      </c>
      <c r="H545" s="58" t="s">
        <v>1413</v>
      </c>
      <c r="I545" s="64" t="s">
        <v>2578</v>
      </c>
      <c r="J545" s="66"/>
      <c r="K545" s="66"/>
      <c r="L545" s="68"/>
      <c r="M545" s="63" t="str">
        <f>HYPERLINK("http://nsgreg.nga.mil/genc/view?v=862524&amp;end_month=12&amp;end_day=31&amp;end_year=2016","Correlation")</f>
        <v>Correlation</v>
      </c>
    </row>
    <row r="546" spans="1:13" x14ac:dyDescent="0.2">
      <c r="A546" s="113"/>
      <c r="B546" s="58" t="s">
        <v>2579</v>
      </c>
      <c r="C546" s="58" t="s">
        <v>1413</v>
      </c>
      <c r="D546" s="58" t="s">
        <v>2580</v>
      </c>
      <c r="E546" s="60" t="b">
        <v>1</v>
      </c>
      <c r="F546" s="80" t="s">
        <v>347</v>
      </c>
      <c r="G546" s="58" t="s">
        <v>2579</v>
      </c>
      <c r="H546" s="58" t="s">
        <v>1413</v>
      </c>
      <c r="I546" s="64" t="s">
        <v>2580</v>
      </c>
      <c r="J546" s="66"/>
      <c r="K546" s="66"/>
      <c r="L546" s="68"/>
      <c r="M546" s="63" t="str">
        <f>HYPERLINK("http://nsgreg.nga.mil/genc/view?v=862525&amp;end_month=12&amp;end_day=31&amp;end_year=2016","Correlation")</f>
        <v>Correlation</v>
      </c>
    </row>
    <row r="547" spans="1:13" x14ac:dyDescent="0.2">
      <c r="A547" s="113"/>
      <c r="B547" s="58" t="s">
        <v>2581</v>
      </c>
      <c r="C547" s="58" t="s">
        <v>1728</v>
      </c>
      <c r="D547" s="58" t="s">
        <v>2582</v>
      </c>
      <c r="E547" s="60" t="b">
        <v>1</v>
      </c>
      <c r="F547" s="80" t="s">
        <v>347</v>
      </c>
      <c r="G547" s="58" t="s">
        <v>2581</v>
      </c>
      <c r="H547" s="58" t="s">
        <v>1728</v>
      </c>
      <c r="I547" s="64" t="s">
        <v>2582</v>
      </c>
      <c r="J547" s="66"/>
      <c r="K547" s="66"/>
      <c r="L547" s="68"/>
      <c r="M547" s="63" t="str">
        <f>HYPERLINK("http://nsgreg.nga.mil/genc/view?v=862507&amp;end_month=12&amp;end_day=31&amp;end_year=2016","Correlation")</f>
        <v>Correlation</v>
      </c>
    </row>
    <row r="548" spans="1:13" x14ac:dyDescent="0.2">
      <c r="A548" s="113"/>
      <c r="B548" s="58" t="s">
        <v>2583</v>
      </c>
      <c r="C548" s="58" t="s">
        <v>1728</v>
      </c>
      <c r="D548" s="58" t="s">
        <v>2584</v>
      </c>
      <c r="E548" s="60" t="b">
        <v>1</v>
      </c>
      <c r="F548" s="80" t="s">
        <v>347</v>
      </c>
      <c r="G548" s="58" t="s">
        <v>2583</v>
      </c>
      <c r="H548" s="58" t="s">
        <v>1728</v>
      </c>
      <c r="I548" s="64" t="s">
        <v>2584</v>
      </c>
      <c r="J548" s="66"/>
      <c r="K548" s="66"/>
      <c r="L548" s="68"/>
      <c r="M548" s="63" t="str">
        <f>HYPERLINK("http://nsgreg.nga.mil/genc/view?v=862508&amp;end_month=12&amp;end_day=31&amp;end_year=2016","Correlation")</f>
        <v>Correlation</v>
      </c>
    </row>
    <row r="549" spans="1:13" x14ac:dyDescent="0.2">
      <c r="A549" s="113"/>
      <c r="B549" s="58" t="s">
        <v>2585</v>
      </c>
      <c r="C549" s="58" t="s">
        <v>1728</v>
      </c>
      <c r="D549" s="58" t="s">
        <v>2586</v>
      </c>
      <c r="E549" s="60" t="b">
        <v>1</v>
      </c>
      <c r="F549" s="80" t="s">
        <v>347</v>
      </c>
      <c r="G549" s="58" t="s">
        <v>2585</v>
      </c>
      <c r="H549" s="58" t="s">
        <v>1728</v>
      </c>
      <c r="I549" s="64" t="s">
        <v>2586</v>
      </c>
      <c r="J549" s="66"/>
      <c r="K549" s="66"/>
      <c r="L549" s="68"/>
      <c r="M549" s="63" t="str">
        <f>HYPERLINK("http://nsgreg.nga.mil/genc/view?v=862509&amp;end_month=12&amp;end_day=31&amp;end_year=2016","Correlation")</f>
        <v>Correlation</v>
      </c>
    </row>
    <row r="550" spans="1:13" x14ac:dyDescent="0.2">
      <c r="A550" s="113"/>
      <c r="B550" s="58" t="s">
        <v>2587</v>
      </c>
      <c r="C550" s="58" t="s">
        <v>1728</v>
      </c>
      <c r="D550" s="58" t="s">
        <v>2588</v>
      </c>
      <c r="E550" s="60" t="b">
        <v>1</v>
      </c>
      <c r="F550" s="80" t="s">
        <v>347</v>
      </c>
      <c r="G550" s="58" t="s">
        <v>2587</v>
      </c>
      <c r="H550" s="58" t="s">
        <v>1728</v>
      </c>
      <c r="I550" s="64" t="s">
        <v>2588</v>
      </c>
      <c r="J550" s="66"/>
      <c r="K550" s="66"/>
      <c r="L550" s="68"/>
      <c r="M550" s="63" t="str">
        <f>HYPERLINK("http://nsgreg.nga.mil/genc/view?v=862510&amp;end_month=12&amp;end_day=31&amp;end_year=2016","Correlation")</f>
        <v>Correlation</v>
      </c>
    </row>
    <row r="551" spans="1:13" x14ac:dyDescent="0.2">
      <c r="A551" s="113"/>
      <c r="B551" s="58" t="s">
        <v>2589</v>
      </c>
      <c r="C551" s="58" t="s">
        <v>1728</v>
      </c>
      <c r="D551" s="58" t="s">
        <v>2590</v>
      </c>
      <c r="E551" s="60" t="b">
        <v>1</v>
      </c>
      <c r="F551" s="80" t="s">
        <v>347</v>
      </c>
      <c r="G551" s="58" t="s">
        <v>2589</v>
      </c>
      <c r="H551" s="58" t="s">
        <v>1728</v>
      </c>
      <c r="I551" s="64" t="s">
        <v>2590</v>
      </c>
      <c r="J551" s="66"/>
      <c r="K551" s="66"/>
      <c r="L551" s="68"/>
      <c r="M551" s="63" t="str">
        <f>HYPERLINK("http://nsgreg.nga.mil/genc/view?v=862511&amp;end_month=12&amp;end_day=31&amp;end_year=2016","Correlation")</f>
        <v>Correlation</v>
      </c>
    </row>
    <row r="552" spans="1:13" x14ac:dyDescent="0.2">
      <c r="A552" s="113"/>
      <c r="B552" s="58" t="s">
        <v>2591</v>
      </c>
      <c r="C552" s="58" t="s">
        <v>1728</v>
      </c>
      <c r="D552" s="58" t="s">
        <v>2592</v>
      </c>
      <c r="E552" s="60" t="b">
        <v>1</v>
      </c>
      <c r="F552" s="80" t="s">
        <v>347</v>
      </c>
      <c r="G552" s="58" t="s">
        <v>2591</v>
      </c>
      <c r="H552" s="58" t="s">
        <v>1728</v>
      </c>
      <c r="I552" s="64" t="s">
        <v>2592</v>
      </c>
      <c r="J552" s="66"/>
      <c r="K552" s="66"/>
      <c r="L552" s="68"/>
      <c r="M552" s="63" t="str">
        <f>HYPERLINK("http://nsgreg.nga.mil/genc/view?v=862512&amp;end_month=12&amp;end_day=31&amp;end_year=2016","Correlation")</f>
        <v>Correlation</v>
      </c>
    </row>
    <row r="553" spans="1:13" x14ac:dyDescent="0.2">
      <c r="A553" s="113"/>
      <c r="B553" s="58" t="s">
        <v>2593</v>
      </c>
      <c r="C553" s="58" t="s">
        <v>1413</v>
      </c>
      <c r="D553" s="58" t="s">
        <v>2594</v>
      </c>
      <c r="E553" s="60" t="b">
        <v>1</v>
      </c>
      <c r="F553" s="80" t="s">
        <v>347</v>
      </c>
      <c r="G553" s="58" t="s">
        <v>2593</v>
      </c>
      <c r="H553" s="58" t="s">
        <v>1413</v>
      </c>
      <c r="I553" s="64" t="s">
        <v>2594</v>
      </c>
      <c r="J553" s="66"/>
      <c r="K553" s="66"/>
      <c r="L553" s="68"/>
      <c r="M553" s="63" t="str">
        <f>HYPERLINK("http://nsgreg.nga.mil/genc/view?v=862526&amp;end_month=12&amp;end_day=31&amp;end_year=2016","Correlation")</f>
        <v>Correlation</v>
      </c>
    </row>
    <row r="554" spans="1:13" x14ac:dyDescent="0.2">
      <c r="A554" s="113"/>
      <c r="B554" s="58" t="s">
        <v>2595</v>
      </c>
      <c r="C554" s="58" t="s">
        <v>1728</v>
      </c>
      <c r="D554" s="58" t="s">
        <v>2596</v>
      </c>
      <c r="E554" s="60" t="b">
        <v>1</v>
      </c>
      <c r="F554" s="80" t="s">
        <v>347</v>
      </c>
      <c r="G554" s="58" t="s">
        <v>2595</v>
      </c>
      <c r="H554" s="58" t="s">
        <v>1728</v>
      </c>
      <c r="I554" s="64" t="s">
        <v>2596</v>
      </c>
      <c r="J554" s="66"/>
      <c r="K554" s="66"/>
      <c r="L554" s="68"/>
      <c r="M554" s="63" t="str">
        <f>HYPERLINK("http://nsgreg.nga.mil/genc/view?v=862513&amp;end_month=12&amp;end_day=31&amp;end_year=2016","Correlation")</f>
        <v>Correlation</v>
      </c>
    </row>
    <row r="555" spans="1:13" x14ac:dyDescent="0.2">
      <c r="A555" s="113"/>
      <c r="B555" s="58" t="s">
        <v>2597</v>
      </c>
      <c r="C555" s="58" t="s">
        <v>1413</v>
      </c>
      <c r="D555" s="58" t="s">
        <v>2598</v>
      </c>
      <c r="E555" s="60" t="b">
        <v>1</v>
      </c>
      <c r="F555" s="80" t="s">
        <v>347</v>
      </c>
      <c r="G555" s="58" t="s">
        <v>2597</v>
      </c>
      <c r="H555" s="58" t="s">
        <v>1413</v>
      </c>
      <c r="I555" s="64" t="s">
        <v>2598</v>
      </c>
      <c r="J555" s="66"/>
      <c r="K555" s="66"/>
      <c r="L555" s="68"/>
      <c r="M555" s="63" t="str">
        <f>HYPERLINK("http://nsgreg.nga.mil/genc/view?v=862527&amp;end_month=12&amp;end_day=31&amp;end_year=2016","Correlation")</f>
        <v>Correlation</v>
      </c>
    </row>
    <row r="556" spans="1:13" x14ac:dyDescent="0.2">
      <c r="A556" s="113"/>
      <c r="B556" s="58" t="s">
        <v>2599</v>
      </c>
      <c r="C556" s="58" t="s">
        <v>1413</v>
      </c>
      <c r="D556" s="58" t="s">
        <v>2600</v>
      </c>
      <c r="E556" s="60" t="b">
        <v>1</v>
      </c>
      <c r="F556" s="80" t="s">
        <v>347</v>
      </c>
      <c r="G556" s="58" t="s">
        <v>2599</v>
      </c>
      <c r="H556" s="58" t="s">
        <v>1413</v>
      </c>
      <c r="I556" s="64" t="s">
        <v>2600</v>
      </c>
      <c r="J556" s="66"/>
      <c r="K556" s="66"/>
      <c r="L556" s="68"/>
      <c r="M556" s="63" t="str">
        <f>HYPERLINK("http://nsgreg.nga.mil/genc/view?v=862528&amp;end_month=12&amp;end_day=31&amp;end_year=2016","Correlation")</f>
        <v>Correlation</v>
      </c>
    </row>
    <row r="557" spans="1:13" x14ac:dyDescent="0.2">
      <c r="A557" s="113"/>
      <c r="B557" s="58" t="s">
        <v>2601</v>
      </c>
      <c r="C557" s="58" t="s">
        <v>1413</v>
      </c>
      <c r="D557" s="58" t="s">
        <v>2602</v>
      </c>
      <c r="E557" s="60" t="b">
        <v>1</v>
      </c>
      <c r="F557" s="80" t="s">
        <v>347</v>
      </c>
      <c r="G557" s="58" t="s">
        <v>2601</v>
      </c>
      <c r="H557" s="58" t="s">
        <v>1413</v>
      </c>
      <c r="I557" s="64" t="s">
        <v>2602</v>
      </c>
      <c r="J557" s="66"/>
      <c r="K557" s="66"/>
      <c r="L557" s="68"/>
      <c r="M557" s="63" t="str">
        <f>HYPERLINK("http://nsgreg.nga.mil/genc/view?v=862529&amp;end_month=12&amp;end_day=31&amp;end_year=2016","Correlation")</f>
        <v>Correlation</v>
      </c>
    </row>
    <row r="558" spans="1:13" x14ac:dyDescent="0.2">
      <c r="A558" s="113"/>
      <c r="B558" s="58" t="s">
        <v>2603</v>
      </c>
      <c r="C558" s="58" t="s">
        <v>1728</v>
      </c>
      <c r="D558" s="58" t="s">
        <v>2604</v>
      </c>
      <c r="E558" s="60" t="b">
        <v>1</v>
      </c>
      <c r="F558" s="80" t="s">
        <v>347</v>
      </c>
      <c r="G558" s="58" t="s">
        <v>2603</v>
      </c>
      <c r="H558" s="58" t="s">
        <v>1728</v>
      </c>
      <c r="I558" s="64" t="s">
        <v>2604</v>
      </c>
      <c r="J558" s="66"/>
      <c r="K558" s="66"/>
      <c r="L558" s="68"/>
      <c r="M558" s="63" t="str">
        <f>HYPERLINK("http://nsgreg.nga.mil/genc/view?v=862514&amp;end_month=12&amp;end_day=31&amp;end_year=2016","Correlation")</f>
        <v>Correlation</v>
      </c>
    </row>
    <row r="559" spans="1:13" x14ac:dyDescent="0.2">
      <c r="A559" s="113"/>
      <c r="B559" s="58" t="s">
        <v>2605</v>
      </c>
      <c r="C559" s="58" t="s">
        <v>1413</v>
      </c>
      <c r="D559" s="58" t="s">
        <v>2606</v>
      </c>
      <c r="E559" s="60" t="b">
        <v>1</v>
      </c>
      <c r="F559" s="80" t="s">
        <v>347</v>
      </c>
      <c r="G559" s="58" t="s">
        <v>2605</v>
      </c>
      <c r="H559" s="58" t="s">
        <v>1413</v>
      </c>
      <c r="I559" s="64" t="s">
        <v>2606</v>
      </c>
      <c r="J559" s="66"/>
      <c r="K559" s="66"/>
      <c r="L559" s="68"/>
      <c r="M559" s="63" t="str">
        <f>HYPERLINK("http://nsgreg.nga.mil/genc/view?v=862530&amp;end_month=12&amp;end_day=31&amp;end_year=2016","Correlation")</f>
        <v>Correlation</v>
      </c>
    </row>
    <row r="560" spans="1:13" x14ac:dyDescent="0.2">
      <c r="A560" s="113"/>
      <c r="B560" s="58" t="s">
        <v>2607</v>
      </c>
      <c r="C560" s="58" t="s">
        <v>1413</v>
      </c>
      <c r="D560" s="58" t="s">
        <v>2608</v>
      </c>
      <c r="E560" s="60" t="b">
        <v>1</v>
      </c>
      <c r="F560" s="80" t="s">
        <v>347</v>
      </c>
      <c r="G560" s="58" t="s">
        <v>2607</v>
      </c>
      <c r="H560" s="58" t="s">
        <v>1413</v>
      </c>
      <c r="I560" s="64" t="s">
        <v>2608</v>
      </c>
      <c r="J560" s="66"/>
      <c r="K560" s="66"/>
      <c r="L560" s="68"/>
      <c r="M560" s="63" t="str">
        <f>HYPERLINK("http://nsgreg.nga.mil/genc/view?v=862531&amp;end_month=12&amp;end_day=31&amp;end_year=2016","Correlation")</f>
        <v>Correlation</v>
      </c>
    </row>
    <row r="561" spans="1:13" x14ac:dyDescent="0.2">
      <c r="A561" s="113"/>
      <c r="B561" s="58" t="s">
        <v>2609</v>
      </c>
      <c r="C561" s="58" t="s">
        <v>1413</v>
      </c>
      <c r="D561" s="58" t="s">
        <v>2610</v>
      </c>
      <c r="E561" s="60" t="b">
        <v>1</v>
      </c>
      <c r="F561" s="80" t="s">
        <v>347</v>
      </c>
      <c r="G561" s="58" t="s">
        <v>2609</v>
      </c>
      <c r="H561" s="58" t="s">
        <v>1413</v>
      </c>
      <c r="I561" s="64" t="s">
        <v>2610</v>
      </c>
      <c r="J561" s="66"/>
      <c r="K561" s="66"/>
      <c r="L561" s="68"/>
      <c r="M561" s="63" t="str">
        <f>HYPERLINK("http://nsgreg.nga.mil/genc/view?v=862532&amp;end_month=12&amp;end_day=31&amp;end_year=2016","Correlation")</f>
        <v>Correlation</v>
      </c>
    </row>
    <row r="562" spans="1:13" x14ac:dyDescent="0.2">
      <c r="A562" s="113"/>
      <c r="B562" s="58" t="s">
        <v>2611</v>
      </c>
      <c r="C562" s="58" t="s">
        <v>1413</v>
      </c>
      <c r="D562" s="58" t="s">
        <v>2612</v>
      </c>
      <c r="E562" s="60" t="b">
        <v>1</v>
      </c>
      <c r="F562" s="80" t="s">
        <v>347</v>
      </c>
      <c r="G562" s="58" t="s">
        <v>2611</v>
      </c>
      <c r="H562" s="58" t="s">
        <v>1413</v>
      </c>
      <c r="I562" s="64" t="s">
        <v>2612</v>
      </c>
      <c r="J562" s="66"/>
      <c r="K562" s="66"/>
      <c r="L562" s="68"/>
      <c r="M562" s="63" t="str">
        <f>HYPERLINK("http://nsgreg.nga.mil/genc/view?v=862533&amp;end_month=12&amp;end_day=31&amp;end_year=2016","Correlation")</f>
        <v>Correlation</v>
      </c>
    </row>
    <row r="563" spans="1:13" x14ac:dyDescent="0.2">
      <c r="A563" s="113"/>
      <c r="B563" s="58" t="s">
        <v>2613</v>
      </c>
      <c r="C563" s="58" t="s">
        <v>1413</v>
      </c>
      <c r="D563" s="58" t="s">
        <v>2614</v>
      </c>
      <c r="E563" s="60" t="b">
        <v>1</v>
      </c>
      <c r="F563" s="80" t="s">
        <v>347</v>
      </c>
      <c r="G563" s="58" t="s">
        <v>2613</v>
      </c>
      <c r="H563" s="58" t="s">
        <v>1413</v>
      </c>
      <c r="I563" s="64" t="s">
        <v>2614</v>
      </c>
      <c r="J563" s="66"/>
      <c r="K563" s="66"/>
      <c r="L563" s="68"/>
      <c r="M563" s="63" t="str">
        <f>HYPERLINK("http://nsgreg.nga.mil/genc/view?v=862534&amp;end_month=12&amp;end_day=31&amp;end_year=2016","Correlation")</f>
        <v>Correlation</v>
      </c>
    </row>
    <row r="564" spans="1:13" x14ac:dyDescent="0.2">
      <c r="A564" s="113"/>
      <c r="B564" s="58" t="s">
        <v>2615</v>
      </c>
      <c r="C564" s="58" t="s">
        <v>1413</v>
      </c>
      <c r="D564" s="58" t="s">
        <v>2616</v>
      </c>
      <c r="E564" s="60" t="b">
        <v>1</v>
      </c>
      <c r="F564" s="80" t="s">
        <v>347</v>
      </c>
      <c r="G564" s="58" t="s">
        <v>2615</v>
      </c>
      <c r="H564" s="58" t="s">
        <v>1413</v>
      </c>
      <c r="I564" s="64" t="s">
        <v>2616</v>
      </c>
      <c r="J564" s="66"/>
      <c r="K564" s="66"/>
      <c r="L564" s="68"/>
      <c r="M564" s="63" t="str">
        <f>HYPERLINK("http://nsgreg.nga.mil/genc/view?v=862535&amp;end_month=12&amp;end_day=31&amp;end_year=2016","Correlation")</f>
        <v>Correlation</v>
      </c>
    </row>
    <row r="565" spans="1:13" x14ac:dyDescent="0.2">
      <c r="A565" s="113"/>
      <c r="B565" s="58" t="s">
        <v>2617</v>
      </c>
      <c r="C565" s="58" t="s">
        <v>1413</v>
      </c>
      <c r="D565" s="58" t="s">
        <v>2618</v>
      </c>
      <c r="E565" s="60" t="b">
        <v>1</v>
      </c>
      <c r="F565" s="80" t="s">
        <v>347</v>
      </c>
      <c r="G565" s="58" t="s">
        <v>2617</v>
      </c>
      <c r="H565" s="58" t="s">
        <v>1413</v>
      </c>
      <c r="I565" s="64" t="s">
        <v>2618</v>
      </c>
      <c r="J565" s="66"/>
      <c r="K565" s="66"/>
      <c r="L565" s="68"/>
      <c r="M565" s="63" t="str">
        <f>HYPERLINK("http://nsgreg.nga.mil/genc/view?v=862537&amp;end_month=12&amp;end_day=31&amp;end_year=2016","Correlation")</f>
        <v>Correlation</v>
      </c>
    </row>
    <row r="566" spans="1:13" x14ac:dyDescent="0.2">
      <c r="A566" s="113"/>
      <c r="B566" s="58" t="s">
        <v>2619</v>
      </c>
      <c r="C566" s="58" t="s">
        <v>1413</v>
      </c>
      <c r="D566" s="58" t="s">
        <v>2620</v>
      </c>
      <c r="E566" s="60" t="b">
        <v>1</v>
      </c>
      <c r="F566" s="80" t="s">
        <v>347</v>
      </c>
      <c r="G566" s="58" t="s">
        <v>2619</v>
      </c>
      <c r="H566" s="58" t="s">
        <v>1413</v>
      </c>
      <c r="I566" s="64" t="s">
        <v>2620</v>
      </c>
      <c r="J566" s="66"/>
      <c r="K566" s="66"/>
      <c r="L566" s="68"/>
      <c r="M566" s="63" t="str">
        <f>HYPERLINK("http://nsgreg.nga.mil/genc/view?v=862536&amp;end_month=12&amp;end_day=31&amp;end_year=2016","Correlation")</f>
        <v>Correlation</v>
      </c>
    </row>
    <row r="567" spans="1:13" x14ac:dyDescent="0.2">
      <c r="A567" s="113"/>
      <c r="B567" s="58" t="s">
        <v>2621</v>
      </c>
      <c r="C567" s="58" t="s">
        <v>1413</v>
      </c>
      <c r="D567" s="58" t="s">
        <v>2622</v>
      </c>
      <c r="E567" s="60" t="b">
        <v>1</v>
      </c>
      <c r="F567" s="80" t="s">
        <v>347</v>
      </c>
      <c r="G567" s="58" t="s">
        <v>2621</v>
      </c>
      <c r="H567" s="58" t="s">
        <v>1413</v>
      </c>
      <c r="I567" s="64" t="s">
        <v>2622</v>
      </c>
      <c r="J567" s="66"/>
      <c r="K567" s="66"/>
      <c r="L567" s="68"/>
      <c r="M567" s="63" t="str">
        <f>HYPERLINK("http://nsgreg.nga.mil/genc/view?v=862538&amp;end_month=12&amp;end_day=31&amp;end_year=2016","Correlation")</f>
        <v>Correlation</v>
      </c>
    </row>
    <row r="568" spans="1:13" x14ac:dyDescent="0.2">
      <c r="A568" s="113"/>
      <c r="B568" s="58" t="s">
        <v>2623</v>
      </c>
      <c r="C568" s="58" t="s">
        <v>1413</v>
      </c>
      <c r="D568" s="58" t="s">
        <v>2624</v>
      </c>
      <c r="E568" s="60" t="b">
        <v>1</v>
      </c>
      <c r="F568" s="80" t="s">
        <v>347</v>
      </c>
      <c r="G568" s="58" t="s">
        <v>2623</v>
      </c>
      <c r="H568" s="58" t="s">
        <v>1413</v>
      </c>
      <c r="I568" s="64" t="s">
        <v>2624</v>
      </c>
      <c r="J568" s="66"/>
      <c r="K568" s="66"/>
      <c r="L568" s="68"/>
      <c r="M568" s="63" t="str">
        <f>HYPERLINK("http://nsgreg.nga.mil/genc/view?v=862539&amp;end_month=12&amp;end_day=31&amp;end_year=2016","Correlation")</f>
        <v>Correlation</v>
      </c>
    </row>
    <row r="569" spans="1:13" x14ac:dyDescent="0.2">
      <c r="A569" s="113"/>
      <c r="B569" s="58" t="s">
        <v>2625</v>
      </c>
      <c r="C569" s="58" t="s">
        <v>1413</v>
      </c>
      <c r="D569" s="58" t="s">
        <v>2626</v>
      </c>
      <c r="E569" s="60" t="b">
        <v>1</v>
      </c>
      <c r="F569" s="80" t="s">
        <v>347</v>
      </c>
      <c r="G569" s="58" t="s">
        <v>2625</v>
      </c>
      <c r="H569" s="58" t="s">
        <v>1413</v>
      </c>
      <c r="I569" s="64" t="s">
        <v>2626</v>
      </c>
      <c r="J569" s="66"/>
      <c r="K569" s="66"/>
      <c r="L569" s="68"/>
      <c r="M569" s="63" t="str">
        <f>HYPERLINK("http://nsgreg.nga.mil/genc/view?v=862540&amp;end_month=12&amp;end_day=31&amp;end_year=2016","Correlation")</f>
        <v>Correlation</v>
      </c>
    </row>
    <row r="570" spans="1:13" x14ac:dyDescent="0.2">
      <c r="A570" s="113"/>
      <c r="B570" s="58" t="s">
        <v>2627</v>
      </c>
      <c r="C570" s="58" t="s">
        <v>1413</v>
      </c>
      <c r="D570" s="58" t="s">
        <v>2628</v>
      </c>
      <c r="E570" s="60" t="b">
        <v>1</v>
      </c>
      <c r="F570" s="80" t="s">
        <v>347</v>
      </c>
      <c r="G570" s="58" t="s">
        <v>2627</v>
      </c>
      <c r="H570" s="58" t="s">
        <v>1413</v>
      </c>
      <c r="I570" s="64" t="s">
        <v>2628</v>
      </c>
      <c r="J570" s="66"/>
      <c r="K570" s="66"/>
      <c r="L570" s="68"/>
      <c r="M570" s="63" t="str">
        <f>HYPERLINK("http://nsgreg.nga.mil/genc/view?v=862541&amp;end_month=12&amp;end_day=31&amp;end_year=2016","Correlation")</f>
        <v>Correlation</v>
      </c>
    </row>
    <row r="571" spans="1:13" x14ac:dyDescent="0.2">
      <c r="A571" s="113"/>
      <c r="B571" s="58" t="s">
        <v>2629</v>
      </c>
      <c r="C571" s="58" t="s">
        <v>1413</v>
      </c>
      <c r="D571" s="58" t="s">
        <v>2630</v>
      </c>
      <c r="E571" s="60" t="b">
        <v>1</v>
      </c>
      <c r="F571" s="80" t="s">
        <v>347</v>
      </c>
      <c r="G571" s="58" t="s">
        <v>2629</v>
      </c>
      <c r="H571" s="58" t="s">
        <v>1413</v>
      </c>
      <c r="I571" s="64" t="s">
        <v>2630</v>
      </c>
      <c r="J571" s="66"/>
      <c r="K571" s="66"/>
      <c r="L571" s="68"/>
      <c r="M571" s="63" t="str">
        <f>HYPERLINK("http://nsgreg.nga.mil/genc/view?v=862542&amp;end_month=12&amp;end_day=31&amp;end_year=2016","Correlation")</f>
        <v>Correlation</v>
      </c>
    </row>
    <row r="572" spans="1:13" x14ac:dyDescent="0.2">
      <c r="A572" s="113"/>
      <c r="B572" s="58" t="s">
        <v>2631</v>
      </c>
      <c r="C572" s="58" t="s">
        <v>1413</v>
      </c>
      <c r="D572" s="58" t="s">
        <v>2632</v>
      </c>
      <c r="E572" s="60" t="b">
        <v>1</v>
      </c>
      <c r="F572" s="80" t="s">
        <v>347</v>
      </c>
      <c r="G572" s="58" t="s">
        <v>2631</v>
      </c>
      <c r="H572" s="58" t="s">
        <v>1413</v>
      </c>
      <c r="I572" s="64" t="s">
        <v>2632</v>
      </c>
      <c r="J572" s="66"/>
      <c r="K572" s="66"/>
      <c r="L572" s="68"/>
      <c r="M572" s="63" t="str">
        <f>HYPERLINK("http://nsgreg.nga.mil/genc/view?v=862544&amp;end_month=12&amp;end_day=31&amp;end_year=2016","Correlation")</f>
        <v>Correlation</v>
      </c>
    </row>
    <row r="573" spans="1:13" x14ac:dyDescent="0.2">
      <c r="A573" s="113"/>
      <c r="B573" s="58" t="s">
        <v>2633</v>
      </c>
      <c r="C573" s="58" t="s">
        <v>1413</v>
      </c>
      <c r="D573" s="58" t="s">
        <v>2634</v>
      </c>
      <c r="E573" s="60" t="b">
        <v>1</v>
      </c>
      <c r="F573" s="80" t="s">
        <v>347</v>
      </c>
      <c r="G573" s="58" t="s">
        <v>2633</v>
      </c>
      <c r="H573" s="58" t="s">
        <v>1413</v>
      </c>
      <c r="I573" s="64" t="s">
        <v>2634</v>
      </c>
      <c r="J573" s="66"/>
      <c r="K573" s="66"/>
      <c r="L573" s="68"/>
      <c r="M573" s="63" t="str">
        <f>HYPERLINK("http://nsgreg.nga.mil/genc/view?v=862543&amp;end_month=12&amp;end_day=31&amp;end_year=2016","Correlation")</f>
        <v>Correlation</v>
      </c>
    </row>
    <row r="574" spans="1:13" x14ac:dyDescent="0.2">
      <c r="A574" s="113"/>
      <c r="B574" s="58" t="s">
        <v>2635</v>
      </c>
      <c r="C574" s="58" t="s">
        <v>1413</v>
      </c>
      <c r="D574" s="58" t="s">
        <v>2636</v>
      </c>
      <c r="E574" s="60" t="b">
        <v>1</v>
      </c>
      <c r="F574" s="80" t="s">
        <v>347</v>
      </c>
      <c r="G574" s="58" t="s">
        <v>2635</v>
      </c>
      <c r="H574" s="58" t="s">
        <v>1413</v>
      </c>
      <c r="I574" s="64" t="s">
        <v>2636</v>
      </c>
      <c r="J574" s="66"/>
      <c r="K574" s="66"/>
      <c r="L574" s="68"/>
      <c r="M574" s="63" t="str">
        <f>HYPERLINK("http://nsgreg.nga.mil/genc/view?v=862545&amp;end_month=12&amp;end_day=31&amp;end_year=2016","Correlation")</f>
        <v>Correlation</v>
      </c>
    </row>
    <row r="575" spans="1:13" x14ac:dyDescent="0.2">
      <c r="A575" s="113"/>
      <c r="B575" s="58" t="s">
        <v>2637</v>
      </c>
      <c r="C575" s="58" t="s">
        <v>1728</v>
      </c>
      <c r="D575" s="58" t="s">
        <v>2638</v>
      </c>
      <c r="E575" s="60" t="b">
        <v>1</v>
      </c>
      <c r="F575" s="80" t="s">
        <v>347</v>
      </c>
      <c r="G575" s="58" t="s">
        <v>2637</v>
      </c>
      <c r="H575" s="58" t="s">
        <v>1728</v>
      </c>
      <c r="I575" s="64" t="s">
        <v>2638</v>
      </c>
      <c r="J575" s="66"/>
      <c r="K575" s="66"/>
      <c r="L575" s="68"/>
      <c r="M575" s="63" t="str">
        <f>HYPERLINK("http://nsgreg.nga.mil/genc/view?v=862515&amp;end_month=12&amp;end_day=31&amp;end_year=2016","Correlation")</f>
        <v>Correlation</v>
      </c>
    </row>
    <row r="576" spans="1:13" x14ac:dyDescent="0.2">
      <c r="A576" s="113"/>
      <c r="B576" s="58" t="s">
        <v>2639</v>
      </c>
      <c r="C576" s="58" t="s">
        <v>1413</v>
      </c>
      <c r="D576" s="58" t="s">
        <v>2640</v>
      </c>
      <c r="E576" s="60" t="b">
        <v>1</v>
      </c>
      <c r="F576" s="80" t="s">
        <v>347</v>
      </c>
      <c r="G576" s="58" t="s">
        <v>2639</v>
      </c>
      <c r="H576" s="58" t="s">
        <v>1413</v>
      </c>
      <c r="I576" s="64" t="s">
        <v>2640</v>
      </c>
      <c r="J576" s="66"/>
      <c r="K576" s="66"/>
      <c r="L576" s="68"/>
      <c r="M576" s="63" t="str">
        <f>HYPERLINK("http://nsgreg.nga.mil/genc/view?v=862546&amp;end_month=12&amp;end_day=31&amp;end_year=2016","Correlation")</f>
        <v>Correlation</v>
      </c>
    </row>
    <row r="577" spans="1:13" x14ac:dyDescent="0.2">
      <c r="A577" s="113"/>
      <c r="B577" s="58" t="s">
        <v>2641</v>
      </c>
      <c r="C577" s="58" t="s">
        <v>1413</v>
      </c>
      <c r="D577" s="58" t="s">
        <v>2642</v>
      </c>
      <c r="E577" s="60" t="b">
        <v>1</v>
      </c>
      <c r="F577" s="80" t="s">
        <v>347</v>
      </c>
      <c r="G577" s="58" t="s">
        <v>2641</v>
      </c>
      <c r="H577" s="58" t="s">
        <v>1413</v>
      </c>
      <c r="I577" s="64" t="s">
        <v>2642</v>
      </c>
      <c r="J577" s="66"/>
      <c r="K577" s="66"/>
      <c r="L577" s="68"/>
      <c r="M577" s="63" t="str">
        <f>HYPERLINK("http://nsgreg.nga.mil/genc/view?v=862547&amp;end_month=12&amp;end_day=31&amp;end_year=2016","Correlation")</f>
        <v>Correlation</v>
      </c>
    </row>
    <row r="578" spans="1:13" x14ac:dyDescent="0.2">
      <c r="A578" s="113"/>
      <c r="B578" s="58" t="s">
        <v>2643</v>
      </c>
      <c r="C578" s="58" t="s">
        <v>1413</v>
      </c>
      <c r="D578" s="58" t="s">
        <v>2644</v>
      </c>
      <c r="E578" s="60" t="b">
        <v>1</v>
      </c>
      <c r="F578" s="80" t="s">
        <v>347</v>
      </c>
      <c r="G578" s="58" t="s">
        <v>2643</v>
      </c>
      <c r="H578" s="58" t="s">
        <v>1413</v>
      </c>
      <c r="I578" s="64" t="s">
        <v>2644</v>
      </c>
      <c r="J578" s="66"/>
      <c r="K578" s="66"/>
      <c r="L578" s="68"/>
      <c r="M578" s="63" t="str">
        <f>HYPERLINK("http://nsgreg.nga.mil/genc/view?v=862548&amp;end_month=12&amp;end_day=31&amp;end_year=2016","Correlation")</f>
        <v>Correlation</v>
      </c>
    </row>
    <row r="579" spans="1:13" x14ac:dyDescent="0.2">
      <c r="A579" s="113"/>
      <c r="B579" s="58" t="s">
        <v>2645</v>
      </c>
      <c r="C579" s="58" t="s">
        <v>1413</v>
      </c>
      <c r="D579" s="58" t="s">
        <v>2646</v>
      </c>
      <c r="E579" s="60" t="b">
        <v>1</v>
      </c>
      <c r="F579" s="80" t="s">
        <v>347</v>
      </c>
      <c r="G579" s="58" t="s">
        <v>2645</v>
      </c>
      <c r="H579" s="58" t="s">
        <v>1413</v>
      </c>
      <c r="I579" s="64" t="s">
        <v>2646</v>
      </c>
      <c r="J579" s="66"/>
      <c r="K579" s="66"/>
      <c r="L579" s="68"/>
      <c r="M579" s="63" t="str">
        <f>HYPERLINK("http://nsgreg.nga.mil/genc/view?v=862549&amp;end_month=12&amp;end_day=31&amp;end_year=2016","Correlation")</f>
        <v>Correlation</v>
      </c>
    </row>
    <row r="580" spans="1:13" x14ac:dyDescent="0.2">
      <c r="A580" s="113"/>
      <c r="B580" s="58" t="s">
        <v>2647</v>
      </c>
      <c r="C580" s="58" t="s">
        <v>1728</v>
      </c>
      <c r="D580" s="58" t="s">
        <v>2648</v>
      </c>
      <c r="E580" s="60" t="b">
        <v>1</v>
      </c>
      <c r="F580" s="80" t="s">
        <v>347</v>
      </c>
      <c r="G580" s="58" t="s">
        <v>2647</v>
      </c>
      <c r="H580" s="58" t="s">
        <v>1728</v>
      </c>
      <c r="I580" s="64" t="s">
        <v>2648</v>
      </c>
      <c r="J580" s="66"/>
      <c r="K580" s="66"/>
      <c r="L580" s="68"/>
      <c r="M580" s="63" t="str">
        <f>HYPERLINK("http://nsgreg.nga.mil/genc/view?v=862516&amp;end_month=12&amp;end_day=31&amp;end_year=2016","Correlation")</f>
        <v>Correlation</v>
      </c>
    </row>
    <row r="581" spans="1:13" x14ac:dyDescent="0.2">
      <c r="A581" s="113"/>
      <c r="B581" s="58" t="s">
        <v>2649</v>
      </c>
      <c r="C581" s="58" t="s">
        <v>1413</v>
      </c>
      <c r="D581" s="58" t="s">
        <v>2650</v>
      </c>
      <c r="E581" s="60" t="b">
        <v>1</v>
      </c>
      <c r="F581" s="80" t="s">
        <v>347</v>
      </c>
      <c r="G581" s="58" t="s">
        <v>2649</v>
      </c>
      <c r="H581" s="58" t="s">
        <v>1413</v>
      </c>
      <c r="I581" s="64" t="s">
        <v>2650</v>
      </c>
      <c r="J581" s="66"/>
      <c r="K581" s="66"/>
      <c r="L581" s="68"/>
      <c r="M581" s="63" t="str">
        <f>HYPERLINK("http://nsgreg.nga.mil/genc/view?v=862550&amp;end_month=12&amp;end_day=31&amp;end_year=2016","Correlation")</f>
        <v>Correlation</v>
      </c>
    </row>
    <row r="582" spans="1:13" x14ac:dyDescent="0.2">
      <c r="A582" s="113"/>
      <c r="B582" s="58" t="s">
        <v>2651</v>
      </c>
      <c r="C582" s="58" t="s">
        <v>1728</v>
      </c>
      <c r="D582" s="58" t="s">
        <v>2652</v>
      </c>
      <c r="E582" s="60" t="b">
        <v>1</v>
      </c>
      <c r="F582" s="80" t="s">
        <v>347</v>
      </c>
      <c r="G582" s="58" t="s">
        <v>2651</v>
      </c>
      <c r="H582" s="58" t="s">
        <v>1728</v>
      </c>
      <c r="I582" s="64" t="s">
        <v>2652</v>
      </c>
      <c r="J582" s="66"/>
      <c r="K582" s="66"/>
      <c r="L582" s="68"/>
      <c r="M582" s="63" t="str">
        <f>HYPERLINK("http://nsgreg.nga.mil/genc/view?v=862517&amp;end_month=12&amp;end_day=31&amp;end_year=2016","Correlation")</f>
        <v>Correlation</v>
      </c>
    </row>
    <row r="583" spans="1:13" x14ac:dyDescent="0.2">
      <c r="A583" s="113"/>
      <c r="B583" s="58" t="s">
        <v>2653</v>
      </c>
      <c r="C583" s="58" t="s">
        <v>1413</v>
      </c>
      <c r="D583" s="58" t="s">
        <v>2654</v>
      </c>
      <c r="E583" s="60" t="b">
        <v>1</v>
      </c>
      <c r="F583" s="80" t="s">
        <v>347</v>
      </c>
      <c r="G583" s="58" t="s">
        <v>2653</v>
      </c>
      <c r="H583" s="58" t="s">
        <v>1413</v>
      </c>
      <c r="I583" s="64" t="s">
        <v>2654</v>
      </c>
      <c r="J583" s="66"/>
      <c r="K583" s="66"/>
      <c r="L583" s="68"/>
      <c r="M583" s="63" t="str">
        <f>HYPERLINK("http://nsgreg.nga.mil/genc/view?v=862554&amp;end_month=12&amp;end_day=31&amp;end_year=2016","Correlation")</f>
        <v>Correlation</v>
      </c>
    </row>
    <row r="584" spans="1:13" x14ac:dyDescent="0.2">
      <c r="A584" s="113"/>
      <c r="B584" s="58" t="s">
        <v>2655</v>
      </c>
      <c r="C584" s="58" t="s">
        <v>1413</v>
      </c>
      <c r="D584" s="58" t="s">
        <v>2656</v>
      </c>
      <c r="E584" s="60" t="b">
        <v>1</v>
      </c>
      <c r="F584" s="80" t="s">
        <v>347</v>
      </c>
      <c r="G584" s="58" t="s">
        <v>2655</v>
      </c>
      <c r="H584" s="58" t="s">
        <v>1413</v>
      </c>
      <c r="I584" s="64" t="s">
        <v>2656</v>
      </c>
      <c r="J584" s="66"/>
      <c r="K584" s="66"/>
      <c r="L584" s="68"/>
      <c r="M584" s="63" t="str">
        <f>HYPERLINK("http://nsgreg.nga.mil/genc/view?v=862553&amp;end_month=12&amp;end_day=31&amp;end_year=2016","Correlation")</f>
        <v>Correlation</v>
      </c>
    </row>
    <row r="585" spans="1:13" x14ac:dyDescent="0.2">
      <c r="A585" s="113"/>
      <c r="B585" s="58" t="s">
        <v>2657</v>
      </c>
      <c r="C585" s="58" t="s">
        <v>1413</v>
      </c>
      <c r="D585" s="58" t="s">
        <v>2658</v>
      </c>
      <c r="E585" s="60" t="b">
        <v>1</v>
      </c>
      <c r="F585" s="80" t="s">
        <v>347</v>
      </c>
      <c r="G585" s="58" t="s">
        <v>2657</v>
      </c>
      <c r="H585" s="58" t="s">
        <v>1413</v>
      </c>
      <c r="I585" s="64" t="s">
        <v>2658</v>
      </c>
      <c r="J585" s="66"/>
      <c r="K585" s="66"/>
      <c r="L585" s="68"/>
      <c r="M585" s="63" t="str">
        <f>HYPERLINK("http://nsgreg.nga.mil/genc/view?v=862551&amp;end_month=12&amp;end_day=31&amp;end_year=2016","Correlation")</f>
        <v>Correlation</v>
      </c>
    </row>
    <row r="586" spans="1:13" x14ac:dyDescent="0.2">
      <c r="A586" s="113"/>
      <c r="B586" s="58" t="s">
        <v>2659</v>
      </c>
      <c r="C586" s="58" t="s">
        <v>1413</v>
      </c>
      <c r="D586" s="58" t="s">
        <v>2660</v>
      </c>
      <c r="E586" s="60" t="b">
        <v>1</v>
      </c>
      <c r="F586" s="80" t="s">
        <v>347</v>
      </c>
      <c r="G586" s="58" t="s">
        <v>2659</v>
      </c>
      <c r="H586" s="58" t="s">
        <v>1413</v>
      </c>
      <c r="I586" s="64" t="s">
        <v>2660</v>
      </c>
      <c r="J586" s="66"/>
      <c r="K586" s="66"/>
      <c r="L586" s="68"/>
      <c r="M586" s="63" t="str">
        <f>HYPERLINK("http://nsgreg.nga.mil/genc/view?v=862552&amp;end_month=12&amp;end_day=31&amp;end_year=2016","Correlation")</f>
        <v>Correlation</v>
      </c>
    </row>
    <row r="587" spans="1:13" x14ac:dyDescent="0.2">
      <c r="A587" s="113"/>
      <c r="B587" s="58" t="s">
        <v>2661</v>
      </c>
      <c r="C587" s="58" t="s">
        <v>1413</v>
      </c>
      <c r="D587" s="58" t="s">
        <v>2662</v>
      </c>
      <c r="E587" s="60" t="b">
        <v>1</v>
      </c>
      <c r="F587" s="80" t="s">
        <v>347</v>
      </c>
      <c r="G587" s="58" t="s">
        <v>2661</v>
      </c>
      <c r="H587" s="58" t="s">
        <v>1413</v>
      </c>
      <c r="I587" s="64" t="s">
        <v>2662</v>
      </c>
      <c r="J587" s="66"/>
      <c r="K587" s="66"/>
      <c r="L587" s="68"/>
      <c r="M587" s="63" t="str">
        <f>HYPERLINK("http://nsgreg.nga.mil/genc/view?v=862555&amp;end_month=12&amp;end_day=31&amp;end_year=2016","Correlation")</f>
        <v>Correlation</v>
      </c>
    </row>
    <row r="588" spans="1:13" x14ac:dyDescent="0.2">
      <c r="A588" s="113"/>
      <c r="B588" s="58" t="s">
        <v>2663</v>
      </c>
      <c r="C588" s="58" t="s">
        <v>1413</v>
      </c>
      <c r="D588" s="58" t="s">
        <v>2664</v>
      </c>
      <c r="E588" s="60" t="b">
        <v>1</v>
      </c>
      <c r="F588" s="80" t="s">
        <v>347</v>
      </c>
      <c r="G588" s="58" t="s">
        <v>2663</v>
      </c>
      <c r="H588" s="58" t="s">
        <v>1413</v>
      </c>
      <c r="I588" s="64" t="s">
        <v>2664</v>
      </c>
      <c r="J588" s="66"/>
      <c r="K588" s="66"/>
      <c r="L588" s="68"/>
      <c r="M588" s="63" t="str">
        <f>HYPERLINK("http://nsgreg.nga.mil/genc/view?v=862556&amp;end_month=12&amp;end_day=31&amp;end_year=2016","Correlation")</f>
        <v>Correlation</v>
      </c>
    </row>
    <row r="589" spans="1:13" x14ac:dyDescent="0.2">
      <c r="A589" s="113"/>
      <c r="B589" s="58" t="s">
        <v>2665</v>
      </c>
      <c r="C589" s="58" t="s">
        <v>1728</v>
      </c>
      <c r="D589" s="58" t="s">
        <v>2666</v>
      </c>
      <c r="E589" s="60" t="b">
        <v>1</v>
      </c>
      <c r="F589" s="80" t="s">
        <v>347</v>
      </c>
      <c r="G589" s="58" t="s">
        <v>2665</v>
      </c>
      <c r="H589" s="58" t="s">
        <v>1728</v>
      </c>
      <c r="I589" s="64" t="s">
        <v>2666</v>
      </c>
      <c r="J589" s="66"/>
      <c r="K589" s="66"/>
      <c r="L589" s="68"/>
      <c r="M589" s="63" t="str">
        <f>HYPERLINK("http://nsgreg.nga.mil/genc/view?v=862518&amp;end_month=12&amp;end_day=31&amp;end_year=2016","Correlation")</f>
        <v>Correlation</v>
      </c>
    </row>
    <row r="590" spans="1:13" x14ac:dyDescent="0.2">
      <c r="A590" s="113"/>
      <c r="B590" s="58" t="s">
        <v>2667</v>
      </c>
      <c r="C590" s="58" t="s">
        <v>1413</v>
      </c>
      <c r="D590" s="58" t="s">
        <v>2668</v>
      </c>
      <c r="E590" s="60" t="b">
        <v>1</v>
      </c>
      <c r="F590" s="80" t="s">
        <v>347</v>
      </c>
      <c r="G590" s="58" t="s">
        <v>2667</v>
      </c>
      <c r="H590" s="58" t="s">
        <v>1413</v>
      </c>
      <c r="I590" s="64" t="s">
        <v>2668</v>
      </c>
      <c r="J590" s="66"/>
      <c r="K590" s="66"/>
      <c r="L590" s="68"/>
      <c r="M590" s="63" t="str">
        <f>HYPERLINK("http://nsgreg.nga.mil/genc/view?v=862557&amp;end_month=12&amp;end_day=31&amp;end_year=2016","Correlation")</f>
        <v>Correlation</v>
      </c>
    </row>
    <row r="591" spans="1:13" x14ac:dyDescent="0.2">
      <c r="A591" s="113"/>
      <c r="B591" s="58" t="s">
        <v>2669</v>
      </c>
      <c r="C591" s="58" t="s">
        <v>1413</v>
      </c>
      <c r="D591" s="58" t="s">
        <v>2670</v>
      </c>
      <c r="E591" s="60" t="b">
        <v>1</v>
      </c>
      <c r="F591" s="80" t="s">
        <v>347</v>
      </c>
      <c r="G591" s="58" t="s">
        <v>2669</v>
      </c>
      <c r="H591" s="58" t="s">
        <v>1413</v>
      </c>
      <c r="I591" s="64" t="s">
        <v>2670</v>
      </c>
      <c r="J591" s="66"/>
      <c r="K591" s="66"/>
      <c r="L591" s="68"/>
      <c r="M591" s="63" t="str">
        <f>HYPERLINK("http://nsgreg.nga.mil/genc/view?v=862558&amp;end_month=12&amp;end_day=31&amp;end_year=2016","Correlation")</f>
        <v>Correlation</v>
      </c>
    </row>
    <row r="592" spans="1:13" x14ac:dyDescent="0.2">
      <c r="A592" s="113"/>
      <c r="B592" s="58" t="s">
        <v>2671</v>
      </c>
      <c r="C592" s="58" t="s">
        <v>1413</v>
      </c>
      <c r="D592" s="58" t="s">
        <v>2672</v>
      </c>
      <c r="E592" s="60" t="b">
        <v>1</v>
      </c>
      <c r="F592" s="80" t="s">
        <v>347</v>
      </c>
      <c r="G592" s="58" t="s">
        <v>2671</v>
      </c>
      <c r="H592" s="58" t="s">
        <v>1413</v>
      </c>
      <c r="I592" s="64" t="s">
        <v>2672</v>
      </c>
      <c r="J592" s="66"/>
      <c r="K592" s="66"/>
      <c r="L592" s="68"/>
      <c r="M592" s="63" t="str">
        <f>HYPERLINK("http://nsgreg.nga.mil/genc/view?v=862559&amp;end_month=12&amp;end_day=31&amp;end_year=2016","Correlation")</f>
        <v>Correlation</v>
      </c>
    </row>
    <row r="593" spans="1:13" x14ac:dyDescent="0.2">
      <c r="A593" s="113"/>
      <c r="B593" s="58" t="s">
        <v>2673</v>
      </c>
      <c r="C593" s="58" t="s">
        <v>1413</v>
      </c>
      <c r="D593" s="58" t="s">
        <v>2674</v>
      </c>
      <c r="E593" s="60" t="b">
        <v>1</v>
      </c>
      <c r="F593" s="80" t="s">
        <v>347</v>
      </c>
      <c r="G593" s="58" t="s">
        <v>2673</v>
      </c>
      <c r="H593" s="58" t="s">
        <v>1413</v>
      </c>
      <c r="I593" s="64" t="s">
        <v>2674</v>
      </c>
      <c r="J593" s="66"/>
      <c r="K593" s="66"/>
      <c r="L593" s="68"/>
      <c r="M593" s="63" t="str">
        <f>HYPERLINK("http://nsgreg.nga.mil/genc/view?v=862560&amp;end_month=12&amp;end_day=31&amp;end_year=2016","Correlation")</f>
        <v>Correlation</v>
      </c>
    </row>
    <row r="594" spans="1:13" x14ac:dyDescent="0.2">
      <c r="A594" s="113"/>
      <c r="B594" s="58" t="s">
        <v>2675</v>
      </c>
      <c r="C594" s="58" t="s">
        <v>1413</v>
      </c>
      <c r="D594" s="58" t="s">
        <v>2676</v>
      </c>
      <c r="E594" s="60" t="b">
        <v>1</v>
      </c>
      <c r="F594" s="80" t="s">
        <v>347</v>
      </c>
      <c r="G594" s="58" t="s">
        <v>2675</v>
      </c>
      <c r="H594" s="58" t="s">
        <v>1413</v>
      </c>
      <c r="I594" s="64" t="s">
        <v>2676</v>
      </c>
      <c r="J594" s="66"/>
      <c r="K594" s="66"/>
      <c r="L594" s="68"/>
      <c r="M594" s="63" t="str">
        <f>HYPERLINK("http://nsgreg.nga.mil/genc/view?v=862561&amp;end_month=12&amp;end_day=31&amp;end_year=2016","Correlation")</f>
        <v>Correlation</v>
      </c>
    </row>
    <row r="595" spans="1:13" x14ac:dyDescent="0.2">
      <c r="A595" s="113"/>
      <c r="B595" s="58" t="s">
        <v>2677</v>
      </c>
      <c r="C595" s="58" t="s">
        <v>1413</v>
      </c>
      <c r="D595" s="58" t="s">
        <v>2678</v>
      </c>
      <c r="E595" s="60" t="b">
        <v>1</v>
      </c>
      <c r="F595" s="80" t="s">
        <v>347</v>
      </c>
      <c r="G595" s="58" t="s">
        <v>2677</v>
      </c>
      <c r="H595" s="58" t="s">
        <v>1413</v>
      </c>
      <c r="I595" s="64" t="s">
        <v>2678</v>
      </c>
      <c r="J595" s="66"/>
      <c r="K595" s="66"/>
      <c r="L595" s="68"/>
      <c r="M595" s="63" t="str">
        <f>HYPERLINK("http://nsgreg.nga.mil/genc/view?v=862562&amp;end_month=12&amp;end_day=31&amp;end_year=2016","Correlation")</f>
        <v>Correlation</v>
      </c>
    </row>
    <row r="596" spans="1:13" x14ac:dyDescent="0.2">
      <c r="A596" s="114"/>
      <c r="B596" s="71" t="s">
        <v>2679</v>
      </c>
      <c r="C596" s="71" t="s">
        <v>1413</v>
      </c>
      <c r="D596" s="71" t="s">
        <v>2680</v>
      </c>
      <c r="E596" s="73" t="b">
        <v>1</v>
      </c>
      <c r="F596" s="81" t="s">
        <v>347</v>
      </c>
      <c r="G596" s="71" t="s">
        <v>2679</v>
      </c>
      <c r="H596" s="71" t="s">
        <v>1413</v>
      </c>
      <c r="I596" s="74" t="s">
        <v>2680</v>
      </c>
      <c r="J596" s="76"/>
      <c r="K596" s="76"/>
      <c r="L596" s="82"/>
      <c r="M596" s="77" t="str">
        <f>HYPERLINK("http://nsgreg.nga.mil/genc/view?v=862563&amp;end_month=12&amp;end_day=31&amp;end_year=2016","Correlation")</f>
        <v>Correlation</v>
      </c>
    </row>
    <row r="597" spans="1:13" x14ac:dyDescent="0.2">
      <c r="A597" s="112" t="s">
        <v>351</v>
      </c>
      <c r="B597" s="50" t="s">
        <v>2681</v>
      </c>
      <c r="C597" s="50" t="s">
        <v>1728</v>
      </c>
      <c r="D597" s="50" t="s">
        <v>2682</v>
      </c>
      <c r="E597" s="52" t="b">
        <v>1</v>
      </c>
      <c r="F597" s="78" t="s">
        <v>355</v>
      </c>
      <c r="G597" s="50" t="s">
        <v>2683</v>
      </c>
      <c r="H597" s="50" t="s">
        <v>1728</v>
      </c>
      <c r="I597" s="53" t="s">
        <v>2682</v>
      </c>
      <c r="J597" s="55"/>
      <c r="K597" s="55"/>
      <c r="L597" s="79"/>
      <c r="M597" s="56" t="str">
        <f>HYPERLINK("http://nsgreg.nga.mil/genc/view?v=865137&amp;end_month=12&amp;end_day=31&amp;end_year=2016","Correlation")</f>
        <v>Correlation</v>
      </c>
    </row>
    <row r="598" spans="1:13" x14ac:dyDescent="0.2">
      <c r="A598" s="113"/>
      <c r="B598" s="58" t="s">
        <v>2684</v>
      </c>
      <c r="C598" s="58" t="s">
        <v>1728</v>
      </c>
      <c r="D598" s="58" t="s">
        <v>2685</v>
      </c>
      <c r="E598" s="60" t="b">
        <v>1</v>
      </c>
      <c r="F598" s="80" t="s">
        <v>355</v>
      </c>
      <c r="G598" s="58" t="s">
        <v>2684</v>
      </c>
      <c r="H598" s="58" t="s">
        <v>1728</v>
      </c>
      <c r="I598" s="64" t="s">
        <v>2685</v>
      </c>
      <c r="J598" s="66"/>
      <c r="K598" s="66"/>
      <c r="L598" s="68"/>
      <c r="M598" s="63" t="str">
        <f>HYPERLINK("http://nsgreg.nga.mil/genc/view?v=865132&amp;end_month=12&amp;end_day=31&amp;end_year=2016","Correlation")</f>
        <v>Correlation</v>
      </c>
    </row>
    <row r="599" spans="1:13" x14ac:dyDescent="0.2">
      <c r="A599" s="113"/>
      <c r="B599" s="58" t="s">
        <v>2686</v>
      </c>
      <c r="C599" s="58" t="s">
        <v>1763</v>
      </c>
      <c r="D599" s="58" t="s">
        <v>2687</v>
      </c>
      <c r="E599" s="60" t="b">
        <v>1</v>
      </c>
      <c r="F599" s="80" t="s">
        <v>355</v>
      </c>
      <c r="G599" s="58" t="s">
        <v>2688</v>
      </c>
      <c r="H599" s="58" t="s">
        <v>1763</v>
      </c>
      <c r="I599" s="64" t="s">
        <v>2687</v>
      </c>
      <c r="J599" s="66"/>
      <c r="K599" s="66"/>
      <c r="L599" s="68"/>
      <c r="M599" s="63" t="str">
        <f>HYPERLINK("http://nsgreg.nga.mil/genc/view?v=865141&amp;end_month=12&amp;end_day=31&amp;end_year=2016","Correlation")</f>
        <v>Correlation</v>
      </c>
    </row>
    <row r="600" spans="1:13" x14ac:dyDescent="0.2">
      <c r="A600" s="113"/>
      <c r="B600" s="58" t="s">
        <v>2689</v>
      </c>
      <c r="C600" s="58" t="s">
        <v>1763</v>
      </c>
      <c r="D600" s="58" t="s">
        <v>2690</v>
      </c>
      <c r="E600" s="60" t="b">
        <v>1</v>
      </c>
      <c r="F600" s="80" t="s">
        <v>355</v>
      </c>
      <c r="G600" s="58" t="s">
        <v>2691</v>
      </c>
      <c r="H600" s="58" t="s">
        <v>1763</v>
      </c>
      <c r="I600" s="64" t="s">
        <v>2690</v>
      </c>
      <c r="J600" s="66"/>
      <c r="K600" s="66"/>
      <c r="L600" s="68"/>
      <c r="M600" s="63" t="str">
        <f>HYPERLINK("http://nsgreg.nga.mil/genc/view?v=865138&amp;end_month=12&amp;end_day=31&amp;end_year=2016","Correlation")</f>
        <v>Correlation</v>
      </c>
    </row>
    <row r="601" spans="1:13" x14ac:dyDescent="0.2">
      <c r="A601" s="113"/>
      <c r="B601" s="58" t="s">
        <v>2692</v>
      </c>
      <c r="C601" s="58" t="s">
        <v>1763</v>
      </c>
      <c r="D601" s="58" t="s">
        <v>2693</v>
      </c>
      <c r="E601" s="60" t="b">
        <v>1</v>
      </c>
      <c r="F601" s="80" t="s">
        <v>355</v>
      </c>
      <c r="G601" s="58" t="s">
        <v>2694</v>
      </c>
      <c r="H601" s="58" t="s">
        <v>1763</v>
      </c>
      <c r="I601" s="64" t="s">
        <v>2693</v>
      </c>
      <c r="J601" s="66"/>
      <c r="K601" s="66"/>
      <c r="L601" s="68"/>
      <c r="M601" s="63" t="str">
        <f>HYPERLINK("http://nsgreg.nga.mil/genc/view?v=865139&amp;end_month=12&amp;end_day=31&amp;end_year=2016","Correlation")</f>
        <v>Correlation</v>
      </c>
    </row>
    <row r="602" spans="1:13" x14ac:dyDescent="0.2">
      <c r="A602" s="113"/>
      <c r="B602" s="58" t="s">
        <v>2695</v>
      </c>
      <c r="C602" s="58" t="s">
        <v>1763</v>
      </c>
      <c r="D602" s="58" t="s">
        <v>2696</v>
      </c>
      <c r="E602" s="60" t="b">
        <v>1</v>
      </c>
      <c r="F602" s="80" t="s">
        <v>355</v>
      </c>
      <c r="G602" s="58" t="s">
        <v>2697</v>
      </c>
      <c r="H602" s="58" t="s">
        <v>1763</v>
      </c>
      <c r="I602" s="64" t="s">
        <v>2696</v>
      </c>
      <c r="J602" s="66"/>
      <c r="K602" s="66"/>
      <c r="L602" s="68"/>
      <c r="M602" s="63" t="str">
        <f>HYPERLINK("http://nsgreg.nga.mil/genc/view?v=865140&amp;end_month=12&amp;end_day=31&amp;end_year=2016","Correlation")</f>
        <v>Correlation</v>
      </c>
    </row>
    <row r="603" spans="1:13" x14ac:dyDescent="0.2">
      <c r="A603" s="113"/>
      <c r="B603" s="58" t="s">
        <v>2698</v>
      </c>
      <c r="C603" s="58" t="s">
        <v>1728</v>
      </c>
      <c r="D603" s="58" t="s">
        <v>2699</v>
      </c>
      <c r="E603" s="60" t="b">
        <v>1</v>
      </c>
      <c r="F603" s="80" t="s">
        <v>355</v>
      </c>
      <c r="G603" s="58" t="s">
        <v>2698</v>
      </c>
      <c r="H603" s="58" t="s">
        <v>1728</v>
      </c>
      <c r="I603" s="64" t="s">
        <v>2699</v>
      </c>
      <c r="J603" s="66"/>
      <c r="K603" s="66"/>
      <c r="L603" s="68"/>
      <c r="M603" s="63" t="str">
        <f>HYPERLINK("http://nsgreg.nga.mil/genc/view?v=865133&amp;end_month=12&amp;end_day=31&amp;end_year=2016","Correlation")</f>
        <v>Correlation</v>
      </c>
    </row>
    <row r="604" spans="1:13" x14ac:dyDescent="0.2">
      <c r="A604" s="113"/>
      <c r="B604" s="58" t="s">
        <v>2700</v>
      </c>
      <c r="C604" s="58" t="s">
        <v>1728</v>
      </c>
      <c r="D604" s="58" t="s">
        <v>2701</v>
      </c>
      <c r="E604" s="60" t="b">
        <v>1</v>
      </c>
      <c r="F604" s="80" t="s">
        <v>355</v>
      </c>
      <c r="G604" s="58" t="s">
        <v>2700</v>
      </c>
      <c r="H604" s="58" t="s">
        <v>1728</v>
      </c>
      <c r="I604" s="64" t="s">
        <v>2701</v>
      </c>
      <c r="J604" s="66"/>
      <c r="K604" s="66"/>
      <c r="L604" s="68"/>
      <c r="M604" s="63" t="str">
        <f>HYPERLINK("http://nsgreg.nga.mil/genc/view?v=865134&amp;end_month=12&amp;end_day=31&amp;end_year=2016","Correlation")</f>
        <v>Correlation</v>
      </c>
    </row>
    <row r="605" spans="1:13" x14ac:dyDescent="0.2">
      <c r="A605" s="113"/>
      <c r="B605" s="58" t="s">
        <v>2702</v>
      </c>
      <c r="C605" s="58" t="s">
        <v>1763</v>
      </c>
      <c r="D605" s="58" t="s">
        <v>2703</v>
      </c>
      <c r="E605" s="60" t="b">
        <v>1</v>
      </c>
      <c r="F605" s="80" t="s">
        <v>355</v>
      </c>
      <c r="G605" s="58" t="s">
        <v>2704</v>
      </c>
      <c r="H605" s="58" t="s">
        <v>1763</v>
      </c>
      <c r="I605" s="64" t="s">
        <v>2703</v>
      </c>
      <c r="J605" s="66"/>
      <c r="K605" s="66"/>
      <c r="L605" s="68"/>
      <c r="M605" s="63" t="str">
        <f>HYPERLINK("http://nsgreg.nga.mil/genc/view?v=865142&amp;end_month=12&amp;end_day=31&amp;end_year=2016","Correlation")</f>
        <v>Correlation</v>
      </c>
    </row>
    <row r="606" spans="1:13" x14ac:dyDescent="0.2">
      <c r="A606" s="113"/>
      <c r="B606" s="58" t="s">
        <v>2705</v>
      </c>
      <c r="C606" s="58" t="s">
        <v>2706</v>
      </c>
      <c r="D606" s="58" t="s">
        <v>2707</v>
      </c>
      <c r="E606" s="60" t="b">
        <v>1</v>
      </c>
      <c r="F606" s="80" t="s">
        <v>355</v>
      </c>
      <c r="G606" s="58" t="s">
        <v>2705</v>
      </c>
      <c r="H606" s="58" t="s">
        <v>2706</v>
      </c>
      <c r="I606" s="64" t="s">
        <v>2707</v>
      </c>
      <c r="J606" s="66"/>
      <c r="K606" s="66"/>
      <c r="L606" s="68"/>
      <c r="M606" s="63" t="str">
        <f>HYPERLINK("http://nsgreg.nga.mil/genc/view?v=865145&amp;end_month=12&amp;end_day=31&amp;end_year=2016","Correlation")</f>
        <v>Correlation</v>
      </c>
    </row>
    <row r="607" spans="1:13" x14ac:dyDescent="0.2">
      <c r="A607" s="113"/>
      <c r="B607" s="58" t="s">
        <v>2708</v>
      </c>
      <c r="C607" s="58" t="s">
        <v>1763</v>
      </c>
      <c r="D607" s="58" t="s">
        <v>2709</v>
      </c>
      <c r="E607" s="60" t="b">
        <v>1</v>
      </c>
      <c r="F607" s="80" t="s">
        <v>355</v>
      </c>
      <c r="G607" s="58" t="s">
        <v>2710</v>
      </c>
      <c r="H607" s="58" t="s">
        <v>1763</v>
      </c>
      <c r="I607" s="64" t="s">
        <v>2709</v>
      </c>
      <c r="J607" s="66"/>
      <c r="K607" s="66"/>
      <c r="L607" s="68"/>
      <c r="M607" s="63" t="str">
        <f>HYPERLINK("http://nsgreg.nga.mil/genc/view?v=865143&amp;end_month=12&amp;end_day=31&amp;end_year=2016","Correlation")</f>
        <v>Correlation</v>
      </c>
    </row>
    <row r="608" spans="1:13" x14ac:dyDescent="0.2">
      <c r="A608" s="113"/>
      <c r="B608" s="58" t="s">
        <v>2711</v>
      </c>
      <c r="C608" s="58" t="s">
        <v>1728</v>
      </c>
      <c r="D608" s="58" t="s">
        <v>2712</v>
      </c>
      <c r="E608" s="60" t="b">
        <v>1</v>
      </c>
      <c r="F608" s="80" t="s">
        <v>355</v>
      </c>
      <c r="G608" s="58" t="s">
        <v>2711</v>
      </c>
      <c r="H608" s="58" t="s">
        <v>1728</v>
      </c>
      <c r="I608" s="64" t="s">
        <v>2712</v>
      </c>
      <c r="J608" s="66"/>
      <c r="K608" s="66"/>
      <c r="L608" s="68"/>
      <c r="M608" s="63" t="str">
        <f>HYPERLINK("http://nsgreg.nga.mil/genc/view?v=865131&amp;end_month=12&amp;end_day=31&amp;end_year=2016","Correlation")</f>
        <v>Correlation</v>
      </c>
    </row>
    <row r="609" spans="1:13" x14ac:dyDescent="0.2">
      <c r="A609" s="113"/>
      <c r="B609" s="58" t="s">
        <v>2713</v>
      </c>
      <c r="C609" s="58" t="s">
        <v>1763</v>
      </c>
      <c r="D609" s="58" t="s">
        <v>2714</v>
      </c>
      <c r="E609" s="60" t="b">
        <v>1</v>
      </c>
      <c r="F609" s="80" t="s">
        <v>355</v>
      </c>
      <c r="G609" s="58" t="s">
        <v>2715</v>
      </c>
      <c r="H609" s="58" t="s">
        <v>1763</v>
      </c>
      <c r="I609" s="64" t="s">
        <v>2714</v>
      </c>
      <c r="J609" s="66"/>
      <c r="K609" s="66"/>
      <c r="L609" s="68"/>
      <c r="M609" s="63" t="str">
        <f>HYPERLINK("http://nsgreg.nga.mil/genc/view?v=865144&amp;end_month=12&amp;end_day=31&amp;end_year=2016","Correlation")</f>
        <v>Correlation</v>
      </c>
    </row>
    <row r="610" spans="1:13" x14ac:dyDescent="0.2">
      <c r="A610" s="113"/>
      <c r="B610" s="58" t="s">
        <v>2716</v>
      </c>
      <c r="C610" s="58" t="s">
        <v>1728</v>
      </c>
      <c r="D610" s="58" t="s">
        <v>2717</v>
      </c>
      <c r="E610" s="60" t="b">
        <v>1</v>
      </c>
      <c r="F610" s="80" t="s">
        <v>355</v>
      </c>
      <c r="G610" s="58" t="s">
        <v>2718</v>
      </c>
      <c r="H610" s="58" t="s">
        <v>1728</v>
      </c>
      <c r="I610" s="64" t="s">
        <v>2717</v>
      </c>
      <c r="J610" s="66"/>
      <c r="K610" s="66"/>
      <c r="L610" s="68"/>
      <c r="M610" s="63" t="str">
        <f>HYPERLINK("http://nsgreg.nga.mil/genc/view?v=865135&amp;end_month=12&amp;end_day=31&amp;end_year=2016","Correlation")</f>
        <v>Correlation</v>
      </c>
    </row>
    <row r="611" spans="1:13" x14ac:dyDescent="0.2">
      <c r="A611" s="114"/>
      <c r="B611" s="71" t="s">
        <v>2719</v>
      </c>
      <c r="C611" s="71" t="s">
        <v>1728</v>
      </c>
      <c r="D611" s="71" t="s">
        <v>2720</v>
      </c>
      <c r="E611" s="73" t="b">
        <v>1</v>
      </c>
      <c r="F611" s="81" t="s">
        <v>355</v>
      </c>
      <c r="G611" s="71" t="s">
        <v>2719</v>
      </c>
      <c r="H611" s="71" t="s">
        <v>1728</v>
      </c>
      <c r="I611" s="74" t="s">
        <v>2720</v>
      </c>
      <c r="J611" s="76"/>
      <c r="K611" s="76"/>
      <c r="L611" s="82"/>
      <c r="M611" s="77" t="str">
        <f>HYPERLINK("http://nsgreg.nga.mil/genc/view?v=865136&amp;end_month=12&amp;end_day=31&amp;end_year=2016","Correlation")</f>
        <v>Correlation</v>
      </c>
    </row>
    <row r="612" spans="1:13" x14ac:dyDescent="0.2">
      <c r="A612" s="112" t="s">
        <v>356</v>
      </c>
      <c r="B612" s="50" t="s">
        <v>2721</v>
      </c>
      <c r="C612" s="50" t="s">
        <v>1413</v>
      </c>
      <c r="D612" s="50" t="s">
        <v>2722</v>
      </c>
      <c r="E612" s="52" t="b">
        <v>1</v>
      </c>
      <c r="F612" s="78" t="s">
        <v>356</v>
      </c>
      <c r="G612" s="50" t="s">
        <v>2721</v>
      </c>
      <c r="H612" s="50" t="s">
        <v>1413</v>
      </c>
      <c r="I612" s="53" t="s">
        <v>2722</v>
      </c>
      <c r="J612" s="55"/>
      <c r="K612" s="55"/>
      <c r="L612" s="79"/>
      <c r="M612" s="56" t="str">
        <f>HYPERLINK("http://nsgreg.nga.mil/genc/view?v=862596&amp;end_month=12&amp;end_day=31&amp;end_year=2016","Correlation")</f>
        <v>Correlation</v>
      </c>
    </row>
    <row r="613" spans="1:13" x14ac:dyDescent="0.2">
      <c r="A613" s="113"/>
      <c r="B613" s="58" t="s">
        <v>2723</v>
      </c>
      <c r="C613" s="58" t="s">
        <v>1413</v>
      </c>
      <c r="D613" s="58" t="s">
        <v>2724</v>
      </c>
      <c r="E613" s="60" t="b">
        <v>1</v>
      </c>
      <c r="F613" s="80" t="s">
        <v>356</v>
      </c>
      <c r="G613" s="58" t="s">
        <v>2723</v>
      </c>
      <c r="H613" s="58" t="s">
        <v>1413</v>
      </c>
      <c r="I613" s="64" t="s">
        <v>2724</v>
      </c>
      <c r="J613" s="66"/>
      <c r="K613" s="66"/>
      <c r="L613" s="68"/>
      <c r="M613" s="63" t="str">
        <f>HYPERLINK("http://nsgreg.nga.mil/genc/view?v=862598&amp;end_month=12&amp;end_day=31&amp;end_year=2016","Correlation")</f>
        <v>Correlation</v>
      </c>
    </row>
    <row r="614" spans="1:13" x14ac:dyDescent="0.2">
      <c r="A614" s="113"/>
      <c r="B614" s="58" t="s">
        <v>2725</v>
      </c>
      <c r="C614" s="58" t="s">
        <v>1413</v>
      </c>
      <c r="D614" s="58" t="s">
        <v>2726</v>
      </c>
      <c r="E614" s="60" t="b">
        <v>1</v>
      </c>
      <c r="F614" s="80" t="s">
        <v>356</v>
      </c>
      <c r="G614" s="58" t="s">
        <v>2725</v>
      </c>
      <c r="H614" s="58" t="s">
        <v>1413</v>
      </c>
      <c r="I614" s="64" t="s">
        <v>2726</v>
      </c>
      <c r="J614" s="66"/>
      <c r="K614" s="66"/>
      <c r="L614" s="68"/>
      <c r="M614" s="63" t="str">
        <f>HYPERLINK("http://nsgreg.nga.mil/genc/view?v=862597&amp;end_month=12&amp;end_day=31&amp;end_year=2016","Correlation")</f>
        <v>Correlation</v>
      </c>
    </row>
    <row r="615" spans="1:13" x14ac:dyDescent="0.2">
      <c r="A615" s="113"/>
      <c r="B615" s="58" t="s">
        <v>2727</v>
      </c>
      <c r="C615" s="58" t="s">
        <v>1413</v>
      </c>
      <c r="D615" s="58" t="s">
        <v>2728</v>
      </c>
      <c r="E615" s="60" t="b">
        <v>1</v>
      </c>
      <c r="F615" s="80" t="s">
        <v>356</v>
      </c>
      <c r="G615" s="58" t="s">
        <v>2727</v>
      </c>
      <c r="H615" s="58" t="s">
        <v>1413</v>
      </c>
      <c r="I615" s="64" t="s">
        <v>2728</v>
      </c>
      <c r="J615" s="66"/>
      <c r="K615" s="66"/>
      <c r="L615" s="68"/>
      <c r="M615" s="63" t="str">
        <f>HYPERLINK("http://nsgreg.nga.mil/genc/view?v=862599&amp;end_month=12&amp;end_day=31&amp;end_year=2016","Correlation")</f>
        <v>Correlation</v>
      </c>
    </row>
    <row r="616" spans="1:13" x14ac:dyDescent="0.2">
      <c r="A616" s="113"/>
      <c r="B616" s="58" t="s">
        <v>2729</v>
      </c>
      <c r="C616" s="58" t="s">
        <v>1413</v>
      </c>
      <c r="D616" s="58" t="s">
        <v>2730</v>
      </c>
      <c r="E616" s="60" t="b">
        <v>1</v>
      </c>
      <c r="F616" s="80" t="s">
        <v>356</v>
      </c>
      <c r="G616" s="58" t="s">
        <v>2729</v>
      </c>
      <c r="H616" s="58" t="s">
        <v>1413</v>
      </c>
      <c r="I616" s="64" t="s">
        <v>2730</v>
      </c>
      <c r="J616" s="66"/>
      <c r="K616" s="66"/>
      <c r="L616" s="68"/>
      <c r="M616" s="63" t="str">
        <f>HYPERLINK("http://nsgreg.nga.mil/genc/view?v=862600&amp;end_month=12&amp;end_day=31&amp;end_year=2016","Correlation")</f>
        <v>Correlation</v>
      </c>
    </row>
    <row r="617" spans="1:13" x14ac:dyDescent="0.2">
      <c r="A617" s="113"/>
      <c r="B617" s="58" t="s">
        <v>2731</v>
      </c>
      <c r="C617" s="58" t="s">
        <v>1413</v>
      </c>
      <c r="D617" s="58" t="s">
        <v>2732</v>
      </c>
      <c r="E617" s="60" t="b">
        <v>1</v>
      </c>
      <c r="F617" s="80" t="s">
        <v>356</v>
      </c>
      <c r="G617" s="58" t="s">
        <v>2731</v>
      </c>
      <c r="H617" s="58" t="s">
        <v>1413</v>
      </c>
      <c r="I617" s="64" t="s">
        <v>2732</v>
      </c>
      <c r="J617" s="66"/>
      <c r="K617" s="66"/>
      <c r="L617" s="68"/>
      <c r="M617" s="63" t="str">
        <f>HYPERLINK("http://nsgreg.nga.mil/genc/view?v=862601&amp;end_month=12&amp;end_day=31&amp;end_year=2016","Correlation")</f>
        <v>Correlation</v>
      </c>
    </row>
    <row r="618" spans="1:13" x14ac:dyDescent="0.2">
      <c r="A618" s="113"/>
      <c r="B618" s="58" t="s">
        <v>2733</v>
      </c>
      <c r="C618" s="58" t="s">
        <v>1413</v>
      </c>
      <c r="D618" s="58" t="s">
        <v>2734</v>
      </c>
      <c r="E618" s="60" t="b">
        <v>1</v>
      </c>
      <c r="F618" s="80" t="s">
        <v>356</v>
      </c>
      <c r="G618" s="58" t="s">
        <v>2733</v>
      </c>
      <c r="H618" s="58" t="s">
        <v>1413</v>
      </c>
      <c r="I618" s="64" t="s">
        <v>2734</v>
      </c>
      <c r="J618" s="66"/>
      <c r="K618" s="66"/>
      <c r="L618" s="68"/>
      <c r="M618" s="63" t="str">
        <f>HYPERLINK("http://nsgreg.nga.mil/genc/view?v=862602&amp;end_month=12&amp;end_day=31&amp;end_year=2016","Correlation")</f>
        <v>Correlation</v>
      </c>
    </row>
    <row r="619" spans="1:13" x14ac:dyDescent="0.2">
      <c r="A619" s="113"/>
      <c r="B619" s="58" t="s">
        <v>2735</v>
      </c>
      <c r="C619" s="58" t="s">
        <v>1413</v>
      </c>
      <c r="D619" s="58" t="s">
        <v>2736</v>
      </c>
      <c r="E619" s="60" t="b">
        <v>1</v>
      </c>
      <c r="F619" s="80" t="s">
        <v>356</v>
      </c>
      <c r="G619" s="58" t="s">
        <v>2735</v>
      </c>
      <c r="H619" s="58" t="s">
        <v>1413</v>
      </c>
      <c r="I619" s="64" t="s">
        <v>2736</v>
      </c>
      <c r="J619" s="66"/>
      <c r="K619" s="66"/>
      <c r="L619" s="68"/>
      <c r="M619" s="63" t="str">
        <f>HYPERLINK("http://nsgreg.nga.mil/genc/view?v=862604&amp;end_month=12&amp;end_day=31&amp;end_year=2016","Correlation")</f>
        <v>Correlation</v>
      </c>
    </row>
    <row r="620" spans="1:13" x14ac:dyDescent="0.2">
      <c r="A620" s="113"/>
      <c r="B620" s="58" t="s">
        <v>2737</v>
      </c>
      <c r="C620" s="58" t="s">
        <v>1413</v>
      </c>
      <c r="D620" s="58" t="s">
        <v>2738</v>
      </c>
      <c r="E620" s="60" t="b">
        <v>1</v>
      </c>
      <c r="F620" s="80" t="s">
        <v>356</v>
      </c>
      <c r="G620" s="58" t="s">
        <v>2737</v>
      </c>
      <c r="H620" s="58" t="s">
        <v>1413</v>
      </c>
      <c r="I620" s="64" t="s">
        <v>2738</v>
      </c>
      <c r="J620" s="66"/>
      <c r="K620" s="66"/>
      <c r="L620" s="68"/>
      <c r="M620" s="63" t="str">
        <f>HYPERLINK("http://nsgreg.nga.mil/genc/view?v=862605&amp;end_month=12&amp;end_day=31&amp;end_year=2016","Correlation")</f>
        <v>Correlation</v>
      </c>
    </row>
    <row r="621" spans="1:13" x14ac:dyDescent="0.2">
      <c r="A621" s="113"/>
      <c r="B621" s="58" t="s">
        <v>2739</v>
      </c>
      <c r="C621" s="58" t="s">
        <v>1413</v>
      </c>
      <c r="D621" s="58" t="s">
        <v>2740</v>
      </c>
      <c r="E621" s="60" t="b">
        <v>1</v>
      </c>
      <c r="F621" s="80" t="s">
        <v>356</v>
      </c>
      <c r="G621" s="58" t="s">
        <v>2739</v>
      </c>
      <c r="H621" s="58" t="s">
        <v>1413</v>
      </c>
      <c r="I621" s="64" t="s">
        <v>2740</v>
      </c>
      <c r="J621" s="66"/>
      <c r="K621" s="66"/>
      <c r="L621" s="68"/>
      <c r="M621" s="63" t="str">
        <f>HYPERLINK("http://nsgreg.nga.mil/genc/view?v=862603&amp;end_month=12&amp;end_day=31&amp;end_year=2016","Correlation")</f>
        <v>Correlation</v>
      </c>
    </row>
    <row r="622" spans="1:13" x14ac:dyDescent="0.2">
      <c r="A622" s="113"/>
      <c r="B622" s="58" t="s">
        <v>2741</v>
      </c>
      <c r="C622" s="58" t="s">
        <v>1413</v>
      </c>
      <c r="D622" s="58" t="s">
        <v>2742</v>
      </c>
      <c r="E622" s="60" t="b">
        <v>1</v>
      </c>
      <c r="F622" s="80" t="s">
        <v>356</v>
      </c>
      <c r="G622" s="58" t="s">
        <v>2741</v>
      </c>
      <c r="H622" s="58" t="s">
        <v>1413</v>
      </c>
      <c r="I622" s="64" t="s">
        <v>2742</v>
      </c>
      <c r="J622" s="66"/>
      <c r="K622" s="66"/>
      <c r="L622" s="68"/>
      <c r="M622" s="63" t="str">
        <f>HYPERLINK("http://nsgreg.nga.mil/genc/view?v=862606&amp;end_month=12&amp;end_day=31&amp;end_year=2016","Correlation")</f>
        <v>Correlation</v>
      </c>
    </row>
    <row r="623" spans="1:13" x14ac:dyDescent="0.2">
      <c r="A623" s="113"/>
      <c r="B623" s="58" t="s">
        <v>2743</v>
      </c>
      <c r="C623" s="58" t="s">
        <v>1413</v>
      </c>
      <c r="D623" s="58" t="s">
        <v>2744</v>
      </c>
      <c r="E623" s="60" t="b">
        <v>1</v>
      </c>
      <c r="F623" s="80" t="s">
        <v>356</v>
      </c>
      <c r="G623" s="58" t="s">
        <v>2743</v>
      </c>
      <c r="H623" s="58" t="s">
        <v>1413</v>
      </c>
      <c r="I623" s="64" t="s">
        <v>2744</v>
      </c>
      <c r="J623" s="66"/>
      <c r="K623" s="66"/>
      <c r="L623" s="68"/>
      <c r="M623" s="63" t="str">
        <f>HYPERLINK("http://nsgreg.nga.mil/genc/view?v=862607&amp;end_month=12&amp;end_day=31&amp;end_year=2016","Correlation")</f>
        <v>Correlation</v>
      </c>
    </row>
    <row r="624" spans="1:13" x14ac:dyDescent="0.2">
      <c r="A624" s="113"/>
      <c r="B624" s="58" t="s">
        <v>2745</v>
      </c>
      <c r="C624" s="58" t="s">
        <v>1413</v>
      </c>
      <c r="D624" s="58" t="s">
        <v>2746</v>
      </c>
      <c r="E624" s="60" t="b">
        <v>1</v>
      </c>
      <c r="F624" s="80" t="s">
        <v>356</v>
      </c>
      <c r="G624" s="58" t="s">
        <v>2745</v>
      </c>
      <c r="H624" s="58" t="s">
        <v>1413</v>
      </c>
      <c r="I624" s="64" t="s">
        <v>2746</v>
      </c>
      <c r="J624" s="66"/>
      <c r="K624" s="66"/>
      <c r="L624" s="68"/>
      <c r="M624" s="63" t="str">
        <f>HYPERLINK("http://nsgreg.nga.mil/genc/view?v=862609&amp;end_month=12&amp;end_day=31&amp;end_year=2016","Correlation")</f>
        <v>Correlation</v>
      </c>
    </row>
    <row r="625" spans="1:13" x14ac:dyDescent="0.2">
      <c r="A625" s="113"/>
      <c r="B625" s="58" t="s">
        <v>2747</v>
      </c>
      <c r="C625" s="58" t="s">
        <v>1413</v>
      </c>
      <c r="D625" s="58" t="s">
        <v>2748</v>
      </c>
      <c r="E625" s="60" t="b">
        <v>1</v>
      </c>
      <c r="F625" s="80" t="s">
        <v>356</v>
      </c>
      <c r="G625" s="58" t="s">
        <v>2747</v>
      </c>
      <c r="H625" s="58" t="s">
        <v>1413</v>
      </c>
      <c r="I625" s="64" t="s">
        <v>2748</v>
      </c>
      <c r="J625" s="66"/>
      <c r="K625" s="66"/>
      <c r="L625" s="68"/>
      <c r="M625" s="63" t="str">
        <f>HYPERLINK("http://nsgreg.nga.mil/genc/view?v=862608&amp;end_month=12&amp;end_day=31&amp;end_year=2016","Correlation")</f>
        <v>Correlation</v>
      </c>
    </row>
    <row r="626" spans="1:13" x14ac:dyDescent="0.2">
      <c r="A626" s="113"/>
      <c r="B626" s="58" t="s">
        <v>2749</v>
      </c>
      <c r="C626" s="58" t="s">
        <v>1413</v>
      </c>
      <c r="D626" s="58" t="s">
        <v>2750</v>
      </c>
      <c r="E626" s="60" t="b">
        <v>1</v>
      </c>
      <c r="F626" s="80" t="s">
        <v>356</v>
      </c>
      <c r="G626" s="58" t="s">
        <v>2749</v>
      </c>
      <c r="H626" s="58" t="s">
        <v>1413</v>
      </c>
      <c r="I626" s="64" t="s">
        <v>2750</v>
      </c>
      <c r="J626" s="66"/>
      <c r="K626" s="66"/>
      <c r="L626" s="68"/>
      <c r="M626" s="63" t="str">
        <f>HYPERLINK("http://nsgreg.nga.mil/genc/view?v=862610&amp;end_month=12&amp;end_day=31&amp;end_year=2016","Correlation")</f>
        <v>Correlation</v>
      </c>
    </row>
    <row r="627" spans="1:13" x14ac:dyDescent="0.2">
      <c r="A627" s="113"/>
      <c r="B627" s="58" t="s">
        <v>2751</v>
      </c>
      <c r="C627" s="58" t="s">
        <v>1413</v>
      </c>
      <c r="D627" s="58" t="s">
        <v>2752</v>
      </c>
      <c r="E627" s="60" t="b">
        <v>1</v>
      </c>
      <c r="F627" s="80" t="s">
        <v>356</v>
      </c>
      <c r="G627" s="58" t="s">
        <v>2751</v>
      </c>
      <c r="H627" s="58" t="s">
        <v>1413</v>
      </c>
      <c r="I627" s="64" t="s">
        <v>2752</v>
      </c>
      <c r="J627" s="66"/>
      <c r="K627" s="66"/>
      <c r="L627" s="68"/>
      <c r="M627" s="63" t="str">
        <f>HYPERLINK("http://nsgreg.nga.mil/genc/view?v=862611&amp;end_month=12&amp;end_day=31&amp;end_year=2016","Correlation")</f>
        <v>Correlation</v>
      </c>
    </row>
    <row r="628" spans="1:13" x14ac:dyDescent="0.2">
      <c r="A628" s="113"/>
      <c r="B628" s="58" t="s">
        <v>2753</v>
      </c>
      <c r="C628" s="58" t="s">
        <v>1413</v>
      </c>
      <c r="D628" s="58" t="s">
        <v>2754</v>
      </c>
      <c r="E628" s="60" t="b">
        <v>1</v>
      </c>
      <c r="F628" s="80" t="s">
        <v>356</v>
      </c>
      <c r="G628" s="58" t="s">
        <v>2753</v>
      </c>
      <c r="H628" s="58" t="s">
        <v>1413</v>
      </c>
      <c r="I628" s="64" t="s">
        <v>2754</v>
      </c>
      <c r="J628" s="66"/>
      <c r="K628" s="66"/>
      <c r="L628" s="68"/>
      <c r="M628" s="63" t="str">
        <f>HYPERLINK("http://nsgreg.nga.mil/genc/view?v=862612&amp;end_month=12&amp;end_day=31&amp;end_year=2016","Correlation")</f>
        <v>Correlation</v>
      </c>
    </row>
    <row r="629" spans="1:13" x14ac:dyDescent="0.2">
      <c r="A629" s="114"/>
      <c r="B629" s="71" t="s">
        <v>2755</v>
      </c>
      <c r="C629" s="71" t="s">
        <v>1413</v>
      </c>
      <c r="D629" s="71" t="s">
        <v>2756</v>
      </c>
      <c r="E629" s="73" t="b">
        <v>1</v>
      </c>
      <c r="F629" s="81" t="s">
        <v>356</v>
      </c>
      <c r="G629" s="71" t="s">
        <v>2755</v>
      </c>
      <c r="H629" s="71" t="s">
        <v>1413</v>
      </c>
      <c r="I629" s="74" t="s">
        <v>2756</v>
      </c>
      <c r="J629" s="76"/>
      <c r="K629" s="76"/>
      <c r="L629" s="82"/>
      <c r="M629" s="77" t="str">
        <f>HYPERLINK("http://nsgreg.nga.mil/genc/view?v=862613&amp;end_month=12&amp;end_day=31&amp;end_year=2016","Correlation")</f>
        <v>Correlation</v>
      </c>
    </row>
    <row r="630" spans="1:13" x14ac:dyDescent="0.2">
      <c r="A630" s="112" t="s">
        <v>360</v>
      </c>
      <c r="B630" s="50" t="s">
        <v>2757</v>
      </c>
      <c r="C630" s="50" t="s">
        <v>1816</v>
      </c>
      <c r="D630" s="50" t="s">
        <v>2758</v>
      </c>
      <c r="E630" s="52" t="b">
        <v>1</v>
      </c>
      <c r="F630" s="78" t="s">
        <v>2759</v>
      </c>
      <c r="G630" s="50" t="s">
        <v>2757</v>
      </c>
      <c r="H630" s="50" t="s">
        <v>1816</v>
      </c>
      <c r="I630" s="53" t="s">
        <v>2758</v>
      </c>
      <c r="J630" s="55"/>
      <c r="K630" s="55"/>
      <c r="L630" s="79"/>
      <c r="M630" s="56" t="str">
        <f>HYPERLINK("http://nsgreg.nga.mil/genc/view?v=862982&amp;end_month=12&amp;end_day=31&amp;end_year=2016","Correlation")</f>
        <v>Correlation</v>
      </c>
    </row>
    <row r="631" spans="1:13" x14ac:dyDescent="0.2">
      <c r="A631" s="113"/>
      <c r="B631" s="58" t="s">
        <v>2760</v>
      </c>
      <c r="C631" s="58" t="s">
        <v>1816</v>
      </c>
      <c r="D631" s="58" t="s">
        <v>2761</v>
      </c>
      <c r="E631" s="60" t="b">
        <v>1</v>
      </c>
      <c r="F631" s="80" t="s">
        <v>2759</v>
      </c>
      <c r="G631" s="58" t="s">
        <v>2760</v>
      </c>
      <c r="H631" s="58" t="s">
        <v>1816</v>
      </c>
      <c r="I631" s="64" t="s">
        <v>2761</v>
      </c>
      <c r="J631" s="66"/>
      <c r="K631" s="66"/>
      <c r="L631" s="68"/>
      <c r="M631" s="63" t="str">
        <f>HYPERLINK("http://nsgreg.nga.mil/genc/view?v=862981&amp;end_month=12&amp;end_day=31&amp;end_year=2016","Correlation")</f>
        <v>Correlation</v>
      </c>
    </row>
    <row r="632" spans="1:13" x14ac:dyDescent="0.2">
      <c r="A632" s="113"/>
      <c r="B632" s="58" t="s">
        <v>2762</v>
      </c>
      <c r="C632" s="58" t="s">
        <v>2763</v>
      </c>
      <c r="D632" s="58" t="s">
        <v>2764</v>
      </c>
      <c r="E632" s="60" t="b">
        <v>1</v>
      </c>
      <c r="F632" s="80" t="s">
        <v>2759</v>
      </c>
      <c r="G632" s="58" t="s">
        <v>2762</v>
      </c>
      <c r="H632" s="58" t="s">
        <v>2763</v>
      </c>
      <c r="I632" s="64" t="s">
        <v>2764</v>
      </c>
      <c r="J632" s="66"/>
      <c r="K632" s="66"/>
      <c r="L632" s="68"/>
      <c r="M632" s="63" t="str">
        <f>HYPERLINK("http://nsgreg.nga.mil/genc/view?v=862980&amp;end_month=12&amp;end_day=31&amp;end_year=2016","Correlation")</f>
        <v>Correlation</v>
      </c>
    </row>
    <row r="633" spans="1:13" x14ac:dyDescent="0.2">
      <c r="A633" s="113"/>
      <c r="B633" s="58" t="s">
        <v>2765</v>
      </c>
      <c r="C633" s="58" t="s">
        <v>2763</v>
      </c>
      <c r="D633" s="58" t="s">
        <v>2766</v>
      </c>
      <c r="E633" s="60" t="b">
        <v>1</v>
      </c>
      <c r="F633" s="80" t="s">
        <v>2759</v>
      </c>
      <c r="G633" s="58" t="s">
        <v>2765</v>
      </c>
      <c r="H633" s="58" t="s">
        <v>2763</v>
      </c>
      <c r="I633" s="64" t="s">
        <v>2766</v>
      </c>
      <c r="J633" s="66"/>
      <c r="K633" s="66"/>
      <c r="L633" s="68"/>
      <c r="M633" s="63" t="str">
        <f>HYPERLINK("http://nsgreg.nga.mil/genc/view?v=862994&amp;end_month=12&amp;end_day=31&amp;end_year=2016","Correlation")</f>
        <v>Correlation</v>
      </c>
    </row>
    <row r="634" spans="1:13" x14ac:dyDescent="0.2">
      <c r="A634" s="113"/>
      <c r="B634" s="58" t="s">
        <v>2767</v>
      </c>
      <c r="C634" s="58" t="s">
        <v>1816</v>
      </c>
      <c r="D634" s="58" t="s">
        <v>2768</v>
      </c>
      <c r="E634" s="60" t="b">
        <v>1</v>
      </c>
      <c r="F634" s="80" t="s">
        <v>2759</v>
      </c>
      <c r="G634" s="58" t="s">
        <v>2767</v>
      </c>
      <c r="H634" s="58" t="s">
        <v>1816</v>
      </c>
      <c r="I634" s="64" t="s">
        <v>2768</v>
      </c>
      <c r="J634" s="66"/>
      <c r="K634" s="66"/>
      <c r="L634" s="68"/>
      <c r="M634" s="63" t="str">
        <f>HYPERLINK("http://nsgreg.nga.mil/genc/view?v=862986&amp;end_month=12&amp;end_day=31&amp;end_year=2016","Correlation")</f>
        <v>Correlation</v>
      </c>
    </row>
    <row r="635" spans="1:13" x14ac:dyDescent="0.2">
      <c r="A635" s="113"/>
      <c r="B635" s="58" t="s">
        <v>2769</v>
      </c>
      <c r="C635" s="58" t="s">
        <v>1816</v>
      </c>
      <c r="D635" s="58" t="s">
        <v>2770</v>
      </c>
      <c r="E635" s="60" t="b">
        <v>1</v>
      </c>
      <c r="F635" s="80" t="s">
        <v>2759</v>
      </c>
      <c r="G635" s="58" t="s">
        <v>2769</v>
      </c>
      <c r="H635" s="58" t="s">
        <v>1816</v>
      </c>
      <c r="I635" s="64" t="s">
        <v>2770</v>
      </c>
      <c r="J635" s="66"/>
      <c r="K635" s="66"/>
      <c r="L635" s="68"/>
      <c r="M635" s="63" t="str">
        <f>HYPERLINK("http://nsgreg.nga.mil/genc/view?v=862987&amp;end_month=12&amp;end_day=31&amp;end_year=2016","Correlation")</f>
        <v>Correlation</v>
      </c>
    </row>
    <row r="636" spans="1:13" x14ac:dyDescent="0.2">
      <c r="A636" s="113"/>
      <c r="B636" s="58" t="s">
        <v>2771</v>
      </c>
      <c r="C636" s="58" t="s">
        <v>1816</v>
      </c>
      <c r="D636" s="58" t="s">
        <v>2772</v>
      </c>
      <c r="E636" s="60" t="b">
        <v>1</v>
      </c>
      <c r="F636" s="80" t="s">
        <v>2759</v>
      </c>
      <c r="G636" s="58" t="s">
        <v>2771</v>
      </c>
      <c r="H636" s="58" t="s">
        <v>1816</v>
      </c>
      <c r="I636" s="64" t="s">
        <v>2772</v>
      </c>
      <c r="J636" s="66"/>
      <c r="K636" s="66"/>
      <c r="L636" s="68"/>
      <c r="M636" s="63" t="str">
        <f>HYPERLINK("http://nsgreg.nga.mil/genc/view?v=862988&amp;end_month=12&amp;end_day=31&amp;end_year=2016","Correlation")</f>
        <v>Correlation</v>
      </c>
    </row>
    <row r="637" spans="1:13" x14ac:dyDescent="0.2">
      <c r="A637" s="113"/>
      <c r="B637" s="58" t="s">
        <v>2773</v>
      </c>
      <c r="C637" s="58" t="s">
        <v>1816</v>
      </c>
      <c r="D637" s="58" t="s">
        <v>2774</v>
      </c>
      <c r="E637" s="60" t="b">
        <v>1</v>
      </c>
      <c r="F637" s="80" t="s">
        <v>2759</v>
      </c>
      <c r="G637" s="58" t="s">
        <v>2773</v>
      </c>
      <c r="H637" s="58" t="s">
        <v>1816</v>
      </c>
      <c r="I637" s="64" t="s">
        <v>2774</v>
      </c>
      <c r="J637" s="66"/>
      <c r="K637" s="66"/>
      <c r="L637" s="68"/>
      <c r="M637" s="63" t="str">
        <f>HYPERLINK("http://nsgreg.nga.mil/genc/view?v=862989&amp;end_month=12&amp;end_day=31&amp;end_year=2016","Correlation")</f>
        <v>Correlation</v>
      </c>
    </row>
    <row r="638" spans="1:13" x14ac:dyDescent="0.2">
      <c r="A638" s="113"/>
      <c r="B638" s="58" t="s">
        <v>2775</v>
      </c>
      <c r="C638" s="58" t="s">
        <v>1816</v>
      </c>
      <c r="D638" s="58" t="s">
        <v>2776</v>
      </c>
      <c r="E638" s="60" t="b">
        <v>1</v>
      </c>
      <c r="F638" s="80" t="s">
        <v>2759</v>
      </c>
      <c r="G638" s="58" t="s">
        <v>2775</v>
      </c>
      <c r="H638" s="58" t="s">
        <v>1816</v>
      </c>
      <c r="I638" s="64" t="s">
        <v>2776</v>
      </c>
      <c r="J638" s="66"/>
      <c r="K638" s="66"/>
      <c r="L638" s="68"/>
      <c r="M638" s="63" t="str">
        <f>HYPERLINK("http://nsgreg.nga.mil/genc/view?v=862990&amp;end_month=12&amp;end_day=31&amp;end_year=2016","Correlation")</f>
        <v>Correlation</v>
      </c>
    </row>
    <row r="639" spans="1:13" x14ac:dyDescent="0.2">
      <c r="A639" s="113"/>
      <c r="B639" s="58" t="s">
        <v>2777</v>
      </c>
      <c r="C639" s="58" t="s">
        <v>1816</v>
      </c>
      <c r="D639" s="58" t="s">
        <v>2778</v>
      </c>
      <c r="E639" s="60" t="b">
        <v>1</v>
      </c>
      <c r="F639" s="80" t="s">
        <v>2759</v>
      </c>
      <c r="G639" s="58" t="s">
        <v>2777</v>
      </c>
      <c r="H639" s="58" t="s">
        <v>1816</v>
      </c>
      <c r="I639" s="64" t="s">
        <v>2778</v>
      </c>
      <c r="J639" s="66"/>
      <c r="K639" s="66"/>
      <c r="L639" s="68"/>
      <c r="M639" s="63" t="str">
        <f>HYPERLINK("http://nsgreg.nga.mil/genc/view?v=862991&amp;end_month=12&amp;end_day=31&amp;end_year=2016","Correlation")</f>
        <v>Correlation</v>
      </c>
    </row>
    <row r="640" spans="1:13" x14ac:dyDescent="0.2">
      <c r="A640" s="113"/>
      <c r="B640" s="58" t="s">
        <v>2779</v>
      </c>
      <c r="C640" s="58" t="s">
        <v>1816</v>
      </c>
      <c r="D640" s="58" t="s">
        <v>2780</v>
      </c>
      <c r="E640" s="60" t="b">
        <v>1</v>
      </c>
      <c r="F640" s="80" t="s">
        <v>2759</v>
      </c>
      <c r="G640" s="58" t="s">
        <v>2779</v>
      </c>
      <c r="H640" s="58" t="s">
        <v>1816</v>
      </c>
      <c r="I640" s="64" t="s">
        <v>2780</v>
      </c>
      <c r="J640" s="66"/>
      <c r="K640" s="66"/>
      <c r="L640" s="68"/>
      <c r="M640" s="63" t="str">
        <f>HYPERLINK("http://nsgreg.nga.mil/genc/view?v=862992&amp;end_month=12&amp;end_day=31&amp;end_year=2016","Correlation")</f>
        <v>Correlation</v>
      </c>
    </row>
    <row r="641" spans="1:13" x14ac:dyDescent="0.2">
      <c r="A641" s="113"/>
      <c r="B641" s="58" t="s">
        <v>2781</v>
      </c>
      <c r="C641" s="58" t="s">
        <v>1816</v>
      </c>
      <c r="D641" s="58" t="s">
        <v>2782</v>
      </c>
      <c r="E641" s="60" t="b">
        <v>1</v>
      </c>
      <c r="F641" s="80" t="s">
        <v>2759</v>
      </c>
      <c r="G641" s="58" t="s">
        <v>2781</v>
      </c>
      <c r="H641" s="58" t="s">
        <v>1816</v>
      </c>
      <c r="I641" s="64" t="s">
        <v>2782</v>
      </c>
      <c r="J641" s="66"/>
      <c r="K641" s="66"/>
      <c r="L641" s="68"/>
      <c r="M641" s="63" t="str">
        <f>HYPERLINK("http://nsgreg.nga.mil/genc/view?v=862993&amp;end_month=12&amp;end_day=31&amp;end_year=2016","Correlation")</f>
        <v>Correlation</v>
      </c>
    </row>
    <row r="642" spans="1:13" x14ac:dyDescent="0.2">
      <c r="A642" s="113"/>
      <c r="B642" s="58" t="s">
        <v>2783</v>
      </c>
      <c r="C642" s="58" t="s">
        <v>1816</v>
      </c>
      <c r="D642" s="58" t="s">
        <v>2784</v>
      </c>
      <c r="E642" s="60" t="b">
        <v>1</v>
      </c>
      <c r="F642" s="80" t="s">
        <v>2759</v>
      </c>
      <c r="G642" s="58" t="s">
        <v>2783</v>
      </c>
      <c r="H642" s="58" t="s">
        <v>1816</v>
      </c>
      <c r="I642" s="64" t="s">
        <v>2784</v>
      </c>
      <c r="J642" s="66"/>
      <c r="K642" s="66"/>
      <c r="L642" s="68"/>
      <c r="M642" s="63" t="str">
        <f>HYPERLINK("http://nsgreg.nga.mil/genc/view?v=862997&amp;end_month=12&amp;end_day=31&amp;end_year=2016","Correlation")</f>
        <v>Correlation</v>
      </c>
    </row>
    <row r="643" spans="1:13" x14ac:dyDescent="0.2">
      <c r="A643" s="113"/>
      <c r="B643" s="58" t="s">
        <v>2491</v>
      </c>
      <c r="C643" s="58" t="s">
        <v>1816</v>
      </c>
      <c r="D643" s="58" t="s">
        <v>2785</v>
      </c>
      <c r="E643" s="60" t="b">
        <v>1</v>
      </c>
      <c r="F643" s="80" t="s">
        <v>2759</v>
      </c>
      <c r="G643" s="58" t="s">
        <v>2491</v>
      </c>
      <c r="H643" s="58" t="s">
        <v>1816</v>
      </c>
      <c r="I643" s="64" t="s">
        <v>2785</v>
      </c>
      <c r="J643" s="66"/>
      <c r="K643" s="66"/>
      <c r="L643" s="68"/>
      <c r="M643" s="63" t="str">
        <f>HYPERLINK("http://nsgreg.nga.mil/genc/view?v=862983&amp;end_month=12&amp;end_day=31&amp;end_year=2016","Correlation")</f>
        <v>Correlation</v>
      </c>
    </row>
    <row r="644" spans="1:13" x14ac:dyDescent="0.2">
      <c r="A644" s="113"/>
      <c r="B644" s="58" t="s">
        <v>2786</v>
      </c>
      <c r="C644" s="58" t="s">
        <v>1816</v>
      </c>
      <c r="D644" s="58" t="s">
        <v>2787</v>
      </c>
      <c r="E644" s="60" t="b">
        <v>1</v>
      </c>
      <c r="F644" s="80" t="s">
        <v>2759</v>
      </c>
      <c r="G644" s="58" t="s">
        <v>2786</v>
      </c>
      <c r="H644" s="58" t="s">
        <v>1816</v>
      </c>
      <c r="I644" s="64" t="s">
        <v>2787</v>
      </c>
      <c r="J644" s="66"/>
      <c r="K644" s="66"/>
      <c r="L644" s="68"/>
      <c r="M644" s="63" t="str">
        <f>HYPERLINK("http://nsgreg.nga.mil/genc/view?v=862984&amp;end_month=12&amp;end_day=31&amp;end_year=2016","Correlation")</f>
        <v>Correlation</v>
      </c>
    </row>
    <row r="645" spans="1:13" x14ac:dyDescent="0.2">
      <c r="A645" s="113"/>
      <c r="B645" s="58" t="s">
        <v>1716</v>
      </c>
      <c r="C645" s="58" t="s">
        <v>1816</v>
      </c>
      <c r="D645" s="58" t="s">
        <v>2788</v>
      </c>
      <c r="E645" s="60" t="b">
        <v>1</v>
      </c>
      <c r="F645" s="80" t="s">
        <v>2759</v>
      </c>
      <c r="G645" s="58" t="s">
        <v>1716</v>
      </c>
      <c r="H645" s="58" t="s">
        <v>1816</v>
      </c>
      <c r="I645" s="64" t="s">
        <v>2788</v>
      </c>
      <c r="J645" s="66"/>
      <c r="K645" s="66"/>
      <c r="L645" s="68"/>
      <c r="M645" s="63" t="str">
        <f>HYPERLINK("http://nsgreg.nga.mil/genc/view?v=862985&amp;end_month=12&amp;end_day=31&amp;end_year=2016","Correlation")</f>
        <v>Correlation</v>
      </c>
    </row>
    <row r="646" spans="1:13" x14ac:dyDescent="0.2">
      <c r="A646" s="113"/>
      <c r="B646" s="58" t="s">
        <v>2789</v>
      </c>
      <c r="C646" s="58" t="s">
        <v>1816</v>
      </c>
      <c r="D646" s="58" t="s">
        <v>2790</v>
      </c>
      <c r="E646" s="60" t="b">
        <v>1</v>
      </c>
      <c r="F646" s="80" t="s">
        <v>2759</v>
      </c>
      <c r="G646" s="58" t="s">
        <v>2789</v>
      </c>
      <c r="H646" s="58" t="s">
        <v>1816</v>
      </c>
      <c r="I646" s="64" t="s">
        <v>2790</v>
      </c>
      <c r="J646" s="66"/>
      <c r="K646" s="66"/>
      <c r="L646" s="68"/>
      <c r="M646" s="63" t="str">
        <f>HYPERLINK("http://nsgreg.nga.mil/genc/view?v=862995&amp;end_month=12&amp;end_day=31&amp;end_year=2016","Correlation")</f>
        <v>Correlation</v>
      </c>
    </row>
    <row r="647" spans="1:13" x14ac:dyDescent="0.2">
      <c r="A647" s="113"/>
      <c r="B647" s="58" t="s">
        <v>2791</v>
      </c>
      <c r="C647" s="58" t="s">
        <v>1816</v>
      </c>
      <c r="D647" s="58" t="s">
        <v>2792</v>
      </c>
      <c r="E647" s="60" t="b">
        <v>1</v>
      </c>
      <c r="F647" s="80" t="s">
        <v>2759</v>
      </c>
      <c r="G647" s="58" t="s">
        <v>2791</v>
      </c>
      <c r="H647" s="58" t="s">
        <v>1816</v>
      </c>
      <c r="I647" s="64" t="s">
        <v>2792</v>
      </c>
      <c r="J647" s="66"/>
      <c r="K647" s="66"/>
      <c r="L647" s="68"/>
      <c r="M647" s="63" t="str">
        <f>HYPERLINK("http://nsgreg.nga.mil/genc/view?v=862996&amp;end_month=12&amp;end_day=31&amp;end_year=2016","Correlation")</f>
        <v>Correlation</v>
      </c>
    </row>
    <row r="648" spans="1:13" x14ac:dyDescent="0.2">
      <c r="A648" s="113"/>
      <c r="B648" s="58" t="s">
        <v>2793</v>
      </c>
      <c r="C648" s="58" t="s">
        <v>1816</v>
      </c>
      <c r="D648" s="58" t="s">
        <v>2794</v>
      </c>
      <c r="E648" s="60" t="b">
        <v>1</v>
      </c>
      <c r="F648" s="80" t="s">
        <v>2759</v>
      </c>
      <c r="G648" s="58" t="s">
        <v>2793</v>
      </c>
      <c r="H648" s="58" t="s">
        <v>1816</v>
      </c>
      <c r="I648" s="64" t="s">
        <v>2794</v>
      </c>
      <c r="J648" s="66"/>
      <c r="K648" s="66"/>
      <c r="L648" s="68"/>
      <c r="M648" s="63" t="str">
        <f>HYPERLINK("http://nsgreg.nga.mil/genc/view?v=862999&amp;end_month=12&amp;end_day=31&amp;end_year=2016","Correlation")</f>
        <v>Correlation</v>
      </c>
    </row>
    <row r="649" spans="1:13" x14ac:dyDescent="0.2">
      <c r="A649" s="113"/>
      <c r="B649" s="58" t="s">
        <v>2795</v>
      </c>
      <c r="C649" s="58" t="s">
        <v>1816</v>
      </c>
      <c r="D649" s="58" t="s">
        <v>2796</v>
      </c>
      <c r="E649" s="60" t="b">
        <v>1</v>
      </c>
      <c r="F649" s="80" t="s">
        <v>2759</v>
      </c>
      <c r="G649" s="58" t="s">
        <v>2795</v>
      </c>
      <c r="H649" s="58" t="s">
        <v>1816</v>
      </c>
      <c r="I649" s="64" t="s">
        <v>2796</v>
      </c>
      <c r="J649" s="66"/>
      <c r="K649" s="66"/>
      <c r="L649" s="68"/>
      <c r="M649" s="63" t="str">
        <f>HYPERLINK("http://nsgreg.nga.mil/genc/view?v=862998&amp;end_month=12&amp;end_day=31&amp;end_year=2016","Correlation")</f>
        <v>Correlation</v>
      </c>
    </row>
    <row r="650" spans="1:13" x14ac:dyDescent="0.2">
      <c r="A650" s="113"/>
      <c r="B650" s="58" t="s">
        <v>2797</v>
      </c>
      <c r="C650" s="58" t="s">
        <v>1816</v>
      </c>
      <c r="D650" s="58" t="s">
        <v>2798</v>
      </c>
      <c r="E650" s="60" t="b">
        <v>1</v>
      </c>
      <c r="F650" s="80" t="s">
        <v>2759</v>
      </c>
      <c r="G650" s="58" t="s">
        <v>2797</v>
      </c>
      <c r="H650" s="58" t="s">
        <v>1816</v>
      </c>
      <c r="I650" s="64" t="s">
        <v>2798</v>
      </c>
      <c r="J650" s="66"/>
      <c r="K650" s="66"/>
      <c r="L650" s="68"/>
      <c r="M650" s="63" t="str">
        <f>HYPERLINK("http://nsgreg.nga.mil/genc/view?v=863000&amp;end_month=12&amp;end_day=31&amp;end_year=2016","Correlation")</f>
        <v>Correlation</v>
      </c>
    </row>
    <row r="651" spans="1:13" x14ac:dyDescent="0.2">
      <c r="A651" s="113"/>
      <c r="B651" s="58" t="s">
        <v>2799</v>
      </c>
      <c r="C651" s="58" t="s">
        <v>1816</v>
      </c>
      <c r="D651" s="58" t="s">
        <v>2800</v>
      </c>
      <c r="E651" s="60" t="b">
        <v>1</v>
      </c>
      <c r="F651" s="80" t="s">
        <v>2759</v>
      </c>
      <c r="G651" s="58" t="s">
        <v>2799</v>
      </c>
      <c r="H651" s="58" t="s">
        <v>1816</v>
      </c>
      <c r="I651" s="64" t="s">
        <v>2800</v>
      </c>
      <c r="J651" s="66"/>
      <c r="K651" s="66"/>
      <c r="L651" s="68"/>
      <c r="M651" s="63" t="str">
        <f>HYPERLINK("http://nsgreg.nga.mil/genc/view?v=863001&amp;end_month=12&amp;end_day=31&amp;end_year=2016","Correlation")</f>
        <v>Correlation</v>
      </c>
    </row>
    <row r="652" spans="1:13" x14ac:dyDescent="0.2">
      <c r="A652" s="113"/>
      <c r="B652" s="58" t="s">
        <v>2801</v>
      </c>
      <c r="C652" s="58" t="s">
        <v>1816</v>
      </c>
      <c r="D652" s="58" t="s">
        <v>2802</v>
      </c>
      <c r="E652" s="60" t="b">
        <v>1</v>
      </c>
      <c r="F652" s="80" t="s">
        <v>2759</v>
      </c>
      <c r="G652" s="58" t="s">
        <v>2801</v>
      </c>
      <c r="H652" s="58" t="s">
        <v>1816</v>
      </c>
      <c r="I652" s="64" t="s">
        <v>2802</v>
      </c>
      <c r="J652" s="66"/>
      <c r="K652" s="66"/>
      <c r="L652" s="68"/>
      <c r="M652" s="63" t="str">
        <f>HYPERLINK("http://nsgreg.nga.mil/genc/view?v=863002&amp;end_month=12&amp;end_day=31&amp;end_year=2016","Correlation")</f>
        <v>Correlation</v>
      </c>
    </row>
    <row r="653" spans="1:13" x14ac:dyDescent="0.2">
      <c r="A653" s="114"/>
      <c r="B653" s="71" t="s">
        <v>2803</v>
      </c>
      <c r="C653" s="71" t="s">
        <v>1816</v>
      </c>
      <c r="D653" s="71" t="s">
        <v>2804</v>
      </c>
      <c r="E653" s="73" t="b">
        <v>1</v>
      </c>
      <c r="F653" s="81" t="s">
        <v>2759</v>
      </c>
      <c r="G653" s="71" t="s">
        <v>2803</v>
      </c>
      <c r="H653" s="71" t="s">
        <v>1816</v>
      </c>
      <c r="I653" s="74" t="s">
        <v>2804</v>
      </c>
      <c r="J653" s="76"/>
      <c r="K653" s="76"/>
      <c r="L653" s="82"/>
      <c r="M653" s="77" t="str">
        <f>HYPERLINK("http://nsgreg.nga.mil/genc/view?v=863003&amp;end_month=12&amp;end_day=31&amp;end_year=2016","Correlation")</f>
        <v>Correlation</v>
      </c>
    </row>
    <row r="654" spans="1:13" x14ac:dyDescent="0.2">
      <c r="A654" s="112" t="s">
        <v>364</v>
      </c>
      <c r="B654" s="50" t="s">
        <v>2805</v>
      </c>
      <c r="C654" s="50" t="s">
        <v>1413</v>
      </c>
      <c r="D654" s="50" t="s">
        <v>2806</v>
      </c>
      <c r="E654" s="52" t="b">
        <v>1</v>
      </c>
      <c r="F654" s="78" t="s">
        <v>364</v>
      </c>
      <c r="G654" s="50" t="s">
        <v>2807</v>
      </c>
      <c r="H654" s="50" t="s">
        <v>1413</v>
      </c>
      <c r="I654" s="53" t="s">
        <v>2806</v>
      </c>
      <c r="J654" s="55"/>
      <c r="K654" s="55"/>
      <c r="L654" s="79"/>
      <c r="M654" s="56" t="str">
        <f>HYPERLINK("http://nsgreg.nga.mil/genc/view?v=864507&amp;end_month=12&amp;end_day=31&amp;end_year=2016","Correlation")</f>
        <v>Correlation</v>
      </c>
    </row>
    <row r="655" spans="1:13" x14ac:dyDescent="0.2">
      <c r="A655" s="113"/>
      <c r="B655" s="58" t="s">
        <v>2808</v>
      </c>
      <c r="C655" s="58" t="s">
        <v>1413</v>
      </c>
      <c r="D655" s="58" t="s">
        <v>2809</v>
      </c>
      <c r="E655" s="60" t="b">
        <v>1</v>
      </c>
      <c r="F655" s="80" t="s">
        <v>364</v>
      </c>
      <c r="G655" s="58" t="s">
        <v>2810</v>
      </c>
      <c r="H655" s="58" t="s">
        <v>1413</v>
      </c>
      <c r="I655" s="64" t="s">
        <v>2809</v>
      </c>
      <c r="J655" s="66"/>
      <c r="K655" s="66"/>
      <c r="L655" s="68"/>
      <c r="M655" s="63" t="str">
        <f>HYPERLINK("http://nsgreg.nga.mil/genc/view?v=864518&amp;end_month=12&amp;end_day=31&amp;end_year=2016","Correlation")</f>
        <v>Correlation</v>
      </c>
    </row>
    <row r="656" spans="1:13" x14ac:dyDescent="0.2">
      <c r="A656" s="113"/>
      <c r="B656" s="58" t="s">
        <v>2811</v>
      </c>
      <c r="C656" s="58" t="s">
        <v>1413</v>
      </c>
      <c r="D656" s="58" t="s">
        <v>2812</v>
      </c>
      <c r="E656" s="60" t="b">
        <v>1</v>
      </c>
      <c r="F656" s="80" t="s">
        <v>364</v>
      </c>
      <c r="G656" s="58" t="s">
        <v>2813</v>
      </c>
      <c r="H656" s="58" t="s">
        <v>1413</v>
      </c>
      <c r="I656" s="64" t="s">
        <v>2812</v>
      </c>
      <c r="J656" s="66"/>
      <c r="K656" s="66"/>
      <c r="L656" s="68"/>
      <c r="M656" s="63" t="str">
        <f>HYPERLINK("http://nsgreg.nga.mil/genc/view?v=864525&amp;end_month=12&amp;end_day=31&amp;end_year=2016","Correlation")</f>
        <v>Correlation</v>
      </c>
    </row>
    <row r="657" spans="1:13" x14ac:dyDescent="0.2">
      <c r="A657" s="113"/>
      <c r="B657" s="58" t="s">
        <v>2814</v>
      </c>
      <c r="C657" s="58" t="s">
        <v>1413</v>
      </c>
      <c r="D657" s="58" t="s">
        <v>2815</v>
      </c>
      <c r="E657" s="60" t="b">
        <v>1</v>
      </c>
      <c r="F657" s="80" t="s">
        <v>364</v>
      </c>
      <c r="G657" s="58" t="s">
        <v>2814</v>
      </c>
      <c r="H657" s="58" t="s">
        <v>1413</v>
      </c>
      <c r="I657" s="64" t="s">
        <v>2815</v>
      </c>
      <c r="J657" s="66"/>
      <c r="K657" s="66"/>
      <c r="L657" s="68"/>
      <c r="M657" s="63" t="str">
        <f>HYPERLINK("http://nsgreg.nga.mil/genc/view?v=864526&amp;end_month=12&amp;end_day=31&amp;end_year=2016","Correlation")</f>
        <v>Correlation</v>
      </c>
    </row>
    <row r="658" spans="1:13" x14ac:dyDescent="0.2">
      <c r="A658" s="113"/>
      <c r="B658" s="58" t="s">
        <v>2816</v>
      </c>
      <c r="C658" s="58" t="s">
        <v>1413</v>
      </c>
      <c r="D658" s="58" t="s">
        <v>2817</v>
      </c>
      <c r="E658" s="60" t="b">
        <v>1</v>
      </c>
      <c r="F658" s="80" t="s">
        <v>364</v>
      </c>
      <c r="G658" s="58" t="s">
        <v>2818</v>
      </c>
      <c r="H658" s="58" t="s">
        <v>1413</v>
      </c>
      <c r="I658" s="64" t="s">
        <v>2817</v>
      </c>
      <c r="J658" s="66"/>
      <c r="K658" s="66"/>
      <c r="L658" s="68"/>
      <c r="M658" s="63" t="str">
        <f>HYPERLINK("http://nsgreg.nga.mil/genc/view?v=864527&amp;end_month=12&amp;end_day=31&amp;end_year=2016","Correlation")</f>
        <v>Correlation</v>
      </c>
    </row>
    <row r="659" spans="1:13" x14ac:dyDescent="0.2">
      <c r="A659" s="113"/>
      <c r="B659" s="58" t="s">
        <v>2819</v>
      </c>
      <c r="C659" s="58" t="s">
        <v>1413</v>
      </c>
      <c r="D659" s="58" t="s">
        <v>2820</v>
      </c>
      <c r="E659" s="60" t="b">
        <v>1</v>
      </c>
      <c r="F659" s="80" t="s">
        <v>364</v>
      </c>
      <c r="G659" s="58" t="s">
        <v>2821</v>
      </c>
      <c r="H659" s="58" t="s">
        <v>1413</v>
      </c>
      <c r="I659" s="64" t="s">
        <v>2820</v>
      </c>
      <c r="J659" s="66"/>
      <c r="K659" s="66"/>
      <c r="L659" s="68"/>
      <c r="M659" s="63" t="str">
        <f>HYPERLINK("http://nsgreg.nga.mil/genc/view?v=864528&amp;end_month=12&amp;end_day=31&amp;end_year=2016","Correlation")</f>
        <v>Correlation</v>
      </c>
    </row>
    <row r="660" spans="1:13" x14ac:dyDescent="0.2">
      <c r="A660" s="113"/>
      <c r="B660" s="58" t="s">
        <v>2822</v>
      </c>
      <c r="C660" s="58" t="s">
        <v>1413</v>
      </c>
      <c r="D660" s="58" t="s">
        <v>2823</v>
      </c>
      <c r="E660" s="60" t="b">
        <v>1</v>
      </c>
      <c r="F660" s="80" t="s">
        <v>364</v>
      </c>
      <c r="G660" s="58" t="s">
        <v>2822</v>
      </c>
      <c r="H660" s="58" t="s">
        <v>1413</v>
      </c>
      <c r="I660" s="64" t="s">
        <v>2823</v>
      </c>
      <c r="J660" s="66"/>
      <c r="K660" s="66"/>
      <c r="L660" s="68"/>
      <c r="M660" s="63" t="str">
        <f>HYPERLINK("http://nsgreg.nga.mil/genc/view?v=864529&amp;end_month=12&amp;end_day=31&amp;end_year=2016","Correlation")</f>
        <v>Correlation</v>
      </c>
    </row>
    <row r="661" spans="1:13" x14ac:dyDescent="0.2">
      <c r="A661" s="113"/>
      <c r="B661" s="58" t="s">
        <v>2824</v>
      </c>
      <c r="C661" s="58" t="s">
        <v>1413</v>
      </c>
      <c r="D661" s="58" t="s">
        <v>2825</v>
      </c>
      <c r="E661" s="60" t="b">
        <v>1</v>
      </c>
      <c r="F661" s="80" t="s">
        <v>364</v>
      </c>
      <c r="G661" s="58" t="s">
        <v>2826</v>
      </c>
      <c r="H661" s="58" t="s">
        <v>1413</v>
      </c>
      <c r="I661" s="64" t="s">
        <v>2825</v>
      </c>
      <c r="J661" s="66"/>
      <c r="K661" s="66"/>
      <c r="L661" s="68"/>
      <c r="M661" s="63" t="str">
        <f>HYPERLINK("http://nsgreg.nga.mil/genc/view?v=864530&amp;end_month=12&amp;end_day=31&amp;end_year=2016","Correlation")</f>
        <v>Correlation</v>
      </c>
    </row>
    <row r="662" spans="1:13" x14ac:dyDescent="0.2">
      <c r="A662" s="113"/>
      <c r="B662" s="58" t="s">
        <v>2827</v>
      </c>
      <c r="C662" s="58" t="s">
        <v>1413</v>
      </c>
      <c r="D662" s="58" t="s">
        <v>2828</v>
      </c>
      <c r="E662" s="60" t="b">
        <v>1</v>
      </c>
      <c r="F662" s="80" t="s">
        <v>364</v>
      </c>
      <c r="G662" s="58" t="s">
        <v>2829</v>
      </c>
      <c r="H662" s="58" t="s">
        <v>1413</v>
      </c>
      <c r="I662" s="64" t="s">
        <v>2828</v>
      </c>
      <c r="J662" s="66"/>
      <c r="K662" s="66"/>
      <c r="L662" s="68"/>
      <c r="M662" s="63" t="str">
        <f>HYPERLINK("http://nsgreg.nga.mil/genc/view?v=864522&amp;end_month=12&amp;end_day=31&amp;end_year=2016","Correlation")</f>
        <v>Correlation</v>
      </c>
    </row>
    <row r="663" spans="1:13" x14ac:dyDescent="0.2">
      <c r="A663" s="113"/>
      <c r="B663" s="58" t="s">
        <v>2830</v>
      </c>
      <c r="C663" s="58" t="s">
        <v>1413</v>
      </c>
      <c r="D663" s="58" t="s">
        <v>2831</v>
      </c>
      <c r="E663" s="60" t="b">
        <v>1</v>
      </c>
      <c r="F663" s="80" t="s">
        <v>364</v>
      </c>
      <c r="G663" s="58" t="s">
        <v>2832</v>
      </c>
      <c r="H663" s="58" t="s">
        <v>1413</v>
      </c>
      <c r="I663" s="64" t="s">
        <v>2831</v>
      </c>
      <c r="J663" s="66"/>
      <c r="K663" s="66"/>
      <c r="L663" s="68"/>
      <c r="M663" s="63" t="str">
        <f>HYPERLINK("http://nsgreg.nga.mil/genc/view?v=864531&amp;end_month=12&amp;end_day=31&amp;end_year=2016","Correlation")</f>
        <v>Correlation</v>
      </c>
    </row>
    <row r="664" spans="1:13" x14ac:dyDescent="0.2">
      <c r="A664" s="113"/>
      <c r="B664" s="58" t="s">
        <v>2833</v>
      </c>
      <c r="C664" s="58" t="s">
        <v>1413</v>
      </c>
      <c r="D664" s="58" t="s">
        <v>2834</v>
      </c>
      <c r="E664" s="60" t="b">
        <v>1</v>
      </c>
      <c r="F664" s="80" t="s">
        <v>364</v>
      </c>
      <c r="G664" s="58" t="s">
        <v>2835</v>
      </c>
      <c r="H664" s="58" t="s">
        <v>1413</v>
      </c>
      <c r="I664" s="64" t="s">
        <v>2834</v>
      </c>
      <c r="J664" s="66"/>
      <c r="K664" s="66"/>
      <c r="L664" s="68"/>
      <c r="M664" s="63" t="str">
        <f>HYPERLINK("http://nsgreg.nga.mil/genc/view?v=864508&amp;end_month=12&amp;end_day=31&amp;end_year=2016","Correlation")</f>
        <v>Correlation</v>
      </c>
    </row>
    <row r="665" spans="1:13" x14ac:dyDescent="0.2">
      <c r="A665" s="113"/>
      <c r="B665" s="58" t="s">
        <v>2836</v>
      </c>
      <c r="C665" s="58" t="s">
        <v>1413</v>
      </c>
      <c r="D665" s="58" t="s">
        <v>2837</v>
      </c>
      <c r="E665" s="60" t="b">
        <v>1</v>
      </c>
      <c r="F665" s="80" t="s">
        <v>364</v>
      </c>
      <c r="G665" s="58" t="s">
        <v>2838</v>
      </c>
      <c r="H665" s="58" t="s">
        <v>1413</v>
      </c>
      <c r="I665" s="64" t="s">
        <v>2837</v>
      </c>
      <c r="J665" s="66"/>
      <c r="K665" s="66"/>
      <c r="L665" s="68"/>
      <c r="M665" s="63" t="str">
        <f>HYPERLINK("http://nsgreg.nga.mil/genc/view?v=864509&amp;end_month=12&amp;end_day=31&amp;end_year=2016","Correlation")</f>
        <v>Correlation</v>
      </c>
    </row>
    <row r="666" spans="1:13" x14ac:dyDescent="0.2">
      <c r="A666" s="113"/>
      <c r="B666" s="58" t="s">
        <v>2839</v>
      </c>
      <c r="C666" s="58" t="s">
        <v>1413</v>
      </c>
      <c r="D666" s="58" t="s">
        <v>2840</v>
      </c>
      <c r="E666" s="60" t="b">
        <v>1</v>
      </c>
      <c r="F666" s="80" t="s">
        <v>364</v>
      </c>
      <c r="G666" s="58" t="s">
        <v>2841</v>
      </c>
      <c r="H666" s="58" t="s">
        <v>1413</v>
      </c>
      <c r="I666" s="64" t="s">
        <v>2840</v>
      </c>
      <c r="J666" s="66"/>
      <c r="K666" s="66"/>
      <c r="L666" s="68"/>
      <c r="M666" s="63" t="str">
        <f>HYPERLINK("http://nsgreg.nga.mil/genc/view?v=864521&amp;end_month=12&amp;end_day=31&amp;end_year=2016","Correlation")</f>
        <v>Correlation</v>
      </c>
    </row>
    <row r="667" spans="1:13" x14ac:dyDescent="0.2">
      <c r="A667" s="113"/>
      <c r="B667" s="58" t="s">
        <v>2842</v>
      </c>
      <c r="C667" s="58" t="s">
        <v>1413</v>
      </c>
      <c r="D667" s="58" t="s">
        <v>2843</v>
      </c>
      <c r="E667" s="60" t="b">
        <v>1</v>
      </c>
      <c r="F667" s="80" t="s">
        <v>364</v>
      </c>
      <c r="G667" s="58" t="s">
        <v>2844</v>
      </c>
      <c r="H667" s="58" t="s">
        <v>1413</v>
      </c>
      <c r="I667" s="64" t="s">
        <v>2843</v>
      </c>
      <c r="J667" s="66"/>
      <c r="K667" s="66"/>
      <c r="L667" s="68"/>
      <c r="M667" s="63" t="str">
        <f>HYPERLINK("http://nsgreg.nga.mil/genc/view?v=864523&amp;end_month=12&amp;end_day=31&amp;end_year=2016","Correlation")</f>
        <v>Correlation</v>
      </c>
    </row>
    <row r="668" spans="1:13" x14ac:dyDescent="0.2">
      <c r="A668" s="113"/>
      <c r="B668" s="58" t="s">
        <v>2845</v>
      </c>
      <c r="C668" s="58" t="s">
        <v>1816</v>
      </c>
      <c r="D668" s="58" t="s">
        <v>2846</v>
      </c>
      <c r="E668" s="60" t="b">
        <v>1</v>
      </c>
      <c r="F668" s="80" t="s">
        <v>364</v>
      </c>
      <c r="G668" s="58" t="s">
        <v>2845</v>
      </c>
      <c r="H668" s="58" t="s">
        <v>2847</v>
      </c>
      <c r="I668" s="64" t="s">
        <v>2846</v>
      </c>
      <c r="J668" s="66"/>
      <c r="K668" s="66"/>
      <c r="L668" s="68"/>
      <c r="M668" s="63" t="str">
        <f>HYPERLINK("http://nsgreg.nga.mil/genc/view?v=864510&amp;end_month=12&amp;end_day=31&amp;end_year=2016","Correlation")</f>
        <v>Correlation</v>
      </c>
    </row>
    <row r="669" spans="1:13" x14ac:dyDescent="0.2">
      <c r="A669" s="113"/>
      <c r="B669" s="58" t="s">
        <v>2848</v>
      </c>
      <c r="C669" s="58" t="s">
        <v>1413</v>
      </c>
      <c r="D669" s="58" t="s">
        <v>2849</v>
      </c>
      <c r="E669" s="60" t="b">
        <v>1</v>
      </c>
      <c r="F669" s="80" t="s">
        <v>364</v>
      </c>
      <c r="G669" s="58" t="s">
        <v>2848</v>
      </c>
      <c r="H669" s="58" t="s">
        <v>1413</v>
      </c>
      <c r="I669" s="64" t="s">
        <v>2849</v>
      </c>
      <c r="J669" s="66"/>
      <c r="K669" s="66"/>
      <c r="L669" s="68"/>
      <c r="M669" s="63" t="str">
        <f>HYPERLINK("http://nsgreg.nga.mil/genc/view?v=864511&amp;end_month=12&amp;end_day=31&amp;end_year=2016","Correlation")</f>
        <v>Correlation</v>
      </c>
    </row>
    <row r="670" spans="1:13" x14ac:dyDescent="0.2">
      <c r="A670" s="113"/>
      <c r="B670" s="58" t="s">
        <v>2850</v>
      </c>
      <c r="C670" s="58" t="s">
        <v>1413</v>
      </c>
      <c r="D670" s="58" t="s">
        <v>2851</v>
      </c>
      <c r="E670" s="60" t="b">
        <v>1</v>
      </c>
      <c r="F670" s="80" t="s">
        <v>364</v>
      </c>
      <c r="G670" s="58" t="s">
        <v>2852</v>
      </c>
      <c r="H670" s="58" t="s">
        <v>1413</v>
      </c>
      <c r="I670" s="64" t="s">
        <v>2851</v>
      </c>
      <c r="J670" s="66"/>
      <c r="K670" s="66"/>
      <c r="L670" s="68"/>
      <c r="M670" s="63" t="str">
        <f>HYPERLINK("http://nsgreg.nga.mil/genc/view?v=864512&amp;end_month=12&amp;end_day=31&amp;end_year=2016","Correlation")</f>
        <v>Correlation</v>
      </c>
    </row>
    <row r="671" spans="1:13" x14ac:dyDescent="0.2">
      <c r="A671" s="113"/>
      <c r="B671" s="58" t="s">
        <v>2853</v>
      </c>
      <c r="C671" s="58" t="s">
        <v>1413</v>
      </c>
      <c r="D671" s="58" t="s">
        <v>2854</v>
      </c>
      <c r="E671" s="60" t="b">
        <v>1</v>
      </c>
      <c r="F671" s="80" t="s">
        <v>364</v>
      </c>
      <c r="G671" s="58" t="s">
        <v>2855</v>
      </c>
      <c r="H671" s="58" t="s">
        <v>1413</v>
      </c>
      <c r="I671" s="64" t="s">
        <v>2854</v>
      </c>
      <c r="J671" s="66"/>
      <c r="K671" s="66"/>
      <c r="L671" s="68"/>
      <c r="M671" s="63" t="str">
        <f>HYPERLINK("http://nsgreg.nga.mil/genc/view?v=864513&amp;end_month=12&amp;end_day=31&amp;end_year=2016","Correlation")</f>
        <v>Correlation</v>
      </c>
    </row>
    <row r="672" spans="1:13" x14ac:dyDescent="0.2">
      <c r="A672" s="113"/>
      <c r="B672" s="58" t="s">
        <v>2856</v>
      </c>
      <c r="C672" s="58" t="s">
        <v>1413</v>
      </c>
      <c r="D672" s="58" t="s">
        <v>2857</v>
      </c>
      <c r="E672" s="60" t="b">
        <v>1</v>
      </c>
      <c r="F672" s="80" t="s">
        <v>364</v>
      </c>
      <c r="G672" s="58" t="s">
        <v>2858</v>
      </c>
      <c r="H672" s="58" t="s">
        <v>1413</v>
      </c>
      <c r="I672" s="64" t="s">
        <v>2857</v>
      </c>
      <c r="J672" s="66"/>
      <c r="K672" s="66"/>
      <c r="L672" s="68"/>
      <c r="M672" s="63" t="str">
        <f>HYPERLINK("http://nsgreg.nga.mil/genc/view?v=864514&amp;end_month=12&amp;end_day=31&amp;end_year=2016","Correlation")</f>
        <v>Correlation</v>
      </c>
    </row>
    <row r="673" spans="1:13" x14ac:dyDescent="0.2">
      <c r="A673" s="113"/>
      <c r="B673" s="58" t="s">
        <v>2859</v>
      </c>
      <c r="C673" s="58" t="s">
        <v>1413</v>
      </c>
      <c r="D673" s="58" t="s">
        <v>2860</v>
      </c>
      <c r="E673" s="60" t="b">
        <v>1</v>
      </c>
      <c r="F673" s="80" t="s">
        <v>364</v>
      </c>
      <c r="G673" s="58" t="s">
        <v>2861</v>
      </c>
      <c r="H673" s="58" t="s">
        <v>1413</v>
      </c>
      <c r="I673" s="64" t="s">
        <v>2860</v>
      </c>
      <c r="J673" s="66"/>
      <c r="K673" s="66"/>
      <c r="L673" s="68"/>
      <c r="M673" s="63" t="str">
        <f>HYPERLINK("http://nsgreg.nga.mil/genc/view?v=864515&amp;end_month=12&amp;end_day=31&amp;end_year=2016","Correlation")</f>
        <v>Correlation</v>
      </c>
    </row>
    <row r="674" spans="1:13" x14ac:dyDescent="0.2">
      <c r="A674" s="113"/>
      <c r="B674" s="58" t="s">
        <v>2862</v>
      </c>
      <c r="C674" s="58" t="s">
        <v>1413</v>
      </c>
      <c r="D674" s="58" t="s">
        <v>2863</v>
      </c>
      <c r="E674" s="60" t="b">
        <v>1</v>
      </c>
      <c r="F674" s="80" t="s">
        <v>364</v>
      </c>
      <c r="G674" s="58" t="s">
        <v>2864</v>
      </c>
      <c r="H674" s="58" t="s">
        <v>1413</v>
      </c>
      <c r="I674" s="64" t="s">
        <v>2863</v>
      </c>
      <c r="J674" s="66"/>
      <c r="K674" s="66"/>
      <c r="L674" s="68"/>
      <c r="M674" s="63" t="str">
        <f>HYPERLINK("http://nsgreg.nga.mil/genc/view?v=864516&amp;end_month=12&amp;end_day=31&amp;end_year=2016","Correlation")</f>
        <v>Correlation</v>
      </c>
    </row>
    <row r="675" spans="1:13" x14ac:dyDescent="0.2">
      <c r="A675" s="113"/>
      <c r="B675" s="58" t="s">
        <v>2865</v>
      </c>
      <c r="C675" s="58" t="s">
        <v>1413</v>
      </c>
      <c r="D675" s="58" t="s">
        <v>2866</v>
      </c>
      <c r="E675" s="60" t="b">
        <v>1</v>
      </c>
      <c r="F675" s="80" t="s">
        <v>364</v>
      </c>
      <c r="G675" s="58" t="s">
        <v>2867</v>
      </c>
      <c r="H675" s="58" t="s">
        <v>1413</v>
      </c>
      <c r="I675" s="64" t="s">
        <v>2866</v>
      </c>
      <c r="J675" s="66"/>
      <c r="K675" s="66"/>
      <c r="L675" s="68"/>
      <c r="M675" s="63" t="str">
        <f>HYPERLINK("http://nsgreg.nga.mil/genc/view?v=864517&amp;end_month=12&amp;end_day=31&amp;end_year=2016","Correlation")</f>
        <v>Correlation</v>
      </c>
    </row>
    <row r="676" spans="1:13" x14ac:dyDescent="0.2">
      <c r="A676" s="113"/>
      <c r="B676" s="58" t="s">
        <v>2868</v>
      </c>
      <c r="C676" s="58" t="s">
        <v>1413</v>
      </c>
      <c r="D676" s="58" t="s">
        <v>2869</v>
      </c>
      <c r="E676" s="60" t="b">
        <v>1</v>
      </c>
      <c r="F676" s="80" t="s">
        <v>364</v>
      </c>
      <c r="G676" s="58" t="s">
        <v>2870</v>
      </c>
      <c r="H676" s="58" t="s">
        <v>1413</v>
      </c>
      <c r="I676" s="64" t="s">
        <v>2869</v>
      </c>
      <c r="J676" s="66"/>
      <c r="K676" s="66"/>
      <c r="L676" s="68"/>
      <c r="M676" s="63" t="str">
        <f>HYPERLINK("http://nsgreg.nga.mil/genc/view?v=864519&amp;end_month=12&amp;end_day=31&amp;end_year=2016","Correlation")</f>
        <v>Correlation</v>
      </c>
    </row>
    <row r="677" spans="1:13" x14ac:dyDescent="0.2">
      <c r="A677" s="113"/>
      <c r="B677" s="58" t="s">
        <v>2871</v>
      </c>
      <c r="C677" s="58" t="s">
        <v>1413</v>
      </c>
      <c r="D677" s="58" t="s">
        <v>2872</v>
      </c>
      <c r="E677" s="60" t="b">
        <v>1</v>
      </c>
      <c r="F677" s="80" t="s">
        <v>364</v>
      </c>
      <c r="G677" s="58" t="s">
        <v>2873</v>
      </c>
      <c r="H677" s="58" t="s">
        <v>1413</v>
      </c>
      <c r="I677" s="64" t="s">
        <v>2872</v>
      </c>
      <c r="J677" s="66"/>
      <c r="K677" s="66"/>
      <c r="L677" s="68"/>
      <c r="M677" s="63" t="str">
        <f>HYPERLINK("http://nsgreg.nga.mil/genc/view?v=864520&amp;end_month=12&amp;end_day=31&amp;end_year=2016","Correlation")</f>
        <v>Correlation</v>
      </c>
    </row>
    <row r="678" spans="1:13" x14ac:dyDescent="0.2">
      <c r="A678" s="114"/>
      <c r="B678" s="71" t="s">
        <v>2874</v>
      </c>
      <c r="C678" s="71" t="s">
        <v>1413</v>
      </c>
      <c r="D678" s="71" t="s">
        <v>2875</v>
      </c>
      <c r="E678" s="73" t="b">
        <v>1</v>
      </c>
      <c r="F678" s="81" t="s">
        <v>364</v>
      </c>
      <c r="G678" s="71" t="s">
        <v>2874</v>
      </c>
      <c r="H678" s="71" t="s">
        <v>1413</v>
      </c>
      <c r="I678" s="74" t="s">
        <v>2875</v>
      </c>
      <c r="J678" s="76"/>
      <c r="K678" s="76"/>
      <c r="L678" s="82"/>
      <c r="M678" s="77" t="str">
        <f>HYPERLINK("http://nsgreg.nga.mil/genc/view?v=864524&amp;end_month=12&amp;end_day=31&amp;end_year=2016","Correlation")</f>
        <v>Correlation</v>
      </c>
    </row>
    <row r="679" spans="1:13" x14ac:dyDescent="0.2">
      <c r="A679" s="112" t="s">
        <v>368</v>
      </c>
      <c r="B679" s="50" t="s">
        <v>2876</v>
      </c>
      <c r="C679" s="50" t="s">
        <v>1728</v>
      </c>
      <c r="D679" s="50" t="s">
        <v>2877</v>
      </c>
      <c r="E679" s="52" t="b">
        <v>1</v>
      </c>
      <c r="F679" s="78" t="s">
        <v>368</v>
      </c>
      <c r="G679" s="50" t="s">
        <v>2876</v>
      </c>
      <c r="H679" s="50" t="s">
        <v>1728</v>
      </c>
      <c r="I679" s="53" t="s">
        <v>2877</v>
      </c>
      <c r="J679" s="55"/>
      <c r="K679" s="55"/>
      <c r="L679" s="79"/>
      <c r="M679" s="56" t="str">
        <f>HYPERLINK("http://nsgreg.nga.mil/genc/view?v=862883&amp;end_month=12&amp;end_day=31&amp;end_year=2016","Correlation")</f>
        <v>Correlation</v>
      </c>
    </row>
    <row r="680" spans="1:13" x14ac:dyDescent="0.2">
      <c r="A680" s="113"/>
      <c r="B680" s="58" t="s">
        <v>2583</v>
      </c>
      <c r="C680" s="58" t="s">
        <v>1728</v>
      </c>
      <c r="D680" s="58" t="s">
        <v>2878</v>
      </c>
      <c r="E680" s="60" t="b">
        <v>1</v>
      </c>
      <c r="F680" s="80" t="s">
        <v>368</v>
      </c>
      <c r="G680" s="58" t="s">
        <v>2583</v>
      </c>
      <c r="H680" s="58" t="s">
        <v>1728</v>
      </c>
      <c r="I680" s="64" t="s">
        <v>2878</v>
      </c>
      <c r="J680" s="66"/>
      <c r="K680" s="66"/>
      <c r="L680" s="68"/>
      <c r="M680" s="63" t="str">
        <f>HYPERLINK("http://nsgreg.nga.mil/genc/view?v=862884&amp;end_month=12&amp;end_day=31&amp;end_year=2016","Correlation")</f>
        <v>Correlation</v>
      </c>
    </row>
    <row r="681" spans="1:13" x14ac:dyDescent="0.2">
      <c r="A681" s="113"/>
      <c r="B681" s="58" t="s">
        <v>2595</v>
      </c>
      <c r="C681" s="58" t="s">
        <v>1728</v>
      </c>
      <c r="D681" s="58" t="s">
        <v>2879</v>
      </c>
      <c r="E681" s="60" t="b">
        <v>1</v>
      </c>
      <c r="F681" s="80" t="s">
        <v>368</v>
      </c>
      <c r="G681" s="58" t="s">
        <v>2880</v>
      </c>
      <c r="H681" s="58" t="s">
        <v>1728</v>
      </c>
      <c r="I681" s="64" t="s">
        <v>2879</v>
      </c>
      <c r="J681" s="66"/>
      <c r="K681" s="66"/>
      <c r="L681" s="68"/>
      <c r="M681" s="63" t="str">
        <f>HYPERLINK("http://nsgreg.nga.mil/genc/view?v=862886&amp;end_month=12&amp;end_day=31&amp;end_year=2016","Correlation")</f>
        <v>Correlation</v>
      </c>
    </row>
    <row r="682" spans="1:13" x14ac:dyDescent="0.2">
      <c r="A682" s="113"/>
      <c r="B682" s="58" t="s">
        <v>2881</v>
      </c>
      <c r="C682" s="58" t="s">
        <v>1728</v>
      </c>
      <c r="D682" s="58" t="s">
        <v>2882</v>
      </c>
      <c r="E682" s="60" t="b">
        <v>1</v>
      </c>
      <c r="F682" s="80" t="s">
        <v>368</v>
      </c>
      <c r="G682" s="58" t="s">
        <v>2883</v>
      </c>
      <c r="H682" s="58" t="s">
        <v>1728</v>
      </c>
      <c r="I682" s="64" t="s">
        <v>2882</v>
      </c>
      <c r="J682" s="66"/>
      <c r="K682" s="66"/>
      <c r="L682" s="68"/>
      <c r="M682" s="63" t="str">
        <f>HYPERLINK("http://nsgreg.nga.mil/genc/view?v=862885&amp;end_month=12&amp;end_day=31&amp;end_year=2016","Correlation")</f>
        <v>Correlation</v>
      </c>
    </row>
    <row r="683" spans="1:13" x14ac:dyDescent="0.2">
      <c r="A683" s="113"/>
      <c r="B683" s="58" t="s">
        <v>2308</v>
      </c>
      <c r="C683" s="58" t="s">
        <v>1728</v>
      </c>
      <c r="D683" s="58" t="s">
        <v>2884</v>
      </c>
      <c r="E683" s="60" t="b">
        <v>1</v>
      </c>
      <c r="F683" s="80" t="s">
        <v>368</v>
      </c>
      <c r="G683" s="58" t="s">
        <v>2308</v>
      </c>
      <c r="H683" s="58" t="s">
        <v>1728</v>
      </c>
      <c r="I683" s="64" t="s">
        <v>2884</v>
      </c>
      <c r="J683" s="66"/>
      <c r="K683" s="66"/>
      <c r="L683" s="68"/>
      <c r="M683" s="63" t="str">
        <f>HYPERLINK("http://nsgreg.nga.mil/genc/view?v=862887&amp;end_month=12&amp;end_day=31&amp;end_year=2016","Correlation")</f>
        <v>Correlation</v>
      </c>
    </row>
    <row r="684" spans="1:13" x14ac:dyDescent="0.2">
      <c r="A684" s="113"/>
      <c r="B684" s="58" t="s">
        <v>2637</v>
      </c>
      <c r="C684" s="58" t="s">
        <v>1728</v>
      </c>
      <c r="D684" s="58" t="s">
        <v>2885</v>
      </c>
      <c r="E684" s="60" t="b">
        <v>1</v>
      </c>
      <c r="F684" s="80" t="s">
        <v>368</v>
      </c>
      <c r="G684" s="58" t="s">
        <v>2886</v>
      </c>
      <c r="H684" s="58" t="s">
        <v>1728</v>
      </c>
      <c r="I684" s="64" t="s">
        <v>2885</v>
      </c>
      <c r="J684" s="66"/>
      <c r="K684" s="66"/>
      <c r="L684" s="68"/>
      <c r="M684" s="63" t="str">
        <f>HYPERLINK("http://nsgreg.nga.mil/genc/view?v=862888&amp;end_month=12&amp;end_day=31&amp;end_year=2016","Correlation")</f>
        <v>Correlation</v>
      </c>
    </row>
    <row r="685" spans="1:13" x14ac:dyDescent="0.2">
      <c r="A685" s="113"/>
      <c r="B685" s="58" t="s">
        <v>2887</v>
      </c>
      <c r="C685" s="58" t="s">
        <v>1728</v>
      </c>
      <c r="D685" s="58" t="s">
        <v>2888</v>
      </c>
      <c r="E685" s="60" t="b">
        <v>1</v>
      </c>
      <c r="F685" s="80" t="s">
        <v>368</v>
      </c>
      <c r="G685" s="58" t="s">
        <v>2887</v>
      </c>
      <c r="H685" s="58" t="s">
        <v>1728</v>
      </c>
      <c r="I685" s="64" t="s">
        <v>2888</v>
      </c>
      <c r="J685" s="66"/>
      <c r="K685" s="66"/>
      <c r="L685" s="68"/>
      <c r="M685" s="63" t="str">
        <f>HYPERLINK("http://nsgreg.nga.mil/genc/view?v=862889&amp;end_month=12&amp;end_day=31&amp;end_year=2016","Correlation")</f>
        <v>Correlation</v>
      </c>
    </row>
    <row r="686" spans="1:13" x14ac:dyDescent="0.2">
      <c r="A686" s="113"/>
      <c r="B686" s="58" t="s">
        <v>2889</v>
      </c>
      <c r="C686" s="58" t="s">
        <v>1728</v>
      </c>
      <c r="D686" s="58" t="s">
        <v>2890</v>
      </c>
      <c r="E686" s="60" t="b">
        <v>1</v>
      </c>
      <c r="F686" s="80" t="s">
        <v>368</v>
      </c>
      <c r="G686" s="58" t="s">
        <v>2891</v>
      </c>
      <c r="H686" s="58" t="s">
        <v>1728</v>
      </c>
      <c r="I686" s="64" t="s">
        <v>2890</v>
      </c>
      <c r="J686" s="66"/>
      <c r="K686" s="66"/>
      <c r="L686" s="68"/>
      <c r="M686" s="63" t="str">
        <f>HYPERLINK("http://nsgreg.nga.mil/genc/view?v=862890&amp;end_month=12&amp;end_day=31&amp;end_year=2016","Correlation")</f>
        <v>Correlation</v>
      </c>
    </row>
    <row r="687" spans="1:13" x14ac:dyDescent="0.2">
      <c r="A687" s="113"/>
      <c r="B687" s="58" t="s">
        <v>2892</v>
      </c>
      <c r="C687" s="58" t="s">
        <v>1728</v>
      </c>
      <c r="D687" s="58" t="s">
        <v>2893</v>
      </c>
      <c r="E687" s="60" t="b">
        <v>1</v>
      </c>
      <c r="F687" s="80" t="s">
        <v>368</v>
      </c>
      <c r="G687" s="58" t="s">
        <v>2892</v>
      </c>
      <c r="H687" s="58" t="s">
        <v>1728</v>
      </c>
      <c r="I687" s="64" t="s">
        <v>2893</v>
      </c>
      <c r="J687" s="66"/>
      <c r="K687" s="66"/>
      <c r="L687" s="68"/>
      <c r="M687" s="63" t="str">
        <f>HYPERLINK("http://nsgreg.nga.mil/genc/view?v=862892&amp;end_month=12&amp;end_day=31&amp;end_year=2016","Correlation")</f>
        <v>Correlation</v>
      </c>
    </row>
    <row r="688" spans="1:13" x14ac:dyDescent="0.2">
      <c r="A688" s="114"/>
      <c r="B688" s="71" t="s">
        <v>2894</v>
      </c>
      <c r="C688" s="71" t="s">
        <v>1728</v>
      </c>
      <c r="D688" s="71" t="s">
        <v>2895</v>
      </c>
      <c r="E688" s="73" t="b">
        <v>1</v>
      </c>
      <c r="F688" s="81" t="s">
        <v>368</v>
      </c>
      <c r="G688" s="71" t="s">
        <v>2896</v>
      </c>
      <c r="H688" s="71" t="s">
        <v>1728</v>
      </c>
      <c r="I688" s="74" t="s">
        <v>2895</v>
      </c>
      <c r="J688" s="76"/>
      <c r="K688" s="76"/>
      <c r="L688" s="82"/>
      <c r="M688" s="77" t="str">
        <f>HYPERLINK("http://nsgreg.nga.mil/genc/view?v=862891&amp;end_month=12&amp;end_day=31&amp;end_year=2016","Correlation")</f>
        <v>Correlation</v>
      </c>
    </row>
    <row r="689" spans="1:13" x14ac:dyDescent="0.2">
      <c r="A689" s="112" t="s">
        <v>372</v>
      </c>
      <c r="B689" s="50" t="s">
        <v>2897</v>
      </c>
      <c r="C689" s="50" t="s">
        <v>1413</v>
      </c>
      <c r="D689" s="50" t="s">
        <v>2898</v>
      </c>
      <c r="E689" s="52" t="b">
        <v>1</v>
      </c>
      <c r="F689" s="78" t="s">
        <v>372</v>
      </c>
      <c r="G689" s="50" t="s">
        <v>2897</v>
      </c>
      <c r="H689" s="50" t="s">
        <v>1413</v>
      </c>
      <c r="I689" s="53" t="s">
        <v>2898</v>
      </c>
      <c r="J689" s="55"/>
      <c r="K689" s="55"/>
      <c r="L689" s="79"/>
      <c r="M689" s="56" t="str">
        <f>HYPERLINK("http://nsgreg.nga.mil/genc/view?v=862760&amp;end_month=12&amp;end_day=31&amp;end_year=2016","Correlation")</f>
        <v>Correlation</v>
      </c>
    </row>
    <row r="690" spans="1:13" x14ac:dyDescent="0.2">
      <c r="A690" s="113"/>
      <c r="B690" s="58" t="s">
        <v>2899</v>
      </c>
      <c r="C690" s="58" t="s">
        <v>1413</v>
      </c>
      <c r="D690" s="58" t="s">
        <v>2900</v>
      </c>
      <c r="E690" s="60" t="b">
        <v>1</v>
      </c>
      <c r="F690" s="80" t="s">
        <v>372</v>
      </c>
      <c r="G690" s="58" t="s">
        <v>2899</v>
      </c>
      <c r="H690" s="58" t="s">
        <v>1413</v>
      </c>
      <c r="I690" s="64" t="s">
        <v>2900</v>
      </c>
      <c r="J690" s="66"/>
      <c r="K690" s="66"/>
      <c r="L690" s="68"/>
      <c r="M690" s="63" t="str">
        <f>HYPERLINK("http://nsgreg.nga.mil/genc/view?v=862761&amp;end_month=12&amp;end_day=31&amp;end_year=2016","Correlation")</f>
        <v>Correlation</v>
      </c>
    </row>
    <row r="691" spans="1:13" x14ac:dyDescent="0.2">
      <c r="A691" s="113"/>
      <c r="B691" s="58" t="s">
        <v>2901</v>
      </c>
      <c r="C691" s="58" t="s">
        <v>1413</v>
      </c>
      <c r="D691" s="58" t="s">
        <v>2902</v>
      </c>
      <c r="E691" s="60" t="b">
        <v>1</v>
      </c>
      <c r="F691" s="80" t="s">
        <v>372</v>
      </c>
      <c r="G691" s="58" t="s">
        <v>2901</v>
      </c>
      <c r="H691" s="58" t="s">
        <v>1413</v>
      </c>
      <c r="I691" s="64" t="s">
        <v>2902</v>
      </c>
      <c r="J691" s="66"/>
      <c r="K691" s="66"/>
      <c r="L691" s="68"/>
      <c r="M691" s="63" t="str">
        <f>HYPERLINK("http://nsgreg.nga.mil/genc/view?v=862762&amp;end_month=12&amp;end_day=31&amp;end_year=2016","Correlation")</f>
        <v>Correlation</v>
      </c>
    </row>
    <row r="692" spans="1:13" x14ac:dyDescent="0.2">
      <c r="A692" s="113"/>
      <c r="B692" s="58" t="s">
        <v>2903</v>
      </c>
      <c r="C692" s="58" t="s">
        <v>1413</v>
      </c>
      <c r="D692" s="58" t="s">
        <v>2904</v>
      </c>
      <c r="E692" s="60" t="b">
        <v>1</v>
      </c>
      <c r="F692" s="80" t="s">
        <v>372</v>
      </c>
      <c r="G692" s="58" t="s">
        <v>2903</v>
      </c>
      <c r="H692" s="58" t="s">
        <v>1413</v>
      </c>
      <c r="I692" s="64" t="s">
        <v>2904</v>
      </c>
      <c r="J692" s="66"/>
      <c r="K692" s="66"/>
      <c r="L692" s="68"/>
      <c r="M692" s="63" t="str">
        <f>HYPERLINK("http://nsgreg.nga.mil/genc/view?v=862763&amp;end_month=12&amp;end_day=31&amp;end_year=2016","Correlation")</f>
        <v>Correlation</v>
      </c>
    </row>
    <row r="693" spans="1:13" x14ac:dyDescent="0.2">
      <c r="A693" s="113"/>
      <c r="B693" s="58" t="s">
        <v>2905</v>
      </c>
      <c r="C693" s="58" t="s">
        <v>1413</v>
      </c>
      <c r="D693" s="58" t="s">
        <v>2906</v>
      </c>
      <c r="E693" s="60" t="b">
        <v>1</v>
      </c>
      <c r="F693" s="80" t="s">
        <v>372</v>
      </c>
      <c r="G693" s="58" t="s">
        <v>2905</v>
      </c>
      <c r="H693" s="58" t="s">
        <v>1413</v>
      </c>
      <c r="I693" s="64" t="s">
        <v>2906</v>
      </c>
      <c r="J693" s="66"/>
      <c r="K693" s="66"/>
      <c r="L693" s="68"/>
      <c r="M693" s="63" t="str">
        <f>HYPERLINK("http://nsgreg.nga.mil/genc/view?v=862764&amp;end_month=12&amp;end_day=31&amp;end_year=2016","Correlation")</f>
        <v>Correlation</v>
      </c>
    </row>
    <row r="694" spans="1:13" x14ac:dyDescent="0.2">
      <c r="A694" s="113"/>
      <c r="B694" s="58" t="s">
        <v>2907</v>
      </c>
      <c r="C694" s="58" t="s">
        <v>1760</v>
      </c>
      <c r="D694" s="58" t="s">
        <v>2908</v>
      </c>
      <c r="E694" s="60" t="b">
        <v>1</v>
      </c>
      <c r="F694" s="80" t="s">
        <v>372</v>
      </c>
      <c r="G694" s="58" t="s">
        <v>2907</v>
      </c>
      <c r="H694" s="58" t="s">
        <v>1760</v>
      </c>
      <c r="I694" s="64" t="s">
        <v>2908</v>
      </c>
      <c r="J694" s="66"/>
      <c r="K694" s="66"/>
      <c r="L694" s="68"/>
      <c r="M694" s="63" t="str">
        <f>HYPERLINK("http://nsgreg.nga.mil/genc/view?v=862766&amp;end_month=12&amp;end_day=31&amp;end_year=2016","Correlation")</f>
        <v>Correlation</v>
      </c>
    </row>
    <row r="695" spans="1:13" x14ac:dyDescent="0.2">
      <c r="A695" s="113"/>
      <c r="B695" s="58" t="s">
        <v>2909</v>
      </c>
      <c r="C695" s="58" t="s">
        <v>1413</v>
      </c>
      <c r="D695" s="58" t="s">
        <v>2910</v>
      </c>
      <c r="E695" s="60" t="b">
        <v>1</v>
      </c>
      <c r="F695" s="80" t="s">
        <v>372</v>
      </c>
      <c r="G695" s="58" t="s">
        <v>2909</v>
      </c>
      <c r="H695" s="58" t="s">
        <v>1413</v>
      </c>
      <c r="I695" s="64" t="s">
        <v>2910</v>
      </c>
      <c r="J695" s="66"/>
      <c r="K695" s="66"/>
      <c r="L695" s="68"/>
      <c r="M695" s="63" t="str">
        <f>HYPERLINK("http://nsgreg.nga.mil/genc/view?v=862765&amp;end_month=12&amp;end_day=31&amp;end_year=2016","Correlation")</f>
        <v>Correlation</v>
      </c>
    </row>
    <row r="696" spans="1:13" x14ac:dyDescent="0.2">
      <c r="A696" s="113"/>
      <c r="B696" s="58" t="s">
        <v>2911</v>
      </c>
      <c r="C696" s="58" t="s">
        <v>1760</v>
      </c>
      <c r="D696" s="58" t="s">
        <v>2912</v>
      </c>
      <c r="E696" s="60" t="b">
        <v>1</v>
      </c>
      <c r="F696" s="80" t="s">
        <v>372</v>
      </c>
      <c r="G696" s="58" t="s">
        <v>2911</v>
      </c>
      <c r="H696" s="58" t="s">
        <v>1760</v>
      </c>
      <c r="I696" s="64" t="s">
        <v>2912</v>
      </c>
      <c r="J696" s="66"/>
      <c r="K696" s="66"/>
      <c r="L696" s="68"/>
      <c r="M696" s="63" t="str">
        <f>HYPERLINK("http://nsgreg.nga.mil/genc/view?v=862767&amp;end_month=12&amp;end_day=31&amp;end_year=2016","Correlation")</f>
        <v>Correlation</v>
      </c>
    </row>
    <row r="697" spans="1:13" x14ac:dyDescent="0.2">
      <c r="A697" s="113"/>
      <c r="B697" s="58" t="s">
        <v>2913</v>
      </c>
      <c r="C697" s="58" t="s">
        <v>1413</v>
      </c>
      <c r="D697" s="58" t="s">
        <v>2914</v>
      </c>
      <c r="E697" s="60" t="b">
        <v>1</v>
      </c>
      <c r="F697" s="80" t="s">
        <v>372</v>
      </c>
      <c r="G697" s="58" t="s">
        <v>2913</v>
      </c>
      <c r="H697" s="58" t="s">
        <v>1413</v>
      </c>
      <c r="I697" s="64" t="s">
        <v>2914</v>
      </c>
      <c r="J697" s="66"/>
      <c r="K697" s="66"/>
      <c r="L697" s="68"/>
      <c r="M697" s="63" t="str">
        <f>HYPERLINK("http://nsgreg.nga.mil/genc/view?v=862768&amp;end_month=12&amp;end_day=31&amp;end_year=2016","Correlation")</f>
        <v>Correlation</v>
      </c>
    </row>
    <row r="698" spans="1:13" x14ac:dyDescent="0.2">
      <c r="A698" s="113"/>
      <c r="B698" s="58" t="s">
        <v>2915</v>
      </c>
      <c r="C698" s="58" t="s">
        <v>1413</v>
      </c>
      <c r="D698" s="58" t="s">
        <v>2916</v>
      </c>
      <c r="E698" s="60" t="b">
        <v>1</v>
      </c>
      <c r="F698" s="80" t="s">
        <v>372</v>
      </c>
      <c r="G698" s="58" t="s">
        <v>2915</v>
      </c>
      <c r="H698" s="58" t="s">
        <v>1413</v>
      </c>
      <c r="I698" s="64" t="s">
        <v>2916</v>
      </c>
      <c r="J698" s="66"/>
      <c r="K698" s="66"/>
      <c r="L698" s="68"/>
      <c r="M698" s="63" t="str">
        <f>HYPERLINK("http://nsgreg.nga.mil/genc/view?v=862769&amp;end_month=12&amp;end_day=31&amp;end_year=2016","Correlation")</f>
        <v>Correlation</v>
      </c>
    </row>
    <row r="699" spans="1:13" x14ac:dyDescent="0.2">
      <c r="A699" s="113"/>
      <c r="B699" s="58" t="s">
        <v>2917</v>
      </c>
      <c r="C699" s="58" t="s">
        <v>1413</v>
      </c>
      <c r="D699" s="58" t="s">
        <v>2918</v>
      </c>
      <c r="E699" s="60" t="b">
        <v>1</v>
      </c>
      <c r="F699" s="80" t="s">
        <v>372</v>
      </c>
      <c r="G699" s="58" t="s">
        <v>2919</v>
      </c>
      <c r="H699" s="58" t="s">
        <v>1413</v>
      </c>
      <c r="I699" s="64" t="s">
        <v>2918</v>
      </c>
      <c r="J699" s="66"/>
      <c r="K699" s="66"/>
      <c r="L699" s="68"/>
      <c r="M699" s="63" t="str">
        <f>HYPERLINK("http://nsgreg.nga.mil/genc/view?v=862770&amp;end_month=12&amp;end_day=31&amp;end_year=2016","Correlation")</f>
        <v>Correlation</v>
      </c>
    </row>
    <row r="700" spans="1:13" x14ac:dyDescent="0.2">
      <c r="A700" s="113"/>
      <c r="B700" s="58" t="s">
        <v>2920</v>
      </c>
      <c r="C700" s="58" t="s">
        <v>1413</v>
      </c>
      <c r="D700" s="58" t="s">
        <v>2921</v>
      </c>
      <c r="E700" s="60" t="b">
        <v>1</v>
      </c>
      <c r="F700" s="80" t="s">
        <v>372</v>
      </c>
      <c r="G700" s="58" t="s">
        <v>2920</v>
      </c>
      <c r="H700" s="58" t="s">
        <v>1413</v>
      </c>
      <c r="I700" s="64" t="s">
        <v>2921</v>
      </c>
      <c r="J700" s="66"/>
      <c r="K700" s="66"/>
      <c r="L700" s="68"/>
      <c r="M700" s="63" t="str">
        <f>HYPERLINK("http://nsgreg.nga.mil/genc/view?v=862771&amp;end_month=12&amp;end_day=31&amp;end_year=2016","Correlation")</f>
        <v>Correlation</v>
      </c>
    </row>
    <row r="701" spans="1:13" x14ac:dyDescent="0.2">
      <c r="A701" s="114"/>
      <c r="B701" s="71" t="s">
        <v>2922</v>
      </c>
      <c r="C701" s="71" t="s">
        <v>1760</v>
      </c>
      <c r="D701" s="71" t="s">
        <v>2923</v>
      </c>
      <c r="E701" s="73" t="b">
        <v>1</v>
      </c>
      <c r="F701" s="81" t="s">
        <v>372</v>
      </c>
      <c r="G701" s="71" t="s">
        <v>2922</v>
      </c>
      <c r="H701" s="71" t="s">
        <v>1760</v>
      </c>
      <c r="I701" s="74" t="s">
        <v>2923</v>
      </c>
      <c r="J701" s="76"/>
      <c r="K701" s="76"/>
      <c r="L701" s="82"/>
      <c r="M701" s="77" t="str">
        <f>HYPERLINK("http://nsgreg.nga.mil/genc/view?v=862772&amp;end_month=12&amp;end_day=31&amp;end_year=2016","Correlation")</f>
        <v>Correlation</v>
      </c>
    </row>
    <row r="702" spans="1:13" x14ac:dyDescent="0.2">
      <c r="A702" s="112" t="s">
        <v>380</v>
      </c>
      <c r="B702" s="50" t="s">
        <v>2924</v>
      </c>
      <c r="C702" s="50" t="s">
        <v>2925</v>
      </c>
      <c r="D702" s="50" t="s">
        <v>2926</v>
      </c>
      <c r="E702" s="52" t="b">
        <v>1</v>
      </c>
      <c r="F702" s="78" t="s">
        <v>380</v>
      </c>
      <c r="G702" s="50" t="s">
        <v>2924</v>
      </c>
      <c r="H702" s="50" t="s">
        <v>2925</v>
      </c>
      <c r="I702" s="53" t="s">
        <v>2926</v>
      </c>
      <c r="J702" s="55"/>
      <c r="K702" s="55"/>
      <c r="L702" s="79"/>
      <c r="M702" s="56" t="str">
        <f>HYPERLINK("http://nsgreg.nga.mil/genc/view?v=862800&amp;end_month=12&amp;end_day=31&amp;end_year=2016","Correlation")</f>
        <v>Correlation</v>
      </c>
    </row>
    <row r="703" spans="1:13" x14ac:dyDescent="0.2">
      <c r="A703" s="113"/>
      <c r="B703" s="58" t="s">
        <v>2927</v>
      </c>
      <c r="C703" s="58" t="s">
        <v>2928</v>
      </c>
      <c r="D703" s="58" t="s">
        <v>2929</v>
      </c>
      <c r="E703" s="60" t="b">
        <v>1</v>
      </c>
      <c r="F703" s="80" t="s">
        <v>380</v>
      </c>
      <c r="G703" s="58" t="s">
        <v>2927</v>
      </c>
      <c r="H703" s="58" t="s">
        <v>2928</v>
      </c>
      <c r="I703" s="64" t="s">
        <v>2929</v>
      </c>
      <c r="J703" s="66"/>
      <c r="K703" s="66"/>
      <c r="L703" s="68"/>
      <c r="M703" s="63" t="str">
        <f>HYPERLINK("http://nsgreg.nga.mil/genc/view?v=862801&amp;end_month=12&amp;end_day=31&amp;end_year=2016","Correlation")</f>
        <v>Correlation</v>
      </c>
    </row>
    <row r="704" spans="1:13" x14ac:dyDescent="0.2">
      <c r="A704" s="113"/>
      <c r="B704" s="58" t="s">
        <v>2930</v>
      </c>
      <c r="C704" s="58" t="s">
        <v>2925</v>
      </c>
      <c r="D704" s="58" t="s">
        <v>2931</v>
      </c>
      <c r="E704" s="60" t="b">
        <v>1</v>
      </c>
      <c r="F704" s="80" t="s">
        <v>380</v>
      </c>
      <c r="G704" s="58" t="s">
        <v>2930</v>
      </c>
      <c r="H704" s="58" t="s">
        <v>2925</v>
      </c>
      <c r="I704" s="64" t="s">
        <v>2931</v>
      </c>
      <c r="J704" s="66"/>
      <c r="K704" s="66"/>
      <c r="L704" s="68"/>
      <c r="M704" s="63" t="str">
        <f>HYPERLINK("http://nsgreg.nga.mil/genc/view?v=862802&amp;end_month=12&amp;end_day=31&amp;end_year=2016","Correlation")</f>
        <v>Correlation</v>
      </c>
    </row>
    <row r="705" spans="1:13" x14ac:dyDescent="0.2">
      <c r="A705" s="113"/>
      <c r="B705" s="58" t="s">
        <v>2932</v>
      </c>
      <c r="C705" s="58" t="s">
        <v>2925</v>
      </c>
      <c r="D705" s="58" t="s">
        <v>2933</v>
      </c>
      <c r="E705" s="60" t="b">
        <v>1</v>
      </c>
      <c r="F705" s="80" t="s">
        <v>380</v>
      </c>
      <c r="G705" s="58" t="s">
        <v>2932</v>
      </c>
      <c r="H705" s="58" t="s">
        <v>2925</v>
      </c>
      <c r="I705" s="64" t="s">
        <v>2933</v>
      </c>
      <c r="J705" s="66"/>
      <c r="K705" s="66"/>
      <c r="L705" s="68"/>
      <c r="M705" s="63" t="str">
        <f>HYPERLINK("http://nsgreg.nga.mil/genc/view?v=862803&amp;end_month=12&amp;end_day=31&amp;end_year=2016","Correlation")</f>
        <v>Correlation</v>
      </c>
    </row>
    <row r="706" spans="1:13" x14ac:dyDescent="0.2">
      <c r="A706" s="113"/>
      <c r="B706" s="58" t="s">
        <v>2934</v>
      </c>
      <c r="C706" s="58" t="s">
        <v>2925</v>
      </c>
      <c r="D706" s="58" t="s">
        <v>2935</v>
      </c>
      <c r="E706" s="60" t="b">
        <v>1</v>
      </c>
      <c r="F706" s="80" t="s">
        <v>380</v>
      </c>
      <c r="G706" s="58" t="s">
        <v>2934</v>
      </c>
      <c r="H706" s="58" t="s">
        <v>2925</v>
      </c>
      <c r="I706" s="64" t="s">
        <v>2935</v>
      </c>
      <c r="J706" s="66"/>
      <c r="K706" s="66"/>
      <c r="L706" s="68"/>
      <c r="M706" s="63" t="str">
        <f>HYPERLINK("http://nsgreg.nga.mil/genc/view?v=862804&amp;end_month=12&amp;end_day=31&amp;end_year=2016","Correlation")</f>
        <v>Correlation</v>
      </c>
    </row>
    <row r="707" spans="1:13" x14ac:dyDescent="0.2">
      <c r="A707" s="113"/>
      <c r="B707" s="58" t="s">
        <v>2936</v>
      </c>
      <c r="C707" s="58" t="s">
        <v>2925</v>
      </c>
      <c r="D707" s="58" t="s">
        <v>2937</v>
      </c>
      <c r="E707" s="60" t="b">
        <v>1</v>
      </c>
      <c r="F707" s="80" t="s">
        <v>380</v>
      </c>
      <c r="G707" s="58" t="s">
        <v>2938</v>
      </c>
      <c r="H707" s="58" t="s">
        <v>2925</v>
      </c>
      <c r="I707" s="64" t="s">
        <v>2937</v>
      </c>
      <c r="J707" s="66"/>
      <c r="K707" s="66"/>
      <c r="L707" s="68"/>
      <c r="M707" s="63" t="str">
        <f>HYPERLINK("http://nsgreg.nga.mil/genc/view?v=862807&amp;end_month=12&amp;end_day=31&amp;end_year=2016","Correlation")</f>
        <v>Correlation</v>
      </c>
    </row>
    <row r="708" spans="1:13" x14ac:dyDescent="0.2">
      <c r="A708" s="113"/>
      <c r="B708" s="58" t="s">
        <v>2939</v>
      </c>
      <c r="C708" s="58" t="s">
        <v>2925</v>
      </c>
      <c r="D708" s="58" t="s">
        <v>2940</v>
      </c>
      <c r="E708" s="60" t="b">
        <v>1</v>
      </c>
      <c r="F708" s="80" t="s">
        <v>380</v>
      </c>
      <c r="G708" s="58" t="s">
        <v>2939</v>
      </c>
      <c r="H708" s="58" t="s">
        <v>2925</v>
      </c>
      <c r="I708" s="64" t="s">
        <v>2940</v>
      </c>
      <c r="J708" s="66"/>
      <c r="K708" s="66"/>
      <c r="L708" s="68"/>
      <c r="M708" s="63" t="str">
        <f>HYPERLINK("http://nsgreg.nga.mil/genc/view?v=862808&amp;end_month=12&amp;end_day=31&amp;end_year=2016","Correlation")</f>
        <v>Correlation</v>
      </c>
    </row>
    <row r="709" spans="1:13" x14ac:dyDescent="0.2">
      <c r="A709" s="113"/>
      <c r="B709" s="58" t="s">
        <v>2941</v>
      </c>
      <c r="C709" s="58" t="s">
        <v>2925</v>
      </c>
      <c r="D709" s="58" t="s">
        <v>2942</v>
      </c>
      <c r="E709" s="60" t="b">
        <v>1</v>
      </c>
      <c r="F709" s="80" t="s">
        <v>380</v>
      </c>
      <c r="G709" s="58" t="s">
        <v>2943</v>
      </c>
      <c r="H709" s="58" t="s">
        <v>2925</v>
      </c>
      <c r="I709" s="64" t="s">
        <v>2942</v>
      </c>
      <c r="J709" s="66"/>
      <c r="K709" s="66"/>
      <c r="L709" s="68"/>
      <c r="M709" s="63" t="str">
        <f>HYPERLINK("http://nsgreg.nga.mil/genc/view?v=862805&amp;end_month=12&amp;end_day=31&amp;end_year=2016","Correlation")</f>
        <v>Correlation</v>
      </c>
    </row>
    <row r="710" spans="1:13" x14ac:dyDescent="0.2">
      <c r="A710" s="113"/>
      <c r="B710" s="58" t="s">
        <v>2944</v>
      </c>
      <c r="C710" s="58" t="s">
        <v>2925</v>
      </c>
      <c r="D710" s="58" t="s">
        <v>2945</v>
      </c>
      <c r="E710" s="60" t="b">
        <v>1</v>
      </c>
      <c r="F710" s="80" t="s">
        <v>380</v>
      </c>
      <c r="G710" s="58" t="s">
        <v>2944</v>
      </c>
      <c r="H710" s="58" t="s">
        <v>2925</v>
      </c>
      <c r="I710" s="64" t="s">
        <v>2945</v>
      </c>
      <c r="J710" s="66"/>
      <c r="K710" s="66"/>
      <c r="L710" s="68"/>
      <c r="M710" s="63" t="str">
        <f>HYPERLINK("http://nsgreg.nga.mil/genc/view?v=862809&amp;end_month=12&amp;end_day=31&amp;end_year=2016","Correlation")</f>
        <v>Correlation</v>
      </c>
    </row>
    <row r="711" spans="1:13" x14ac:dyDescent="0.2">
      <c r="A711" s="113"/>
      <c r="B711" s="58" t="s">
        <v>2946</v>
      </c>
      <c r="C711" s="58" t="s">
        <v>2947</v>
      </c>
      <c r="D711" s="58" t="s">
        <v>2948</v>
      </c>
      <c r="E711" s="60" t="b">
        <v>1</v>
      </c>
      <c r="F711" s="80" t="s">
        <v>380</v>
      </c>
      <c r="G711" s="58" t="s">
        <v>2949</v>
      </c>
      <c r="H711" s="58" t="s">
        <v>2947</v>
      </c>
      <c r="I711" s="64" t="s">
        <v>2948</v>
      </c>
      <c r="J711" s="66"/>
      <c r="K711" s="66"/>
      <c r="L711" s="68"/>
      <c r="M711" s="63" t="str">
        <f>HYPERLINK("http://nsgreg.nga.mil/genc/view?v=862806&amp;end_month=12&amp;end_day=31&amp;end_year=2016","Correlation")</f>
        <v>Correlation</v>
      </c>
    </row>
    <row r="712" spans="1:13" x14ac:dyDescent="0.2">
      <c r="A712" s="113"/>
      <c r="B712" s="58" t="s">
        <v>2950</v>
      </c>
      <c r="C712" s="58" t="s">
        <v>2925</v>
      </c>
      <c r="D712" s="58" t="s">
        <v>2951</v>
      </c>
      <c r="E712" s="60" t="b">
        <v>1</v>
      </c>
      <c r="F712" s="80" t="s">
        <v>380</v>
      </c>
      <c r="G712" s="58" t="s">
        <v>2950</v>
      </c>
      <c r="H712" s="58" t="s">
        <v>2925</v>
      </c>
      <c r="I712" s="64" t="s">
        <v>2951</v>
      </c>
      <c r="J712" s="66"/>
      <c r="K712" s="66"/>
      <c r="L712" s="68"/>
      <c r="M712" s="63" t="str">
        <f>HYPERLINK("http://nsgreg.nga.mil/genc/view?v=862811&amp;end_month=12&amp;end_day=31&amp;end_year=2016","Correlation")</f>
        <v>Correlation</v>
      </c>
    </row>
    <row r="713" spans="1:13" x14ac:dyDescent="0.2">
      <c r="A713" s="113"/>
      <c r="B713" s="58" t="s">
        <v>2952</v>
      </c>
      <c r="C713" s="58" t="s">
        <v>2925</v>
      </c>
      <c r="D713" s="58" t="s">
        <v>2953</v>
      </c>
      <c r="E713" s="60" t="b">
        <v>1</v>
      </c>
      <c r="F713" s="80" t="s">
        <v>380</v>
      </c>
      <c r="G713" s="58" t="s">
        <v>2952</v>
      </c>
      <c r="H713" s="58" t="s">
        <v>2925</v>
      </c>
      <c r="I713" s="64" t="s">
        <v>2953</v>
      </c>
      <c r="J713" s="66"/>
      <c r="K713" s="66"/>
      <c r="L713" s="68"/>
      <c r="M713" s="63" t="str">
        <f>HYPERLINK("http://nsgreg.nga.mil/genc/view?v=862810&amp;end_month=12&amp;end_day=31&amp;end_year=2016","Correlation")</f>
        <v>Correlation</v>
      </c>
    </row>
    <row r="714" spans="1:13" x14ac:dyDescent="0.2">
      <c r="A714" s="113"/>
      <c r="B714" s="58" t="s">
        <v>2954</v>
      </c>
      <c r="C714" s="58" t="s">
        <v>2925</v>
      </c>
      <c r="D714" s="58" t="s">
        <v>2955</v>
      </c>
      <c r="E714" s="60" t="b">
        <v>1</v>
      </c>
      <c r="F714" s="80" t="s">
        <v>380</v>
      </c>
      <c r="G714" s="58" t="s">
        <v>2954</v>
      </c>
      <c r="H714" s="58" t="s">
        <v>2925</v>
      </c>
      <c r="I714" s="64" t="s">
        <v>2955</v>
      </c>
      <c r="J714" s="66"/>
      <c r="K714" s="66"/>
      <c r="L714" s="68"/>
      <c r="M714" s="63" t="str">
        <f>HYPERLINK("http://nsgreg.nga.mil/genc/view?v=862814&amp;end_month=12&amp;end_day=31&amp;end_year=2016","Correlation")</f>
        <v>Correlation</v>
      </c>
    </row>
    <row r="715" spans="1:13" x14ac:dyDescent="0.2">
      <c r="A715" s="113"/>
      <c r="B715" s="58" t="s">
        <v>2956</v>
      </c>
      <c r="C715" s="58" t="s">
        <v>2925</v>
      </c>
      <c r="D715" s="58" t="s">
        <v>2957</v>
      </c>
      <c r="E715" s="60" t="b">
        <v>1</v>
      </c>
      <c r="F715" s="80" t="s">
        <v>380</v>
      </c>
      <c r="G715" s="58" t="s">
        <v>2956</v>
      </c>
      <c r="H715" s="58" t="s">
        <v>2925</v>
      </c>
      <c r="I715" s="64" t="s">
        <v>2957</v>
      </c>
      <c r="J715" s="66"/>
      <c r="K715" s="66"/>
      <c r="L715" s="68"/>
      <c r="M715" s="63" t="str">
        <f>HYPERLINK("http://nsgreg.nga.mil/genc/view?v=862799&amp;end_month=12&amp;end_day=31&amp;end_year=2016","Correlation")</f>
        <v>Correlation</v>
      </c>
    </row>
    <row r="716" spans="1:13" x14ac:dyDescent="0.2">
      <c r="A716" s="113"/>
      <c r="B716" s="58" t="s">
        <v>2958</v>
      </c>
      <c r="C716" s="58" t="s">
        <v>2925</v>
      </c>
      <c r="D716" s="58" t="s">
        <v>2959</v>
      </c>
      <c r="E716" s="60" t="b">
        <v>1</v>
      </c>
      <c r="F716" s="80" t="s">
        <v>380</v>
      </c>
      <c r="G716" s="58" t="s">
        <v>2958</v>
      </c>
      <c r="H716" s="58" t="s">
        <v>2925</v>
      </c>
      <c r="I716" s="64" t="s">
        <v>2959</v>
      </c>
      <c r="J716" s="66"/>
      <c r="K716" s="66"/>
      <c r="L716" s="68"/>
      <c r="M716" s="63" t="str">
        <f>HYPERLINK("http://nsgreg.nga.mil/genc/view?v=862812&amp;end_month=12&amp;end_day=31&amp;end_year=2016","Correlation")</f>
        <v>Correlation</v>
      </c>
    </row>
    <row r="717" spans="1:13" x14ac:dyDescent="0.2">
      <c r="A717" s="113"/>
      <c r="B717" s="58" t="s">
        <v>2960</v>
      </c>
      <c r="C717" s="58" t="s">
        <v>2947</v>
      </c>
      <c r="D717" s="58" t="s">
        <v>2961</v>
      </c>
      <c r="E717" s="60" t="b">
        <v>1</v>
      </c>
      <c r="F717" s="80" t="s">
        <v>380</v>
      </c>
      <c r="G717" s="58" t="s">
        <v>2962</v>
      </c>
      <c r="H717" s="58" t="s">
        <v>2947</v>
      </c>
      <c r="I717" s="64" t="s">
        <v>2961</v>
      </c>
      <c r="J717" s="66"/>
      <c r="K717" s="66"/>
      <c r="L717" s="68"/>
      <c r="M717" s="63" t="str">
        <f>HYPERLINK("http://nsgreg.nga.mil/genc/view?v=862813&amp;end_month=12&amp;end_day=31&amp;end_year=2016","Correlation")</f>
        <v>Correlation</v>
      </c>
    </row>
    <row r="718" spans="1:13" x14ac:dyDescent="0.2">
      <c r="A718" s="114"/>
      <c r="B718" s="71" t="s">
        <v>2963</v>
      </c>
      <c r="C718" s="71" t="s">
        <v>2925</v>
      </c>
      <c r="D718" s="71" t="s">
        <v>2964</v>
      </c>
      <c r="E718" s="73" t="b">
        <v>1</v>
      </c>
      <c r="F718" s="81" t="s">
        <v>380</v>
      </c>
      <c r="G718" s="71" t="s">
        <v>2963</v>
      </c>
      <c r="H718" s="71" t="s">
        <v>2925</v>
      </c>
      <c r="I718" s="74" t="s">
        <v>2964</v>
      </c>
      <c r="J718" s="76"/>
      <c r="K718" s="76"/>
      <c r="L718" s="82"/>
      <c r="M718" s="77" t="str">
        <f>HYPERLINK("http://nsgreg.nga.mil/genc/view?v=862815&amp;end_month=12&amp;end_day=31&amp;end_year=2016","Correlation")</f>
        <v>Correlation</v>
      </c>
    </row>
    <row r="719" spans="1:13" x14ac:dyDescent="0.2">
      <c r="A719" s="112" t="s">
        <v>384</v>
      </c>
      <c r="B719" s="50" t="s">
        <v>2965</v>
      </c>
      <c r="C719" s="50" t="s">
        <v>1728</v>
      </c>
      <c r="D719" s="50" t="s">
        <v>2966</v>
      </c>
      <c r="E719" s="52" t="b">
        <v>1</v>
      </c>
      <c r="F719" s="78" t="s">
        <v>384</v>
      </c>
      <c r="G719" s="50" t="s">
        <v>2967</v>
      </c>
      <c r="H719" s="50" t="s">
        <v>1728</v>
      </c>
      <c r="I719" s="53" t="s">
        <v>2966</v>
      </c>
      <c r="J719" s="55"/>
      <c r="K719" s="55"/>
      <c r="L719" s="79"/>
      <c r="M719" s="56" t="str">
        <f>HYPERLINK("http://nsgreg.nga.mil/genc/view?v=866563&amp;end_month=12&amp;end_day=31&amp;end_year=2016","Correlation")</f>
        <v>Correlation</v>
      </c>
    </row>
    <row r="720" spans="1:13" x14ac:dyDescent="0.2">
      <c r="A720" s="113"/>
      <c r="B720" s="58" t="s">
        <v>2968</v>
      </c>
      <c r="C720" s="58" t="s">
        <v>1728</v>
      </c>
      <c r="D720" s="58" t="s">
        <v>2969</v>
      </c>
      <c r="E720" s="60" t="b">
        <v>1</v>
      </c>
      <c r="F720" s="80" t="s">
        <v>384</v>
      </c>
      <c r="G720" s="58" t="s">
        <v>2970</v>
      </c>
      <c r="H720" s="58" t="s">
        <v>1728</v>
      </c>
      <c r="I720" s="64" t="s">
        <v>2969</v>
      </c>
      <c r="J720" s="66"/>
      <c r="K720" s="66"/>
      <c r="L720" s="68"/>
      <c r="M720" s="63" t="str">
        <f>HYPERLINK("http://nsgreg.nga.mil/genc/view?v=866562&amp;end_month=12&amp;end_day=31&amp;end_year=2016","Correlation")</f>
        <v>Correlation</v>
      </c>
    </row>
    <row r="721" spans="1:13" x14ac:dyDescent="0.2">
      <c r="A721" s="113"/>
      <c r="B721" s="58" t="s">
        <v>2971</v>
      </c>
      <c r="C721" s="58" t="s">
        <v>1728</v>
      </c>
      <c r="D721" s="58" t="s">
        <v>2972</v>
      </c>
      <c r="E721" s="60" t="b">
        <v>1</v>
      </c>
      <c r="F721" s="80" t="s">
        <v>384</v>
      </c>
      <c r="G721" s="58" t="s">
        <v>2973</v>
      </c>
      <c r="H721" s="58" t="s">
        <v>1728</v>
      </c>
      <c r="I721" s="64" t="s">
        <v>2972</v>
      </c>
      <c r="J721" s="66"/>
      <c r="K721" s="66"/>
      <c r="L721" s="68"/>
      <c r="M721" s="63" t="str">
        <f>HYPERLINK("http://nsgreg.nga.mil/genc/view?v=866564&amp;end_month=12&amp;end_day=31&amp;end_year=2016","Correlation")</f>
        <v>Correlation</v>
      </c>
    </row>
    <row r="722" spans="1:13" x14ac:dyDescent="0.2">
      <c r="A722" s="113"/>
      <c r="B722" s="58" t="s">
        <v>2974</v>
      </c>
      <c r="C722" s="58" t="s">
        <v>1728</v>
      </c>
      <c r="D722" s="58" t="s">
        <v>2975</v>
      </c>
      <c r="E722" s="60" t="b">
        <v>1</v>
      </c>
      <c r="F722" s="80" t="s">
        <v>384</v>
      </c>
      <c r="G722" s="58" t="s">
        <v>2976</v>
      </c>
      <c r="H722" s="58" t="s">
        <v>1728</v>
      </c>
      <c r="I722" s="64" t="s">
        <v>2975</v>
      </c>
      <c r="J722" s="66"/>
      <c r="K722" s="66"/>
      <c r="L722" s="68"/>
      <c r="M722" s="63" t="str">
        <f>HYPERLINK("http://nsgreg.nga.mil/genc/view?v=866565&amp;end_month=12&amp;end_day=31&amp;end_year=2016","Correlation")</f>
        <v>Correlation</v>
      </c>
    </row>
    <row r="723" spans="1:13" x14ac:dyDescent="0.2">
      <c r="A723" s="113"/>
      <c r="B723" s="58" t="s">
        <v>2977</v>
      </c>
      <c r="C723" s="58" t="s">
        <v>1728</v>
      </c>
      <c r="D723" s="58" t="s">
        <v>2978</v>
      </c>
      <c r="E723" s="60" t="b">
        <v>1</v>
      </c>
      <c r="F723" s="80" t="s">
        <v>384</v>
      </c>
      <c r="G723" s="58" t="s">
        <v>2977</v>
      </c>
      <c r="H723" s="58" t="s">
        <v>1728</v>
      </c>
      <c r="I723" s="64" t="s">
        <v>2978</v>
      </c>
      <c r="J723" s="66"/>
      <c r="K723" s="66"/>
      <c r="L723" s="68"/>
      <c r="M723" s="63" t="str">
        <f>HYPERLINK("http://nsgreg.nga.mil/genc/view?v=866566&amp;end_month=12&amp;end_day=31&amp;end_year=2016","Correlation")</f>
        <v>Correlation</v>
      </c>
    </row>
    <row r="724" spans="1:13" x14ac:dyDescent="0.2">
      <c r="A724" s="113"/>
      <c r="B724" s="58" t="s">
        <v>2979</v>
      </c>
      <c r="C724" s="58" t="s">
        <v>1728</v>
      </c>
      <c r="D724" s="58" t="s">
        <v>2980</v>
      </c>
      <c r="E724" s="60" t="b">
        <v>1</v>
      </c>
      <c r="F724" s="80" t="s">
        <v>384</v>
      </c>
      <c r="G724" s="58" t="s">
        <v>2979</v>
      </c>
      <c r="H724" s="58" t="s">
        <v>1728</v>
      </c>
      <c r="I724" s="64" t="s">
        <v>2980</v>
      </c>
      <c r="J724" s="66"/>
      <c r="K724" s="66"/>
      <c r="L724" s="68"/>
      <c r="M724" s="63" t="str">
        <f>HYPERLINK("http://nsgreg.nga.mil/genc/view?v=866567&amp;end_month=12&amp;end_day=31&amp;end_year=2016","Correlation")</f>
        <v>Correlation</v>
      </c>
    </row>
    <row r="725" spans="1:13" x14ac:dyDescent="0.2">
      <c r="A725" s="113"/>
      <c r="B725" s="58" t="s">
        <v>2981</v>
      </c>
      <c r="C725" s="58" t="s">
        <v>1728</v>
      </c>
      <c r="D725" s="58" t="s">
        <v>2982</v>
      </c>
      <c r="E725" s="60" t="b">
        <v>1</v>
      </c>
      <c r="F725" s="80" t="s">
        <v>384</v>
      </c>
      <c r="G725" s="58" t="s">
        <v>2983</v>
      </c>
      <c r="H725" s="58" t="s">
        <v>1728</v>
      </c>
      <c r="I725" s="64" t="s">
        <v>2982</v>
      </c>
      <c r="J725" s="66"/>
      <c r="K725" s="66"/>
      <c r="L725" s="68"/>
      <c r="M725" s="63" t="str">
        <f>HYPERLINK("http://nsgreg.nga.mil/genc/view?v=866568&amp;end_month=12&amp;end_day=31&amp;end_year=2016","Correlation")</f>
        <v>Correlation</v>
      </c>
    </row>
    <row r="726" spans="1:13" x14ac:dyDescent="0.2">
      <c r="A726" s="113"/>
      <c r="B726" s="58" t="s">
        <v>2984</v>
      </c>
      <c r="C726" s="58" t="s">
        <v>1728</v>
      </c>
      <c r="D726" s="58" t="s">
        <v>2985</v>
      </c>
      <c r="E726" s="60" t="b">
        <v>1</v>
      </c>
      <c r="F726" s="80" t="s">
        <v>384</v>
      </c>
      <c r="G726" s="58" t="s">
        <v>2986</v>
      </c>
      <c r="H726" s="58" t="s">
        <v>1728</v>
      </c>
      <c r="I726" s="64" t="s">
        <v>2985</v>
      </c>
      <c r="J726" s="66"/>
      <c r="K726" s="66"/>
      <c r="L726" s="68"/>
      <c r="M726" s="63" t="str">
        <f>HYPERLINK("http://nsgreg.nga.mil/genc/view?v=866569&amp;end_month=12&amp;end_day=31&amp;end_year=2016","Correlation")</f>
        <v>Correlation</v>
      </c>
    </row>
    <row r="727" spans="1:13" x14ac:dyDescent="0.2">
      <c r="A727" s="113"/>
      <c r="B727" s="58" t="s">
        <v>2987</v>
      </c>
      <c r="C727" s="58" t="s">
        <v>1728</v>
      </c>
      <c r="D727" s="58" t="s">
        <v>2988</v>
      </c>
      <c r="E727" s="60" t="b">
        <v>1</v>
      </c>
      <c r="F727" s="80" t="s">
        <v>384</v>
      </c>
      <c r="G727" s="58" t="s">
        <v>2989</v>
      </c>
      <c r="H727" s="58" t="s">
        <v>1728</v>
      </c>
      <c r="I727" s="64" t="s">
        <v>2988</v>
      </c>
      <c r="J727" s="66"/>
      <c r="K727" s="66"/>
      <c r="L727" s="68"/>
      <c r="M727" s="63" t="str">
        <f>HYPERLINK("http://nsgreg.nga.mil/genc/view?v=866570&amp;end_month=12&amp;end_day=31&amp;end_year=2016","Correlation")</f>
        <v>Correlation</v>
      </c>
    </row>
    <row r="728" spans="1:13" x14ac:dyDescent="0.2">
      <c r="A728" s="113"/>
      <c r="B728" s="58" t="s">
        <v>2990</v>
      </c>
      <c r="C728" s="58" t="s">
        <v>1728</v>
      </c>
      <c r="D728" s="58" t="s">
        <v>2991</v>
      </c>
      <c r="E728" s="60" t="b">
        <v>1</v>
      </c>
      <c r="F728" s="80" t="s">
        <v>384</v>
      </c>
      <c r="G728" s="58" t="s">
        <v>2992</v>
      </c>
      <c r="H728" s="58" t="s">
        <v>1728</v>
      </c>
      <c r="I728" s="64" t="s">
        <v>2991</v>
      </c>
      <c r="J728" s="66"/>
      <c r="K728" s="66"/>
      <c r="L728" s="68"/>
      <c r="M728" s="63" t="str">
        <f>HYPERLINK("http://nsgreg.nga.mil/genc/view?v=866571&amp;end_month=12&amp;end_day=31&amp;end_year=2016","Correlation")</f>
        <v>Correlation</v>
      </c>
    </row>
    <row r="729" spans="1:13" x14ac:dyDescent="0.2">
      <c r="A729" s="113"/>
      <c r="B729" s="58" t="s">
        <v>2993</v>
      </c>
      <c r="C729" s="58" t="s">
        <v>1728</v>
      </c>
      <c r="D729" s="58" t="s">
        <v>2994</v>
      </c>
      <c r="E729" s="60" t="b">
        <v>1</v>
      </c>
      <c r="F729" s="80" t="s">
        <v>384</v>
      </c>
      <c r="G729" s="58" t="s">
        <v>2995</v>
      </c>
      <c r="H729" s="58" t="s">
        <v>1728</v>
      </c>
      <c r="I729" s="64" t="s">
        <v>2994</v>
      </c>
      <c r="J729" s="66"/>
      <c r="K729" s="66"/>
      <c r="L729" s="68"/>
      <c r="M729" s="63" t="str">
        <f>HYPERLINK("http://nsgreg.nga.mil/genc/view?v=866572&amp;end_month=12&amp;end_day=31&amp;end_year=2016","Correlation")</f>
        <v>Correlation</v>
      </c>
    </row>
    <row r="730" spans="1:13" x14ac:dyDescent="0.2">
      <c r="A730" s="113"/>
      <c r="B730" s="58" t="s">
        <v>2996</v>
      </c>
      <c r="C730" s="58" t="s">
        <v>1728</v>
      </c>
      <c r="D730" s="58" t="s">
        <v>2997</v>
      </c>
      <c r="E730" s="60" t="b">
        <v>1</v>
      </c>
      <c r="F730" s="80" t="s">
        <v>384</v>
      </c>
      <c r="G730" s="58" t="s">
        <v>2998</v>
      </c>
      <c r="H730" s="58" t="s">
        <v>1728</v>
      </c>
      <c r="I730" s="64" t="s">
        <v>2997</v>
      </c>
      <c r="J730" s="66"/>
      <c r="K730" s="66"/>
      <c r="L730" s="68"/>
      <c r="M730" s="63" t="str">
        <f>HYPERLINK("http://nsgreg.nga.mil/genc/view?v=866573&amp;end_month=12&amp;end_day=31&amp;end_year=2016","Correlation")</f>
        <v>Correlation</v>
      </c>
    </row>
    <row r="731" spans="1:13" x14ac:dyDescent="0.2">
      <c r="A731" s="113"/>
      <c r="B731" s="58" t="s">
        <v>2999</v>
      </c>
      <c r="C731" s="58" t="s">
        <v>1728</v>
      </c>
      <c r="D731" s="58" t="s">
        <v>3000</v>
      </c>
      <c r="E731" s="60" t="b">
        <v>1</v>
      </c>
      <c r="F731" s="80" t="s">
        <v>384</v>
      </c>
      <c r="G731" s="58" t="s">
        <v>3001</v>
      </c>
      <c r="H731" s="58" t="s">
        <v>1728</v>
      </c>
      <c r="I731" s="64" t="s">
        <v>3000</v>
      </c>
      <c r="J731" s="66"/>
      <c r="K731" s="66"/>
      <c r="L731" s="68"/>
      <c r="M731" s="63" t="str">
        <f>HYPERLINK("http://nsgreg.nga.mil/genc/view?v=866574&amp;end_month=12&amp;end_day=31&amp;end_year=2016","Correlation")</f>
        <v>Correlation</v>
      </c>
    </row>
    <row r="732" spans="1:13" x14ac:dyDescent="0.2">
      <c r="A732" s="113"/>
      <c r="B732" s="58" t="s">
        <v>3002</v>
      </c>
      <c r="C732" s="58" t="s">
        <v>1728</v>
      </c>
      <c r="D732" s="58" t="s">
        <v>3003</v>
      </c>
      <c r="E732" s="60" t="b">
        <v>1</v>
      </c>
      <c r="F732" s="80" t="s">
        <v>384</v>
      </c>
      <c r="G732" s="58" t="s">
        <v>3004</v>
      </c>
      <c r="H732" s="58" t="s">
        <v>1728</v>
      </c>
      <c r="I732" s="64" t="s">
        <v>3003</v>
      </c>
      <c r="J732" s="66"/>
      <c r="K732" s="66"/>
      <c r="L732" s="68"/>
      <c r="M732" s="63" t="str">
        <f>HYPERLINK("http://nsgreg.nga.mil/genc/view?v=866576&amp;end_month=12&amp;end_day=31&amp;end_year=2016","Correlation")</f>
        <v>Correlation</v>
      </c>
    </row>
    <row r="733" spans="1:13" x14ac:dyDescent="0.2">
      <c r="A733" s="113"/>
      <c r="B733" s="58" t="s">
        <v>3005</v>
      </c>
      <c r="C733" s="58" t="s">
        <v>1728</v>
      </c>
      <c r="D733" s="58" t="s">
        <v>3006</v>
      </c>
      <c r="E733" s="60" t="b">
        <v>1</v>
      </c>
      <c r="F733" s="80" t="s">
        <v>384</v>
      </c>
      <c r="G733" s="58" t="s">
        <v>3007</v>
      </c>
      <c r="H733" s="58" t="s">
        <v>1728</v>
      </c>
      <c r="I733" s="64" t="s">
        <v>3006</v>
      </c>
      <c r="J733" s="66"/>
      <c r="K733" s="66"/>
      <c r="L733" s="68"/>
      <c r="M733" s="63" t="str">
        <f>HYPERLINK("http://nsgreg.nga.mil/genc/view?v=866577&amp;end_month=12&amp;end_day=31&amp;end_year=2016","Correlation")</f>
        <v>Correlation</v>
      </c>
    </row>
    <row r="734" spans="1:13" x14ac:dyDescent="0.2">
      <c r="A734" s="113"/>
      <c r="B734" s="58" t="s">
        <v>3008</v>
      </c>
      <c r="C734" s="58" t="s">
        <v>1728</v>
      </c>
      <c r="D734" s="58" t="s">
        <v>3009</v>
      </c>
      <c r="E734" s="60" t="b">
        <v>1</v>
      </c>
      <c r="F734" s="80" t="s">
        <v>384</v>
      </c>
      <c r="G734" s="58" t="s">
        <v>3010</v>
      </c>
      <c r="H734" s="58" t="s">
        <v>1728</v>
      </c>
      <c r="I734" s="64" t="s">
        <v>3009</v>
      </c>
      <c r="J734" s="66"/>
      <c r="K734" s="66"/>
      <c r="L734" s="68"/>
      <c r="M734" s="63" t="str">
        <f>HYPERLINK("http://nsgreg.nga.mil/genc/view?v=866575&amp;end_month=12&amp;end_day=31&amp;end_year=2016","Correlation")</f>
        <v>Correlation</v>
      </c>
    </row>
    <row r="735" spans="1:13" x14ac:dyDescent="0.2">
      <c r="A735" s="113"/>
      <c r="B735" s="58" t="s">
        <v>3011</v>
      </c>
      <c r="C735" s="58" t="s">
        <v>1728</v>
      </c>
      <c r="D735" s="58" t="s">
        <v>3012</v>
      </c>
      <c r="E735" s="60" t="b">
        <v>1</v>
      </c>
      <c r="F735" s="80" t="s">
        <v>384</v>
      </c>
      <c r="G735" s="58" t="s">
        <v>3013</v>
      </c>
      <c r="H735" s="58" t="s">
        <v>1728</v>
      </c>
      <c r="I735" s="64" t="s">
        <v>3012</v>
      </c>
      <c r="J735" s="66"/>
      <c r="K735" s="66"/>
      <c r="L735" s="68"/>
      <c r="M735" s="63" t="str">
        <f>HYPERLINK("http://nsgreg.nga.mil/genc/view?v=866579&amp;end_month=12&amp;end_day=31&amp;end_year=2016","Correlation")</f>
        <v>Correlation</v>
      </c>
    </row>
    <row r="736" spans="1:13" x14ac:dyDescent="0.2">
      <c r="A736" s="113"/>
      <c r="B736" s="58" t="s">
        <v>3014</v>
      </c>
      <c r="C736" s="58" t="s">
        <v>1728</v>
      </c>
      <c r="D736" s="58" t="s">
        <v>3015</v>
      </c>
      <c r="E736" s="60" t="b">
        <v>1</v>
      </c>
      <c r="F736" s="80" t="s">
        <v>384</v>
      </c>
      <c r="G736" s="58" t="s">
        <v>3016</v>
      </c>
      <c r="H736" s="58" t="s">
        <v>1728</v>
      </c>
      <c r="I736" s="64" t="s">
        <v>3015</v>
      </c>
      <c r="J736" s="66"/>
      <c r="K736" s="66"/>
      <c r="L736" s="68"/>
      <c r="M736" s="63" t="str">
        <f>HYPERLINK("http://nsgreg.nga.mil/genc/view?v=866580&amp;end_month=12&amp;end_day=31&amp;end_year=2016","Correlation")</f>
        <v>Correlation</v>
      </c>
    </row>
    <row r="737" spans="1:13" x14ac:dyDescent="0.2">
      <c r="A737" s="113"/>
      <c r="B737" s="58" t="s">
        <v>3017</v>
      </c>
      <c r="C737" s="58" t="s">
        <v>1728</v>
      </c>
      <c r="D737" s="58" t="s">
        <v>3018</v>
      </c>
      <c r="E737" s="60" t="b">
        <v>1</v>
      </c>
      <c r="F737" s="80" t="s">
        <v>384</v>
      </c>
      <c r="G737" s="58" t="s">
        <v>3019</v>
      </c>
      <c r="H737" s="58" t="s">
        <v>1728</v>
      </c>
      <c r="I737" s="64" t="s">
        <v>3018</v>
      </c>
      <c r="J737" s="66"/>
      <c r="K737" s="66"/>
      <c r="L737" s="68"/>
      <c r="M737" s="63" t="str">
        <f>HYPERLINK("http://nsgreg.nga.mil/genc/view?v=866581&amp;end_month=12&amp;end_day=31&amp;end_year=2016","Correlation")</f>
        <v>Correlation</v>
      </c>
    </row>
    <row r="738" spans="1:13" x14ac:dyDescent="0.2">
      <c r="A738" s="113"/>
      <c r="B738" s="58" t="s">
        <v>3020</v>
      </c>
      <c r="C738" s="58" t="s">
        <v>1728</v>
      </c>
      <c r="D738" s="58" t="s">
        <v>3021</v>
      </c>
      <c r="E738" s="60" t="b">
        <v>1</v>
      </c>
      <c r="F738" s="80" t="s">
        <v>384</v>
      </c>
      <c r="G738" s="58" t="s">
        <v>3022</v>
      </c>
      <c r="H738" s="58" t="s">
        <v>1728</v>
      </c>
      <c r="I738" s="64" t="s">
        <v>3021</v>
      </c>
      <c r="J738" s="66"/>
      <c r="K738" s="66"/>
      <c r="L738" s="68"/>
      <c r="M738" s="63" t="str">
        <f>HYPERLINK("http://nsgreg.nga.mil/genc/view?v=866582&amp;end_month=12&amp;end_day=31&amp;end_year=2016","Correlation")</f>
        <v>Correlation</v>
      </c>
    </row>
    <row r="739" spans="1:13" x14ac:dyDescent="0.2">
      <c r="A739" s="113"/>
      <c r="B739" s="58" t="s">
        <v>3023</v>
      </c>
      <c r="C739" s="58" t="s">
        <v>1728</v>
      </c>
      <c r="D739" s="58" t="s">
        <v>3024</v>
      </c>
      <c r="E739" s="60" t="b">
        <v>1</v>
      </c>
      <c r="F739" s="80" t="s">
        <v>384</v>
      </c>
      <c r="G739" s="58" t="s">
        <v>3025</v>
      </c>
      <c r="H739" s="58" t="s">
        <v>1728</v>
      </c>
      <c r="I739" s="64" t="s">
        <v>3024</v>
      </c>
      <c r="J739" s="66"/>
      <c r="K739" s="66"/>
      <c r="L739" s="68"/>
      <c r="M739" s="63" t="str">
        <f>HYPERLINK("http://nsgreg.nga.mil/genc/view?v=866583&amp;end_month=12&amp;end_day=31&amp;end_year=2016","Correlation")</f>
        <v>Correlation</v>
      </c>
    </row>
    <row r="740" spans="1:13" x14ac:dyDescent="0.2">
      <c r="A740" s="113"/>
      <c r="B740" s="58" t="s">
        <v>3026</v>
      </c>
      <c r="C740" s="58" t="s">
        <v>1728</v>
      </c>
      <c r="D740" s="58" t="s">
        <v>3027</v>
      </c>
      <c r="E740" s="60" t="b">
        <v>1</v>
      </c>
      <c r="F740" s="80" t="s">
        <v>384</v>
      </c>
      <c r="G740" s="58" t="s">
        <v>3028</v>
      </c>
      <c r="H740" s="58" t="s">
        <v>1728</v>
      </c>
      <c r="I740" s="64" t="s">
        <v>3027</v>
      </c>
      <c r="J740" s="66"/>
      <c r="K740" s="66"/>
      <c r="L740" s="68"/>
      <c r="M740" s="63" t="str">
        <f>HYPERLINK("http://nsgreg.nga.mil/genc/view?v=866578&amp;end_month=12&amp;end_day=31&amp;end_year=2016","Correlation")</f>
        <v>Correlation</v>
      </c>
    </row>
    <row r="741" spans="1:13" x14ac:dyDescent="0.2">
      <c r="A741" s="114"/>
      <c r="B741" s="71" t="s">
        <v>3029</v>
      </c>
      <c r="C741" s="71" t="s">
        <v>1728</v>
      </c>
      <c r="D741" s="71" t="s">
        <v>3030</v>
      </c>
      <c r="E741" s="73" t="b">
        <v>1</v>
      </c>
      <c r="F741" s="81" t="s">
        <v>384</v>
      </c>
      <c r="G741" s="71" t="s">
        <v>3031</v>
      </c>
      <c r="H741" s="71" t="s">
        <v>1728</v>
      </c>
      <c r="I741" s="74" t="s">
        <v>3030</v>
      </c>
      <c r="J741" s="76"/>
      <c r="K741" s="76"/>
      <c r="L741" s="82"/>
      <c r="M741" s="77" t="str">
        <f>HYPERLINK("http://nsgreg.nga.mil/genc/view?v=866584&amp;end_month=12&amp;end_day=31&amp;end_year=2016","Correlation")</f>
        <v>Correlation</v>
      </c>
    </row>
    <row r="742" spans="1:13" x14ac:dyDescent="0.2">
      <c r="A742" s="112" t="s">
        <v>388</v>
      </c>
      <c r="B742" s="50" t="s">
        <v>3032</v>
      </c>
      <c r="C742" s="50" t="s">
        <v>1728</v>
      </c>
      <c r="D742" s="50" t="s">
        <v>3033</v>
      </c>
      <c r="E742" s="52" t="b">
        <v>1</v>
      </c>
      <c r="F742" s="78" t="s">
        <v>388</v>
      </c>
      <c r="G742" s="50" t="s">
        <v>3032</v>
      </c>
      <c r="H742" s="50" t="s">
        <v>1728</v>
      </c>
      <c r="I742" s="53" t="s">
        <v>3033</v>
      </c>
      <c r="J742" s="55"/>
      <c r="K742" s="55"/>
      <c r="L742" s="79"/>
      <c r="M742" s="56" t="str">
        <f>HYPERLINK("http://nsgreg.nga.mil/genc/view?v=862869&amp;end_month=12&amp;end_day=31&amp;end_year=2016","Correlation")</f>
        <v>Correlation</v>
      </c>
    </row>
    <row r="743" spans="1:13" x14ac:dyDescent="0.2">
      <c r="A743" s="113"/>
      <c r="B743" s="58" t="s">
        <v>3034</v>
      </c>
      <c r="C743" s="58" t="s">
        <v>1728</v>
      </c>
      <c r="D743" s="58" t="s">
        <v>3035</v>
      </c>
      <c r="E743" s="60" t="b">
        <v>1</v>
      </c>
      <c r="F743" s="80" t="s">
        <v>388</v>
      </c>
      <c r="G743" s="58" t="s">
        <v>3036</v>
      </c>
      <c r="H743" s="58" t="s">
        <v>1728</v>
      </c>
      <c r="I743" s="64" t="s">
        <v>3035</v>
      </c>
      <c r="J743" s="66"/>
      <c r="K743" s="66"/>
      <c r="L743" s="68"/>
      <c r="M743" s="63" t="str">
        <f>HYPERLINK("http://nsgreg.nga.mil/genc/view?v=862871&amp;end_month=12&amp;end_day=31&amp;end_year=2016","Correlation")</f>
        <v>Correlation</v>
      </c>
    </row>
    <row r="744" spans="1:13" x14ac:dyDescent="0.2">
      <c r="A744" s="113"/>
      <c r="B744" s="58" t="s">
        <v>3037</v>
      </c>
      <c r="C744" s="58" t="s">
        <v>1728</v>
      </c>
      <c r="D744" s="58" t="s">
        <v>3038</v>
      </c>
      <c r="E744" s="60" t="b">
        <v>1</v>
      </c>
      <c r="F744" s="80" t="s">
        <v>388</v>
      </c>
      <c r="G744" s="58" t="s">
        <v>3037</v>
      </c>
      <c r="H744" s="58" t="s">
        <v>1728</v>
      </c>
      <c r="I744" s="64" t="s">
        <v>3038</v>
      </c>
      <c r="J744" s="66"/>
      <c r="K744" s="66"/>
      <c r="L744" s="68"/>
      <c r="M744" s="63" t="str">
        <f>HYPERLINK("http://nsgreg.nga.mil/genc/view?v=862870&amp;end_month=12&amp;end_day=31&amp;end_year=2016","Correlation")</f>
        <v>Correlation</v>
      </c>
    </row>
    <row r="745" spans="1:13" x14ac:dyDescent="0.2">
      <c r="A745" s="113"/>
      <c r="B745" s="58" t="s">
        <v>3039</v>
      </c>
      <c r="C745" s="58" t="s">
        <v>1728</v>
      </c>
      <c r="D745" s="58" t="s">
        <v>3040</v>
      </c>
      <c r="E745" s="60" t="b">
        <v>1</v>
      </c>
      <c r="F745" s="80" t="s">
        <v>388</v>
      </c>
      <c r="G745" s="58" t="s">
        <v>3039</v>
      </c>
      <c r="H745" s="58" t="s">
        <v>1728</v>
      </c>
      <c r="I745" s="64" t="s">
        <v>3040</v>
      </c>
      <c r="J745" s="66"/>
      <c r="K745" s="66"/>
      <c r="L745" s="68"/>
      <c r="M745" s="63" t="str">
        <f>HYPERLINK("http://nsgreg.nga.mil/genc/view?v=862872&amp;end_month=12&amp;end_day=31&amp;end_year=2016","Correlation")</f>
        <v>Correlation</v>
      </c>
    </row>
    <row r="746" spans="1:13" x14ac:dyDescent="0.2">
      <c r="A746" s="113"/>
      <c r="B746" s="58" t="s">
        <v>3041</v>
      </c>
      <c r="C746" s="58" t="s">
        <v>1728</v>
      </c>
      <c r="D746" s="58" t="s">
        <v>3042</v>
      </c>
      <c r="E746" s="60" t="b">
        <v>1</v>
      </c>
      <c r="F746" s="80" t="s">
        <v>388</v>
      </c>
      <c r="G746" s="58" t="s">
        <v>3043</v>
      </c>
      <c r="H746" s="58" t="s">
        <v>1728</v>
      </c>
      <c r="I746" s="64" t="s">
        <v>3042</v>
      </c>
      <c r="J746" s="66"/>
      <c r="K746" s="66"/>
      <c r="L746" s="68"/>
      <c r="M746" s="63" t="str">
        <f>HYPERLINK("http://nsgreg.nga.mil/genc/view?v=862868&amp;end_month=12&amp;end_day=31&amp;end_year=2016","Correlation")</f>
        <v>Correlation</v>
      </c>
    </row>
    <row r="747" spans="1:13" x14ac:dyDescent="0.2">
      <c r="A747" s="113"/>
      <c r="B747" s="58" t="s">
        <v>3044</v>
      </c>
      <c r="C747" s="58" t="s">
        <v>1728</v>
      </c>
      <c r="D747" s="58" t="s">
        <v>3045</v>
      </c>
      <c r="E747" s="60" t="b">
        <v>1</v>
      </c>
      <c r="F747" s="80" t="s">
        <v>388</v>
      </c>
      <c r="G747" s="58" t="s">
        <v>3044</v>
      </c>
      <c r="H747" s="58" t="s">
        <v>1728</v>
      </c>
      <c r="I747" s="64" t="s">
        <v>3045</v>
      </c>
      <c r="J747" s="66"/>
      <c r="K747" s="66"/>
      <c r="L747" s="68"/>
      <c r="M747" s="63" t="str">
        <f>HYPERLINK("http://nsgreg.nga.mil/genc/view?v=862873&amp;end_month=12&amp;end_day=31&amp;end_year=2016","Correlation")</f>
        <v>Correlation</v>
      </c>
    </row>
    <row r="748" spans="1:13" x14ac:dyDescent="0.2">
      <c r="A748" s="113"/>
      <c r="B748" s="58" t="s">
        <v>3046</v>
      </c>
      <c r="C748" s="58" t="s">
        <v>1728</v>
      </c>
      <c r="D748" s="58" t="s">
        <v>3047</v>
      </c>
      <c r="E748" s="60" t="b">
        <v>1</v>
      </c>
      <c r="F748" s="80" t="s">
        <v>388</v>
      </c>
      <c r="G748" s="58" t="s">
        <v>3046</v>
      </c>
      <c r="H748" s="58" t="s">
        <v>1728</v>
      </c>
      <c r="I748" s="64" t="s">
        <v>3047</v>
      </c>
      <c r="J748" s="66"/>
      <c r="K748" s="66"/>
      <c r="L748" s="68"/>
      <c r="M748" s="63" t="str">
        <f>HYPERLINK("http://nsgreg.nga.mil/genc/view?v=862874&amp;end_month=12&amp;end_day=31&amp;end_year=2016","Correlation")</f>
        <v>Correlation</v>
      </c>
    </row>
    <row r="749" spans="1:13" x14ac:dyDescent="0.2">
      <c r="A749" s="113"/>
      <c r="B749" s="58" t="s">
        <v>3048</v>
      </c>
      <c r="C749" s="58" t="s">
        <v>1728</v>
      </c>
      <c r="D749" s="58" t="s">
        <v>3049</v>
      </c>
      <c r="E749" s="60" t="b">
        <v>1</v>
      </c>
      <c r="F749" s="80" t="s">
        <v>388</v>
      </c>
      <c r="G749" s="58" t="s">
        <v>3050</v>
      </c>
      <c r="H749" s="58" t="s">
        <v>1728</v>
      </c>
      <c r="I749" s="64" t="s">
        <v>3049</v>
      </c>
      <c r="J749" s="66"/>
      <c r="K749" s="66"/>
      <c r="L749" s="68"/>
      <c r="M749" s="63" t="str">
        <f>HYPERLINK("http://nsgreg.nga.mil/genc/view?v=862875&amp;end_month=12&amp;end_day=31&amp;end_year=2016","Correlation")</f>
        <v>Correlation</v>
      </c>
    </row>
    <row r="750" spans="1:13" x14ac:dyDescent="0.2">
      <c r="A750" s="113"/>
      <c r="B750" s="58" t="s">
        <v>3051</v>
      </c>
      <c r="C750" s="58" t="s">
        <v>1728</v>
      </c>
      <c r="D750" s="58" t="s">
        <v>3052</v>
      </c>
      <c r="E750" s="60" t="b">
        <v>1</v>
      </c>
      <c r="F750" s="80" t="s">
        <v>388</v>
      </c>
      <c r="G750" s="58" t="s">
        <v>3051</v>
      </c>
      <c r="H750" s="58" t="s">
        <v>1728</v>
      </c>
      <c r="I750" s="64" t="s">
        <v>3052</v>
      </c>
      <c r="J750" s="66"/>
      <c r="K750" s="66"/>
      <c r="L750" s="68"/>
      <c r="M750" s="63" t="str">
        <f>HYPERLINK("http://nsgreg.nga.mil/genc/view?v=862876&amp;end_month=12&amp;end_day=31&amp;end_year=2016","Correlation")</f>
        <v>Correlation</v>
      </c>
    </row>
    <row r="751" spans="1:13" x14ac:dyDescent="0.2">
      <c r="A751" s="113"/>
      <c r="B751" s="58" t="s">
        <v>3053</v>
      </c>
      <c r="C751" s="58" t="s">
        <v>1728</v>
      </c>
      <c r="D751" s="58" t="s">
        <v>3054</v>
      </c>
      <c r="E751" s="60" t="b">
        <v>1</v>
      </c>
      <c r="F751" s="80" t="s">
        <v>388</v>
      </c>
      <c r="G751" s="58" t="s">
        <v>3053</v>
      </c>
      <c r="H751" s="58" t="s">
        <v>1728</v>
      </c>
      <c r="I751" s="64" t="s">
        <v>3054</v>
      </c>
      <c r="J751" s="66"/>
      <c r="K751" s="66"/>
      <c r="L751" s="68"/>
      <c r="M751" s="63" t="str">
        <f>HYPERLINK("http://nsgreg.nga.mil/genc/view?v=862877&amp;end_month=12&amp;end_day=31&amp;end_year=2016","Correlation")</f>
        <v>Correlation</v>
      </c>
    </row>
    <row r="752" spans="1:13" x14ac:dyDescent="0.2">
      <c r="A752" s="113"/>
      <c r="B752" s="58" t="s">
        <v>3055</v>
      </c>
      <c r="C752" s="58" t="s">
        <v>1728</v>
      </c>
      <c r="D752" s="58" t="s">
        <v>3056</v>
      </c>
      <c r="E752" s="60" t="b">
        <v>1</v>
      </c>
      <c r="F752" s="80" t="s">
        <v>388</v>
      </c>
      <c r="G752" s="58" t="s">
        <v>3057</v>
      </c>
      <c r="H752" s="58" t="s">
        <v>1728</v>
      </c>
      <c r="I752" s="64" t="s">
        <v>3056</v>
      </c>
      <c r="J752" s="66"/>
      <c r="K752" s="66"/>
      <c r="L752" s="68"/>
      <c r="M752" s="63" t="str">
        <f>HYPERLINK("http://nsgreg.nga.mil/genc/view?v=862878&amp;end_month=12&amp;end_day=31&amp;end_year=2016","Correlation")</f>
        <v>Correlation</v>
      </c>
    </row>
    <row r="753" spans="1:13" x14ac:dyDescent="0.2">
      <c r="A753" s="113"/>
      <c r="B753" s="58" t="s">
        <v>3058</v>
      </c>
      <c r="C753" s="58" t="s">
        <v>1728</v>
      </c>
      <c r="D753" s="58" t="s">
        <v>3059</v>
      </c>
      <c r="E753" s="60" t="b">
        <v>1</v>
      </c>
      <c r="F753" s="80" t="s">
        <v>388</v>
      </c>
      <c r="G753" s="58" t="s">
        <v>3058</v>
      </c>
      <c r="H753" s="58" t="s">
        <v>1728</v>
      </c>
      <c r="I753" s="64" t="s">
        <v>3059</v>
      </c>
      <c r="J753" s="66"/>
      <c r="K753" s="66"/>
      <c r="L753" s="68"/>
      <c r="M753" s="63" t="str">
        <f>HYPERLINK("http://nsgreg.nga.mil/genc/view?v=862879&amp;end_month=12&amp;end_day=31&amp;end_year=2016","Correlation")</f>
        <v>Correlation</v>
      </c>
    </row>
    <row r="754" spans="1:13" x14ac:dyDescent="0.2">
      <c r="A754" s="113"/>
      <c r="B754" s="58" t="s">
        <v>3060</v>
      </c>
      <c r="C754" s="58" t="s">
        <v>1728</v>
      </c>
      <c r="D754" s="58" t="s">
        <v>3061</v>
      </c>
      <c r="E754" s="60" t="b">
        <v>1</v>
      </c>
      <c r="F754" s="80" t="s">
        <v>388</v>
      </c>
      <c r="G754" s="58" t="s">
        <v>3062</v>
      </c>
      <c r="H754" s="58" t="s">
        <v>1728</v>
      </c>
      <c r="I754" s="64" t="s">
        <v>3061</v>
      </c>
      <c r="J754" s="66"/>
      <c r="K754" s="66"/>
      <c r="L754" s="68"/>
      <c r="M754" s="63" t="str">
        <f>HYPERLINK("http://nsgreg.nga.mil/genc/view?v=862880&amp;end_month=12&amp;end_day=31&amp;end_year=2016","Correlation")</f>
        <v>Correlation</v>
      </c>
    </row>
    <row r="755" spans="1:13" x14ac:dyDescent="0.2">
      <c r="A755" s="113"/>
      <c r="B755" s="58" t="s">
        <v>3063</v>
      </c>
      <c r="C755" s="58" t="s">
        <v>1728</v>
      </c>
      <c r="D755" s="58" t="s">
        <v>3064</v>
      </c>
      <c r="E755" s="60" t="b">
        <v>1</v>
      </c>
      <c r="F755" s="80" t="s">
        <v>388</v>
      </c>
      <c r="G755" s="58" t="s">
        <v>3063</v>
      </c>
      <c r="H755" s="58" t="s">
        <v>1728</v>
      </c>
      <c r="I755" s="64" t="s">
        <v>3064</v>
      </c>
      <c r="J755" s="66"/>
      <c r="K755" s="66"/>
      <c r="L755" s="68"/>
      <c r="M755" s="63" t="str">
        <f>HYPERLINK("http://nsgreg.nga.mil/genc/view?v=862881&amp;end_month=12&amp;end_day=31&amp;end_year=2016","Correlation")</f>
        <v>Correlation</v>
      </c>
    </row>
    <row r="756" spans="1:13" x14ac:dyDescent="0.2">
      <c r="A756" s="114"/>
      <c r="B756" s="71" t="s">
        <v>3065</v>
      </c>
      <c r="C756" s="71" t="s">
        <v>1728</v>
      </c>
      <c r="D756" s="71" t="s">
        <v>3066</v>
      </c>
      <c r="E756" s="73" t="b">
        <v>1</v>
      </c>
      <c r="F756" s="81" t="s">
        <v>388</v>
      </c>
      <c r="G756" s="71" t="s">
        <v>3065</v>
      </c>
      <c r="H756" s="71" t="s">
        <v>1728</v>
      </c>
      <c r="I756" s="74" t="s">
        <v>3066</v>
      </c>
      <c r="J756" s="76"/>
      <c r="K756" s="76"/>
      <c r="L756" s="82"/>
      <c r="M756" s="77" t="str">
        <f>HYPERLINK("http://nsgreg.nga.mil/genc/view?v=862882&amp;end_month=12&amp;end_day=31&amp;end_year=2016","Correlation")</f>
        <v>Correlation</v>
      </c>
    </row>
    <row r="757" spans="1:13" x14ac:dyDescent="0.2">
      <c r="A757" s="112" t="s">
        <v>392</v>
      </c>
      <c r="B757" s="50" t="s">
        <v>3067</v>
      </c>
      <c r="C757" s="50" t="s">
        <v>1413</v>
      </c>
      <c r="D757" s="50" t="s">
        <v>3068</v>
      </c>
      <c r="E757" s="52" t="b">
        <v>1</v>
      </c>
      <c r="F757" s="78" t="s">
        <v>392</v>
      </c>
      <c r="G757" s="50" t="s">
        <v>3067</v>
      </c>
      <c r="H757" s="50" t="s">
        <v>1413</v>
      </c>
      <c r="I757" s="53" t="s">
        <v>3068</v>
      </c>
      <c r="J757" s="55"/>
      <c r="K757" s="55"/>
      <c r="L757" s="79"/>
      <c r="M757" s="56" t="str">
        <f>HYPERLINK("http://nsgreg.nga.mil/genc/view?v=862904&amp;end_month=12&amp;end_day=31&amp;end_year=2016","Correlation")</f>
        <v>Correlation</v>
      </c>
    </row>
    <row r="758" spans="1:13" x14ac:dyDescent="0.2">
      <c r="A758" s="113"/>
      <c r="B758" s="58" t="s">
        <v>3069</v>
      </c>
      <c r="C758" s="58" t="s">
        <v>1816</v>
      </c>
      <c r="D758" s="58" t="s">
        <v>3070</v>
      </c>
      <c r="E758" s="60" t="b">
        <v>1</v>
      </c>
      <c r="F758" s="80" t="s">
        <v>392</v>
      </c>
      <c r="G758" s="58" t="s">
        <v>3069</v>
      </c>
      <c r="H758" s="58" t="s">
        <v>1816</v>
      </c>
      <c r="I758" s="64" t="s">
        <v>3070</v>
      </c>
      <c r="J758" s="66"/>
      <c r="K758" s="66"/>
      <c r="L758" s="68"/>
      <c r="M758" s="63" t="str">
        <f>HYPERLINK("http://nsgreg.nga.mil/genc/view?v=862893&amp;end_month=12&amp;end_day=31&amp;end_year=2016","Correlation")</f>
        <v>Correlation</v>
      </c>
    </row>
    <row r="759" spans="1:13" x14ac:dyDescent="0.2">
      <c r="A759" s="113"/>
      <c r="B759" s="58" t="s">
        <v>3071</v>
      </c>
      <c r="C759" s="58" t="s">
        <v>1816</v>
      </c>
      <c r="D759" s="58" t="s">
        <v>3072</v>
      </c>
      <c r="E759" s="60" t="b">
        <v>1</v>
      </c>
      <c r="F759" s="80" t="s">
        <v>392</v>
      </c>
      <c r="G759" s="58" t="s">
        <v>3071</v>
      </c>
      <c r="H759" s="58" t="s">
        <v>1816</v>
      </c>
      <c r="I759" s="64" t="s">
        <v>3072</v>
      </c>
      <c r="J759" s="66"/>
      <c r="K759" s="66"/>
      <c r="L759" s="68"/>
      <c r="M759" s="63" t="str">
        <f>HYPERLINK("http://nsgreg.nga.mil/genc/view?v=862914&amp;end_month=12&amp;end_day=31&amp;end_year=2016","Correlation")</f>
        <v>Correlation</v>
      </c>
    </row>
    <row r="760" spans="1:13" x14ac:dyDescent="0.2">
      <c r="A760" s="113"/>
      <c r="B760" s="58" t="s">
        <v>3073</v>
      </c>
      <c r="C760" s="58" t="s">
        <v>1413</v>
      </c>
      <c r="D760" s="58" t="s">
        <v>3074</v>
      </c>
      <c r="E760" s="60" t="b">
        <v>1</v>
      </c>
      <c r="F760" s="80" t="s">
        <v>392</v>
      </c>
      <c r="G760" s="58" t="s">
        <v>3073</v>
      </c>
      <c r="H760" s="58" t="s">
        <v>1413</v>
      </c>
      <c r="I760" s="64" t="s">
        <v>3074</v>
      </c>
      <c r="J760" s="66"/>
      <c r="K760" s="66"/>
      <c r="L760" s="68"/>
      <c r="M760" s="63" t="str">
        <f>HYPERLINK("http://nsgreg.nga.mil/genc/view?v=862905&amp;end_month=12&amp;end_day=31&amp;end_year=2016","Correlation")</f>
        <v>Correlation</v>
      </c>
    </row>
    <row r="761" spans="1:13" x14ac:dyDescent="0.2">
      <c r="A761" s="113"/>
      <c r="B761" s="58" t="s">
        <v>3075</v>
      </c>
      <c r="C761" s="58" t="s">
        <v>1413</v>
      </c>
      <c r="D761" s="58" t="s">
        <v>3076</v>
      </c>
      <c r="E761" s="60" t="b">
        <v>1</v>
      </c>
      <c r="F761" s="80" t="s">
        <v>392</v>
      </c>
      <c r="G761" s="58" t="s">
        <v>3075</v>
      </c>
      <c r="H761" s="58" t="s">
        <v>1413</v>
      </c>
      <c r="I761" s="64" t="s">
        <v>3076</v>
      </c>
      <c r="J761" s="66"/>
      <c r="K761" s="66"/>
      <c r="L761" s="68"/>
      <c r="M761" s="63" t="str">
        <f>HYPERLINK("http://nsgreg.nga.mil/genc/view?v=862920&amp;end_month=12&amp;end_day=31&amp;end_year=2016","Correlation")</f>
        <v>Correlation</v>
      </c>
    </row>
    <row r="762" spans="1:13" x14ac:dyDescent="0.2">
      <c r="A762" s="113"/>
      <c r="B762" s="58" t="s">
        <v>3077</v>
      </c>
      <c r="C762" s="58" t="s">
        <v>1413</v>
      </c>
      <c r="D762" s="58" t="s">
        <v>3078</v>
      </c>
      <c r="E762" s="60" t="b">
        <v>1</v>
      </c>
      <c r="F762" s="80" t="s">
        <v>392</v>
      </c>
      <c r="G762" s="58" t="s">
        <v>3077</v>
      </c>
      <c r="H762" s="58" t="s">
        <v>1413</v>
      </c>
      <c r="I762" s="64" t="s">
        <v>3078</v>
      </c>
      <c r="J762" s="66"/>
      <c r="K762" s="66"/>
      <c r="L762" s="68"/>
      <c r="M762" s="63" t="str">
        <f>HYPERLINK("http://nsgreg.nga.mil/genc/view?v=862911&amp;end_month=12&amp;end_day=31&amp;end_year=2016","Correlation")</f>
        <v>Correlation</v>
      </c>
    </row>
    <row r="763" spans="1:13" x14ac:dyDescent="0.2">
      <c r="A763" s="113"/>
      <c r="B763" s="58" t="s">
        <v>3079</v>
      </c>
      <c r="C763" s="58" t="s">
        <v>3080</v>
      </c>
      <c r="D763" s="58" t="s">
        <v>3081</v>
      </c>
      <c r="E763" s="60" t="b">
        <v>1</v>
      </c>
      <c r="F763" s="80" t="s">
        <v>392</v>
      </c>
      <c r="G763" s="58" t="s">
        <v>3079</v>
      </c>
      <c r="H763" s="58" t="s">
        <v>3080</v>
      </c>
      <c r="I763" s="64" t="s">
        <v>3081</v>
      </c>
      <c r="J763" s="66"/>
      <c r="K763" s="66"/>
      <c r="L763" s="68"/>
      <c r="M763" s="63" t="str">
        <f>HYPERLINK("http://nsgreg.nga.mil/genc/view?v=862912&amp;end_month=12&amp;end_day=31&amp;end_year=2016","Correlation")</f>
        <v>Correlation</v>
      </c>
    </row>
    <row r="764" spans="1:13" x14ac:dyDescent="0.2">
      <c r="A764" s="113"/>
      <c r="B764" s="58" t="s">
        <v>3082</v>
      </c>
      <c r="C764" s="58" t="s">
        <v>1413</v>
      </c>
      <c r="D764" s="58" t="s">
        <v>3083</v>
      </c>
      <c r="E764" s="60" t="b">
        <v>1</v>
      </c>
      <c r="F764" s="80" t="s">
        <v>392</v>
      </c>
      <c r="G764" s="58" t="s">
        <v>3082</v>
      </c>
      <c r="H764" s="58" t="s">
        <v>1413</v>
      </c>
      <c r="I764" s="64" t="s">
        <v>3083</v>
      </c>
      <c r="J764" s="66"/>
      <c r="K764" s="66"/>
      <c r="L764" s="68"/>
      <c r="M764" s="63" t="str">
        <f>HYPERLINK("http://nsgreg.nga.mil/genc/view?v=862916&amp;end_month=12&amp;end_day=31&amp;end_year=2016","Correlation")</f>
        <v>Correlation</v>
      </c>
    </row>
    <row r="765" spans="1:13" x14ac:dyDescent="0.2">
      <c r="A765" s="113"/>
      <c r="B765" s="58" t="s">
        <v>3084</v>
      </c>
      <c r="C765" s="58" t="s">
        <v>1413</v>
      </c>
      <c r="D765" s="58" t="s">
        <v>3085</v>
      </c>
      <c r="E765" s="60" t="b">
        <v>1</v>
      </c>
      <c r="F765" s="80" t="s">
        <v>392</v>
      </c>
      <c r="G765" s="58" t="s">
        <v>3084</v>
      </c>
      <c r="H765" s="58" t="s">
        <v>1413</v>
      </c>
      <c r="I765" s="64" t="s">
        <v>3085</v>
      </c>
      <c r="J765" s="66"/>
      <c r="K765" s="66"/>
      <c r="L765" s="68"/>
      <c r="M765" s="63" t="str">
        <f>HYPERLINK("http://nsgreg.nga.mil/genc/view?v=862913&amp;end_month=12&amp;end_day=31&amp;end_year=2016","Correlation")</f>
        <v>Correlation</v>
      </c>
    </row>
    <row r="766" spans="1:13" x14ac:dyDescent="0.2">
      <c r="A766" s="113"/>
      <c r="B766" s="58" t="s">
        <v>3086</v>
      </c>
      <c r="C766" s="58" t="s">
        <v>1413</v>
      </c>
      <c r="D766" s="58" t="s">
        <v>3087</v>
      </c>
      <c r="E766" s="60" t="b">
        <v>1</v>
      </c>
      <c r="F766" s="80" t="s">
        <v>392</v>
      </c>
      <c r="G766" s="58" t="s">
        <v>3086</v>
      </c>
      <c r="H766" s="58" t="s">
        <v>1413</v>
      </c>
      <c r="I766" s="64" t="s">
        <v>3087</v>
      </c>
      <c r="J766" s="66"/>
      <c r="K766" s="66"/>
      <c r="L766" s="68"/>
      <c r="M766" s="63" t="str">
        <f>HYPERLINK("http://nsgreg.nga.mil/genc/view?v=862895&amp;end_month=12&amp;end_day=31&amp;end_year=2016","Correlation")</f>
        <v>Correlation</v>
      </c>
    </row>
    <row r="767" spans="1:13" x14ac:dyDescent="0.2">
      <c r="A767" s="113"/>
      <c r="B767" s="58" t="s">
        <v>3088</v>
      </c>
      <c r="C767" s="58" t="s">
        <v>1413</v>
      </c>
      <c r="D767" s="58" t="s">
        <v>3089</v>
      </c>
      <c r="E767" s="60" t="b">
        <v>1</v>
      </c>
      <c r="F767" s="80" t="s">
        <v>392</v>
      </c>
      <c r="G767" s="58" t="s">
        <v>3088</v>
      </c>
      <c r="H767" s="58" t="s">
        <v>1413</v>
      </c>
      <c r="I767" s="64" t="s">
        <v>3089</v>
      </c>
      <c r="J767" s="66"/>
      <c r="K767" s="66"/>
      <c r="L767" s="68"/>
      <c r="M767" s="63" t="str">
        <f>HYPERLINK("http://nsgreg.nga.mil/genc/view?v=862900&amp;end_month=12&amp;end_day=31&amp;end_year=2016","Correlation")</f>
        <v>Correlation</v>
      </c>
    </row>
    <row r="768" spans="1:13" x14ac:dyDescent="0.2">
      <c r="A768" s="113"/>
      <c r="B768" s="58" t="s">
        <v>3090</v>
      </c>
      <c r="C768" s="58" t="s">
        <v>1413</v>
      </c>
      <c r="D768" s="58" t="s">
        <v>3091</v>
      </c>
      <c r="E768" s="60" t="b">
        <v>1</v>
      </c>
      <c r="F768" s="80" t="s">
        <v>392</v>
      </c>
      <c r="G768" s="58" t="s">
        <v>3090</v>
      </c>
      <c r="H768" s="58" t="s">
        <v>1413</v>
      </c>
      <c r="I768" s="64" t="s">
        <v>3091</v>
      </c>
      <c r="J768" s="66"/>
      <c r="K768" s="66"/>
      <c r="L768" s="68"/>
      <c r="M768" s="63" t="str">
        <f>HYPERLINK("http://nsgreg.nga.mil/genc/view?v=862908&amp;end_month=12&amp;end_day=31&amp;end_year=2016","Correlation")</f>
        <v>Correlation</v>
      </c>
    </row>
    <row r="769" spans="1:13" x14ac:dyDescent="0.2">
      <c r="A769" s="113"/>
      <c r="B769" s="58" t="s">
        <v>3092</v>
      </c>
      <c r="C769" s="58" t="s">
        <v>1413</v>
      </c>
      <c r="D769" s="58" t="s">
        <v>3093</v>
      </c>
      <c r="E769" s="60" t="b">
        <v>1</v>
      </c>
      <c r="F769" s="80" t="s">
        <v>392</v>
      </c>
      <c r="G769" s="58" t="s">
        <v>3092</v>
      </c>
      <c r="H769" s="58" t="s">
        <v>1413</v>
      </c>
      <c r="I769" s="64" t="s">
        <v>3093</v>
      </c>
      <c r="J769" s="66"/>
      <c r="K769" s="66"/>
      <c r="L769" s="68"/>
      <c r="M769" s="63" t="str">
        <f>HYPERLINK("http://nsgreg.nga.mil/genc/view?v=862909&amp;end_month=12&amp;end_day=31&amp;end_year=2016","Correlation")</f>
        <v>Correlation</v>
      </c>
    </row>
    <row r="770" spans="1:13" x14ac:dyDescent="0.2">
      <c r="A770" s="113"/>
      <c r="B770" s="58" t="s">
        <v>3094</v>
      </c>
      <c r="C770" s="58" t="s">
        <v>1413</v>
      </c>
      <c r="D770" s="58" t="s">
        <v>3095</v>
      </c>
      <c r="E770" s="60" t="b">
        <v>1</v>
      </c>
      <c r="F770" s="80" t="s">
        <v>392</v>
      </c>
      <c r="G770" s="58" t="s">
        <v>3094</v>
      </c>
      <c r="H770" s="58" t="s">
        <v>1413</v>
      </c>
      <c r="I770" s="64" t="s">
        <v>3095</v>
      </c>
      <c r="J770" s="66"/>
      <c r="K770" s="66"/>
      <c r="L770" s="68"/>
      <c r="M770" s="63" t="str">
        <f>HYPERLINK("http://nsgreg.nga.mil/genc/view?v=862910&amp;end_month=12&amp;end_day=31&amp;end_year=2016","Correlation")</f>
        <v>Correlation</v>
      </c>
    </row>
    <row r="771" spans="1:13" x14ac:dyDescent="0.2">
      <c r="A771" s="113"/>
      <c r="B771" s="58" t="s">
        <v>3096</v>
      </c>
      <c r="C771" s="58" t="s">
        <v>3080</v>
      </c>
      <c r="D771" s="58" t="s">
        <v>3097</v>
      </c>
      <c r="E771" s="60" t="b">
        <v>1</v>
      </c>
      <c r="F771" s="80" t="s">
        <v>392</v>
      </c>
      <c r="G771" s="58" t="s">
        <v>3098</v>
      </c>
      <c r="H771" s="58" t="s">
        <v>3080</v>
      </c>
      <c r="I771" s="64" t="s">
        <v>3097</v>
      </c>
      <c r="J771" s="66"/>
      <c r="K771" s="66"/>
      <c r="L771" s="68"/>
      <c r="M771" s="63" t="str">
        <f>HYPERLINK("http://nsgreg.nga.mil/genc/view?v=862897&amp;end_month=12&amp;end_day=31&amp;end_year=2016","Correlation")</f>
        <v>Correlation</v>
      </c>
    </row>
    <row r="772" spans="1:13" x14ac:dyDescent="0.2">
      <c r="A772" s="113"/>
      <c r="B772" s="58" t="s">
        <v>3099</v>
      </c>
      <c r="C772" s="58" t="s">
        <v>1413</v>
      </c>
      <c r="D772" s="58" t="s">
        <v>3100</v>
      </c>
      <c r="E772" s="60" t="b">
        <v>1</v>
      </c>
      <c r="F772" s="80" t="s">
        <v>392</v>
      </c>
      <c r="G772" s="58" t="s">
        <v>3099</v>
      </c>
      <c r="H772" s="58" t="s">
        <v>1413</v>
      </c>
      <c r="I772" s="64" t="s">
        <v>3100</v>
      </c>
      <c r="J772" s="66"/>
      <c r="K772" s="66"/>
      <c r="L772" s="68"/>
      <c r="M772" s="63" t="str">
        <f>HYPERLINK("http://nsgreg.nga.mil/genc/view?v=862902&amp;end_month=12&amp;end_day=31&amp;end_year=2016","Correlation")</f>
        <v>Correlation</v>
      </c>
    </row>
    <row r="773" spans="1:13" x14ac:dyDescent="0.2">
      <c r="A773" s="113"/>
      <c r="B773" s="58" t="s">
        <v>3101</v>
      </c>
      <c r="C773" s="58" t="s">
        <v>1413</v>
      </c>
      <c r="D773" s="58" t="s">
        <v>3102</v>
      </c>
      <c r="E773" s="60" t="b">
        <v>1</v>
      </c>
      <c r="F773" s="80" t="s">
        <v>392</v>
      </c>
      <c r="G773" s="58" t="s">
        <v>3101</v>
      </c>
      <c r="H773" s="58" t="s">
        <v>1413</v>
      </c>
      <c r="I773" s="64" t="s">
        <v>3102</v>
      </c>
      <c r="J773" s="66"/>
      <c r="K773" s="66"/>
      <c r="L773" s="68"/>
      <c r="M773" s="63" t="str">
        <f>HYPERLINK("http://nsgreg.nga.mil/genc/view?v=862906&amp;end_month=12&amp;end_day=31&amp;end_year=2016","Correlation")</f>
        <v>Correlation</v>
      </c>
    </row>
    <row r="774" spans="1:13" x14ac:dyDescent="0.2">
      <c r="A774" s="113"/>
      <c r="B774" s="58" t="s">
        <v>3103</v>
      </c>
      <c r="C774" s="58" t="s">
        <v>1413</v>
      </c>
      <c r="D774" s="58" t="s">
        <v>3104</v>
      </c>
      <c r="E774" s="60" t="b">
        <v>1</v>
      </c>
      <c r="F774" s="80" t="s">
        <v>392</v>
      </c>
      <c r="G774" s="58" t="s">
        <v>3103</v>
      </c>
      <c r="H774" s="58" t="s">
        <v>1413</v>
      </c>
      <c r="I774" s="64" t="s">
        <v>3104</v>
      </c>
      <c r="J774" s="66"/>
      <c r="K774" s="66"/>
      <c r="L774" s="68"/>
      <c r="M774" s="63" t="str">
        <f>HYPERLINK("http://nsgreg.nga.mil/genc/view?v=862899&amp;end_month=12&amp;end_day=31&amp;end_year=2016","Correlation")</f>
        <v>Correlation</v>
      </c>
    </row>
    <row r="775" spans="1:13" x14ac:dyDescent="0.2">
      <c r="A775" s="113"/>
      <c r="B775" s="58" t="s">
        <v>3105</v>
      </c>
      <c r="C775" s="58" t="s">
        <v>1413</v>
      </c>
      <c r="D775" s="58" t="s">
        <v>3106</v>
      </c>
      <c r="E775" s="60" t="b">
        <v>1</v>
      </c>
      <c r="F775" s="80" t="s">
        <v>392</v>
      </c>
      <c r="G775" s="58" t="s">
        <v>3105</v>
      </c>
      <c r="H775" s="58" t="s">
        <v>1413</v>
      </c>
      <c r="I775" s="64" t="s">
        <v>3106</v>
      </c>
      <c r="J775" s="66"/>
      <c r="K775" s="66"/>
      <c r="L775" s="68"/>
      <c r="M775" s="63" t="str">
        <f>HYPERLINK("http://nsgreg.nga.mil/genc/view?v=862898&amp;end_month=12&amp;end_day=31&amp;end_year=2016","Correlation")</f>
        <v>Correlation</v>
      </c>
    </row>
    <row r="776" spans="1:13" x14ac:dyDescent="0.2">
      <c r="A776" s="113"/>
      <c r="B776" s="58" t="s">
        <v>3107</v>
      </c>
      <c r="C776" s="58" t="s">
        <v>3080</v>
      </c>
      <c r="D776" s="58" t="s">
        <v>3108</v>
      </c>
      <c r="E776" s="60" t="b">
        <v>1</v>
      </c>
      <c r="F776" s="80" t="s">
        <v>392</v>
      </c>
      <c r="G776" s="58" t="s">
        <v>3107</v>
      </c>
      <c r="H776" s="58" t="s">
        <v>3080</v>
      </c>
      <c r="I776" s="64" t="s">
        <v>3108</v>
      </c>
      <c r="J776" s="66"/>
      <c r="K776" s="66"/>
      <c r="L776" s="68"/>
      <c r="M776" s="63" t="str">
        <f>HYPERLINK("http://nsgreg.nga.mil/genc/view?v=862922&amp;end_month=12&amp;end_day=31&amp;end_year=2016","Correlation")</f>
        <v>Correlation</v>
      </c>
    </row>
    <row r="777" spans="1:13" x14ac:dyDescent="0.2">
      <c r="A777" s="113"/>
      <c r="B777" s="58" t="s">
        <v>3109</v>
      </c>
      <c r="C777" s="58" t="s">
        <v>1413</v>
      </c>
      <c r="D777" s="58" t="s">
        <v>3110</v>
      </c>
      <c r="E777" s="60" t="b">
        <v>1</v>
      </c>
      <c r="F777" s="80" t="s">
        <v>392</v>
      </c>
      <c r="G777" s="58" t="s">
        <v>3109</v>
      </c>
      <c r="H777" s="58" t="s">
        <v>1413</v>
      </c>
      <c r="I777" s="64" t="s">
        <v>3110</v>
      </c>
      <c r="J777" s="66"/>
      <c r="K777" s="66"/>
      <c r="L777" s="68"/>
      <c r="M777" s="63" t="str">
        <f>HYPERLINK("http://nsgreg.nga.mil/genc/view?v=862921&amp;end_month=12&amp;end_day=31&amp;end_year=2016","Correlation")</f>
        <v>Correlation</v>
      </c>
    </row>
    <row r="778" spans="1:13" x14ac:dyDescent="0.2">
      <c r="A778" s="113"/>
      <c r="B778" s="58" t="s">
        <v>3111</v>
      </c>
      <c r="C778" s="58" t="s">
        <v>1413</v>
      </c>
      <c r="D778" s="58" t="s">
        <v>3112</v>
      </c>
      <c r="E778" s="60" t="b">
        <v>1</v>
      </c>
      <c r="F778" s="80" t="s">
        <v>392</v>
      </c>
      <c r="G778" s="58" t="s">
        <v>3111</v>
      </c>
      <c r="H778" s="58" t="s">
        <v>1413</v>
      </c>
      <c r="I778" s="64" t="s">
        <v>3112</v>
      </c>
      <c r="J778" s="66"/>
      <c r="K778" s="66"/>
      <c r="L778" s="68"/>
      <c r="M778" s="63" t="str">
        <f>HYPERLINK("http://nsgreg.nga.mil/genc/view?v=862919&amp;end_month=12&amp;end_day=31&amp;end_year=2016","Correlation")</f>
        <v>Correlation</v>
      </c>
    </row>
    <row r="779" spans="1:13" x14ac:dyDescent="0.2">
      <c r="A779" s="113"/>
      <c r="B779" s="58" t="s">
        <v>3113</v>
      </c>
      <c r="C779" s="58" t="s">
        <v>1413</v>
      </c>
      <c r="D779" s="58" t="s">
        <v>3114</v>
      </c>
      <c r="E779" s="60" t="b">
        <v>1</v>
      </c>
      <c r="F779" s="80" t="s">
        <v>392</v>
      </c>
      <c r="G779" s="58" t="s">
        <v>3113</v>
      </c>
      <c r="H779" s="58" t="s">
        <v>1413</v>
      </c>
      <c r="I779" s="64" t="s">
        <v>3114</v>
      </c>
      <c r="J779" s="66"/>
      <c r="K779" s="66"/>
      <c r="L779" s="68"/>
      <c r="M779" s="63" t="str">
        <f>HYPERLINK("http://nsgreg.nga.mil/genc/view?v=862907&amp;end_month=12&amp;end_day=31&amp;end_year=2016","Correlation")</f>
        <v>Correlation</v>
      </c>
    </row>
    <row r="780" spans="1:13" x14ac:dyDescent="0.2">
      <c r="A780" s="113"/>
      <c r="B780" s="58" t="s">
        <v>3115</v>
      </c>
      <c r="C780" s="58" t="s">
        <v>1816</v>
      </c>
      <c r="D780" s="58" t="s">
        <v>3116</v>
      </c>
      <c r="E780" s="60" t="b">
        <v>1</v>
      </c>
      <c r="F780" s="80" t="s">
        <v>392</v>
      </c>
      <c r="G780" s="58" t="s">
        <v>3115</v>
      </c>
      <c r="H780" s="58" t="s">
        <v>1816</v>
      </c>
      <c r="I780" s="64" t="s">
        <v>3116</v>
      </c>
      <c r="J780" s="66"/>
      <c r="K780" s="66"/>
      <c r="L780" s="68"/>
      <c r="M780" s="63" t="str">
        <f>HYPERLINK("http://nsgreg.nga.mil/genc/view?v=862901&amp;end_month=12&amp;end_day=31&amp;end_year=2016","Correlation")</f>
        <v>Correlation</v>
      </c>
    </row>
    <row r="781" spans="1:13" x14ac:dyDescent="0.2">
      <c r="A781" s="113"/>
      <c r="B781" s="58" t="s">
        <v>3117</v>
      </c>
      <c r="C781" s="58" t="s">
        <v>1413</v>
      </c>
      <c r="D781" s="58" t="s">
        <v>3118</v>
      </c>
      <c r="E781" s="60" t="b">
        <v>1</v>
      </c>
      <c r="F781" s="80" t="s">
        <v>392</v>
      </c>
      <c r="G781" s="58" t="s">
        <v>3117</v>
      </c>
      <c r="H781" s="58" t="s">
        <v>1413</v>
      </c>
      <c r="I781" s="64" t="s">
        <v>3118</v>
      </c>
      <c r="J781" s="66"/>
      <c r="K781" s="66"/>
      <c r="L781" s="68"/>
      <c r="M781" s="63" t="str">
        <f>HYPERLINK("http://nsgreg.nga.mil/genc/view?v=862896&amp;end_month=12&amp;end_day=31&amp;end_year=2016","Correlation")</f>
        <v>Correlation</v>
      </c>
    </row>
    <row r="782" spans="1:13" x14ac:dyDescent="0.2">
      <c r="A782" s="113"/>
      <c r="B782" s="58" t="s">
        <v>3119</v>
      </c>
      <c r="C782" s="58" t="s">
        <v>1413</v>
      </c>
      <c r="D782" s="58" t="s">
        <v>3120</v>
      </c>
      <c r="E782" s="60" t="b">
        <v>1</v>
      </c>
      <c r="F782" s="80" t="s">
        <v>392</v>
      </c>
      <c r="G782" s="58" t="s">
        <v>3119</v>
      </c>
      <c r="H782" s="58" t="s">
        <v>1413</v>
      </c>
      <c r="I782" s="64" t="s">
        <v>3120</v>
      </c>
      <c r="J782" s="66"/>
      <c r="K782" s="66"/>
      <c r="L782" s="68"/>
      <c r="M782" s="63" t="str">
        <f>HYPERLINK("http://nsgreg.nga.mil/genc/view?v=862915&amp;end_month=12&amp;end_day=31&amp;end_year=2016","Correlation")</f>
        <v>Correlation</v>
      </c>
    </row>
    <row r="783" spans="1:13" x14ac:dyDescent="0.2">
      <c r="A783" s="113"/>
      <c r="B783" s="58" t="s">
        <v>3121</v>
      </c>
      <c r="C783" s="58" t="s">
        <v>1816</v>
      </c>
      <c r="D783" s="58" t="s">
        <v>3122</v>
      </c>
      <c r="E783" s="60" t="b">
        <v>1</v>
      </c>
      <c r="F783" s="80" t="s">
        <v>392</v>
      </c>
      <c r="G783" s="58" t="s">
        <v>3121</v>
      </c>
      <c r="H783" s="58" t="s">
        <v>1816</v>
      </c>
      <c r="I783" s="64" t="s">
        <v>3122</v>
      </c>
      <c r="J783" s="66"/>
      <c r="K783" s="66"/>
      <c r="L783" s="68"/>
      <c r="M783" s="63" t="str">
        <f>HYPERLINK("http://nsgreg.nga.mil/genc/view?v=862894&amp;end_month=12&amp;end_day=31&amp;end_year=2016","Correlation")</f>
        <v>Correlation</v>
      </c>
    </row>
    <row r="784" spans="1:13" x14ac:dyDescent="0.2">
      <c r="A784" s="113"/>
      <c r="B784" s="58" t="s">
        <v>3123</v>
      </c>
      <c r="C784" s="58" t="s">
        <v>3080</v>
      </c>
      <c r="D784" s="58" t="s">
        <v>3124</v>
      </c>
      <c r="E784" s="60" t="b">
        <v>1</v>
      </c>
      <c r="F784" s="80" t="s">
        <v>392</v>
      </c>
      <c r="G784" s="58" t="s">
        <v>3125</v>
      </c>
      <c r="H784" s="58" t="s">
        <v>3080</v>
      </c>
      <c r="I784" s="64" t="s">
        <v>3124</v>
      </c>
      <c r="J784" s="66"/>
      <c r="K784" s="66"/>
      <c r="L784" s="68"/>
      <c r="M784" s="63" t="str">
        <f>HYPERLINK("http://nsgreg.nga.mil/genc/view?v=862918&amp;end_month=12&amp;end_day=31&amp;end_year=2016","Correlation")</f>
        <v>Correlation</v>
      </c>
    </row>
    <row r="785" spans="1:13" x14ac:dyDescent="0.2">
      <c r="A785" s="113"/>
      <c r="B785" s="58" t="s">
        <v>3126</v>
      </c>
      <c r="C785" s="58" t="s">
        <v>3080</v>
      </c>
      <c r="D785" s="58" t="s">
        <v>3127</v>
      </c>
      <c r="E785" s="60" t="b">
        <v>1</v>
      </c>
      <c r="F785" s="80" t="s">
        <v>392</v>
      </c>
      <c r="G785" s="58" t="s">
        <v>3126</v>
      </c>
      <c r="H785" s="58" t="s">
        <v>3080</v>
      </c>
      <c r="I785" s="64" t="s">
        <v>3127</v>
      </c>
      <c r="J785" s="66"/>
      <c r="K785" s="66"/>
      <c r="L785" s="68"/>
      <c r="M785" s="63" t="str">
        <f>HYPERLINK("http://nsgreg.nga.mil/genc/view?v=862923&amp;end_month=12&amp;end_day=31&amp;end_year=2016","Correlation")</f>
        <v>Correlation</v>
      </c>
    </row>
    <row r="786" spans="1:13" x14ac:dyDescent="0.2">
      <c r="A786" s="113"/>
      <c r="B786" s="58" t="s">
        <v>3128</v>
      </c>
      <c r="C786" s="58" t="s">
        <v>1413</v>
      </c>
      <c r="D786" s="58" t="s">
        <v>3129</v>
      </c>
      <c r="E786" s="60" t="b">
        <v>1</v>
      </c>
      <c r="F786" s="80" t="s">
        <v>392</v>
      </c>
      <c r="G786" s="58" t="s">
        <v>3128</v>
      </c>
      <c r="H786" s="58" t="s">
        <v>1413</v>
      </c>
      <c r="I786" s="64" t="s">
        <v>3129</v>
      </c>
      <c r="J786" s="66"/>
      <c r="K786" s="66"/>
      <c r="L786" s="68"/>
      <c r="M786" s="63" t="str">
        <f>HYPERLINK("http://nsgreg.nga.mil/genc/view?v=862917&amp;end_month=12&amp;end_day=31&amp;end_year=2016","Correlation")</f>
        <v>Correlation</v>
      </c>
    </row>
    <row r="787" spans="1:13" x14ac:dyDescent="0.2">
      <c r="A787" s="114"/>
      <c r="B787" s="71" t="s">
        <v>3130</v>
      </c>
      <c r="C787" s="71" t="s">
        <v>1413</v>
      </c>
      <c r="D787" s="71" t="s">
        <v>3131</v>
      </c>
      <c r="E787" s="73" t="b">
        <v>1</v>
      </c>
      <c r="F787" s="81" t="s">
        <v>392</v>
      </c>
      <c r="G787" s="71" t="s">
        <v>3130</v>
      </c>
      <c r="H787" s="71" t="s">
        <v>1413</v>
      </c>
      <c r="I787" s="74" t="s">
        <v>3131</v>
      </c>
      <c r="J787" s="76"/>
      <c r="K787" s="76"/>
      <c r="L787" s="82"/>
      <c r="M787" s="77" t="str">
        <f>HYPERLINK("http://nsgreg.nga.mil/genc/view?v=862903&amp;end_month=12&amp;end_day=31&amp;end_year=2016","Correlation")</f>
        <v>Correlation</v>
      </c>
    </row>
    <row r="788" spans="1:13" x14ac:dyDescent="0.2">
      <c r="A788" s="112" t="s">
        <v>414</v>
      </c>
      <c r="B788" s="50" t="s">
        <v>2450</v>
      </c>
      <c r="C788" s="50" t="s">
        <v>2294</v>
      </c>
      <c r="D788" s="50" t="s">
        <v>3132</v>
      </c>
      <c r="E788" s="52" t="b">
        <v>1</v>
      </c>
      <c r="F788" s="78" t="s">
        <v>414</v>
      </c>
      <c r="G788" s="50" t="s">
        <v>2450</v>
      </c>
      <c r="H788" s="50" t="s">
        <v>2294</v>
      </c>
      <c r="I788" s="53" t="s">
        <v>3132</v>
      </c>
      <c r="J788" s="55"/>
      <c r="K788" s="55"/>
      <c r="L788" s="79"/>
      <c r="M788" s="56" t="str">
        <f>HYPERLINK("http://nsgreg.nga.mil/genc/view?v=862924&amp;end_month=12&amp;end_day=31&amp;end_year=2016","Correlation")</f>
        <v>Correlation</v>
      </c>
    </row>
    <row r="789" spans="1:13" x14ac:dyDescent="0.2">
      <c r="A789" s="113"/>
      <c r="B789" s="58" t="s">
        <v>3133</v>
      </c>
      <c r="C789" s="58" t="s">
        <v>2294</v>
      </c>
      <c r="D789" s="58" t="s">
        <v>3134</v>
      </c>
      <c r="E789" s="60" t="b">
        <v>1</v>
      </c>
      <c r="F789" s="80" t="s">
        <v>414</v>
      </c>
      <c r="G789" s="58" t="s">
        <v>3133</v>
      </c>
      <c r="H789" s="58" t="s">
        <v>2294</v>
      </c>
      <c r="I789" s="64" t="s">
        <v>3134</v>
      </c>
      <c r="J789" s="66"/>
      <c r="K789" s="66"/>
      <c r="L789" s="68"/>
      <c r="M789" s="63" t="str">
        <f>HYPERLINK("http://nsgreg.nga.mil/genc/view?v=862925&amp;end_month=12&amp;end_day=31&amp;end_year=2016","Correlation")</f>
        <v>Correlation</v>
      </c>
    </row>
    <row r="790" spans="1:13" x14ac:dyDescent="0.2">
      <c r="A790" s="113"/>
      <c r="B790" s="58" t="s">
        <v>3135</v>
      </c>
      <c r="C790" s="58" t="s">
        <v>2294</v>
      </c>
      <c r="D790" s="58" t="s">
        <v>3136</v>
      </c>
      <c r="E790" s="60" t="b">
        <v>1</v>
      </c>
      <c r="F790" s="80" t="s">
        <v>414</v>
      </c>
      <c r="G790" s="58" t="s">
        <v>3135</v>
      </c>
      <c r="H790" s="58" t="s">
        <v>2294</v>
      </c>
      <c r="I790" s="64" t="s">
        <v>3136</v>
      </c>
      <c r="J790" s="66"/>
      <c r="K790" s="66"/>
      <c r="L790" s="68"/>
      <c r="M790" s="63" t="str">
        <f>HYPERLINK("http://nsgreg.nga.mil/genc/view?v=862926&amp;end_month=12&amp;end_day=31&amp;end_year=2016","Correlation")</f>
        <v>Correlation</v>
      </c>
    </row>
    <row r="791" spans="1:13" x14ac:dyDescent="0.2">
      <c r="A791" s="113"/>
      <c r="B791" s="58" t="s">
        <v>3137</v>
      </c>
      <c r="C791" s="58" t="s">
        <v>2294</v>
      </c>
      <c r="D791" s="58" t="s">
        <v>3138</v>
      </c>
      <c r="E791" s="60" t="b">
        <v>1</v>
      </c>
      <c r="F791" s="80" t="s">
        <v>414</v>
      </c>
      <c r="G791" s="58" t="s">
        <v>3137</v>
      </c>
      <c r="H791" s="58" t="s">
        <v>2294</v>
      </c>
      <c r="I791" s="64" t="s">
        <v>3138</v>
      </c>
      <c r="J791" s="66"/>
      <c r="K791" s="66"/>
      <c r="L791" s="68"/>
      <c r="M791" s="63" t="str">
        <f>HYPERLINK("http://nsgreg.nga.mil/genc/view?v=862927&amp;end_month=12&amp;end_day=31&amp;end_year=2016","Correlation")</f>
        <v>Correlation</v>
      </c>
    </row>
    <row r="792" spans="1:13" x14ac:dyDescent="0.2">
      <c r="A792" s="113"/>
      <c r="B792" s="58" t="s">
        <v>3139</v>
      </c>
      <c r="C792" s="58" t="s">
        <v>3140</v>
      </c>
      <c r="D792" s="58" t="s">
        <v>3141</v>
      </c>
      <c r="E792" s="60" t="b">
        <v>1</v>
      </c>
      <c r="F792" s="80" t="s">
        <v>414</v>
      </c>
      <c r="G792" s="58" t="s">
        <v>3142</v>
      </c>
      <c r="H792" s="58" t="s">
        <v>3140</v>
      </c>
      <c r="I792" s="64" t="s">
        <v>3141</v>
      </c>
      <c r="J792" s="66"/>
      <c r="K792" s="66"/>
      <c r="L792" s="68"/>
      <c r="M792" s="63" t="str">
        <f>HYPERLINK("http://nsgreg.nga.mil/genc/view?v=862938&amp;end_month=12&amp;end_day=31&amp;end_year=2016","Correlation")</f>
        <v>Correlation</v>
      </c>
    </row>
    <row r="793" spans="1:13" x14ac:dyDescent="0.2">
      <c r="A793" s="113"/>
      <c r="B793" s="58" t="s">
        <v>3143</v>
      </c>
      <c r="C793" s="58" t="s">
        <v>2294</v>
      </c>
      <c r="D793" s="58" t="s">
        <v>3144</v>
      </c>
      <c r="E793" s="60" t="b">
        <v>1</v>
      </c>
      <c r="F793" s="80" t="s">
        <v>414</v>
      </c>
      <c r="G793" s="58" t="s">
        <v>3143</v>
      </c>
      <c r="H793" s="58" t="s">
        <v>2294</v>
      </c>
      <c r="I793" s="64" t="s">
        <v>3144</v>
      </c>
      <c r="J793" s="66"/>
      <c r="K793" s="66"/>
      <c r="L793" s="68"/>
      <c r="M793" s="63" t="str">
        <f>HYPERLINK("http://nsgreg.nga.mil/genc/view?v=862928&amp;end_month=12&amp;end_day=31&amp;end_year=2016","Correlation")</f>
        <v>Correlation</v>
      </c>
    </row>
    <row r="794" spans="1:13" x14ac:dyDescent="0.2">
      <c r="A794" s="113"/>
      <c r="B794" s="58" t="s">
        <v>3145</v>
      </c>
      <c r="C794" s="58" t="s">
        <v>2294</v>
      </c>
      <c r="D794" s="58" t="s">
        <v>3146</v>
      </c>
      <c r="E794" s="60" t="b">
        <v>1</v>
      </c>
      <c r="F794" s="80" t="s">
        <v>414</v>
      </c>
      <c r="G794" s="58" t="s">
        <v>3145</v>
      </c>
      <c r="H794" s="58" t="s">
        <v>2294</v>
      </c>
      <c r="I794" s="64" t="s">
        <v>3146</v>
      </c>
      <c r="J794" s="66"/>
      <c r="K794" s="66"/>
      <c r="L794" s="68"/>
      <c r="M794" s="63" t="str">
        <f>HYPERLINK("http://nsgreg.nga.mil/genc/view?v=862929&amp;end_month=12&amp;end_day=31&amp;end_year=2016","Correlation")</f>
        <v>Correlation</v>
      </c>
    </row>
    <row r="795" spans="1:13" x14ac:dyDescent="0.2">
      <c r="A795" s="113"/>
      <c r="B795" s="58" t="s">
        <v>3147</v>
      </c>
      <c r="C795" s="58" t="s">
        <v>2294</v>
      </c>
      <c r="D795" s="58" t="s">
        <v>3148</v>
      </c>
      <c r="E795" s="60" t="b">
        <v>1</v>
      </c>
      <c r="F795" s="80" t="s">
        <v>414</v>
      </c>
      <c r="G795" s="58" t="s">
        <v>3147</v>
      </c>
      <c r="H795" s="58" t="s">
        <v>2294</v>
      </c>
      <c r="I795" s="64" t="s">
        <v>3148</v>
      </c>
      <c r="J795" s="66"/>
      <c r="K795" s="66"/>
      <c r="L795" s="68"/>
      <c r="M795" s="63" t="str">
        <f>HYPERLINK("http://nsgreg.nga.mil/genc/view?v=862930&amp;end_month=12&amp;end_day=31&amp;end_year=2016","Correlation")</f>
        <v>Correlation</v>
      </c>
    </row>
    <row r="796" spans="1:13" x14ac:dyDescent="0.2">
      <c r="A796" s="113"/>
      <c r="B796" s="58" t="s">
        <v>3149</v>
      </c>
      <c r="C796" s="58" t="s">
        <v>2294</v>
      </c>
      <c r="D796" s="58" t="s">
        <v>3150</v>
      </c>
      <c r="E796" s="60" t="b">
        <v>1</v>
      </c>
      <c r="F796" s="80" t="s">
        <v>414</v>
      </c>
      <c r="G796" s="58" t="s">
        <v>3149</v>
      </c>
      <c r="H796" s="58" t="s">
        <v>2294</v>
      </c>
      <c r="I796" s="64" t="s">
        <v>3150</v>
      </c>
      <c r="J796" s="66"/>
      <c r="K796" s="66"/>
      <c r="L796" s="68"/>
      <c r="M796" s="63" t="str">
        <f>HYPERLINK("http://nsgreg.nga.mil/genc/view?v=862931&amp;end_month=12&amp;end_day=31&amp;end_year=2016","Correlation")</f>
        <v>Correlation</v>
      </c>
    </row>
    <row r="797" spans="1:13" x14ac:dyDescent="0.2">
      <c r="A797" s="113"/>
      <c r="B797" s="58" t="s">
        <v>3151</v>
      </c>
      <c r="C797" s="58" t="s">
        <v>2294</v>
      </c>
      <c r="D797" s="58" t="s">
        <v>3152</v>
      </c>
      <c r="E797" s="60" t="b">
        <v>1</v>
      </c>
      <c r="F797" s="80" t="s">
        <v>414</v>
      </c>
      <c r="G797" s="58" t="s">
        <v>3151</v>
      </c>
      <c r="H797" s="58" t="s">
        <v>2294</v>
      </c>
      <c r="I797" s="64" t="s">
        <v>3152</v>
      </c>
      <c r="J797" s="66"/>
      <c r="K797" s="66"/>
      <c r="L797" s="68"/>
      <c r="M797" s="63" t="str">
        <f>HYPERLINK("http://nsgreg.nga.mil/genc/view?v=862932&amp;end_month=12&amp;end_day=31&amp;end_year=2016","Correlation")</f>
        <v>Correlation</v>
      </c>
    </row>
    <row r="798" spans="1:13" x14ac:dyDescent="0.2">
      <c r="A798" s="113"/>
      <c r="B798" s="58" t="s">
        <v>3153</v>
      </c>
      <c r="C798" s="58" t="s">
        <v>2294</v>
      </c>
      <c r="D798" s="58" t="s">
        <v>3154</v>
      </c>
      <c r="E798" s="60" t="b">
        <v>1</v>
      </c>
      <c r="F798" s="80" t="s">
        <v>414</v>
      </c>
      <c r="G798" s="58" t="s">
        <v>3153</v>
      </c>
      <c r="H798" s="58" t="s">
        <v>2294</v>
      </c>
      <c r="I798" s="64" t="s">
        <v>3154</v>
      </c>
      <c r="J798" s="66"/>
      <c r="K798" s="66"/>
      <c r="L798" s="68"/>
      <c r="M798" s="63" t="str">
        <f>HYPERLINK("http://nsgreg.nga.mil/genc/view?v=862933&amp;end_month=12&amp;end_day=31&amp;end_year=2016","Correlation")</f>
        <v>Correlation</v>
      </c>
    </row>
    <row r="799" spans="1:13" x14ac:dyDescent="0.2">
      <c r="A799" s="113"/>
      <c r="B799" s="58" t="s">
        <v>3155</v>
      </c>
      <c r="C799" s="58" t="s">
        <v>2294</v>
      </c>
      <c r="D799" s="58" t="s">
        <v>3156</v>
      </c>
      <c r="E799" s="60" t="b">
        <v>1</v>
      </c>
      <c r="F799" s="80" t="s">
        <v>414</v>
      </c>
      <c r="G799" s="58" t="s">
        <v>3155</v>
      </c>
      <c r="H799" s="58" t="s">
        <v>2294</v>
      </c>
      <c r="I799" s="64" t="s">
        <v>3156</v>
      </c>
      <c r="J799" s="66"/>
      <c r="K799" s="66"/>
      <c r="L799" s="68"/>
      <c r="M799" s="63" t="str">
        <f>HYPERLINK("http://nsgreg.nga.mil/genc/view?v=862934&amp;end_month=12&amp;end_day=31&amp;end_year=2016","Correlation")</f>
        <v>Correlation</v>
      </c>
    </row>
    <row r="800" spans="1:13" x14ac:dyDescent="0.2">
      <c r="A800" s="113"/>
      <c r="B800" s="58" t="s">
        <v>3157</v>
      </c>
      <c r="C800" s="58" t="s">
        <v>2294</v>
      </c>
      <c r="D800" s="58" t="s">
        <v>3158</v>
      </c>
      <c r="E800" s="60" t="b">
        <v>1</v>
      </c>
      <c r="F800" s="80" t="s">
        <v>414</v>
      </c>
      <c r="G800" s="58" t="s">
        <v>3157</v>
      </c>
      <c r="H800" s="58" t="s">
        <v>2294</v>
      </c>
      <c r="I800" s="64" t="s">
        <v>3158</v>
      </c>
      <c r="J800" s="66"/>
      <c r="K800" s="66"/>
      <c r="L800" s="68"/>
      <c r="M800" s="63" t="str">
        <f>HYPERLINK("http://nsgreg.nga.mil/genc/view?v=862935&amp;end_month=12&amp;end_day=31&amp;end_year=2016","Correlation")</f>
        <v>Correlation</v>
      </c>
    </row>
    <row r="801" spans="1:13" x14ac:dyDescent="0.2">
      <c r="A801" s="113"/>
      <c r="B801" s="58" t="s">
        <v>1688</v>
      </c>
      <c r="C801" s="58" t="s">
        <v>2294</v>
      </c>
      <c r="D801" s="58" t="s">
        <v>3159</v>
      </c>
      <c r="E801" s="60" t="b">
        <v>1</v>
      </c>
      <c r="F801" s="80" t="s">
        <v>414</v>
      </c>
      <c r="G801" s="58" t="s">
        <v>1688</v>
      </c>
      <c r="H801" s="58" t="s">
        <v>2294</v>
      </c>
      <c r="I801" s="64" t="s">
        <v>3159</v>
      </c>
      <c r="J801" s="66"/>
      <c r="K801" s="66"/>
      <c r="L801" s="68"/>
      <c r="M801" s="63" t="str">
        <f>HYPERLINK("http://nsgreg.nga.mil/genc/view?v=862936&amp;end_month=12&amp;end_day=31&amp;end_year=2016","Correlation")</f>
        <v>Correlation</v>
      </c>
    </row>
    <row r="802" spans="1:13" x14ac:dyDescent="0.2">
      <c r="A802" s="113"/>
      <c r="B802" s="58" t="s">
        <v>3160</v>
      </c>
      <c r="C802" s="58" t="s">
        <v>2294</v>
      </c>
      <c r="D802" s="58" t="s">
        <v>3161</v>
      </c>
      <c r="E802" s="60" t="b">
        <v>1</v>
      </c>
      <c r="F802" s="80" t="s">
        <v>414</v>
      </c>
      <c r="G802" s="58" t="s">
        <v>3160</v>
      </c>
      <c r="H802" s="58" t="s">
        <v>2294</v>
      </c>
      <c r="I802" s="64" t="s">
        <v>3161</v>
      </c>
      <c r="J802" s="66"/>
      <c r="K802" s="66"/>
      <c r="L802" s="68"/>
      <c r="M802" s="63" t="str">
        <f>HYPERLINK("http://nsgreg.nga.mil/genc/view?v=862937&amp;end_month=12&amp;end_day=31&amp;end_year=2016","Correlation")</f>
        <v>Correlation</v>
      </c>
    </row>
    <row r="803" spans="1:13" x14ac:dyDescent="0.2">
      <c r="A803" s="113"/>
      <c r="B803" s="58" t="s">
        <v>3162</v>
      </c>
      <c r="C803" s="58" t="s">
        <v>2294</v>
      </c>
      <c r="D803" s="58" t="s">
        <v>3163</v>
      </c>
      <c r="E803" s="60" t="b">
        <v>1</v>
      </c>
      <c r="F803" s="80" t="s">
        <v>414</v>
      </c>
      <c r="G803" s="58" t="s">
        <v>3162</v>
      </c>
      <c r="H803" s="58" t="s">
        <v>2294</v>
      </c>
      <c r="I803" s="64" t="s">
        <v>3163</v>
      </c>
      <c r="J803" s="66"/>
      <c r="K803" s="66"/>
      <c r="L803" s="68"/>
      <c r="M803" s="63" t="str">
        <f>HYPERLINK("http://nsgreg.nga.mil/genc/view?v=862939&amp;end_month=12&amp;end_day=31&amp;end_year=2016","Correlation")</f>
        <v>Correlation</v>
      </c>
    </row>
    <row r="804" spans="1:13" x14ac:dyDescent="0.2">
      <c r="A804" s="113"/>
      <c r="B804" s="58" t="s">
        <v>3164</v>
      </c>
      <c r="C804" s="58" t="s">
        <v>2294</v>
      </c>
      <c r="D804" s="58" t="s">
        <v>3165</v>
      </c>
      <c r="E804" s="60" t="b">
        <v>1</v>
      </c>
      <c r="F804" s="80" t="s">
        <v>414</v>
      </c>
      <c r="G804" s="58" t="s">
        <v>3164</v>
      </c>
      <c r="H804" s="58" t="s">
        <v>2294</v>
      </c>
      <c r="I804" s="64" t="s">
        <v>3165</v>
      </c>
      <c r="J804" s="66"/>
      <c r="K804" s="66"/>
      <c r="L804" s="68"/>
      <c r="M804" s="63" t="str">
        <f>HYPERLINK("http://nsgreg.nga.mil/genc/view?v=862940&amp;end_month=12&amp;end_day=31&amp;end_year=2016","Correlation")</f>
        <v>Correlation</v>
      </c>
    </row>
    <row r="805" spans="1:13" x14ac:dyDescent="0.2">
      <c r="A805" s="113"/>
      <c r="B805" s="58" t="s">
        <v>3166</v>
      </c>
      <c r="C805" s="58" t="s">
        <v>2294</v>
      </c>
      <c r="D805" s="58" t="s">
        <v>3167</v>
      </c>
      <c r="E805" s="60" t="b">
        <v>1</v>
      </c>
      <c r="F805" s="80" t="s">
        <v>414</v>
      </c>
      <c r="G805" s="58" t="s">
        <v>3166</v>
      </c>
      <c r="H805" s="58" t="s">
        <v>2294</v>
      </c>
      <c r="I805" s="64" t="s">
        <v>3167</v>
      </c>
      <c r="J805" s="66"/>
      <c r="K805" s="66"/>
      <c r="L805" s="68"/>
      <c r="M805" s="63" t="str">
        <f>HYPERLINK("http://nsgreg.nga.mil/genc/view?v=862941&amp;end_month=12&amp;end_day=31&amp;end_year=2016","Correlation")</f>
        <v>Correlation</v>
      </c>
    </row>
    <row r="806" spans="1:13" x14ac:dyDescent="0.2">
      <c r="A806" s="113"/>
      <c r="B806" s="58" t="s">
        <v>3168</v>
      </c>
      <c r="C806" s="58" t="s">
        <v>2294</v>
      </c>
      <c r="D806" s="58" t="s">
        <v>3169</v>
      </c>
      <c r="E806" s="60" t="b">
        <v>1</v>
      </c>
      <c r="F806" s="80" t="s">
        <v>414</v>
      </c>
      <c r="G806" s="58" t="s">
        <v>3168</v>
      </c>
      <c r="H806" s="58" t="s">
        <v>2294</v>
      </c>
      <c r="I806" s="64" t="s">
        <v>3169</v>
      </c>
      <c r="J806" s="66"/>
      <c r="K806" s="66"/>
      <c r="L806" s="68"/>
      <c r="M806" s="63" t="str">
        <f>HYPERLINK("http://nsgreg.nga.mil/genc/view?v=862942&amp;end_month=12&amp;end_day=31&amp;end_year=2016","Correlation")</f>
        <v>Correlation</v>
      </c>
    </row>
    <row r="807" spans="1:13" x14ac:dyDescent="0.2">
      <c r="A807" s="113"/>
      <c r="B807" s="58" t="s">
        <v>3170</v>
      </c>
      <c r="C807" s="58" t="s">
        <v>2294</v>
      </c>
      <c r="D807" s="58" t="s">
        <v>3171</v>
      </c>
      <c r="E807" s="60" t="b">
        <v>1</v>
      </c>
      <c r="F807" s="80" t="s">
        <v>414</v>
      </c>
      <c r="G807" s="58" t="s">
        <v>3170</v>
      </c>
      <c r="H807" s="58" t="s">
        <v>2294</v>
      </c>
      <c r="I807" s="64" t="s">
        <v>3171</v>
      </c>
      <c r="J807" s="66"/>
      <c r="K807" s="66"/>
      <c r="L807" s="68"/>
      <c r="M807" s="63" t="str">
        <f>HYPERLINK("http://nsgreg.nga.mil/genc/view?v=862943&amp;end_month=12&amp;end_day=31&amp;end_year=2016","Correlation")</f>
        <v>Correlation</v>
      </c>
    </row>
    <row r="808" spans="1:13" x14ac:dyDescent="0.2">
      <c r="A808" s="113"/>
      <c r="B808" s="58" t="s">
        <v>3172</v>
      </c>
      <c r="C808" s="58" t="s">
        <v>2294</v>
      </c>
      <c r="D808" s="58" t="s">
        <v>3173</v>
      </c>
      <c r="E808" s="60" t="b">
        <v>1</v>
      </c>
      <c r="F808" s="80" t="s">
        <v>414</v>
      </c>
      <c r="G808" s="58" t="s">
        <v>3172</v>
      </c>
      <c r="H808" s="58" t="s">
        <v>2294</v>
      </c>
      <c r="I808" s="64" t="s">
        <v>3173</v>
      </c>
      <c r="J808" s="66"/>
      <c r="K808" s="66"/>
      <c r="L808" s="68"/>
      <c r="M808" s="63" t="str">
        <f>HYPERLINK("http://nsgreg.nga.mil/genc/view?v=862944&amp;end_month=12&amp;end_day=31&amp;end_year=2016","Correlation")</f>
        <v>Correlation</v>
      </c>
    </row>
    <row r="809" spans="1:13" x14ac:dyDescent="0.2">
      <c r="A809" s="113"/>
      <c r="B809" s="58" t="s">
        <v>3174</v>
      </c>
      <c r="C809" s="58" t="s">
        <v>2294</v>
      </c>
      <c r="D809" s="58" t="s">
        <v>3175</v>
      </c>
      <c r="E809" s="60" t="b">
        <v>1</v>
      </c>
      <c r="F809" s="80" t="s">
        <v>414</v>
      </c>
      <c r="G809" s="58" t="s">
        <v>3174</v>
      </c>
      <c r="H809" s="58" t="s">
        <v>2294</v>
      </c>
      <c r="I809" s="64" t="s">
        <v>3175</v>
      </c>
      <c r="J809" s="66"/>
      <c r="K809" s="66"/>
      <c r="L809" s="68"/>
      <c r="M809" s="63" t="str">
        <f>HYPERLINK("http://nsgreg.nga.mil/genc/view?v=862945&amp;end_month=12&amp;end_day=31&amp;end_year=2016","Correlation")</f>
        <v>Correlation</v>
      </c>
    </row>
    <row r="810" spans="1:13" x14ac:dyDescent="0.2">
      <c r="A810" s="113"/>
      <c r="B810" s="58" t="s">
        <v>3176</v>
      </c>
      <c r="C810" s="58" t="s">
        <v>2294</v>
      </c>
      <c r="D810" s="58" t="s">
        <v>3177</v>
      </c>
      <c r="E810" s="60" t="b">
        <v>1</v>
      </c>
      <c r="F810" s="80" t="s">
        <v>414</v>
      </c>
      <c r="G810" s="58" t="s">
        <v>3176</v>
      </c>
      <c r="H810" s="58" t="s">
        <v>2294</v>
      </c>
      <c r="I810" s="64" t="s">
        <v>3177</v>
      </c>
      <c r="J810" s="66"/>
      <c r="K810" s="66"/>
      <c r="L810" s="68"/>
      <c r="M810" s="63" t="str">
        <f>HYPERLINK("http://nsgreg.nga.mil/genc/view?v=862946&amp;end_month=12&amp;end_day=31&amp;end_year=2016","Correlation")</f>
        <v>Correlation</v>
      </c>
    </row>
    <row r="811" spans="1:13" x14ac:dyDescent="0.2">
      <c r="A811" s="113"/>
      <c r="B811" s="58" t="s">
        <v>3178</v>
      </c>
      <c r="C811" s="58" t="s">
        <v>2294</v>
      </c>
      <c r="D811" s="58" t="s">
        <v>3179</v>
      </c>
      <c r="E811" s="60" t="b">
        <v>1</v>
      </c>
      <c r="F811" s="80" t="s">
        <v>414</v>
      </c>
      <c r="G811" s="58" t="s">
        <v>3178</v>
      </c>
      <c r="H811" s="58" t="s">
        <v>2294</v>
      </c>
      <c r="I811" s="64" t="s">
        <v>3179</v>
      </c>
      <c r="J811" s="66"/>
      <c r="K811" s="66"/>
      <c r="L811" s="68"/>
      <c r="M811" s="63" t="str">
        <f>HYPERLINK("http://nsgreg.nga.mil/genc/view?v=862947&amp;end_month=12&amp;end_day=31&amp;end_year=2016","Correlation")</f>
        <v>Correlation</v>
      </c>
    </row>
    <row r="812" spans="1:13" x14ac:dyDescent="0.2">
      <c r="A812" s="113"/>
      <c r="B812" s="58" t="s">
        <v>3180</v>
      </c>
      <c r="C812" s="58" t="s">
        <v>2294</v>
      </c>
      <c r="D812" s="58" t="s">
        <v>3181</v>
      </c>
      <c r="E812" s="60" t="b">
        <v>1</v>
      </c>
      <c r="F812" s="80" t="s">
        <v>414</v>
      </c>
      <c r="G812" s="58" t="s">
        <v>3180</v>
      </c>
      <c r="H812" s="58" t="s">
        <v>2294</v>
      </c>
      <c r="I812" s="64" t="s">
        <v>3181</v>
      </c>
      <c r="J812" s="66"/>
      <c r="K812" s="66"/>
      <c r="L812" s="68"/>
      <c r="M812" s="63" t="str">
        <f>HYPERLINK("http://nsgreg.nga.mil/genc/view?v=862948&amp;end_month=12&amp;end_day=31&amp;end_year=2016","Correlation")</f>
        <v>Correlation</v>
      </c>
    </row>
    <row r="813" spans="1:13" x14ac:dyDescent="0.2">
      <c r="A813" s="113"/>
      <c r="B813" s="58" t="s">
        <v>3182</v>
      </c>
      <c r="C813" s="58" t="s">
        <v>2294</v>
      </c>
      <c r="D813" s="58" t="s">
        <v>3183</v>
      </c>
      <c r="E813" s="60" t="b">
        <v>1</v>
      </c>
      <c r="F813" s="80" t="s">
        <v>414</v>
      </c>
      <c r="G813" s="58" t="s">
        <v>3182</v>
      </c>
      <c r="H813" s="58" t="s">
        <v>2294</v>
      </c>
      <c r="I813" s="64" t="s">
        <v>3183</v>
      </c>
      <c r="J813" s="66"/>
      <c r="K813" s="66"/>
      <c r="L813" s="68"/>
      <c r="M813" s="63" t="str">
        <f>HYPERLINK("http://nsgreg.nga.mil/genc/view?v=862949&amp;end_month=12&amp;end_day=31&amp;end_year=2016","Correlation")</f>
        <v>Correlation</v>
      </c>
    </row>
    <row r="814" spans="1:13" x14ac:dyDescent="0.2">
      <c r="A814" s="113"/>
      <c r="B814" s="58" t="s">
        <v>3184</v>
      </c>
      <c r="C814" s="58" t="s">
        <v>2294</v>
      </c>
      <c r="D814" s="58" t="s">
        <v>3185</v>
      </c>
      <c r="E814" s="60" t="b">
        <v>1</v>
      </c>
      <c r="F814" s="80" t="s">
        <v>414</v>
      </c>
      <c r="G814" s="58" t="s">
        <v>3186</v>
      </c>
      <c r="H814" s="58" t="s">
        <v>2294</v>
      </c>
      <c r="I814" s="64" t="s">
        <v>3185</v>
      </c>
      <c r="J814" s="66"/>
      <c r="K814" s="66"/>
      <c r="L814" s="68"/>
      <c r="M814" s="63" t="str">
        <f>HYPERLINK("http://nsgreg.nga.mil/genc/view?v=862951&amp;end_month=12&amp;end_day=31&amp;end_year=2016","Correlation")</f>
        <v>Correlation</v>
      </c>
    </row>
    <row r="815" spans="1:13" x14ac:dyDescent="0.2">
      <c r="A815" s="113"/>
      <c r="B815" s="58" t="s">
        <v>3187</v>
      </c>
      <c r="C815" s="58" t="s">
        <v>2294</v>
      </c>
      <c r="D815" s="58" t="s">
        <v>3188</v>
      </c>
      <c r="E815" s="60" t="b">
        <v>1</v>
      </c>
      <c r="F815" s="80" t="s">
        <v>414</v>
      </c>
      <c r="G815" s="58" t="s">
        <v>3187</v>
      </c>
      <c r="H815" s="58" t="s">
        <v>2294</v>
      </c>
      <c r="I815" s="64" t="s">
        <v>3188</v>
      </c>
      <c r="J815" s="66"/>
      <c r="K815" s="66"/>
      <c r="L815" s="68"/>
      <c r="M815" s="63" t="str">
        <f>HYPERLINK("http://nsgreg.nga.mil/genc/view?v=862950&amp;end_month=12&amp;end_day=31&amp;end_year=2016","Correlation")</f>
        <v>Correlation</v>
      </c>
    </row>
    <row r="816" spans="1:13" x14ac:dyDescent="0.2">
      <c r="A816" s="113"/>
      <c r="B816" s="58" t="s">
        <v>3189</v>
      </c>
      <c r="C816" s="58" t="s">
        <v>2294</v>
      </c>
      <c r="D816" s="58" t="s">
        <v>3190</v>
      </c>
      <c r="E816" s="60" t="b">
        <v>1</v>
      </c>
      <c r="F816" s="80" t="s">
        <v>414</v>
      </c>
      <c r="G816" s="58" t="s">
        <v>3189</v>
      </c>
      <c r="H816" s="58" t="s">
        <v>2294</v>
      </c>
      <c r="I816" s="64" t="s">
        <v>3190</v>
      </c>
      <c r="J816" s="66"/>
      <c r="K816" s="66"/>
      <c r="L816" s="68"/>
      <c r="M816" s="63" t="str">
        <f>HYPERLINK("http://nsgreg.nga.mil/genc/view?v=862952&amp;end_month=12&amp;end_day=31&amp;end_year=2016","Correlation")</f>
        <v>Correlation</v>
      </c>
    </row>
    <row r="817" spans="1:13" x14ac:dyDescent="0.2">
      <c r="A817" s="113"/>
      <c r="B817" s="58" t="s">
        <v>3191</v>
      </c>
      <c r="C817" s="58" t="s">
        <v>2294</v>
      </c>
      <c r="D817" s="58" t="s">
        <v>3192</v>
      </c>
      <c r="E817" s="60" t="b">
        <v>1</v>
      </c>
      <c r="F817" s="80" t="s">
        <v>414</v>
      </c>
      <c r="G817" s="58" t="s">
        <v>3191</v>
      </c>
      <c r="H817" s="58" t="s">
        <v>2294</v>
      </c>
      <c r="I817" s="64" t="s">
        <v>3192</v>
      </c>
      <c r="J817" s="66"/>
      <c r="K817" s="66"/>
      <c r="L817" s="68"/>
      <c r="M817" s="63" t="str">
        <f>HYPERLINK("http://nsgreg.nga.mil/genc/view?v=862953&amp;end_month=12&amp;end_day=31&amp;end_year=2016","Correlation")</f>
        <v>Correlation</v>
      </c>
    </row>
    <row r="818" spans="1:13" x14ac:dyDescent="0.2">
      <c r="A818" s="113"/>
      <c r="B818" s="58" t="s">
        <v>3193</v>
      </c>
      <c r="C818" s="58" t="s">
        <v>2294</v>
      </c>
      <c r="D818" s="58" t="s">
        <v>3194</v>
      </c>
      <c r="E818" s="60" t="b">
        <v>1</v>
      </c>
      <c r="F818" s="80" t="s">
        <v>414</v>
      </c>
      <c r="G818" s="58" t="s">
        <v>3193</v>
      </c>
      <c r="H818" s="58" t="s">
        <v>2294</v>
      </c>
      <c r="I818" s="64" t="s">
        <v>3194</v>
      </c>
      <c r="J818" s="66"/>
      <c r="K818" s="66"/>
      <c r="L818" s="68"/>
      <c r="M818" s="63" t="str">
        <f>HYPERLINK("http://nsgreg.nga.mil/genc/view?v=862954&amp;end_month=12&amp;end_day=31&amp;end_year=2016","Correlation")</f>
        <v>Correlation</v>
      </c>
    </row>
    <row r="819" spans="1:13" x14ac:dyDescent="0.2">
      <c r="A819" s="113"/>
      <c r="B819" s="58" t="s">
        <v>3195</v>
      </c>
      <c r="C819" s="58" t="s">
        <v>2294</v>
      </c>
      <c r="D819" s="58" t="s">
        <v>3196</v>
      </c>
      <c r="E819" s="60" t="b">
        <v>1</v>
      </c>
      <c r="F819" s="80" t="s">
        <v>414</v>
      </c>
      <c r="G819" s="58" t="s">
        <v>3195</v>
      </c>
      <c r="H819" s="58" t="s">
        <v>2294</v>
      </c>
      <c r="I819" s="64" t="s">
        <v>3196</v>
      </c>
      <c r="J819" s="66"/>
      <c r="K819" s="66"/>
      <c r="L819" s="68"/>
      <c r="M819" s="63" t="str">
        <f>HYPERLINK("http://nsgreg.nga.mil/genc/view?v=862955&amp;end_month=12&amp;end_day=31&amp;end_year=2016","Correlation")</f>
        <v>Correlation</v>
      </c>
    </row>
    <row r="820" spans="1:13" x14ac:dyDescent="0.2">
      <c r="A820" s="114"/>
      <c r="B820" s="71" t="s">
        <v>3197</v>
      </c>
      <c r="C820" s="71" t="s">
        <v>2294</v>
      </c>
      <c r="D820" s="71" t="s">
        <v>3198</v>
      </c>
      <c r="E820" s="73" t="b">
        <v>1</v>
      </c>
      <c r="F820" s="81" t="s">
        <v>414</v>
      </c>
      <c r="G820" s="71" t="s">
        <v>3197</v>
      </c>
      <c r="H820" s="71" t="s">
        <v>2294</v>
      </c>
      <c r="I820" s="74" t="s">
        <v>3198</v>
      </c>
      <c r="J820" s="76"/>
      <c r="K820" s="76"/>
      <c r="L820" s="82"/>
      <c r="M820" s="77" t="str">
        <f>HYPERLINK("http://nsgreg.nga.mil/genc/view?v=862956&amp;end_month=12&amp;end_day=31&amp;end_year=2016","Correlation")</f>
        <v>Correlation</v>
      </c>
    </row>
    <row r="821" spans="1:13" x14ac:dyDescent="0.2">
      <c r="A821" s="112" t="s">
        <v>418</v>
      </c>
      <c r="B821" s="50" t="s">
        <v>3199</v>
      </c>
      <c r="C821" s="50" t="s">
        <v>3200</v>
      </c>
      <c r="D821" s="50" t="s">
        <v>3201</v>
      </c>
      <c r="E821" s="52" t="b">
        <v>1</v>
      </c>
      <c r="F821" s="78" t="s">
        <v>418</v>
      </c>
      <c r="G821" s="50" t="s">
        <v>3202</v>
      </c>
      <c r="H821" s="50" t="s">
        <v>3203</v>
      </c>
      <c r="I821" s="53" t="s">
        <v>3201</v>
      </c>
      <c r="J821" s="55"/>
      <c r="K821" s="55"/>
      <c r="L821" s="79"/>
      <c r="M821" s="56" t="str">
        <f>HYPERLINK("http://nsgreg.nga.mil/genc/view?v=864532&amp;end_month=12&amp;end_day=31&amp;end_year=2016","Correlation")</f>
        <v>Correlation</v>
      </c>
    </row>
    <row r="822" spans="1:13" x14ac:dyDescent="0.2">
      <c r="A822" s="113"/>
      <c r="B822" s="58" t="s">
        <v>3204</v>
      </c>
      <c r="C822" s="58" t="s">
        <v>3200</v>
      </c>
      <c r="D822" s="58" t="s">
        <v>3205</v>
      </c>
      <c r="E822" s="60" t="b">
        <v>1</v>
      </c>
      <c r="F822" s="80" t="s">
        <v>418</v>
      </c>
      <c r="G822" s="58" t="s">
        <v>3206</v>
      </c>
      <c r="H822" s="58" t="s">
        <v>3203</v>
      </c>
      <c r="I822" s="64" t="s">
        <v>3205</v>
      </c>
      <c r="J822" s="66"/>
      <c r="K822" s="66"/>
      <c r="L822" s="68"/>
      <c r="M822" s="63" t="str">
        <f>HYPERLINK("http://nsgreg.nga.mil/genc/view?v=864533&amp;end_month=12&amp;end_day=31&amp;end_year=2016","Correlation")</f>
        <v>Correlation</v>
      </c>
    </row>
    <row r="823" spans="1:13" x14ac:dyDescent="0.2">
      <c r="A823" s="114"/>
      <c r="B823" s="71" t="s">
        <v>3207</v>
      </c>
      <c r="C823" s="71" t="s">
        <v>3200</v>
      </c>
      <c r="D823" s="71" t="s">
        <v>3208</v>
      </c>
      <c r="E823" s="73" t="b">
        <v>1</v>
      </c>
      <c r="F823" s="81" t="s">
        <v>418</v>
      </c>
      <c r="G823" s="71" t="s">
        <v>3209</v>
      </c>
      <c r="H823" s="71" t="s">
        <v>3203</v>
      </c>
      <c r="I823" s="74" t="s">
        <v>3208</v>
      </c>
      <c r="J823" s="76"/>
      <c r="K823" s="76"/>
      <c r="L823" s="82"/>
      <c r="M823" s="77" t="str">
        <f>HYPERLINK("http://nsgreg.nga.mil/genc/view?v=864534&amp;end_month=12&amp;end_day=31&amp;end_year=2016","Correlation")</f>
        <v>Correlation</v>
      </c>
    </row>
    <row r="824" spans="1:13" x14ac:dyDescent="0.2">
      <c r="A824" s="112" t="s">
        <v>422</v>
      </c>
      <c r="B824" s="50" t="s">
        <v>3210</v>
      </c>
      <c r="C824" s="50" t="s">
        <v>2294</v>
      </c>
      <c r="D824" s="50" t="s">
        <v>3211</v>
      </c>
      <c r="E824" s="52" t="b">
        <v>1</v>
      </c>
      <c r="F824" s="78" t="s">
        <v>426</v>
      </c>
      <c r="G824" s="50" t="s">
        <v>3210</v>
      </c>
      <c r="H824" s="50" t="s">
        <v>2294</v>
      </c>
      <c r="I824" s="53" t="s">
        <v>3211</v>
      </c>
      <c r="J824" s="55"/>
      <c r="K824" s="55"/>
      <c r="L824" s="79"/>
      <c r="M824" s="56" t="str">
        <f>HYPERLINK("http://nsgreg.nga.mil/genc/view?v=862816&amp;end_month=12&amp;end_day=31&amp;end_year=2016","Correlation")</f>
        <v>Correlation</v>
      </c>
    </row>
    <row r="825" spans="1:13" x14ac:dyDescent="0.2">
      <c r="A825" s="113"/>
      <c r="B825" s="58" t="s">
        <v>3212</v>
      </c>
      <c r="C825" s="58" t="s">
        <v>2294</v>
      </c>
      <c r="D825" s="58" t="s">
        <v>3213</v>
      </c>
      <c r="E825" s="60" t="b">
        <v>1</v>
      </c>
      <c r="F825" s="80" t="s">
        <v>426</v>
      </c>
      <c r="G825" s="58" t="s">
        <v>3212</v>
      </c>
      <c r="H825" s="58" t="s">
        <v>2294</v>
      </c>
      <c r="I825" s="64" t="s">
        <v>3213</v>
      </c>
      <c r="J825" s="66"/>
      <c r="K825" s="66"/>
      <c r="L825" s="68"/>
      <c r="M825" s="63" t="str">
        <f>HYPERLINK("http://nsgreg.nga.mil/genc/view?v=862827&amp;end_month=12&amp;end_day=31&amp;end_year=2016","Correlation")</f>
        <v>Correlation</v>
      </c>
    </row>
    <row r="826" spans="1:13" x14ac:dyDescent="0.2">
      <c r="A826" s="113"/>
      <c r="B826" s="58" t="s">
        <v>3214</v>
      </c>
      <c r="C826" s="58" t="s">
        <v>2294</v>
      </c>
      <c r="D826" s="58" t="s">
        <v>3215</v>
      </c>
      <c r="E826" s="60" t="b">
        <v>1</v>
      </c>
      <c r="F826" s="80" t="s">
        <v>426</v>
      </c>
      <c r="G826" s="58" t="s">
        <v>3214</v>
      </c>
      <c r="H826" s="58" t="s">
        <v>2294</v>
      </c>
      <c r="I826" s="64" t="s">
        <v>3215</v>
      </c>
      <c r="J826" s="66"/>
      <c r="K826" s="66"/>
      <c r="L826" s="68"/>
      <c r="M826" s="63" t="str">
        <f>HYPERLINK("http://nsgreg.nga.mil/genc/view?v=862825&amp;end_month=12&amp;end_day=31&amp;end_year=2016","Correlation")</f>
        <v>Correlation</v>
      </c>
    </row>
    <row r="827" spans="1:13" x14ac:dyDescent="0.2">
      <c r="A827" s="113"/>
      <c r="B827" s="58" t="s">
        <v>3216</v>
      </c>
      <c r="C827" s="58" t="s">
        <v>2294</v>
      </c>
      <c r="D827" s="58" t="s">
        <v>3217</v>
      </c>
      <c r="E827" s="60" t="b">
        <v>1</v>
      </c>
      <c r="F827" s="80" t="s">
        <v>426</v>
      </c>
      <c r="G827" s="58" t="s">
        <v>3216</v>
      </c>
      <c r="H827" s="58" t="s">
        <v>2294</v>
      </c>
      <c r="I827" s="64" t="s">
        <v>3217</v>
      </c>
      <c r="J827" s="66"/>
      <c r="K827" s="66"/>
      <c r="L827" s="68"/>
      <c r="M827" s="63" t="str">
        <f>HYPERLINK("http://nsgreg.nga.mil/genc/view?v=862820&amp;end_month=12&amp;end_day=31&amp;end_year=2016","Correlation")</f>
        <v>Correlation</v>
      </c>
    </row>
    <row r="828" spans="1:13" x14ac:dyDescent="0.2">
      <c r="A828" s="113"/>
      <c r="B828" s="58" t="s">
        <v>3218</v>
      </c>
      <c r="C828" s="58" t="s">
        <v>2294</v>
      </c>
      <c r="D828" s="58" t="s">
        <v>3219</v>
      </c>
      <c r="E828" s="60" t="b">
        <v>1</v>
      </c>
      <c r="F828" s="80" t="s">
        <v>426</v>
      </c>
      <c r="G828" s="58" t="s">
        <v>3218</v>
      </c>
      <c r="H828" s="58" t="s">
        <v>2294</v>
      </c>
      <c r="I828" s="64" t="s">
        <v>3219</v>
      </c>
      <c r="J828" s="66"/>
      <c r="K828" s="66"/>
      <c r="L828" s="68"/>
      <c r="M828" s="63" t="str">
        <f>HYPERLINK("http://nsgreg.nga.mil/genc/view?v=862823&amp;end_month=12&amp;end_day=31&amp;end_year=2016","Correlation")</f>
        <v>Correlation</v>
      </c>
    </row>
    <row r="829" spans="1:13" x14ac:dyDescent="0.2">
      <c r="A829" s="113"/>
      <c r="B829" s="58" t="s">
        <v>3220</v>
      </c>
      <c r="C829" s="58" t="s">
        <v>2294</v>
      </c>
      <c r="D829" s="58" t="s">
        <v>3221</v>
      </c>
      <c r="E829" s="60" t="b">
        <v>1</v>
      </c>
      <c r="F829" s="80" t="s">
        <v>426</v>
      </c>
      <c r="G829" s="58" t="s">
        <v>3220</v>
      </c>
      <c r="H829" s="58" t="s">
        <v>2294</v>
      </c>
      <c r="I829" s="64" t="s">
        <v>3221</v>
      </c>
      <c r="J829" s="66"/>
      <c r="K829" s="66"/>
      <c r="L829" s="68"/>
      <c r="M829" s="63" t="str">
        <f>HYPERLINK("http://nsgreg.nga.mil/genc/view?v=862822&amp;end_month=12&amp;end_day=31&amp;end_year=2016","Correlation")</f>
        <v>Correlation</v>
      </c>
    </row>
    <row r="830" spans="1:13" x14ac:dyDescent="0.2">
      <c r="A830" s="113"/>
      <c r="B830" s="58" t="s">
        <v>3222</v>
      </c>
      <c r="C830" s="58" t="s">
        <v>2294</v>
      </c>
      <c r="D830" s="58" t="s">
        <v>3223</v>
      </c>
      <c r="E830" s="60" t="b">
        <v>1</v>
      </c>
      <c r="F830" s="80" t="s">
        <v>426</v>
      </c>
      <c r="G830" s="58" t="s">
        <v>3222</v>
      </c>
      <c r="H830" s="58" t="s">
        <v>2294</v>
      </c>
      <c r="I830" s="64" t="s">
        <v>3223</v>
      </c>
      <c r="J830" s="66"/>
      <c r="K830" s="66"/>
      <c r="L830" s="68"/>
      <c r="M830" s="63" t="str">
        <f>HYPERLINK("http://nsgreg.nga.mil/genc/view?v=862824&amp;end_month=12&amp;end_day=31&amp;end_year=2016","Correlation")</f>
        <v>Correlation</v>
      </c>
    </row>
    <row r="831" spans="1:13" x14ac:dyDescent="0.2">
      <c r="A831" s="113"/>
      <c r="B831" s="58" t="s">
        <v>3224</v>
      </c>
      <c r="C831" s="58" t="s">
        <v>2294</v>
      </c>
      <c r="D831" s="58" t="s">
        <v>3225</v>
      </c>
      <c r="E831" s="60" t="b">
        <v>1</v>
      </c>
      <c r="F831" s="80" t="s">
        <v>426</v>
      </c>
      <c r="G831" s="58" t="s">
        <v>3224</v>
      </c>
      <c r="H831" s="58" t="s">
        <v>2294</v>
      </c>
      <c r="I831" s="64" t="s">
        <v>3225</v>
      </c>
      <c r="J831" s="66"/>
      <c r="K831" s="66"/>
      <c r="L831" s="68"/>
      <c r="M831" s="63" t="str">
        <f>HYPERLINK("http://nsgreg.nga.mil/genc/view?v=862826&amp;end_month=12&amp;end_day=31&amp;end_year=2016","Correlation")</f>
        <v>Correlation</v>
      </c>
    </row>
    <row r="832" spans="1:13" x14ac:dyDescent="0.2">
      <c r="A832" s="113"/>
      <c r="B832" s="58" t="s">
        <v>3226</v>
      </c>
      <c r="C832" s="58" t="s">
        <v>2294</v>
      </c>
      <c r="D832" s="58" t="s">
        <v>3227</v>
      </c>
      <c r="E832" s="60" t="b">
        <v>1</v>
      </c>
      <c r="F832" s="80" t="s">
        <v>426</v>
      </c>
      <c r="G832" s="58" t="s">
        <v>3226</v>
      </c>
      <c r="H832" s="58" t="s">
        <v>2294</v>
      </c>
      <c r="I832" s="64" t="s">
        <v>3227</v>
      </c>
      <c r="J832" s="66"/>
      <c r="K832" s="66"/>
      <c r="L832" s="68"/>
      <c r="M832" s="63" t="str">
        <f>HYPERLINK("http://nsgreg.nga.mil/genc/view?v=862819&amp;end_month=12&amp;end_day=31&amp;end_year=2016","Correlation")</f>
        <v>Correlation</v>
      </c>
    </row>
    <row r="833" spans="1:13" x14ac:dyDescent="0.2">
      <c r="A833" s="113"/>
      <c r="B833" s="58" t="s">
        <v>3228</v>
      </c>
      <c r="C833" s="58" t="s">
        <v>2294</v>
      </c>
      <c r="D833" s="58" t="s">
        <v>3229</v>
      </c>
      <c r="E833" s="60" t="b">
        <v>1</v>
      </c>
      <c r="F833" s="80" t="s">
        <v>426</v>
      </c>
      <c r="G833" s="58" t="s">
        <v>3228</v>
      </c>
      <c r="H833" s="58" t="s">
        <v>2294</v>
      </c>
      <c r="I833" s="64" t="s">
        <v>3229</v>
      </c>
      <c r="J833" s="66"/>
      <c r="K833" s="66"/>
      <c r="L833" s="68"/>
      <c r="M833" s="63" t="str">
        <f>HYPERLINK("http://nsgreg.nga.mil/genc/view?v=862821&amp;end_month=12&amp;end_day=31&amp;end_year=2016","Correlation")</f>
        <v>Correlation</v>
      </c>
    </row>
    <row r="834" spans="1:13" x14ac:dyDescent="0.2">
      <c r="A834" s="113"/>
      <c r="B834" s="58" t="s">
        <v>3230</v>
      </c>
      <c r="C834" s="58" t="s">
        <v>2294</v>
      </c>
      <c r="D834" s="58" t="s">
        <v>3231</v>
      </c>
      <c r="E834" s="60" t="b">
        <v>1</v>
      </c>
      <c r="F834" s="80" t="s">
        <v>426</v>
      </c>
      <c r="G834" s="58" t="s">
        <v>3230</v>
      </c>
      <c r="H834" s="58" t="s">
        <v>2294</v>
      </c>
      <c r="I834" s="64" t="s">
        <v>3231</v>
      </c>
      <c r="J834" s="66"/>
      <c r="K834" s="66"/>
      <c r="L834" s="68"/>
      <c r="M834" s="63" t="str">
        <f>HYPERLINK("http://nsgreg.nga.mil/genc/view?v=862817&amp;end_month=12&amp;end_day=31&amp;end_year=2016","Correlation")</f>
        <v>Correlation</v>
      </c>
    </row>
    <row r="835" spans="1:13" x14ac:dyDescent="0.2">
      <c r="A835" s="114"/>
      <c r="B835" s="71" t="s">
        <v>2962</v>
      </c>
      <c r="C835" s="71" t="s">
        <v>2294</v>
      </c>
      <c r="D835" s="71" t="s">
        <v>3232</v>
      </c>
      <c r="E835" s="73" t="b">
        <v>1</v>
      </c>
      <c r="F835" s="81" t="s">
        <v>426</v>
      </c>
      <c r="G835" s="71" t="s">
        <v>2962</v>
      </c>
      <c r="H835" s="71" t="s">
        <v>2294</v>
      </c>
      <c r="I835" s="74" t="s">
        <v>3232</v>
      </c>
      <c r="J835" s="76"/>
      <c r="K835" s="76"/>
      <c r="L835" s="82"/>
      <c r="M835" s="77" t="str">
        <f>HYPERLINK("http://nsgreg.nga.mil/genc/view?v=862818&amp;end_month=12&amp;end_day=31&amp;end_year=2016","Correlation")</f>
        <v>Correlation</v>
      </c>
    </row>
    <row r="836" spans="1:13" x14ac:dyDescent="0.2">
      <c r="A836" s="112" t="s">
        <v>427</v>
      </c>
      <c r="B836" s="50" t="s">
        <v>3233</v>
      </c>
      <c r="C836" s="50" t="s">
        <v>1413</v>
      </c>
      <c r="D836" s="50" t="s">
        <v>3234</v>
      </c>
      <c r="E836" s="52" t="b">
        <v>1</v>
      </c>
      <c r="F836" s="78" t="s">
        <v>3235</v>
      </c>
      <c r="G836" s="50" t="s">
        <v>3233</v>
      </c>
      <c r="H836" s="50" t="s">
        <v>1413</v>
      </c>
      <c r="I836" s="53" t="s">
        <v>3234</v>
      </c>
      <c r="J836" s="55"/>
      <c r="K836" s="55"/>
      <c r="L836" s="79"/>
      <c r="M836" s="56" t="str">
        <f>HYPERLINK("http://nsgreg.nga.mil/genc/view?v=862774&amp;end_month=12&amp;end_day=31&amp;end_year=2016","Correlation")</f>
        <v>Correlation</v>
      </c>
    </row>
    <row r="837" spans="1:13" x14ac:dyDescent="0.2">
      <c r="A837" s="113"/>
      <c r="B837" s="58" t="s">
        <v>3236</v>
      </c>
      <c r="C837" s="58" t="s">
        <v>1413</v>
      </c>
      <c r="D837" s="58" t="s">
        <v>3237</v>
      </c>
      <c r="E837" s="60" t="b">
        <v>1</v>
      </c>
      <c r="F837" s="80" t="s">
        <v>3235</v>
      </c>
      <c r="G837" s="58" t="s">
        <v>3236</v>
      </c>
      <c r="H837" s="58" t="s">
        <v>1413</v>
      </c>
      <c r="I837" s="64" t="s">
        <v>3237</v>
      </c>
      <c r="J837" s="66"/>
      <c r="K837" s="66"/>
      <c r="L837" s="68"/>
      <c r="M837" s="63" t="str">
        <f>HYPERLINK("http://nsgreg.nga.mil/genc/view?v=862775&amp;end_month=12&amp;end_day=31&amp;end_year=2016","Correlation")</f>
        <v>Correlation</v>
      </c>
    </row>
    <row r="838" spans="1:13" x14ac:dyDescent="0.2">
      <c r="A838" s="113"/>
      <c r="B838" s="58" t="s">
        <v>3238</v>
      </c>
      <c r="C838" s="58" t="s">
        <v>1413</v>
      </c>
      <c r="D838" s="58" t="s">
        <v>3239</v>
      </c>
      <c r="E838" s="60" t="b">
        <v>1</v>
      </c>
      <c r="F838" s="80" t="s">
        <v>3235</v>
      </c>
      <c r="G838" s="58" t="s">
        <v>3238</v>
      </c>
      <c r="H838" s="58" t="s">
        <v>1413</v>
      </c>
      <c r="I838" s="64" t="s">
        <v>3239</v>
      </c>
      <c r="J838" s="66"/>
      <c r="K838" s="66"/>
      <c r="L838" s="68"/>
      <c r="M838" s="63" t="str">
        <f>HYPERLINK("http://nsgreg.nga.mil/genc/view?v=862776&amp;end_month=12&amp;end_day=31&amp;end_year=2016","Correlation")</f>
        <v>Correlation</v>
      </c>
    </row>
    <row r="839" spans="1:13" x14ac:dyDescent="0.2">
      <c r="A839" s="113"/>
      <c r="B839" s="58" t="s">
        <v>3240</v>
      </c>
      <c r="C839" s="58" t="s">
        <v>1413</v>
      </c>
      <c r="D839" s="58" t="s">
        <v>3241</v>
      </c>
      <c r="E839" s="60" t="b">
        <v>1</v>
      </c>
      <c r="F839" s="80" t="s">
        <v>3235</v>
      </c>
      <c r="G839" s="58" t="s">
        <v>3240</v>
      </c>
      <c r="H839" s="58" t="s">
        <v>1413</v>
      </c>
      <c r="I839" s="64" t="s">
        <v>3241</v>
      </c>
      <c r="J839" s="66"/>
      <c r="K839" s="66"/>
      <c r="L839" s="68"/>
      <c r="M839" s="63" t="str">
        <f>HYPERLINK("http://nsgreg.nga.mil/genc/view?v=862777&amp;end_month=12&amp;end_day=31&amp;end_year=2016","Correlation")</f>
        <v>Correlation</v>
      </c>
    </row>
    <row r="840" spans="1:13" x14ac:dyDescent="0.2">
      <c r="A840" s="113"/>
      <c r="B840" s="58" t="s">
        <v>3242</v>
      </c>
      <c r="C840" s="58" t="s">
        <v>1413</v>
      </c>
      <c r="D840" s="58" t="s">
        <v>3243</v>
      </c>
      <c r="E840" s="60" t="b">
        <v>1</v>
      </c>
      <c r="F840" s="80" t="s">
        <v>3235</v>
      </c>
      <c r="G840" s="58" t="s">
        <v>3242</v>
      </c>
      <c r="H840" s="58" t="s">
        <v>1413</v>
      </c>
      <c r="I840" s="64" t="s">
        <v>3243</v>
      </c>
      <c r="J840" s="66"/>
      <c r="K840" s="66"/>
      <c r="L840" s="68"/>
      <c r="M840" s="63" t="str">
        <f>HYPERLINK("http://nsgreg.nga.mil/genc/view?v=862778&amp;end_month=12&amp;end_day=31&amp;end_year=2016","Correlation")</f>
        <v>Correlation</v>
      </c>
    </row>
    <row r="841" spans="1:13" x14ac:dyDescent="0.2">
      <c r="A841" s="113"/>
      <c r="B841" s="58" t="s">
        <v>3244</v>
      </c>
      <c r="C841" s="58" t="s">
        <v>1413</v>
      </c>
      <c r="D841" s="58" t="s">
        <v>3245</v>
      </c>
      <c r="E841" s="60" t="b">
        <v>1</v>
      </c>
      <c r="F841" s="80" t="s">
        <v>3235</v>
      </c>
      <c r="G841" s="58" t="s">
        <v>3244</v>
      </c>
      <c r="H841" s="58" t="s">
        <v>1413</v>
      </c>
      <c r="I841" s="64" t="s">
        <v>3245</v>
      </c>
      <c r="J841" s="66"/>
      <c r="K841" s="66"/>
      <c r="L841" s="68"/>
      <c r="M841" s="63" t="str">
        <f>HYPERLINK("http://nsgreg.nga.mil/genc/view?v=862779&amp;end_month=12&amp;end_day=31&amp;end_year=2016","Correlation")</f>
        <v>Correlation</v>
      </c>
    </row>
    <row r="842" spans="1:13" x14ac:dyDescent="0.2">
      <c r="A842" s="113"/>
      <c r="B842" s="58" t="s">
        <v>3246</v>
      </c>
      <c r="C842" s="58" t="s">
        <v>1413</v>
      </c>
      <c r="D842" s="58" t="s">
        <v>3247</v>
      </c>
      <c r="E842" s="60" t="b">
        <v>1</v>
      </c>
      <c r="F842" s="80" t="s">
        <v>3235</v>
      </c>
      <c r="G842" s="58" t="s">
        <v>3246</v>
      </c>
      <c r="H842" s="58" t="s">
        <v>1413</v>
      </c>
      <c r="I842" s="64" t="s">
        <v>3247</v>
      </c>
      <c r="J842" s="66"/>
      <c r="K842" s="66"/>
      <c r="L842" s="68"/>
      <c r="M842" s="63" t="str">
        <f>HYPERLINK("http://nsgreg.nga.mil/genc/view?v=862785&amp;end_month=12&amp;end_day=31&amp;end_year=2016","Correlation")</f>
        <v>Correlation</v>
      </c>
    </row>
    <row r="843" spans="1:13" x14ac:dyDescent="0.2">
      <c r="A843" s="113"/>
      <c r="B843" s="58" t="s">
        <v>3248</v>
      </c>
      <c r="C843" s="58" t="s">
        <v>1413</v>
      </c>
      <c r="D843" s="58" t="s">
        <v>3249</v>
      </c>
      <c r="E843" s="60" t="b">
        <v>1</v>
      </c>
      <c r="F843" s="80" t="s">
        <v>3235</v>
      </c>
      <c r="G843" s="58" t="s">
        <v>3248</v>
      </c>
      <c r="H843" s="58" t="s">
        <v>1413</v>
      </c>
      <c r="I843" s="64" t="s">
        <v>3249</v>
      </c>
      <c r="J843" s="66"/>
      <c r="K843" s="66"/>
      <c r="L843" s="68"/>
      <c r="M843" s="63" t="str">
        <f>HYPERLINK("http://nsgreg.nga.mil/genc/view?v=862780&amp;end_month=12&amp;end_day=31&amp;end_year=2016","Correlation")</f>
        <v>Correlation</v>
      </c>
    </row>
    <row r="844" spans="1:13" x14ac:dyDescent="0.2">
      <c r="A844" s="113"/>
      <c r="B844" s="58" t="s">
        <v>3250</v>
      </c>
      <c r="C844" s="58" t="s">
        <v>1413</v>
      </c>
      <c r="D844" s="58" t="s">
        <v>3251</v>
      </c>
      <c r="E844" s="60" t="b">
        <v>1</v>
      </c>
      <c r="F844" s="80" t="s">
        <v>3235</v>
      </c>
      <c r="G844" s="58" t="s">
        <v>3250</v>
      </c>
      <c r="H844" s="58" t="s">
        <v>1413</v>
      </c>
      <c r="I844" s="64" t="s">
        <v>3251</v>
      </c>
      <c r="J844" s="66"/>
      <c r="K844" s="66"/>
      <c r="L844" s="68"/>
      <c r="M844" s="63" t="str">
        <f>HYPERLINK("http://nsgreg.nga.mil/genc/view?v=862781&amp;end_month=12&amp;end_day=31&amp;end_year=2016","Correlation")</f>
        <v>Correlation</v>
      </c>
    </row>
    <row r="845" spans="1:13" x14ac:dyDescent="0.2">
      <c r="A845" s="113"/>
      <c r="B845" s="58" t="s">
        <v>3252</v>
      </c>
      <c r="C845" s="58" t="s">
        <v>1681</v>
      </c>
      <c r="D845" s="58" t="s">
        <v>3253</v>
      </c>
      <c r="E845" s="60" t="b">
        <v>1</v>
      </c>
      <c r="F845" s="80" t="s">
        <v>3235</v>
      </c>
      <c r="G845" s="58" t="s">
        <v>3252</v>
      </c>
      <c r="H845" s="58" t="s">
        <v>1681</v>
      </c>
      <c r="I845" s="64" t="s">
        <v>3253</v>
      </c>
      <c r="J845" s="66"/>
      <c r="K845" s="66"/>
      <c r="L845" s="68"/>
      <c r="M845" s="63" t="str">
        <f>HYPERLINK("http://nsgreg.nga.mil/genc/view?v=862784&amp;end_month=12&amp;end_day=31&amp;end_year=2016","Correlation")</f>
        <v>Correlation</v>
      </c>
    </row>
    <row r="846" spans="1:13" x14ac:dyDescent="0.2">
      <c r="A846" s="113"/>
      <c r="B846" s="58" t="s">
        <v>3254</v>
      </c>
      <c r="C846" s="58" t="s">
        <v>1413</v>
      </c>
      <c r="D846" s="58" t="s">
        <v>3255</v>
      </c>
      <c r="E846" s="60" t="b">
        <v>1</v>
      </c>
      <c r="F846" s="80" t="s">
        <v>3235</v>
      </c>
      <c r="G846" s="58" t="s">
        <v>3254</v>
      </c>
      <c r="H846" s="58" t="s">
        <v>1413</v>
      </c>
      <c r="I846" s="64" t="s">
        <v>3255</v>
      </c>
      <c r="J846" s="66"/>
      <c r="K846" s="66"/>
      <c r="L846" s="68"/>
      <c r="M846" s="63" t="str">
        <f>HYPERLINK("http://nsgreg.nga.mil/genc/view?v=862773&amp;end_month=12&amp;end_day=31&amp;end_year=2016","Correlation")</f>
        <v>Correlation</v>
      </c>
    </row>
    <row r="847" spans="1:13" x14ac:dyDescent="0.2">
      <c r="A847" s="113"/>
      <c r="B847" s="58" t="s">
        <v>3256</v>
      </c>
      <c r="C847" s="58" t="s">
        <v>1413</v>
      </c>
      <c r="D847" s="58" t="s">
        <v>3257</v>
      </c>
      <c r="E847" s="60" t="b">
        <v>1</v>
      </c>
      <c r="F847" s="80" t="s">
        <v>3235</v>
      </c>
      <c r="G847" s="58" t="s">
        <v>3256</v>
      </c>
      <c r="H847" s="58" t="s">
        <v>1413</v>
      </c>
      <c r="I847" s="64" t="s">
        <v>3257</v>
      </c>
      <c r="J847" s="66"/>
      <c r="K847" s="66"/>
      <c r="L847" s="68"/>
      <c r="M847" s="63" t="str">
        <f>HYPERLINK("http://nsgreg.nga.mil/genc/view?v=862782&amp;end_month=12&amp;end_day=31&amp;end_year=2016","Correlation")</f>
        <v>Correlation</v>
      </c>
    </row>
    <row r="848" spans="1:13" x14ac:dyDescent="0.2">
      <c r="A848" s="113"/>
      <c r="B848" s="58" t="s">
        <v>3258</v>
      </c>
      <c r="C848" s="58" t="s">
        <v>1413</v>
      </c>
      <c r="D848" s="58" t="s">
        <v>3259</v>
      </c>
      <c r="E848" s="60" t="b">
        <v>1</v>
      </c>
      <c r="F848" s="80" t="s">
        <v>3235</v>
      </c>
      <c r="G848" s="58" t="s">
        <v>3258</v>
      </c>
      <c r="H848" s="58" t="s">
        <v>1413</v>
      </c>
      <c r="I848" s="64" t="s">
        <v>3259</v>
      </c>
      <c r="J848" s="66"/>
      <c r="K848" s="66"/>
      <c r="L848" s="68"/>
      <c r="M848" s="63" t="str">
        <f>HYPERLINK("http://nsgreg.nga.mil/genc/view?v=862783&amp;end_month=12&amp;end_day=31&amp;end_year=2016","Correlation")</f>
        <v>Correlation</v>
      </c>
    </row>
    <row r="849" spans="1:13" x14ac:dyDescent="0.2">
      <c r="A849" s="113"/>
      <c r="B849" s="58" t="s">
        <v>3260</v>
      </c>
      <c r="C849" s="58" t="s">
        <v>1413</v>
      </c>
      <c r="D849" s="58" t="s">
        <v>3261</v>
      </c>
      <c r="E849" s="60" t="b">
        <v>1</v>
      </c>
      <c r="F849" s="80" t="s">
        <v>3235</v>
      </c>
      <c r="G849" s="58" t="s">
        <v>3260</v>
      </c>
      <c r="H849" s="58" t="s">
        <v>1413</v>
      </c>
      <c r="I849" s="64" t="s">
        <v>3261</v>
      </c>
      <c r="J849" s="66"/>
      <c r="K849" s="66"/>
      <c r="L849" s="68"/>
      <c r="M849" s="63" t="str">
        <f>HYPERLINK("http://nsgreg.nga.mil/genc/view?v=862786&amp;end_month=12&amp;end_day=31&amp;end_year=2016","Correlation")</f>
        <v>Correlation</v>
      </c>
    </row>
    <row r="850" spans="1:13" x14ac:dyDescent="0.2">
      <c r="A850" s="113"/>
      <c r="B850" s="58" t="s">
        <v>3262</v>
      </c>
      <c r="C850" s="58" t="s">
        <v>1413</v>
      </c>
      <c r="D850" s="58" t="s">
        <v>3263</v>
      </c>
      <c r="E850" s="60" t="b">
        <v>1</v>
      </c>
      <c r="F850" s="80" t="s">
        <v>3235</v>
      </c>
      <c r="G850" s="58" t="s">
        <v>3262</v>
      </c>
      <c r="H850" s="58" t="s">
        <v>1413</v>
      </c>
      <c r="I850" s="64" t="s">
        <v>3263</v>
      </c>
      <c r="J850" s="66"/>
      <c r="K850" s="66"/>
      <c r="L850" s="68"/>
      <c r="M850" s="63" t="str">
        <f>HYPERLINK("http://nsgreg.nga.mil/genc/view?v=862787&amp;end_month=12&amp;end_day=31&amp;end_year=2016","Correlation")</f>
        <v>Correlation</v>
      </c>
    </row>
    <row r="851" spans="1:13" x14ac:dyDescent="0.2">
      <c r="A851" s="113"/>
      <c r="B851" s="58" t="s">
        <v>3264</v>
      </c>
      <c r="C851" s="58" t="s">
        <v>1413</v>
      </c>
      <c r="D851" s="58" t="s">
        <v>3265</v>
      </c>
      <c r="E851" s="60" t="b">
        <v>1</v>
      </c>
      <c r="F851" s="80" t="s">
        <v>3235</v>
      </c>
      <c r="G851" s="58" t="s">
        <v>3264</v>
      </c>
      <c r="H851" s="58" t="s">
        <v>1413</v>
      </c>
      <c r="I851" s="64" t="s">
        <v>3265</v>
      </c>
      <c r="J851" s="66"/>
      <c r="K851" s="66"/>
      <c r="L851" s="68"/>
      <c r="M851" s="63" t="str">
        <f>HYPERLINK("http://nsgreg.nga.mil/genc/view?v=862789&amp;end_month=12&amp;end_day=31&amp;end_year=2016","Correlation")</f>
        <v>Correlation</v>
      </c>
    </row>
    <row r="852" spans="1:13" x14ac:dyDescent="0.2">
      <c r="A852" s="113"/>
      <c r="B852" s="58" t="s">
        <v>3266</v>
      </c>
      <c r="C852" s="58" t="s">
        <v>1413</v>
      </c>
      <c r="D852" s="58" t="s">
        <v>3267</v>
      </c>
      <c r="E852" s="60" t="b">
        <v>1</v>
      </c>
      <c r="F852" s="80" t="s">
        <v>3235</v>
      </c>
      <c r="G852" s="58" t="s">
        <v>3266</v>
      </c>
      <c r="H852" s="58" t="s">
        <v>1413</v>
      </c>
      <c r="I852" s="64" t="s">
        <v>3267</v>
      </c>
      <c r="J852" s="66"/>
      <c r="K852" s="66"/>
      <c r="L852" s="68"/>
      <c r="M852" s="63" t="str">
        <f>HYPERLINK("http://nsgreg.nga.mil/genc/view?v=862788&amp;end_month=12&amp;end_day=31&amp;end_year=2016","Correlation")</f>
        <v>Correlation</v>
      </c>
    </row>
    <row r="853" spans="1:13" x14ac:dyDescent="0.2">
      <c r="A853" s="113"/>
      <c r="B853" s="58" t="s">
        <v>3268</v>
      </c>
      <c r="C853" s="58" t="s">
        <v>1413</v>
      </c>
      <c r="D853" s="58" t="s">
        <v>3269</v>
      </c>
      <c r="E853" s="60" t="b">
        <v>1</v>
      </c>
      <c r="F853" s="80" t="s">
        <v>3235</v>
      </c>
      <c r="G853" s="58" t="s">
        <v>3268</v>
      </c>
      <c r="H853" s="58" t="s">
        <v>1413</v>
      </c>
      <c r="I853" s="64" t="s">
        <v>3269</v>
      </c>
      <c r="J853" s="66"/>
      <c r="K853" s="66"/>
      <c r="L853" s="68"/>
      <c r="M853" s="63" t="str">
        <f>HYPERLINK("http://nsgreg.nga.mil/genc/view?v=862790&amp;end_month=12&amp;end_day=31&amp;end_year=2016","Correlation")</f>
        <v>Correlation</v>
      </c>
    </row>
    <row r="854" spans="1:13" x14ac:dyDescent="0.2">
      <c r="A854" s="113"/>
      <c r="B854" s="58" t="s">
        <v>3270</v>
      </c>
      <c r="C854" s="58" t="s">
        <v>1413</v>
      </c>
      <c r="D854" s="58" t="s">
        <v>3271</v>
      </c>
      <c r="E854" s="60" t="b">
        <v>1</v>
      </c>
      <c r="F854" s="80" t="s">
        <v>3235</v>
      </c>
      <c r="G854" s="58" t="s">
        <v>3270</v>
      </c>
      <c r="H854" s="58" t="s">
        <v>1413</v>
      </c>
      <c r="I854" s="64" t="s">
        <v>3271</v>
      </c>
      <c r="J854" s="66"/>
      <c r="K854" s="66"/>
      <c r="L854" s="68"/>
      <c r="M854" s="63" t="str">
        <f>HYPERLINK("http://nsgreg.nga.mil/genc/view?v=862791&amp;end_month=12&amp;end_day=31&amp;end_year=2016","Correlation")</f>
        <v>Correlation</v>
      </c>
    </row>
    <row r="855" spans="1:13" x14ac:dyDescent="0.2">
      <c r="A855" s="113"/>
      <c r="B855" s="58" t="s">
        <v>3272</v>
      </c>
      <c r="C855" s="58" t="s">
        <v>1413</v>
      </c>
      <c r="D855" s="58" t="s">
        <v>3273</v>
      </c>
      <c r="E855" s="60" t="b">
        <v>1</v>
      </c>
      <c r="F855" s="80" t="s">
        <v>3235</v>
      </c>
      <c r="G855" s="58" t="s">
        <v>3272</v>
      </c>
      <c r="H855" s="58" t="s">
        <v>1413</v>
      </c>
      <c r="I855" s="64" t="s">
        <v>3273</v>
      </c>
      <c r="J855" s="66"/>
      <c r="K855" s="66"/>
      <c r="L855" s="68"/>
      <c r="M855" s="63" t="str">
        <f>HYPERLINK("http://nsgreg.nga.mil/genc/view?v=862792&amp;end_month=12&amp;end_day=31&amp;end_year=2016","Correlation")</f>
        <v>Correlation</v>
      </c>
    </row>
    <row r="856" spans="1:13" x14ac:dyDescent="0.2">
      <c r="A856" s="113"/>
      <c r="B856" s="58" t="s">
        <v>3274</v>
      </c>
      <c r="C856" s="58" t="s">
        <v>1413</v>
      </c>
      <c r="D856" s="58" t="s">
        <v>3275</v>
      </c>
      <c r="E856" s="60" t="b">
        <v>1</v>
      </c>
      <c r="F856" s="80" t="s">
        <v>3235</v>
      </c>
      <c r="G856" s="58" t="s">
        <v>3274</v>
      </c>
      <c r="H856" s="58" t="s">
        <v>1413</v>
      </c>
      <c r="I856" s="64" t="s">
        <v>3275</v>
      </c>
      <c r="J856" s="66"/>
      <c r="K856" s="66"/>
      <c r="L856" s="68"/>
      <c r="M856" s="63" t="str">
        <f>HYPERLINK("http://nsgreg.nga.mil/genc/view?v=862793&amp;end_month=12&amp;end_day=31&amp;end_year=2016","Correlation")</f>
        <v>Correlation</v>
      </c>
    </row>
    <row r="857" spans="1:13" x14ac:dyDescent="0.2">
      <c r="A857" s="113"/>
      <c r="B857" s="58" t="s">
        <v>3276</v>
      </c>
      <c r="C857" s="58" t="s">
        <v>1413</v>
      </c>
      <c r="D857" s="58" t="s">
        <v>3277</v>
      </c>
      <c r="E857" s="60" t="b">
        <v>1</v>
      </c>
      <c r="F857" s="80" t="s">
        <v>3235</v>
      </c>
      <c r="G857" s="58" t="s">
        <v>3276</v>
      </c>
      <c r="H857" s="58" t="s">
        <v>1413</v>
      </c>
      <c r="I857" s="64" t="s">
        <v>3277</v>
      </c>
      <c r="J857" s="66"/>
      <c r="K857" s="66"/>
      <c r="L857" s="68"/>
      <c r="M857" s="63" t="str">
        <f>HYPERLINK("http://nsgreg.nga.mil/genc/view?v=862794&amp;end_month=12&amp;end_day=31&amp;end_year=2016","Correlation")</f>
        <v>Correlation</v>
      </c>
    </row>
    <row r="858" spans="1:13" x14ac:dyDescent="0.2">
      <c r="A858" s="113"/>
      <c r="B858" s="58" t="s">
        <v>3278</v>
      </c>
      <c r="C858" s="58" t="s">
        <v>1413</v>
      </c>
      <c r="D858" s="58" t="s">
        <v>3279</v>
      </c>
      <c r="E858" s="60" t="b">
        <v>1</v>
      </c>
      <c r="F858" s="80" t="s">
        <v>3235</v>
      </c>
      <c r="G858" s="58" t="s">
        <v>3278</v>
      </c>
      <c r="H858" s="58" t="s">
        <v>1413</v>
      </c>
      <c r="I858" s="64" t="s">
        <v>3279</v>
      </c>
      <c r="J858" s="66"/>
      <c r="K858" s="66"/>
      <c r="L858" s="68"/>
      <c r="M858" s="63" t="str">
        <f>HYPERLINK("http://nsgreg.nga.mil/genc/view?v=862795&amp;end_month=12&amp;end_day=31&amp;end_year=2016","Correlation")</f>
        <v>Correlation</v>
      </c>
    </row>
    <row r="859" spans="1:13" x14ac:dyDescent="0.2">
      <c r="A859" s="113"/>
      <c r="B859" s="58" t="s">
        <v>3280</v>
      </c>
      <c r="C859" s="58" t="s">
        <v>1413</v>
      </c>
      <c r="D859" s="58" t="s">
        <v>3281</v>
      </c>
      <c r="E859" s="60" t="b">
        <v>1</v>
      </c>
      <c r="F859" s="80" t="s">
        <v>3235</v>
      </c>
      <c r="G859" s="58" t="s">
        <v>3280</v>
      </c>
      <c r="H859" s="58" t="s">
        <v>1413</v>
      </c>
      <c r="I859" s="64" t="s">
        <v>3281</v>
      </c>
      <c r="J859" s="66"/>
      <c r="K859" s="66"/>
      <c r="L859" s="68"/>
      <c r="M859" s="63" t="str">
        <f>HYPERLINK("http://nsgreg.nga.mil/genc/view?v=862796&amp;end_month=12&amp;end_day=31&amp;end_year=2016","Correlation")</f>
        <v>Correlation</v>
      </c>
    </row>
    <row r="860" spans="1:13" x14ac:dyDescent="0.2">
      <c r="A860" s="113"/>
      <c r="B860" s="58" t="s">
        <v>3282</v>
      </c>
      <c r="C860" s="58" t="s">
        <v>1413</v>
      </c>
      <c r="D860" s="58" t="s">
        <v>3283</v>
      </c>
      <c r="E860" s="60" t="b">
        <v>1</v>
      </c>
      <c r="F860" s="80" t="s">
        <v>3235</v>
      </c>
      <c r="G860" s="58" t="s">
        <v>3282</v>
      </c>
      <c r="H860" s="58" t="s">
        <v>1413</v>
      </c>
      <c r="I860" s="64" t="s">
        <v>3283</v>
      </c>
      <c r="J860" s="66"/>
      <c r="K860" s="66"/>
      <c r="L860" s="68"/>
      <c r="M860" s="63" t="str">
        <f>HYPERLINK("http://nsgreg.nga.mil/genc/view?v=862797&amp;end_month=12&amp;end_day=31&amp;end_year=2016","Correlation")</f>
        <v>Correlation</v>
      </c>
    </row>
    <row r="861" spans="1:13" x14ac:dyDescent="0.2">
      <c r="A861" s="114"/>
      <c r="B861" s="71" t="s">
        <v>3284</v>
      </c>
      <c r="C861" s="71" t="s">
        <v>1413</v>
      </c>
      <c r="D861" s="71" t="s">
        <v>3285</v>
      </c>
      <c r="E861" s="73" t="b">
        <v>1</v>
      </c>
      <c r="F861" s="81" t="s">
        <v>3235</v>
      </c>
      <c r="G861" s="71" t="s">
        <v>3284</v>
      </c>
      <c r="H861" s="71" t="s">
        <v>1413</v>
      </c>
      <c r="I861" s="74" t="s">
        <v>3285</v>
      </c>
      <c r="J861" s="76"/>
      <c r="K861" s="76"/>
      <c r="L861" s="82"/>
      <c r="M861" s="77" t="str">
        <f>HYPERLINK("http://nsgreg.nga.mil/genc/view?v=862798&amp;end_month=12&amp;end_day=31&amp;end_year=2016","Correlation")</f>
        <v>Correlation</v>
      </c>
    </row>
    <row r="862" spans="1:13" x14ac:dyDescent="0.2">
      <c r="A862" s="112" t="s">
        <v>440</v>
      </c>
      <c r="B862" s="50" t="s">
        <v>3286</v>
      </c>
      <c r="C862" s="50" t="s">
        <v>1413</v>
      </c>
      <c r="D862" s="50" t="s">
        <v>3287</v>
      </c>
      <c r="E862" s="52" t="b">
        <v>1</v>
      </c>
      <c r="F862" s="78" t="s">
        <v>440</v>
      </c>
      <c r="G862" s="50" t="s">
        <v>3286</v>
      </c>
      <c r="H862" s="50" t="s">
        <v>1413</v>
      </c>
      <c r="I862" s="53" t="s">
        <v>3287</v>
      </c>
      <c r="J862" s="55"/>
      <c r="K862" s="55"/>
      <c r="L862" s="79"/>
      <c r="M862" s="56" t="str">
        <f>HYPERLINK("http://nsgreg.nga.mil/genc/view?v=862957&amp;end_month=12&amp;end_day=31&amp;end_year=2016","Correlation")</f>
        <v>Correlation</v>
      </c>
    </row>
    <row r="863" spans="1:13" x14ac:dyDescent="0.2">
      <c r="A863" s="113"/>
      <c r="B863" s="58" t="s">
        <v>3288</v>
      </c>
      <c r="C863" s="58" t="s">
        <v>1413</v>
      </c>
      <c r="D863" s="58" t="s">
        <v>3289</v>
      </c>
      <c r="E863" s="60" t="b">
        <v>1</v>
      </c>
      <c r="F863" s="80" t="s">
        <v>440</v>
      </c>
      <c r="G863" s="58" t="s">
        <v>3288</v>
      </c>
      <c r="H863" s="58" t="s">
        <v>1413</v>
      </c>
      <c r="I863" s="64" t="s">
        <v>3289</v>
      </c>
      <c r="J863" s="66"/>
      <c r="K863" s="66"/>
      <c r="L863" s="68"/>
      <c r="M863" s="63" t="str">
        <f>HYPERLINK("http://nsgreg.nga.mil/genc/view?v=862958&amp;end_month=12&amp;end_day=31&amp;end_year=2016","Correlation")</f>
        <v>Correlation</v>
      </c>
    </row>
    <row r="864" spans="1:13" x14ac:dyDescent="0.2">
      <c r="A864" s="113"/>
      <c r="B864" s="58" t="s">
        <v>3290</v>
      </c>
      <c r="C864" s="58" t="s">
        <v>1413</v>
      </c>
      <c r="D864" s="58" t="s">
        <v>3291</v>
      </c>
      <c r="E864" s="60" t="b">
        <v>1</v>
      </c>
      <c r="F864" s="80" t="s">
        <v>440</v>
      </c>
      <c r="G864" s="58" t="s">
        <v>3290</v>
      </c>
      <c r="H864" s="58" t="s">
        <v>1413</v>
      </c>
      <c r="I864" s="64" t="s">
        <v>3291</v>
      </c>
      <c r="J864" s="66"/>
      <c r="K864" s="66"/>
      <c r="L864" s="68"/>
      <c r="M864" s="63" t="str">
        <f>HYPERLINK("http://nsgreg.nga.mil/genc/view?v=862959&amp;end_month=12&amp;end_day=31&amp;end_year=2016","Correlation")</f>
        <v>Correlation</v>
      </c>
    </row>
    <row r="865" spans="1:13" x14ac:dyDescent="0.2">
      <c r="A865" s="113"/>
      <c r="B865" s="58" t="s">
        <v>3292</v>
      </c>
      <c r="C865" s="58" t="s">
        <v>1413</v>
      </c>
      <c r="D865" s="58" t="s">
        <v>3293</v>
      </c>
      <c r="E865" s="60" t="b">
        <v>1</v>
      </c>
      <c r="F865" s="80" t="s">
        <v>440</v>
      </c>
      <c r="G865" s="58" t="s">
        <v>3292</v>
      </c>
      <c r="H865" s="58" t="s">
        <v>1413</v>
      </c>
      <c r="I865" s="64" t="s">
        <v>3293</v>
      </c>
      <c r="J865" s="66"/>
      <c r="K865" s="66"/>
      <c r="L865" s="68"/>
      <c r="M865" s="63" t="str">
        <f>HYPERLINK("http://nsgreg.nga.mil/genc/view?v=862960&amp;end_month=12&amp;end_day=31&amp;end_year=2016","Correlation")</f>
        <v>Correlation</v>
      </c>
    </row>
    <row r="866" spans="1:13" x14ac:dyDescent="0.2">
      <c r="A866" s="113"/>
      <c r="B866" s="58" t="s">
        <v>3294</v>
      </c>
      <c r="C866" s="58" t="s">
        <v>1413</v>
      </c>
      <c r="D866" s="58" t="s">
        <v>3295</v>
      </c>
      <c r="E866" s="60" t="b">
        <v>1</v>
      </c>
      <c r="F866" s="80" t="s">
        <v>440</v>
      </c>
      <c r="G866" s="58" t="s">
        <v>3294</v>
      </c>
      <c r="H866" s="58" t="s">
        <v>1413</v>
      </c>
      <c r="I866" s="64" t="s">
        <v>3295</v>
      </c>
      <c r="J866" s="66"/>
      <c r="K866" s="66"/>
      <c r="L866" s="68"/>
      <c r="M866" s="63" t="str">
        <f>HYPERLINK("http://nsgreg.nga.mil/genc/view?v=862961&amp;end_month=12&amp;end_day=31&amp;end_year=2016","Correlation")</f>
        <v>Correlation</v>
      </c>
    </row>
    <row r="867" spans="1:13" x14ac:dyDescent="0.2">
      <c r="A867" s="113"/>
      <c r="B867" s="58" t="s">
        <v>3296</v>
      </c>
      <c r="C867" s="58" t="s">
        <v>1413</v>
      </c>
      <c r="D867" s="58" t="s">
        <v>3297</v>
      </c>
      <c r="E867" s="60" t="b">
        <v>1</v>
      </c>
      <c r="F867" s="80" t="s">
        <v>440</v>
      </c>
      <c r="G867" s="58" t="s">
        <v>3296</v>
      </c>
      <c r="H867" s="58" t="s">
        <v>1413</v>
      </c>
      <c r="I867" s="64" t="s">
        <v>3297</v>
      </c>
      <c r="J867" s="66"/>
      <c r="K867" s="66"/>
      <c r="L867" s="68"/>
      <c r="M867" s="63" t="str">
        <f>HYPERLINK("http://nsgreg.nga.mil/genc/view?v=862962&amp;end_month=12&amp;end_day=31&amp;end_year=2016","Correlation")</f>
        <v>Correlation</v>
      </c>
    </row>
    <row r="868" spans="1:13" x14ac:dyDescent="0.2">
      <c r="A868" s="114"/>
      <c r="B868" s="71" t="s">
        <v>3298</v>
      </c>
      <c r="C868" s="71" t="s">
        <v>1413</v>
      </c>
      <c r="D868" s="71" t="s">
        <v>3299</v>
      </c>
      <c r="E868" s="73" t="b">
        <v>1</v>
      </c>
      <c r="F868" s="81" t="s">
        <v>440</v>
      </c>
      <c r="G868" s="71" t="s">
        <v>3298</v>
      </c>
      <c r="H868" s="71" t="s">
        <v>1413</v>
      </c>
      <c r="I868" s="74" t="s">
        <v>3299</v>
      </c>
      <c r="J868" s="76"/>
      <c r="K868" s="76"/>
      <c r="L868" s="82"/>
      <c r="M868" s="77" t="str">
        <f>HYPERLINK("http://nsgreg.nga.mil/genc/view?v=862963&amp;end_month=12&amp;end_day=31&amp;end_year=2016","Correlation")</f>
        <v>Correlation</v>
      </c>
    </row>
    <row r="869" spans="1:13" x14ac:dyDescent="0.2">
      <c r="A869" s="112" t="s">
        <v>444</v>
      </c>
      <c r="B869" s="50" t="s">
        <v>3300</v>
      </c>
      <c r="C869" s="50" t="s">
        <v>3301</v>
      </c>
      <c r="D869" s="50" t="s">
        <v>3302</v>
      </c>
      <c r="E869" s="52" t="b">
        <v>1</v>
      </c>
      <c r="F869" s="78" t="s">
        <v>448</v>
      </c>
      <c r="G869" s="50" t="s">
        <v>3300</v>
      </c>
      <c r="H869" s="50" t="s">
        <v>3301</v>
      </c>
      <c r="I869" s="53" t="s">
        <v>3302</v>
      </c>
      <c r="J869" s="55"/>
      <c r="K869" s="55"/>
      <c r="L869" s="79"/>
      <c r="M869" s="56" t="str">
        <f>HYPERLINK("http://nsgreg.nga.mil/genc/view?v=862854&amp;end_month=12&amp;end_day=31&amp;end_year=2016","Correlation")</f>
        <v>Correlation</v>
      </c>
    </row>
    <row r="870" spans="1:13" x14ac:dyDescent="0.2">
      <c r="A870" s="113"/>
      <c r="B870" s="58" t="s">
        <v>3303</v>
      </c>
      <c r="C870" s="58" t="s">
        <v>1796</v>
      </c>
      <c r="D870" s="58" t="s">
        <v>3304</v>
      </c>
      <c r="E870" s="60" t="b">
        <v>1</v>
      </c>
      <c r="F870" s="80" t="s">
        <v>448</v>
      </c>
      <c r="G870" s="58" t="s">
        <v>3303</v>
      </c>
      <c r="H870" s="58" t="s">
        <v>1796</v>
      </c>
      <c r="I870" s="64" t="s">
        <v>3304</v>
      </c>
      <c r="J870" s="66"/>
      <c r="K870" s="66"/>
      <c r="L870" s="68"/>
      <c r="M870" s="63" t="str">
        <f>HYPERLINK("http://nsgreg.nga.mil/genc/view?v=862855&amp;end_month=12&amp;end_day=31&amp;end_year=2016","Correlation")</f>
        <v>Correlation</v>
      </c>
    </row>
    <row r="871" spans="1:13" x14ac:dyDescent="0.2">
      <c r="A871" s="113"/>
      <c r="B871" s="58" t="s">
        <v>2593</v>
      </c>
      <c r="C871" s="58" t="s">
        <v>1796</v>
      </c>
      <c r="D871" s="58" t="s">
        <v>3305</v>
      </c>
      <c r="E871" s="60" t="b">
        <v>1</v>
      </c>
      <c r="F871" s="80" t="s">
        <v>448</v>
      </c>
      <c r="G871" s="58" t="s">
        <v>2593</v>
      </c>
      <c r="H871" s="58" t="s">
        <v>1796</v>
      </c>
      <c r="I871" s="64" t="s">
        <v>3305</v>
      </c>
      <c r="J871" s="66"/>
      <c r="K871" s="66"/>
      <c r="L871" s="68"/>
      <c r="M871" s="63" t="str">
        <f>HYPERLINK("http://nsgreg.nga.mil/genc/view?v=862856&amp;end_month=12&amp;end_day=31&amp;end_year=2016","Correlation")</f>
        <v>Correlation</v>
      </c>
    </row>
    <row r="872" spans="1:13" x14ac:dyDescent="0.2">
      <c r="A872" s="113"/>
      <c r="B872" s="58" t="s">
        <v>3306</v>
      </c>
      <c r="C872" s="58" t="s">
        <v>1796</v>
      </c>
      <c r="D872" s="58" t="s">
        <v>3307</v>
      </c>
      <c r="E872" s="60" t="b">
        <v>1</v>
      </c>
      <c r="F872" s="80" t="s">
        <v>448</v>
      </c>
      <c r="G872" s="58" t="s">
        <v>3306</v>
      </c>
      <c r="H872" s="58" t="s">
        <v>1796</v>
      </c>
      <c r="I872" s="64" t="s">
        <v>3307</v>
      </c>
      <c r="J872" s="66"/>
      <c r="K872" s="66"/>
      <c r="L872" s="68"/>
      <c r="M872" s="63" t="str">
        <f>HYPERLINK("http://nsgreg.nga.mil/genc/view?v=862857&amp;end_month=12&amp;end_day=31&amp;end_year=2016","Correlation")</f>
        <v>Correlation</v>
      </c>
    </row>
    <row r="873" spans="1:13" x14ac:dyDescent="0.2">
      <c r="A873" s="113"/>
      <c r="B873" s="58" t="s">
        <v>3308</v>
      </c>
      <c r="C873" s="58" t="s">
        <v>1796</v>
      </c>
      <c r="D873" s="58" t="s">
        <v>3309</v>
      </c>
      <c r="E873" s="60" t="b">
        <v>1</v>
      </c>
      <c r="F873" s="80" t="s">
        <v>448</v>
      </c>
      <c r="G873" s="58" t="s">
        <v>3308</v>
      </c>
      <c r="H873" s="58" t="s">
        <v>1796</v>
      </c>
      <c r="I873" s="64" t="s">
        <v>3309</v>
      </c>
      <c r="J873" s="66"/>
      <c r="K873" s="66"/>
      <c r="L873" s="68"/>
      <c r="M873" s="63" t="str">
        <f>HYPERLINK("http://nsgreg.nga.mil/genc/view?v=862858&amp;end_month=12&amp;end_day=31&amp;end_year=2016","Correlation")</f>
        <v>Correlation</v>
      </c>
    </row>
    <row r="874" spans="1:13" x14ac:dyDescent="0.2">
      <c r="A874" s="113"/>
      <c r="B874" s="58" t="s">
        <v>3310</v>
      </c>
      <c r="C874" s="58" t="s">
        <v>1796</v>
      </c>
      <c r="D874" s="58" t="s">
        <v>3311</v>
      </c>
      <c r="E874" s="60" t="b">
        <v>1</v>
      </c>
      <c r="F874" s="80" t="s">
        <v>448</v>
      </c>
      <c r="G874" s="58" t="s">
        <v>3310</v>
      </c>
      <c r="H874" s="58" t="s">
        <v>1796</v>
      </c>
      <c r="I874" s="64" t="s">
        <v>3311</v>
      </c>
      <c r="J874" s="66"/>
      <c r="K874" s="66"/>
      <c r="L874" s="68"/>
      <c r="M874" s="63" t="str">
        <f>HYPERLINK("http://nsgreg.nga.mil/genc/view?v=862859&amp;end_month=12&amp;end_day=31&amp;end_year=2016","Correlation")</f>
        <v>Correlation</v>
      </c>
    </row>
    <row r="875" spans="1:13" x14ac:dyDescent="0.2">
      <c r="A875" s="113"/>
      <c r="B875" s="58" t="s">
        <v>3312</v>
      </c>
      <c r="C875" s="58" t="s">
        <v>1796</v>
      </c>
      <c r="D875" s="58" t="s">
        <v>3313</v>
      </c>
      <c r="E875" s="60" t="b">
        <v>1</v>
      </c>
      <c r="F875" s="80" t="s">
        <v>448</v>
      </c>
      <c r="G875" s="58" t="s">
        <v>3312</v>
      </c>
      <c r="H875" s="58" t="s">
        <v>1796</v>
      </c>
      <c r="I875" s="64" t="s">
        <v>3313</v>
      </c>
      <c r="J875" s="66"/>
      <c r="K875" s="66"/>
      <c r="L875" s="68"/>
      <c r="M875" s="63" t="str">
        <f>HYPERLINK("http://nsgreg.nga.mil/genc/view?v=862860&amp;end_month=12&amp;end_day=31&amp;end_year=2016","Correlation")</f>
        <v>Correlation</v>
      </c>
    </row>
    <row r="876" spans="1:13" x14ac:dyDescent="0.2">
      <c r="A876" s="113"/>
      <c r="B876" s="58" t="s">
        <v>3314</v>
      </c>
      <c r="C876" s="58" t="s">
        <v>1796</v>
      </c>
      <c r="D876" s="58" t="s">
        <v>3315</v>
      </c>
      <c r="E876" s="60" t="b">
        <v>1</v>
      </c>
      <c r="F876" s="80" t="s">
        <v>448</v>
      </c>
      <c r="G876" s="58" t="s">
        <v>3314</v>
      </c>
      <c r="H876" s="58" t="s">
        <v>1796</v>
      </c>
      <c r="I876" s="64" t="s">
        <v>3315</v>
      </c>
      <c r="J876" s="66"/>
      <c r="K876" s="66"/>
      <c r="L876" s="68"/>
      <c r="M876" s="63" t="str">
        <f>HYPERLINK("http://nsgreg.nga.mil/genc/view?v=862861&amp;end_month=12&amp;end_day=31&amp;end_year=2016","Correlation")</f>
        <v>Correlation</v>
      </c>
    </row>
    <row r="877" spans="1:13" x14ac:dyDescent="0.2">
      <c r="A877" s="113"/>
      <c r="B877" s="58" t="s">
        <v>3316</v>
      </c>
      <c r="C877" s="58" t="s">
        <v>1796</v>
      </c>
      <c r="D877" s="58" t="s">
        <v>3317</v>
      </c>
      <c r="E877" s="60" t="b">
        <v>1</v>
      </c>
      <c r="F877" s="80" t="s">
        <v>448</v>
      </c>
      <c r="G877" s="58" t="s">
        <v>3316</v>
      </c>
      <c r="H877" s="58" t="s">
        <v>1796</v>
      </c>
      <c r="I877" s="64" t="s">
        <v>3317</v>
      </c>
      <c r="J877" s="66"/>
      <c r="K877" s="66"/>
      <c r="L877" s="68"/>
      <c r="M877" s="63" t="str">
        <f>HYPERLINK("http://nsgreg.nga.mil/genc/view?v=862862&amp;end_month=12&amp;end_day=31&amp;end_year=2016","Correlation")</f>
        <v>Correlation</v>
      </c>
    </row>
    <row r="878" spans="1:13" x14ac:dyDescent="0.2">
      <c r="A878" s="113"/>
      <c r="B878" s="58" t="s">
        <v>3318</v>
      </c>
      <c r="C878" s="58" t="s">
        <v>1796</v>
      </c>
      <c r="D878" s="58" t="s">
        <v>3319</v>
      </c>
      <c r="E878" s="60" t="b">
        <v>1</v>
      </c>
      <c r="F878" s="80" t="s">
        <v>448</v>
      </c>
      <c r="G878" s="58" t="s">
        <v>3318</v>
      </c>
      <c r="H878" s="58" t="s">
        <v>1796</v>
      </c>
      <c r="I878" s="64" t="s">
        <v>3319</v>
      </c>
      <c r="J878" s="66"/>
      <c r="K878" s="66"/>
      <c r="L878" s="68"/>
      <c r="M878" s="63" t="str">
        <f>HYPERLINK("http://nsgreg.nga.mil/genc/view?v=862863&amp;end_month=12&amp;end_day=31&amp;end_year=2016","Correlation")</f>
        <v>Correlation</v>
      </c>
    </row>
    <row r="879" spans="1:13" x14ac:dyDescent="0.2">
      <c r="A879" s="113"/>
      <c r="B879" s="58" t="s">
        <v>3320</v>
      </c>
      <c r="C879" s="58" t="s">
        <v>1796</v>
      </c>
      <c r="D879" s="58" t="s">
        <v>3321</v>
      </c>
      <c r="E879" s="60" t="b">
        <v>1</v>
      </c>
      <c r="F879" s="80" t="s">
        <v>448</v>
      </c>
      <c r="G879" s="58" t="s">
        <v>3320</v>
      </c>
      <c r="H879" s="58" t="s">
        <v>1796</v>
      </c>
      <c r="I879" s="64" t="s">
        <v>3321</v>
      </c>
      <c r="J879" s="66"/>
      <c r="K879" s="66"/>
      <c r="L879" s="68"/>
      <c r="M879" s="63" t="str">
        <f>HYPERLINK("http://nsgreg.nga.mil/genc/view?v=862864&amp;end_month=12&amp;end_day=31&amp;end_year=2016","Correlation")</f>
        <v>Correlation</v>
      </c>
    </row>
    <row r="880" spans="1:13" x14ac:dyDescent="0.2">
      <c r="A880" s="113"/>
      <c r="B880" s="58" t="s">
        <v>3322</v>
      </c>
      <c r="C880" s="58" t="s">
        <v>1796</v>
      </c>
      <c r="D880" s="58" t="s">
        <v>3323</v>
      </c>
      <c r="E880" s="60" t="b">
        <v>1</v>
      </c>
      <c r="F880" s="80" t="s">
        <v>448</v>
      </c>
      <c r="G880" s="58" t="s">
        <v>3322</v>
      </c>
      <c r="H880" s="58" t="s">
        <v>1796</v>
      </c>
      <c r="I880" s="64" t="s">
        <v>3323</v>
      </c>
      <c r="J880" s="66"/>
      <c r="K880" s="66"/>
      <c r="L880" s="68"/>
      <c r="M880" s="63" t="str">
        <f>HYPERLINK("http://nsgreg.nga.mil/genc/view?v=862865&amp;end_month=12&amp;end_day=31&amp;end_year=2016","Correlation")</f>
        <v>Correlation</v>
      </c>
    </row>
    <row r="881" spans="1:13" x14ac:dyDescent="0.2">
      <c r="A881" s="113"/>
      <c r="B881" s="58" t="s">
        <v>3324</v>
      </c>
      <c r="C881" s="58" t="s">
        <v>3301</v>
      </c>
      <c r="D881" s="58" t="s">
        <v>3325</v>
      </c>
      <c r="E881" s="60" t="b">
        <v>1</v>
      </c>
      <c r="F881" s="80" t="s">
        <v>448</v>
      </c>
      <c r="G881" s="58" t="s">
        <v>3324</v>
      </c>
      <c r="H881" s="58" t="s">
        <v>3301</v>
      </c>
      <c r="I881" s="64" t="s">
        <v>3325</v>
      </c>
      <c r="J881" s="66"/>
      <c r="K881" s="66"/>
      <c r="L881" s="68"/>
      <c r="M881" s="63" t="str">
        <f>HYPERLINK("http://nsgreg.nga.mil/genc/view?v=862866&amp;end_month=12&amp;end_day=31&amp;end_year=2016","Correlation")</f>
        <v>Correlation</v>
      </c>
    </row>
    <row r="882" spans="1:13" x14ac:dyDescent="0.2">
      <c r="A882" s="114"/>
      <c r="B882" s="71" t="s">
        <v>3326</v>
      </c>
      <c r="C882" s="71" t="s">
        <v>1796</v>
      </c>
      <c r="D882" s="71" t="s">
        <v>3327</v>
      </c>
      <c r="E882" s="73" t="b">
        <v>1</v>
      </c>
      <c r="F882" s="81" t="s">
        <v>448</v>
      </c>
      <c r="G882" s="71" t="s">
        <v>3326</v>
      </c>
      <c r="H882" s="71" t="s">
        <v>1796</v>
      </c>
      <c r="I882" s="74" t="s">
        <v>3327</v>
      </c>
      <c r="J882" s="76"/>
      <c r="K882" s="76"/>
      <c r="L882" s="82"/>
      <c r="M882" s="77" t="str">
        <f>HYPERLINK("http://nsgreg.nga.mil/genc/view?v=862867&amp;end_month=12&amp;end_day=31&amp;end_year=2016","Correlation")</f>
        <v>Correlation</v>
      </c>
    </row>
    <row r="883" spans="1:13" x14ac:dyDescent="0.2">
      <c r="A883" s="112" t="s">
        <v>449</v>
      </c>
      <c r="B883" s="50" t="s">
        <v>3328</v>
      </c>
      <c r="C883" s="50" t="s">
        <v>1483</v>
      </c>
      <c r="D883" s="50" t="s">
        <v>3329</v>
      </c>
      <c r="E883" s="52" t="b">
        <v>1</v>
      </c>
      <c r="F883" s="78" t="s">
        <v>449</v>
      </c>
      <c r="G883" s="50" t="s">
        <v>3330</v>
      </c>
      <c r="H883" s="50" t="s">
        <v>1483</v>
      </c>
      <c r="I883" s="53" t="s">
        <v>3329</v>
      </c>
      <c r="J883" s="55"/>
      <c r="K883" s="55"/>
      <c r="L883" s="79"/>
      <c r="M883" s="56" t="str">
        <f>HYPERLINK("http://nsgreg.nga.mil/genc/view?v=864005&amp;end_month=12&amp;end_day=31&amp;end_year=2016","Correlation")</f>
        <v>Correlation</v>
      </c>
    </row>
    <row r="884" spans="1:13" x14ac:dyDescent="0.2">
      <c r="A884" s="113"/>
      <c r="B884" s="58" t="s">
        <v>3331</v>
      </c>
      <c r="C884" s="58" t="s">
        <v>1483</v>
      </c>
      <c r="D884" s="58" t="s">
        <v>3332</v>
      </c>
      <c r="E884" s="60" t="b">
        <v>1</v>
      </c>
      <c r="F884" s="80" t="s">
        <v>449</v>
      </c>
      <c r="G884" s="58" t="s">
        <v>3333</v>
      </c>
      <c r="H884" s="58" t="s">
        <v>1483</v>
      </c>
      <c r="I884" s="64" t="s">
        <v>3332</v>
      </c>
      <c r="J884" s="66"/>
      <c r="K884" s="66"/>
      <c r="L884" s="68"/>
      <c r="M884" s="63" t="str">
        <f>HYPERLINK("http://nsgreg.nga.mil/genc/view?v=864010&amp;end_month=12&amp;end_day=31&amp;end_year=2016","Correlation")</f>
        <v>Correlation</v>
      </c>
    </row>
    <row r="885" spans="1:13" x14ac:dyDescent="0.2">
      <c r="A885" s="113"/>
      <c r="B885" s="58" t="s">
        <v>3334</v>
      </c>
      <c r="C885" s="58" t="s">
        <v>1483</v>
      </c>
      <c r="D885" s="58" t="s">
        <v>3335</v>
      </c>
      <c r="E885" s="60" t="b">
        <v>1</v>
      </c>
      <c r="F885" s="80" t="s">
        <v>449</v>
      </c>
      <c r="G885" s="58" t="s">
        <v>3336</v>
      </c>
      <c r="H885" s="58" t="s">
        <v>1483</v>
      </c>
      <c r="I885" s="64" t="s">
        <v>3335</v>
      </c>
      <c r="J885" s="66"/>
      <c r="K885" s="66"/>
      <c r="L885" s="68"/>
      <c r="M885" s="63" t="str">
        <f>HYPERLINK("http://nsgreg.nga.mil/genc/view?v=864017&amp;end_month=12&amp;end_day=31&amp;end_year=2016","Correlation")</f>
        <v>Correlation</v>
      </c>
    </row>
    <row r="886" spans="1:13" x14ac:dyDescent="0.2">
      <c r="A886" s="113"/>
      <c r="B886" s="58" t="s">
        <v>3337</v>
      </c>
      <c r="C886" s="58" t="s">
        <v>1483</v>
      </c>
      <c r="D886" s="58" t="s">
        <v>3338</v>
      </c>
      <c r="E886" s="60" t="b">
        <v>1</v>
      </c>
      <c r="F886" s="80" t="s">
        <v>449</v>
      </c>
      <c r="G886" s="58" t="s">
        <v>3339</v>
      </c>
      <c r="H886" s="58" t="s">
        <v>1483</v>
      </c>
      <c r="I886" s="64" t="s">
        <v>3338</v>
      </c>
      <c r="J886" s="66"/>
      <c r="K886" s="66"/>
      <c r="L886" s="68"/>
      <c r="M886" s="63" t="str">
        <f>HYPERLINK("http://nsgreg.nga.mil/genc/view?v=864016&amp;end_month=12&amp;end_day=31&amp;end_year=2016","Correlation")</f>
        <v>Correlation</v>
      </c>
    </row>
    <row r="887" spans="1:13" x14ac:dyDescent="0.2">
      <c r="A887" s="113"/>
      <c r="B887" s="58" t="s">
        <v>3340</v>
      </c>
      <c r="C887" s="58" t="s">
        <v>1483</v>
      </c>
      <c r="D887" s="58" t="s">
        <v>3341</v>
      </c>
      <c r="E887" s="60" t="b">
        <v>1</v>
      </c>
      <c r="F887" s="80" t="s">
        <v>449</v>
      </c>
      <c r="G887" s="58" t="s">
        <v>3342</v>
      </c>
      <c r="H887" s="58" t="s">
        <v>1483</v>
      </c>
      <c r="I887" s="64" t="s">
        <v>3341</v>
      </c>
      <c r="J887" s="66"/>
      <c r="K887" s="66"/>
      <c r="L887" s="68"/>
      <c r="M887" s="63" t="str">
        <f>HYPERLINK("http://nsgreg.nga.mil/genc/view?v=864002&amp;end_month=12&amp;end_day=31&amp;end_year=2016","Correlation")</f>
        <v>Correlation</v>
      </c>
    </row>
    <row r="888" spans="1:13" x14ac:dyDescent="0.2">
      <c r="A888" s="113"/>
      <c r="B888" s="58" t="s">
        <v>3343</v>
      </c>
      <c r="C888" s="58" t="s">
        <v>1483</v>
      </c>
      <c r="D888" s="58" t="s">
        <v>3344</v>
      </c>
      <c r="E888" s="60" t="b">
        <v>1</v>
      </c>
      <c r="F888" s="80" t="s">
        <v>449</v>
      </c>
      <c r="G888" s="58" t="s">
        <v>3345</v>
      </c>
      <c r="H888" s="58" t="s">
        <v>1483</v>
      </c>
      <c r="I888" s="64" t="s">
        <v>3344</v>
      </c>
      <c r="J888" s="66"/>
      <c r="K888" s="66"/>
      <c r="L888" s="68"/>
      <c r="M888" s="63" t="str">
        <f>HYPERLINK("http://nsgreg.nga.mil/genc/view?v=864004&amp;end_month=12&amp;end_day=31&amp;end_year=2016","Correlation")</f>
        <v>Correlation</v>
      </c>
    </row>
    <row r="889" spans="1:13" x14ac:dyDescent="0.2">
      <c r="A889" s="113"/>
      <c r="B889" s="58" t="s">
        <v>3346</v>
      </c>
      <c r="C889" s="58" t="s">
        <v>1483</v>
      </c>
      <c r="D889" s="58" t="s">
        <v>3347</v>
      </c>
      <c r="E889" s="60" t="b">
        <v>1</v>
      </c>
      <c r="F889" s="80" t="s">
        <v>449</v>
      </c>
      <c r="G889" s="58" t="s">
        <v>3348</v>
      </c>
      <c r="H889" s="58" t="s">
        <v>1483</v>
      </c>
      <c r="I889" s="64" t="s">
        <v>3347</v>
      </c>
      <c r="J889" s="66"/>
      <c r="K889" s="66"/>
      <c r="L889" s="68"/>
      <c r="M889" s="63" t="str">
        <f>HYPERLINK("http://nsgreg.nga.mil/genc/view?v=864000&amp;end_month=12&amp;end_day=31&amp;end_year=2016","Correlation")</f>
        <v>Correlation</v>
      </c>
    </row>
    <row r="890" spans="1:13" x14ac:dyDescent="0.2">
      <c r="A890" s="113"/>
      <c r="B890" s="58" t="s">
        <v>3349</v>
      </c>
      <c r="C890" s="58" t="s">
        <v>1483</v>
      </c>
      <c r="D890" s="58" t="s">
        <v>3350</v>
      </c>
      <c r="E890" s="60" t="b">
        <v>1</v>
      </c>
      <c r="F890" s="80" t="s">
        <v>449</v>
      </c>
      <c r="G890" s="58" t="s">
        <v>3351</v>
      </c>
      <c r="H890" s="58" t="s">
        <v>1483</v>
      </c>
      <c r="I890" s="64" t="s">
        <v>3350</v>
      </c>
      <c r="J890" s="66"/>
      <c r="K890" s="66"/>
      <c r="L890" s="68"/>
      <c r="M890" s="63" t="str">
        <f>HYPERLINK("http://nsgreg.nga.mil/genc/view?v=864007&amp;end_month=12&amp;end_day=31&amp;end_year=2016","Correlation")</f>
        <v>Correlation</v>
      </c>
    </row>
    <row r="891" spans="1:13" x14ac:dyDescent="0.2">
      <c r="A891" s="113"/>
      <c r="B891" s="58" t="s">
        <v>3352</v>
      </c>
      <c r="C891" s="58" t="s">
        <v>1483</v>
      </c>
      <c r="D891" s="58" t="s">
        <v>3353</v>
      </c>
      <c r="E891" s="60" t="b">
        <v>1</v>
      </c>
      <c r="F891" s="80" t="s">
        <v>449</v>
      </c>
      <c r="G891" s="58" t="s">
        <v>3354</v>
      </c>
      <c r="H891" s="58" t="s">
        <v>1483</v>
      </c>
      <c r="I891" s="64" t="s">
        <v>3353</v>
      </c>
      <c r="J891" s="66"/>
      <c r="K891" s="66"/>
      <c r="L891" s="68"/>
      <c r="M891" s="63" t="str">
        <f>HYPERLINK("http://nsgreg.nga.mil/genc/view?v=864018&amp;end_month=12&amp;end_day=31&amp;end_year=2016","Correlation")</f>
        <v>Correlation</v>
      </c>
    </row>
    <row r="892" spans="1:13" x14ac:dyDescent="0.2">
      <c r="A892" s="113"/>
      <c r="B892" s="58" t="s">
        <v>3355</v>
      </c>
      <c r="C892" s="58" t="s">
        <v>1483</v>
      </c>
      <c r="D892" s="58" t="s">
        <v>3356</v>
      </c>
      <c r="E892" s="60" t="b">
        <v>1</v>
      </c>
      <c r="F892" s="80" t="s">
        <v>449</v>
      </c>
      <c r="G892" s="58" t="s">
        <v>3357</v>
      </c>
      <c r="H892" s="58" t="s">
        <v>1483</v>
      </c>
      <c r="I892" s="64" t="s">
        <v>3356</v>
      </c>
      <c r="J892" s="66"/>
      <c r="K892" s="66"/>
      <c r="L892" s="68"/>
      <c r="M892" s="63" t="str">
        <f>HYPERLINK("http://nsgreg.nga.mil/genc/view?v=864012&amp;end_month=12&amp;end_day=31&amp;end_year=2016","Correlation")</f>
        <v>Correlation</v>
      </c>
    </row>
    <row r="893" spans="1:13" x14ac:dyDescent="0.2">
      <c r="A893" s="113"/>
      <c r="B893" s="58" t="s">
        <v>3358</v>
      </c>
      <c r="C893" s="58" t="s">
        <v>1483</v>
      </c>
      <c r="D893" s="58" t="s">
        <v>3359</v>
      </c>
      <c r="E893" s="60" t="b">
        <v>1</v>
      </c>
      <c r="F893" s="80" t="s">
        <v>449</v>
      </c>
      <c r="G893" s="58" t="s">
        <v>3360</v>
      </c>
      <c r="H893" s="58" t="s">
        <v>1483</v>
      </c>
      <c r="I893" s="64" t="s">
        <v>3359</v>
      </c>
      <c r="J893" s="66"/>
      <c r="K893" s="66"/>
      <c r="L893" s="68"/>
      <c r="M893" s="63" t="str">
        <f>HYPERLINK("http://nsgreg.nga.mil/genc/view?v=864009&amp;end_month=12&amp;end_day=31&amp;end_year=2016","Correlation")</f>
        <v>Correlation</v>
      </c>
    </row>
    <row r="894" spans="1:13" x14ac:dyDescent="0.2">
      <c r="A894" s="113"/>
      <c r="B894" s="58" t="s">
        <v>3361</v>
      </c>
      <c r="C894" s="58" t="s">
        <v>1483</v>
      </c>
      <c r="D894" s="58" t="s">
        <v>3362</v>
      </c>
      <c r="E894" s="60" t="b">
        <v>1</v>
      </c>
      <c r="F894" s="80" t="s">
        <v>449</v>
      </c>
      <c r="G894" s="58" t="s">
        <v>3363</v>
      </c>
      <c r="H894" s="58" t="s">
        <v>1483</v>
      </c>
      <c r="I894" s="64" t="s">
        <v>3362</v>
      </c>
      <c r="J894" s="66"/>
      <c r="K894" s="66"/>
      <c r="L894" s="68"/>
      <c r="M894" s="63" t="str">
        <f>HYPERLINK("http://nsgreg.nga.mil/genc/view?v=864006&amp;end_month=12&amp;end_day=31&amp;end_year=2016","Correlation")</f>
        <v>Correlation</v>
      </c>
    </row>
    <row r="895" spans="1:13" x14ac:dyDescent="0.2">
      <c r="A895" s="113"/>
      <c r="B895" s="58" t="s">
        <v>3364</v>
      </c>
      <c r="C895" s="58" t="s">
        <v>1483</v>
      </c>
      <c r="D895" s="58" t="s">
        <v>3365</v>
      </c>
      <c r="E895" s="60" t="b">
        <v>1</v>
      </c>
      <c r="F895" s="80" t="s">
        <v>449</v>
      </c>
      <c r="G895" s="58" t="s">
        <v>3366</v>
      </c>
      <c r="H895" s="58" t="s">
        <v>1483</v>
      </c>
      <c r="I895" s="64" t="s">
        <v>3365</v>
      </c>
      <c r="J895" s="66"/>
      <c r="K895" s="66"/>
      <c r="L895" s="68"/>
      <c r="M895" s="63" t="str">
        <f>HYPERLINK("http://nsgreg.nga.mil/genc/view?v=864013&amp;end_month=12&amp;end_day=31&amp;end_year=2016","Correlation")</f>
        <v>Correlation</v>
      </c>
    </row>
    <row r="896" spans="1:13" x14ac:dyDescent="0.2">
      <c r="A896" s="113"/>
      <c r="B896" s="58" t="s">
        <v>3367</v>
      </c>
      <c r="C896" s="58" t="s">
        <v>1483</v>
      </c>
      <c r="D896" s="58" t="s">
        <v>3368</v>
      </c>
      <c r="E896" s="60" t="b">
        <v>1</v>
      </c>
      <c r="F896" s="80" t="s">
        <v>449</v>
      </c>
      <c r="G896" s="58" t="s">
        <v>3369</v>
      </c>
      <c r="H896" s="58" t="s">
        <v>1483</v>
      </c>
      <c r="I896" s="64" t="s">
        <v>3368</v>
      </c>
      <c r="J896" s="66"/>
      <c r="K896" s="66"/>
      <c r="L896" s="68"/>
      <c r="M896" s="63" t="str">
        <f>HYPERLINK("http://nsgreg.nga.mil/genc/view?v=864001&amp;end_month=12&amp;end_day=31&amp;end_year=2016","Correlation")</f>
        <v>Correlation</v>
      </c>
    </row>
    <row r="897" spans="1:13" x14ac:dyDescent="0.2">
      <c r="A897" s="113"/>
      <c r="B897" s="58" t="s">
        <v>3370</v>
      </c>
      <c r="C897" s="58" t="s">
        <v>1483</v>
      </c>
      <c r="D897" s="58" t="s">
        <v>3371</v>
      </c>
      <c r="E897" s="60" t="b">
        <v>1</v>
      </c>
      <c r="F897" s="80" t="s">
        <v>449</v>
      </c>
      <c r="G897" s="58" t="s">
        <v>3372</v>
      </c>
      <c r="H897" s="58" t="s">
        <v>1483</v>
      </c>
      <c r="I897" s="64" t="s">
        <v>3371</v>
      </c>
      <c r="J897" s="66"/>
      <c r="K897" s="66"/>
      <c r="L897" s="68"/>
      <c r="M897" s="63" t="str">
        <f>HYPERLINK("http://nsgreg.nga.mil/genc/view?v=864015&amp;end_month=12&amp;end_day=31&amp;end_year=2016","Correlation")</f>
        <v>Correlation</v>
      </c>
    </row>
    <row r="898" spans="1:13" x14ac:dyDescent="0.2">
      <c r="A898" s="113"/>
      <c r="B898" s="58" t="s">
        <v>3373</v>
      </c>
      <c r="C898" s="58" t="s">
        <v>1483</v>
      </c>
      <c r="D898" s="58" t="s">
        <v>3374</v>
      </c>
      <c r="E898" s="60" t="b">
        <v>1</v>
      </c>
      <c r="F898" s="80" t="s">
        <v>449</v>
      </c>
      <c r="G898" s="58" t="s">
        <v>3375</v>
      </c>
      <c r="H898" s="58" t="s">
        <v>1483</v>
      </c>
      <c r="I898" s="64" t="s">
        <v>3374</v>
      </c>
      <c r="J898" s="66"/>
      <c r="K898" s="66"/>
      <c r="L898" s="68"/>
      <c r="M898" s="63" t="str">
        <f>HYPERLINK("http://nsgreg.nga.mil/genc/view?v=864003&amp;end_month=12&amp;end_day=31&amp;end_year=2016","Correlation")</f>
        <v>Correlation</v>
      </c>
    </row>
    <row r="899" spans="1:13" x14ac:dyDescent="0.2">
      <c r="A899" s="113"/>
      <c r="B899" s="58" t="s">
        <v>3376</v>
      </c>
      <c r="C899" s="58" t="s">
        <v>1483</v>
      </c>
      <c r="D899" s="58" t="s">
        <v>3377</v>
      </c>
      <c r="E899" s="60" t="b">
        <v>1</v>
      </c>
      <c r="F899" s="80" t="s">
        <v>449</v>
      </c>
      <c r="G899" s="58" t="s">
        <v>3378</v>
      </c>
      <c r="H899" s="58" t="s">
        <v>1483</v>
      </c>
      <c r="I899" s="64" t="s">
        <v>3377</v>
      </c>
      <c r="J899" s="66"/>
      <c r="K899" s="66"/>
      <c r="L899" s="68"/>
      <c r="M899" s="63" t="str">
        <f>HYPERLINK("http://nsgreg.nga.mil/genc/view?v=864008&amp;end_month=12&amp;end_day=31&amp;end_year=2016","Correlation")</f>
        <v>Correlation</v>
      </c>
    </row>
    <row r="900" spans="1:13" x14ac:dyDescent="0.2">
      <c r="A900" s="113"/>
      <c r="B900" s="58" t="s">
        <v>3379</v>
      </c>
      <c r="C900" s="58" t="s">
        <v>1483</v>
      </c>
      <c r="D900" s="58" t="s">
        <v>3380</v>
      </c>
      <c r="E900" s="60" t="b">
        <v>1</v>
      </c>
      <c r="F900" s="80" t="s">
        <v>449</v>
      </c>
      <c r="G900" s="58" t="s">
        <v>3381</v>
      </c>
      <c r="H900" s="58" t="s">
        <v>1483</v>
      </c>
      <c r="I900" s="64" t="s">
        <v>3380</v>
      </c>
      <c r="J900" s="66"/>
      <c r="K900" s="66"/>
      <c r="L900" s="68"/>
      <c r="M900" s="63" t="str">
        <f>HYPERLINK("http://nsgreg.nga.mil/genc/view?v=864014&amp;end_month=12&amp;end_day=31&amp;end_year=2016","Correlation")</f>
        <v>Correlation</v>
      </c>
    </row>
    <row r="901" spans="1:13" x14ac:dyDescent="0.2">
      <c r="A901" s="113"/>
      <c r="B901" s="58" t="s">
        <v>3382</v>
      </c>
      <c r="C901" s="58" t="s">
        <v>1483</v>
      </c>
      <c r="D901" s="58" t="s">
        <v>3383</v>
      </c>
      <c r="E901" s="60" t="b">
        <v>1</v>
      </c>
      <c r="F901" s="80" t="s">
        <v>449</v>
      </c>
      <c r="G901" s="58" t="s">
        <v>3384</v>
      </c>
      <c r="H901" s="58" t="s">
        <v>1483</v>
      </c>
      <c r="I901" s="64" t="s">
        <v>3383</v>
      </c>
      <c r="J901" s="66"/>
      <c r="K901" s="66"/>
      <c r="L901" s="68"/>
      <c r="M901" s="63" t="str">
        <f>HYPERLINK("http://nsgreg.nga.mil/genc/view?v=864011&amp;end_month=12&amp;end_day=31&amp;end_year=2016","Correlation")</f>
        <v>Correlation</v>
      </c>
    </row>
    <row r="902" spans="1:13" x14ac:dyDescent="0.2">
      <c r="A902" s="113"/>
      <c r="B902" s="58" t="s">
        <v>3385</v>
      </c>
      <c r="C902" s="58" t="s">
        <v>1681</v>
      </c>
      <c r="D902" s="58" t="s">
        <v>3386</v>
      </c>
      <c r="E902" s="60" t="b">
        <v>1</v>
      </c>
      <c r="F902" s="80" t="s">
        <v>449</v>
      </c>
      <c r="G902" s="58" t="s">
        <v>3387</v>
      </c>
      <c r="H902" s="58" t="s">
        <v>1681</v>
      </c>
      <c r="I902" s="64" t="s">
        <v>3386</v>
      </c>
      <c r="J902" s="66"/>
      <c r="K902" s="66"/>
      <c r="L902" s="68"/>
      <c r="M902" s="63" t="str">
        <f>HYPERLINK("http://nsgreg.nga.mil/genc/view?v=864019&amp;end_month=12&amp;end_day=31&amp;end_year=2016","Correlation")</f>
        <v>Correlation</v>
      </c>
    </row>
    <row r="903" spans="1:13" x14ac:dyDescent="0.2">
      <c r="A903" s="114"/>
      <c r="B903" s="71" t="s">
        <v>3388</v>
      </c>
      <c r="C903" s="71" t="s">
        <v>1483</v>
      </c>
      <c r="D903" s="71" t="s">
        <v>3389</v>
      </c>
      <c r="E903" s="73" t="b">
        <v>1</v>
      </c>
      <c r="F903" s="81" t="s">
        <v>449</v>
      </c>
      <c r="G903" s="71" t="s">
        <v>3390</v>
      </c>
      <c r="H903" s="71" t="s">
        <v>1483</v>
      </c>
      <c r="I903" s="74" t="s">
        <v>3389</v>
      </c>
      <c r="J903" s="76"/>
      <c r="K903" s="76"/>
      <c r="L903" s="82"/>
      <c r="M903" s="77" t="str">
        <f>HYPERLINK("http://nsgreg.nga.mil/genc/view?v=863999&amp;end_month=12&amp;end_day=31&amp;end_year=2016","Correlation")</f>
        <v>Correlation</v>
      </c>
    </row>
    <row r="904" spans="1:13" x14ac:dyDescent="0.2">
      <c r="A904" s="112" t="s">
        <v>453</v>
      </c>
      <c r="B904" s="50" t="s">
        <v>3391</v>
      </c>
      <c r="C904" s="50" t="s">
        <v>1413</v>
      </c>
      <c r="D904" s="50" t="s">
        <v>3392</v>
      </c>
      <c r="E904" s="52" t="b">
        <v>1</v>
      </c>
      <c r="F904" s="78" t="s">
        <v>453</v>
      </c>
      <c r="G904" s="50" t="s">
        <v>3391</v>
      </c>
      <c r="H904" s="50" t="s">
        <v>1413</v>
      </c>
      <c r="I904" s="53" t="s">
        <v>3392</v>
      </c>
      <c r="J904" s="55"/>
      <c r="K904" s="55"/>
      <c r="L904" s="79"/>
      <c r="M904" s="56" t="str">
        <f>HYPERLINK("http://nsgreg.nga.mil/genc/view?v=862977&amp;end_month=12&amp;end_day=31&amp;end_year=2016","Correlation")</f>
        <v>Correlation</v>
      </c>
    </row>
    <row r="905" spans="1:13" x14ac:dyDescent="0.2">
      <c r="A905" s="113"/>
      <c r="B905" s="58" t="s">
        <v>3393</v>
      </c>
      <c r="C905" s="58" t="s">
        <v>1413</v>
      </c>
      <c r="D905" s="58" t="s">
        <v>3394</v>
      </c>
      <c r="E905" s="60" t="b">
        <v>1</v>
      </c>
      <c r="F905" s="80" t="s">
        <v>453</v>
      </c>
      <c r="G905" s="58" t="s">
        <v>3393</v>
      </c>
      <c r="H905" s="58" t="s">
        <v>1413</v>
      </c>
      <c r="I905" s="64" t="s">
        <v>3394</v>
      </c>
      <c r="J905" s="66"/>
      <c r="K905" s="66"/>
      <c r="L905" s="68"/>
      <c r="M905" s="63" t="str">
        <f>HYPERLINK("http://nsgreg.nga.mil/genc/view?v=862971&amp;end_month=12&amp;end_day=31&amp;end_year=2016","Correlation")</f>
        <v>Correlation</v>
      </c>
    </row>
    <row r="906" spans="1:13" x14ac:dyDescent="0.2">
      <c r="A906" s="113"/>
      <c r="B906" s="58" t="s">
        <v>3395</v>
      </c>
      <c r="C906" s="58" t="s">
        <v>1413</v>
      </c>
      <c r="D906" s="58" t="s">
        <v>3396</v>
      </c>
      <c r="E906" s="60" t="b">
        <v>1</v>
      </c>
      <c r="F906" s="80" t="s">
        <v>453</v>
      </c>
      <c r="G906" s="58" t="s">
        <v>3395</v>
      </c>
      <c r="H906" s="58" t="s">
        <v>1413</v>
      </c>
      <c r="I906" s="64" t="s">
        <v>3396</v>
      </c>
      <c r="J906" s="66"/>
      <c r="K906" s="66"/>
      <c r="L906" s="68"/>
      <c r="M906" s="63" t="str">
        <f>HYPERLINK("http://nsgreg.nga.mil/genc/view?v=862970&amp;end_month=12&amp;end_day=31&amp;end_year=2016","Correlation")</f>
        <v>Correlation</v>
      </c>
    </row>
    <row r="907" spans="1:13" x14ac:dyDescent="0.2">
      <c r="A907" s="113"/>
      <c r="B907" s="58" t="s">
        <v>3397</v>
      </c>
      <c r="C907" s="58" t="s">
        <v>1413</v>
      </c>
      <c r="D907" s="58" t="s">
        <v>3398</v>
      </c>
      <c r="E907" s="60" t="b">
        <v>1</v>
      </c>
      <c r="F907" s="80" t="s">
        <v>453</v>
      </c>
      <c r="G907" s="58" t="s">
        <v>3397</v>
      </c>
      <c r="H907" s="58" t="s">
        <v>1413</v>
      </c>
      <c r="I907" s="64" t="s">
        <v>3398</v>
      </c>
      <c r="J907" s="66"/>
      <c r="K907" s="66"/>
      <c r="L907" s="68"/>
      <c r="M907" s="63" t="str">
        <f>HYPERLINK("http://nsgreg.nga.mil/genc/view?v=862968&amp;end_month=12&amp;end_day=31&amp;end_year=2016","Correlation")</f>
        <v>Correlation</v>
      </c>
    </row>
    <row r="908" spans="1:13" x14ac:dyDescent="0.2">
      <c r="A908" s="113"/>
      <c r="B908" s="58" t="s">
        <v>3399</v>
      </c>
      <c r="C908" s="58" t="s">
        <v>1413</v>
      </c>
      <c r="D908" s="58" t="s">
        <v>3400</v>
      </c>
      <c r="E908" s="60" t="b">
        <v>1</v>
      </c>
      <c r="F908" s="80" t="s">
        <v>453</v>
      </c>
      <c r="G908" s="58" t="s">
        <v>3399</v>
      </c>
      <c r="H908" s="58" t="s">
        <v>1413</v>
      </c>
      <c r="I908" s="64" t="s">
        <v>3400</v>
      </c>
      <c r="J908" s="66"/>
      <c r="K908" s="66"/>
      <c r="L908" s="68"/>
      <c r="M908" s="63" t="str">
        <f>HYPERLINK("http://nsgreg.nga.mil/genc/view?v=862974&amp;end_month=12&amp;end_day=31&amp;end_year=2016","Correlation")</f>
        <v>Correlation</v>
      </c>
    </row>
    <row r="909" spans="1:13" x14ac:dyDescent="0.2">
      <c r="A909" s="113"/>
      <c r="B909" s="58" t="s">
        <v>3401</v>
      </c>
      <c r="C909" s="58" t="s">
        <v>1413</v>
      </c>
      <c r="D909" s="58" t="s">
        <v>3402</v>
      </c>
      <c r="E909" s="60" t="b">
        <v>1</v>
      </c>
      <c r="F909" s="80" t="s">
        <v>453</v>
      </c>
      <c r="G909" s="58" t="s">
        <v>3401</v>
      </c>
      <c r="H909" s="58" t="s">
        <v>1413</v>
      </c>
      <c r="I909" s="64" t="s">
        <v>3402</v>
      </c>
      <c r="J909" s="66"/>
      <c r="K909" s="66"/>
      <c r="L909" s="68"/>
      <c r="M909" s="63" t="str">
        <f>HYPERLINK("http://nsgreg.nga.mil/genc/view?v=862976&amp;end_month=12&amp;end_day=31&amp;end_year=2016","Correlation")</f>
        <v>Correlation</v>
      </c>
    </row>
    <row r="910" spans="1:13" x14ac:dyDescent="0.2">
      <c r="A910" s="113"/>
      <c r="B910" s="58" t="s">
        <v>3403</v>
      </c>
      <c r="C910" s="58" t="s">
        <v>1413</v>
      </c>
      <c r="D910" s="58" t="s">
        <v>3404</v>
      </c>
      <c r="E910" s="60" t="b">
        <v>1</v>
      </c>
      <c r="F910" s="80" t="s">
        <v>453</v>
      </c>
      <c r="G910" s="58" t="s">
        <v>3403</v>
      </c>
      <c r="H910" s="58" t="s">
        <v>1413</v>
      </c>
      <c r="I910" s="64" t="s">
        <v>3404</v>
      </c>
      <c r="J910" s="66"/>
      <c r="K910" s="66"/>
      <c r="L910" s="68"/>
      <c r="M910" s="63" t="str">
        <f>HYPERLINK("http://nsgreg.nga.mil/genc/view?v=862973&amp;end_month=12&amp;end_day=31&amp;end_year=2016","Correlation")</f>
        <v>Correlation</v>
      </c>
    </row>
    <row r="911" spans="1:13" x14ac:dyDescent="0.2">
      <c r="A911" s="113"/>
      <c r="B911" s="58" t="s">
        <v>3405</v>
      </c>
      <c r="C911" s="58" t="s">
        <v>2396</v>
      </c>
      <c r="D911" s="58" t="s">
        <v>3406</v>
      </c>
      <c r="E911" s="60" t="b">
        <v>1</v>
      </c>
      <c r="F911" s="80" t="s">
        <v>453</v>
      </c>
      <c r="G911" s="58" t="s">
        <v>3405</v>
      </c>
      <c r="H911" s="58" t="s">
        <v>2396</v>
      </c>
      <c r="I911" s="64" t="s">
        <v>3406</v>
      </c>
      <c r="J911" s="66"/>
      <c r="K911" s="66"/>
      <c r="L911" s="68"/>
      <c r="M911" s="63" t="str">
        <f>HYPERLINK("http://nsgreg.nga.mil/genc/view?v=862979&amp;end_month=12&amp;end_day=31&amp;end_year=2016","Correlation")</f>
        <v>Correlation</v>
      </c>
    </row>
    <row r="912" spans="1:13" x14ac:dyDescent="0.2">
      <c r="A912" s="113"/>
      <c r="B912" s="58" t="s">
        <v>3407</v>
      </c>
      <c r="C912" s="58" t="s">
        <v>1413</v>
      </c>
      <c r="D912" s="58" t="s">
        <v>3408</v>
      </c>
      <c r="E912" s="60" t="b">
        <v>1</v>
      </c>
      <c r="F912" s="80" t="s">
        <v>453</v>
      </c>
      <c r="G912" s="58" t="s">
        <v>3407</v>
      </c>
      <c r="H912" s="58" t="s">
        <v>1413</v>
      </c>
      <c r="I912" s="64" t="s">
        <v>3408</v>
      </c>
      <c r="J912" s="66"/>
      <c r="K912" s="66"/>
      <c r="L912" s="68"/>
      <c r="M912" s="63" t="str">
        <f>HYPERLINK("http://nsgreg.nga.mil/genc/view?v=862965&amp;end_month=12&amp;end_day=31&amp;end_year=2016","Correlation")</f>
        <v>Correlation</v>
      </c>
    </row>
    <row r="913" spans="1:13" x14ac:dyDescent="0.2">
      <c r="A913" s="113"/>
      <c r="B913" s="58" t="s">
        <v>3409</v>
      </c>
      <c r="C913" s="58" t="s">
        <v>1413</v>
      </c>
      <c r="D913" s="58" t="s">
        <v>3410</v>
      </c>
      <c r="E913" s="60" t="b">
        <v>1</v>
      </c>
      <c r="F913" s="80" t="s">
        <v>453</v>
      </c>
      <c r="G913" s="58" t="s">
        <v>3409</v>
      </c>
      <c r="H913" s="58" t="s">
        <v>1413</v>
      </c>
      <c r="I913" s="64" t="s">
        <v>3410</v>
      </c>
      <c r="J913" s="66"/>
      <c r="K913" s="66"/>
      <c r="L913" s="68"/>
      <c r="M913" s="63" t="str">
        <f>HYPERLINK("http://nsgreg.nga.mil/genc/view?v=862972&amp;end_month=12&amp;end_day=31&amp;end_year=2016","Correlation")</f>
        <v>Correlation</v>
      </c>
    </row>
    <row r="914" spans="1:13" x14ac:dyDescent="0.2">
      <c r="A914" s="113"/>
      <c r="B914" s="58" t="s">
        <v>3411</v>
      </c>
      <c r="C914" s="58" t="s">
        <v>1413</v>
      </c>
      <c r="D914" s="58" t="s">
        <v>3412</v>
      </c>
      <c r="E914" s="60" t="b">
        <v>1</v>
      </c>
      <c r="F914" s="80" t="s">
        <v>453</v>
      </c>
      <c r="G914" s="58" t="s">
        <v>3411</v>
      </c>
      <c r="H914" s="58" t="s">
        <v>1413</v>
      </c>
      <c r="I914" s="64" t="s">
        <v>3412</v>
      </c>
      <c r="J914" s="66"/>
      <c r="K914" s="66"/>
      <c r="L914" s="68"/>
      <c r="M914" s="63" t="str">
        <f>HYPERLINK("http://nsgreg.nga.mil/genc/view?v=862966&amp;end_month=12&amp;end_day=31&amp;end_year=2016","Correlation")</f>
        <v>Correlation</v>
      </c>
    </row>
    <row r="915" spans="1:13" x14ac:dyDescent="0.2">
      <c r="A915" s="113"/>
      <c r="B915" s="58" t="s">
        <v>3413</v>
      </c>
      <c r="C915" s="58" t="s">
        <v>1413</v>
      </c>
      <c r="D915" s="58" t="s">
        <v>3414</v>
      </c>
      <c r="E915" s="60" t="b">
        <v>1</v>
      </c>
      <c r="F915" s="80" t="s">
        <v>453</v>
      </c>
      <c r="G915" s="58" t="s">
        <v>3413</v>
      </c>
      <c r="H915" s="58" t="s">
        <v>1413</v>
      </c>
      <c r="I915" s="64" t="s">
        <v>3414</v>
      </c>
      <c r="J915" s="66"/>
      <c r="K915" s="66"/>
      <c r="L915" s="68"/>
      <c r="M915" s="63" t="str">
        <f>HYPERLINK("http://nsgreg.nga.mil/genc/view?v=862978&amp;end_month=12&amp;end_day=31&amp;end_year=2016","Correlation")</f>
        <v>Correlation</v>
      </c>
    </row>
    <row r="916" spans="1:13" x14ac:dyDescent="0.2">
      <c r="A916" s="113"/>
      <c r="B916" s="58" t="s">
        <v>3415</v>
      </c>
      <c r="C916" s="58" t="s">
        <v>1413</v>
      </c>
      <c r="D916" s="58" t="s">
        <v>3416</v>
      </c>
      <c r="E916" s="60" t="b">
        <v>1</v>
      </c>
      <c r="F916" s="80" t="s">
        <v>453</v>
      </c>
      <c r="G916" s="58" t="s">
        <v>3415</v>
      </c>
      <c r="H916" s="58" t="s">
        <v>1413</v>
      </c>
      <c r="I916" s="64" t="s">
        <v>3416</v>
      </c>
      <c r="J916" s="66"/>
      <c r="K916" s="66"/>
      <c r="L916" s="68"/>
      <c r="M916" s="63" t="str">
        <f>HYPERLINK("http://nsgreg.nga.mil/genc/view?v=862964&amp;end_month=12&amp;end_day=31&amp;end_year=2016","Correlation")</f>
        <v>Correlation</v>
      </c>
    </row>
    <row r="917" spans="1:13" x14ac:dyDescent="0.2">
      <c r="A917" s="113"/>
      <c r="B917" s="58" t="s">
        <v>3417</v>
      </c>
      <c r="C917" s="58" t="s">
        <v>1413</v>
      </c>
      <c r="D917" s="58" t="s">
        <v>3418</v>
      </c>
      <c r="E917" s="60" t="b">
        <v>1</v>
      </c>
      <c r="F917" s="80" t="s">
        <v>453</v>
      </c>
      <c r="G917" s="58" t="s">
        <v>3417</v>
      </c>
      <c r="H917" s="58" t="s">
        <v>1413</v>
      </c>
      <c r="I917" s="64" t="s">
        <v>3418</v>
      </c>
      <c r="J917" s="66"/>
      <c r="K917" s="66"/>
      <c r="L917" s="68"/>
      <c r="M917" s="63" t="str">
        <f>HYPERLINK("http://nsgreg.nga.mil/genc/view?v=862969&amp;end_month=12&amp;end_day=31&amp;end_year=2016","Correlation")</f>
        <v>Correlation</v>
      </c>
    </row>
    <row r="918" spans="1:13" x14ac:dyDescent="0.2">
      <c r="A918" s="113"/>
      <c r="B918" s="58" t="s">
        <v>3419</v>
      </c>
      <c r="C918" s="58" t="s">
        <v>1413</v>
      </c>
      <c r="D918" s="58" t="s">
        <v>3420</v>
      </c>
      <c r="E918" s="60" t="b">
        <v>1</v>
      </c>
      <c r="F918" s="80" t="s">
        <v>453</v>
      </c>
      <c r="G918" s="58" t="s">
        <v>3419</v>
      </c>
      <c r="H918" s="58" t="s">
        <v>1413</v>
      </c>
      <c r="I918" s="64" t="s">
        <v>3420</v>
      </c>
      <c r="J918" s="66"/>
      <c r="K918" s="66"/>
      <c r="L918" s="68"/>
      <c r="M918" s="63" t="str">
        <f>HYPERLINK("http://nsgreg.nga.mil/genc/view?v=862975&amp;end_month=12&amp;end_day=31&amp;end_year=2016","Correlation")</f>
        <v>Correlation</v>
      </c>
    </row>
    <row r="919" spans="1:13" x14ac:dyDescent="0.2">
      <c r="A919" s="114"/>
      <c r="B919" s="71" t="s">
        <v>3421</v>
      </c>
      <c r="C919" s="71" t="s">
        <v>1413</v>
      </c>
      <c r="D919" s="71" t="s">
        <v>3422</v>
      </c>
      <c r="E919" s="73" t="b">
        <v>1</v>
      </c>
      <c r="F919" s="81" t="s">
        <v>453</v>
      </c>
      <c r="G919" s="71" t="s">
        <v>3421</v>
      </c>
      <c r="H919" s="71" t="s">
        <v>1413</v>
      </c>
      <c r="I919" s="74" t="s">
        <v>3422</v>
      </c>
      <c r="J919" s="76"/>
      <c r="K919" s="76"/>
      <c r="L919" s="82"/>
      <c r="M919" s="77" t="str">
        <f>HYPERLINK("http://nsgreg.nga.mil/genc/view?v=862967&amp;end_month=12&amp;end_day=31&amp;end_year=2016","Correlation")</f>
        <v>Correlation</v>
      </c>
    </row>
    <row r="920" spans="1:13" x14ac:dyDescent="0.2">
      <c r="A920" s="112" t="s">
        <v>463</v>
      </c>
      <c r="B920" s="50" t="s">
        <v>3423</v>
      </c>
      <c r="C920" s="50" t="s">
        <v>1796</v>
      </c>
      <c r="D920" s="50" t="s">
        <v>3424</v>
      </c>
      <c r="E920" s="52" t="b">
        <v>1</v>
      </c>
      <c r="F920" s="78" t="s">
        <v>463</v>
      </c>
      <c r="G920" s="50" t="s">
        <v>3425</v>
      </c>
      <c r="H920" s="50" t="s">
        <v>1796</v>
      </c>
      <c r="I920" s="53" t="s">
        <v>3424</v>
      </c>
      <c r="J920" s="55"/>
      <c r="K920" s="55"/>
      <c r="L920" s="79"/>
      <c r="M920" s="56" t="str">
        <f>HYPERLINK("http://nsgreg.nga.mil/genc/view?v=863007&amp;end_month=12&amp;end_day=31&amp;end_year=2016","Correlation")</f>
        <v>Correlation</v>
      </c>
    </row>
    <row r="921" spans="1:13" x14ac:dyDescent="0.2">
      <c r="A921" s="113"/>
      <c r="B921" s="58" t="s">
        <v>3426</v>
      </c>
      <c r="C921" s="58" t="s">
        <v>1796</v>
      </c>
      <c r="D921" s="58" t="s">
        <v>3427</v>
      </c>
      <c r="E921" s="60" t="b">
        <v>1</v>
      </c>
      <c r="F921" s="80" t="s">
        <v>463</v>
      </c>
      <c r="G921" s="58" t="s">
        <v>3428</v>
      </c>
      <c r="H921" s="58" t="s">
        <v>1796</v>
      </c>
      <c r="I921" s="64" t="s">
        <v>3427</v>
      </c>
      <c r="J921" s="66"/>
      <c r="K921" s="66"/>
      <c r="L921" s="68"/>
      <c r="M921" s="63" t="str">
        <f>HYPERLINK("http://nsgreg.nga.mil/genc/view?v=863009&amp;end_month=12&amp;end_day=31&amp;end_year=2016","Correlation")</f>
        <v>Correlation</v>
      </c>
    </row>
    <row r="922" spans="1:13" x14ac:dyDescent="0.2">
      <c r="A922" s="113"/>
      <c r="B922" s="58" t="s">
        <v>3429</v>
      </c>
      <c r="C922" s="58" t="s">
        <v>1796</v>
      </c>
      <c r="D922" s="58" t="s">
        <v>3430</v>
      </c>
      <c r="E922" s="60" t="b">
        <v>1</v>
      </c>
      <c r="F922" s="80" t="s">
        <v>463</v>
      </c>
      <c r="G922" s="58" t="s">
        <v>3431</v>
      </c>
      <c r="H922" s="58" t="s">
        <v>1796</v>
      </c>
      <c r="I922" s="64" t="s">
        <v>3430</v>
      </c>
      <c r="J922" s="66"/>
      <c r="K922" s="66"/>
      <c r="L922" s="68"/>
      <c r="M922" s="63" t="str">
        <f>HYPERLINK("http://nsgreg.nga.mil/genc/view?v=863006&amp;end_month=12&amp;end_day=31&amp;end_year=2016","Correlation")</f>
        <v>Correlation</v>
      </c>
    </row>
    <row r="923" spans="1:13" x14ac:dyDescent="0.2">
      <c r="A923" s="113"/>
      <c r="B923" s="58" t="s">
        <v>3432</v>
      </c>
      <c r="C923" s="58" t="s">
        <v>1796</v>
      </c>
      <c r="D923" s="58" t="s">
        <v>3433</v>
      </c>
      <c r="E923" s="60" t="b">
        <v>1</v>
      </c>
      <c r="F923" s="80" t="s">
        <v>463</v>
      </c>
      <c r="G923" s="58" t="s">
        <v>3434</v>
      </c>
      <c r="H923" s="58" t="s">
        <v>1796</v>
      </c>
      <c r="I923" s="64" t="s">
        <v>3433</v>
      </c>
      <c r="J923" s="66"/>
      <c r="K923" s="66"/>
      <c r="L923" s="68"/>
      <c r="M923" s="63" t="str">
        <f>HYPERLINK("http://nsgreg.nga.mil/genc/view?v=863004&amp;end_month=12&amp;end_day=31&amp;end_year=2016","Correlation")</f>
        <v>Correlation</v>
      </c>
    </row>
    <row r="924" spans="1:13" x14ac:dyDescent="0.2">
      <c r="A924" s="113"/>
      <c r="B924" s="58" t="s">
        <v>3435</v>
      </c>
      <c r="C924" s="58" t="s">
        <v>1796</v>
      </c>
      <c r="D924" s="58" t="s">
        <v>3436</v>
      </c>
      <c r="E924" s="60" t="b">
        <v>1</v>
      </c>
      <c r="F924" s="80" t="s">
        <v>463</v>
      </c>
      <c r="G924" s="58" t="s">
        <v>3437</v>
      </c>
      <c r="H924" s="58" t="s">
        <v>1796</v>
      </c>
      <c r="I924" s="64" t="s">
        <v>3436</v>
      </c>
      <c r="J924" s="66"/>
      <c r="K924" s="66"/>
      <c r="L924" s="68"/>
      <c r="M924" s="63" t="str">
        <f>HYPERLINK("http://nsgreg.nga.mil/genc/view?v=863005&amp;end_month=12&amp;end_day=31&amp;end_year=2016","Correlation")</f>
        <v>Correlation</v>
      </c>
    </row>
    <row r="925" spans="1:13" x14ac:dyDescent="0.2">
      <c r="A925" s="114"/>
      <c r="B925" s="71" t="s">
        <v>3438</v>
      </c>
      <c r="C925" s="71" t="s">
        <v>1796</v>
      </c>
      <c r="D925" s="71" t="s">
        <v>3439</v>
      </c>
      <c r="E925" s="73" t="b">
        <v>1</v>
      </c>
      <c r="F925" s="81" t="s">
        <v>463</v>
      </c>
      <c r="G925" s="71" t="s">
        <v>3440</v>
      </c>
      <c r="H925" s="71" t="s">
        <v>1796</v>
      </c>
      <c r="I925" s="74" t="s">
        <v>3439</v>
      </c>
      <c r="J925" s="76"/>
      <c r="K925" s="76"/>
      <c r="L925" s="82"/>
      <c r="M925" s="77" t="str">
        <f>HYPERLINK("http://nsgreg.nga.mil/genc/view?v=863008&amp;end_month=12&amp;end_day=31&amp;end_year=2016","Correlation")</f>
        <v>Correlation</v>
      </c>
    </row>
    <row r="926" spans="1:13" x14ac:dyDescent="0.2">
      <c r="A926" s="112" t="s">
        <v>467</v>
      </c>
      <c r="B926" s="50" t="s">
        <v>3441</v>
      </c>
      <c r="C926" s="50" t="s">
        <v>1796</v>
      </c>
      <c r="D926" s="50" t="s">
        <v>3442</v>
      </c>
      <c r="E926" s="52" t="b">
        <v>1</v>
      </c>
      <c r="F926" s="78" t="s">
        <v>3443</v>
      </c>
      <c r="G926" s="50" t="s">
        <v>3441</v>
      </c>
      <c r="H926" s="50" t="s">
        <v>1796</v>
      </c>
      <c r="I926" s="53" t="s">
        <v>3442</v>
      </c>
      <c r="J926" s="55"/>
      <c r="K926" s="55"/>
      <c r="L926" s="79"/>
      <c r="M926" s="56" t="str">
        <f>HYPERLINK("http://nsgreg.nga.mil/genc/view?v=863025&amp;end_month=12&amp;end_day=31&amp;end_year=2016","Correlation")</f>
        <v>Correlation</v>
      </c>
    </row>
    <row r="927" spans="1:13" x14ac:dyDescent="0.2">
      <c r="A927" s="113"/>
      <c r="B927" s="58" t="s">
        <v>3444</v>
      </c>
      <c r="C927" s="58" t="s">
        <v>1796</v>
      </c>
      <c r="D927" s="58" t="s">
        <v>3445</v>
      </c>
      <c r="E927" s="60" t="b">
        <v>1</v>
      </c>
      <c r="F927" s="80" t="s">
        <v>3443</v>
      </c>
      <c r="G927" s="58" t="s">
        <v>3444</v>
      </c>
      <c r="H927" s="58" t="s">
        <v>1796</v>
      </c>
      <c r="I927" s="64" t="s">
        <v>3445</v>
      </c>
      <c r="J927" s="66"/>
      <c r="K927" s="66"/>
      <c r="L927" s="68"/>
      <c r="M927" s="63" t="str">
        <f>HYPERLINK("http://nsgreg.nga.mil/genc/view?v=863026&amp;end_month=12&amp;end_day=31&amp;end_year=2016","Correlation")</f>
        <v>Correlation</v>
      </c>
    </row>
    <row r="928" spans="1:13" x14ac:dyDescent="0.2">
      <c r="A928" s="113"/>
      <c r="B928" s="58" t="s">
        <v>3446</v>
      </c>
      <c r="C928" s="58" t="s">
        <v>1796</v>
      </c>
      <c r="D928" s="58" t="s">
        <v>3447</v>
      </c>
      <c r="E928" s="60" t="b">
        <v>1</v>
      </c>
      <c r="F928" s="80" t="s">
        <v>3443</v>
      </c>
      <c r="G928" s="58" t="s">
        <v>3446</v>
      </c>
      <c r="H928" s="58" t="s">
        <v>1796</v>
      </c>
      <c r="I928" s="64" t="s">
        <v>3447</v>
      </c>
      <c r="J928" s="66"/>
      <c r="K928" s="66"/>
      <c r="L928" s="68"/>
      <c r="M928" s="63" t="str">
        <f>HYPERLINK("http://nsgreg.nga.mil/genc/view?v=863086&amp;end_month=12&amp;end_day=31&amp;end_year=2016","Correlation")</f>
        <v>Correlation</v>
      </c>
    </row>
    <row r="929" spans="1:13" x14ac:dyDescent="0.2">
      <c r="A929" s="113"/>
      <c r="B929" s="58" t="s">
        <v>3448</v>
      </c>
      <c r="C929" s="58" t="s">
        <v>1796</v>
      </c>
      <c r="D929" s="58" t="s">
        <v>3449</v>
      </c>
      <c r="E929" s="60" t="b">
        <v>1</v>
      </c>
      <c r="F929" s="80" t="s">
        <v>3443</v>
      </c>
      <c r="G929" s="58" t="s">
        <v>3448</v>
      </c>
      <c r="H929" s="58" t="s">
        <v>1796</v>
      </c>
      <c r="I929" s="64" t="s">
        <v>3449</v>
      </c>
      <c r="J929" s="66"/>
      <c r="K929" s="66"/>
      <c r="L929" s="68"/>
      <c r="M929" s="63" t="str">
        <f>HYPERLINK("http://nsgreg.nga.mil/genc/view?v=863089&amp;end_month=12&amp;end_day=31&amp;end_year=2016","Correlation")</f>
        <v>Correlation</v>
      </c>
    </row>
    <row r="930" spans="1:13" x14ac:dyDescent="0.2">
      <c r="A930" s="113"/>
      <c r="B930" s="58" t="s">
        <v>3450</v>
      </c>
      <c r="C930" s="58" t="s">
        <v>1796</v>
      </c>
      <c r="D930" s="58" t="s">
        <v>3451</v>
      </c>
      <c r="E930" s="60" t="b">
        <v>1</v>
      </c>
      <c r="F930" s="80" t="s">
        <v>3443</v>
      </c>
      <c r="G930" s="58" t="s">
        <v>3452</v>
      </c>
      <c r="H930" s="58" t="s">
        <v>1796</v>
      </c>
      <c r="I930" s="64" t="s">
        <v>3451</v>
      </c>
      <c r="J930" s="66"/>
      <c r="K930" s="66"/>
      <c r="L930" s="68"/>
      <c r="M930" s="63" t="str">
        <f>HYPERLINK("http://nsgreg.nga.mil/genc/view?v=863088&amp;end_month=12&amp;end_day=31&amp;end_year=2016","Correlation")</f>
        <v>Correlation</v>
      </c>
    </row>
    <row r="931" spans="1:13" x14ac:dyDescent="0.2">
      <c r="A931" s="113"/>
      <c r="B931" s="58" t="s">
        <v>3453</v>
      </c>
      <c r="C931" s="58" t="s">
        <v>1796</v>
      </c>
      <c r="D931" s="58" t="s">
        <v>3454</v>
      </c>
      <c r="E931" s="60" t="b">
        <v>1</v>
      </c>
      <c r="F931" s="80" t="s">
        <v>3443</v>
      </c>
      <c r="G931" s="58" t="s">
        <v>3453</v>
      </c>
      <c r="H931" s="58" t="s">
        <v>1796</v>
      </c>
      <c r="I931" s="64" t="s">
        <v>3454</v>
      </c>
      <c r="J931" s="66"/>
      <c r="K931" s="66"/>
      <c r="L931" s="68"/>
      <c r="M931" s="63" t="str">
        <f>HYPERLINK("http://nsgreg.nga.mil/genc/view?v=863102&amp;end_month=12&amp;end_day=31&amp;end_year=2016","Correlation")</f>
        <v>Correlation</v>
      </c>
    </row>
    <row r="932" spans="1:13" x14ac:dyDescent="0.2">
      <c r="A932" s="113"/>
      <c r="B932" s="58" t="s">
        <v>3455</v>
      </c>
      <c r="C932" s="58" t="s">
        <v>1796</v>
      </c>
      <c r="D932" s="58" t="s">
        <v>3456</v>
      </c>
      <c r="E932" s="60" t="b">
        <v>1</v>
      </c>
      <c r="F932" s="80" t="s">
        <v>3443</v>
      </c>
      <c r="G932" s="58" t="s">
        <v>3455</v>
      </c>
      <c r="H932" s="58" t="s">
        <v>1796</v>
      </c>
      <c r="I932" s="64" t="s">
        <v>3456</v>
      </c>
      <c r="J932" s="66"/>
      <c r="K932" s="66"/>
      <c r="L932" s="68"/>
      <c r="M932" s="63" t="str">
        <f>HYPERLINK("http://nsgreg.nga.mil/genc/view?v=863061&amp;end_month=12&amp;end_day=31&amp;end_year=2016","Correlation")</f>
        <v>Correlation</v>
      </c>
    </row>
    <row r="933" spans="1:13" x14ac:dyDescent="0.2">
      <c r="A933" s="113"/>
      <c r="B933" s="58" t="s">
        <v>3457</v>
      </c>
      <c r="C933" s="58" t="s">
        <v>1796</v>
      </c>
      <c r="D933" s="58" t="s">
        <v>3458</v>
      </c>
      <c r="E933" s="60" t="b">
        <v>1</v>
      </c>
      <c r="F933" s="80" t="s">
        <v>3443</v>
      </c>
      <c r="G933" s="58" t="s">
        <v>3457</v>
      </c>
      <c r="H933" s="58" t="s">
        <v>1796</v>
      </c>
      <c r="I933" s="64" t="s">
        <v>3458</v>
      </c>
      <c r="J933" s="66"/>
      <c r="K933" s="66"/>
      <c r="L933" s="68"/>
      <c r="M933" s="63" t="str">
        <f>HYPERLINK("http://nsgreg.nga.mil/genc/view?v=863037&amp;end_month=12&amp;end_day=31&amp;end_year=2016","Correlation")</f>
        <v>Correlation</v>
      </c>
    </row>
    <row r="934" spans="1:13" x14ac:dyDescent="0.2">
      <c r="A934" s="113"/>
      <c r="B934" s="58" t="s">
        <v>3459</v>
      </c>
      <c r="C934" s="58" t="s">
        <v>1796</v>
      </c>
      <c r="D934" s="58" t="s">
        <v>3460</v>
      </c>
      <c r="E934" s="60" t="b">
        <v>1</v>
      </c>
      <c r="F934" s="80" t="s">
        <v>3443</v>
      </c>
      <c r="G934" s="58" t="s">
        <v>3459</v>
      </c>
      <c r="H934" s="58" t="s">
        <v>1796</v>
      </c>
      <c r="I934" s="64" t="s">
        <v>3460</v>
      </c>
      <c r="J934" s="66"/>
      <c r="K934" s="66"/>
      <c r="L934" s="68"/>
      <c r="M934" s="63" t="str">
        <f>HYPERLINK("http://nsgreg.nga.mil/genc/view?v=863038&amp;end_month=12&amp;end_day=31&amp;end_year=2016","Correlation")</f>
        <v>Correlation</v>
      </c>
    </row>
    <row r="935" spans="1:13" x14ac:dyDescent="0.2">
      <c r="A935" s="113"/>
      <c r="B935" s="58" t="s">
        <v>3461</v>
      </c>
      <c r="C935" s="58" t="s">
        <v>1796</v>
      </c>
      <c r="D935" s="58" t="s">
        <v>3462</v>
      </c>
      <c r="E935" s="60" t="b">
        <v>1</v>
      </c>
      <c r="F935" s="80" t="s">
        <v>3443</v>
      </c>
      <c r="G935" s="58" t="s">
        <v>3461</v>
      </c>
      <c r="H935" s="58" t="s">
        <v>1796</v>
      </c>
      <c r="I935" s="64" t="s">
        <v>3462</v>
      </c>
      <c r="J935" s="66"/>
      <c r="K935" s="66"/>
      <c r="L935" s="68"/>
      <c r="M935" s="63" t="str">
        <f>HYPERLINK("http://nsgreg.nga.mil/genc/view?v=863051&amp;end_month=12&amp;end_day=31&amp;end_year=2016","Correlation")</f>
        <v>Correlation</v>
      </c>
    </row>
    <row r="936" spans="1:13" x14ac:dyDescent="0.2">
      <c r="A936" s="113"/>
      <c r="B936" s="58" t="s">
        <v>3463</v>
      </c>
      <c r="C936" s="58" t="s">
        <v>1796</v>
      </c>
      <c r="D936" s="58" t="s">
        <v>3464</v>
      </c>
      <c r="E936" s="60" t="b">
        <v>1</v>
      </c>
      <c r="F936" s="80" t="s">
        <v>3443</v>
      </c>
      <c r="G936" s="58" t="s">
        <v>3463</v>
      </c>
      <c r="H936" s="58" t="s">
        <v>1796</v>
      </c>
      <c r="I936" s="64" t="s">
        <v>3464</v>
      </c>
      <c r="J936" s="66"/>
      <c r="K936" s="66"/>
      <c r="L936" s="68"/>
      <c r="M936" s="63" t="str">
        <f>HYPERLINK("http://nsgreg.nga.mil/genc/view?v=863055&amp;end_month=12&amp;end_day=31&amp;end_year=2016","Correlation")</f>
        <v>Correlation</v>
      </c>
    </row>
    <row r="937" spans="1:13" x14ac:dyDescent="0.2">
      <c r="A937" s="113"/>
      <c r="B937" s="58" t="s">
        <v>3465</v>
      </c>
      <c r="C937" s="58" t="s">
        <v>1796</v>
      </c>
      <c r="D937" s="58" t="s">
        <v>3466</v>
      </c>
      <c r="E937" s="60" t="b">
        <v>1</v>
      </c>
      <c r="F937" s="80" t="s">
        <v>3443</v>
      </c>
      <c r="G937" s="58" t="s">
        <v>3465</v>
      </c>
      <c r="H937" s="58" t="s">
        <v>1796</v>
      </c>
      <c r="I937" s="64" t="s">
        <v>3466</v>
      </c>
      <c r="J937" s="66"/>
      <c r="K937" s="66"/>
      <c r="L937" s="68"/>
      <c r="M937" s="63" t="str">
        <f>HYPERLINK("http://nsgreg.nga.mil/genc/view?v=863070&amp;end_month=12&amp;end_day=31&amp;end_year=2016","Correlation")</f>
        <v>Correlation</v>
      </c>
    </row>
    <row r="938" spans="1:13" x14ac:dyDescent="0.2">
      <c r="A938" s="113"/>
      <c r="B938" s="58" t="s">
        <v>3467</v>
      </c>
      <c r="C938" s="58" t="s">
        <v>1796</v>
      </c>
      <c r="D938" s="58" t="s">
        <v>3468</v>
      </c>
      <c r="E938" s="60" t="b">
        <v>1</v>
      </c>
      <c r="F938" s="80" t="s">
        <v>3443</v>
      </c>
      <c r="G938" s="58" t="s">
        <v>3467</v>
      </c>
      <c r="H938" s="58" t="s">
        <v>1796</v>
      </c>
      <c r="I938" s="64" t="s">
        <v>3468</v>
      </c>
      <c r="J938" s="66"/>
      <c r="K938" s="66"/>
      <c r="L938" s="68"/>
      <c r="M938" s="63" t="str">
        <f>HYPERLINK("http://nsgreg.nga.mil/genc/view?v=863054&amp;end_month=12&amp;end_day=31&amp;end_year=2016","Correlation")</f>
        <v>Correlation</v>
      </c>
    </row>
    <row r="939" spans="1:13" x14ac:dyDescent="0.2">
      <c r="A939" s="113"/>
      <c r="B939" s="58" t="s">
        <v>3469</v>
      </c>
      <c r="C939" s="58" t="s">
        <v>1796</v>
      </c>
      <c r="D939" s="58" t="s">
        <v>3470</v>
      </c>
      <c r="E939" s="60" t="b">
        <v>1</v>
      </c>
      <c r="F939" s="80" t="s">
        <v>3443</v>
      </c>
      <c r="G939" s="58" t="s">
        <v>3469</v>
      </c>
      <c r="H939" s="58" t="s">
        <v>1796</v>
      </c>
      <c r="I939" s="64" t="s">
        <v>3470</v>
      </c>
      <c r="J939" s="66"/>
      <c r="K939" s="66"/>
      <c r="L939" s="68"/>
      <c r="M939" s="63" t="str">
        <f>HYPERLINK("http://nsgreg.nga.mil/genc/view?v=863044&amp;end_month=12&amp;end_day=31&amp;end_year=2016","Correlation")</f>
        <v>Correlation</v>
      </c>
    </row>
    <row r="940" spans="1:13" x14ac:dyDescent="0.2">
      <c r="A940" s="113"/>
      <c r="B940" s="58" t="s">
        <v>3471</v>
      </c>
      <c r="C940" s="58" t="s">
        <v>1796</v>
      </c>
      <c r="D940" s="58" t="s">
        <v>3472</v>
      </c>
      <c r="E940" s="60" t="b">
        <v>1</v>
      </c>
      <c r="F940" s="80" t="s">
        <v>3443</v>
      </c>
      <c r="G940" s="58" t="s">
        <v>3473</v>
      </c>
      <c r="H940" s="58" t="s">
        <v>1796</v>
      </c>
      <c r="I940" s="64" t="s">
        <v>3472</v>
      </c>
      <c r="J940" s="66"/>
      <c r="K940" s="66"/>
      <c r="L940" s="68"/>
      <c r="M940" s="63" t="str">
        <f>HYPERLINK("http://nsgreg.nga.mil/genc/view?v=863103&amp;end_month=12&amp;end_day=31&amp;end_year=2016","Correlation")</f>
        <v>Correlation</v>
      </c>
    </row>
    <row r="941" spans="1:13" x14ac:dyDescent="0.2">
      <c r="A941" s="113"/>
      <c r="B941" s="58" t="s">
        <v>3474</v>
      </c>
      <c r="C941" s="58" t="s">
        <v>1796</v>
      </c>
      <c r="D941" s="58" t="s">
        <v>3475</v>
      </c>
      <c r="E941" s="60" t="b">
        <v>1</v>
      </c>
      <c r="F941" s="80" t="s">
        <v>3443</v>
      </c>
      <c r="G941" s="58" t="s">
        <v>3474</v>
      </c>
      <c r="H941" s="58" t="s">
        <v>1796</v>
      </c>
      <c r="I941" s="64" t="s">
        <v>3475</v>
      </c>
      <c r="J941" s="66"/>
      <c r="K941" s="66"/>
      <c r="L941" s="68"/>
      <c r="M941" s="63" t="str">
        <f>HYPERLINK("http://nsgreg.nga.mil/genc/view?v=863074&amp;end_month=12&amp;end_day=31&amp;end_year=2016","Correlation")</f>
        <v>Correlation</v>
      </c>
    </row>
    <row r="942" spans="1:13" x14ac:dyDescent="0.2">
      <c r="A942" s="113"/>
      <c r="B942" s="58" t="s">
        <v>3476</v>
      </c>
      <c r="C942" s="58" t="s">
        <v>1796</v>
      </c>
      <c r="D942" s="58" t="s">
        <v>3477</v>
      </c>
      <c r="E942" s="60" t="b">
        <v>1</v>
      </c>
      <c r="F942" s="80" t="s">
        <v>3443</v>
      </c>
      <c r="G942" s="58" t="s">
        <v>3476</v>
      </c>
      <c r="H942" s="58" t="s">
        <v>1796</v>
      </c>
      <c r="I942" s="64" t="s">
        <v>3477</v>
      </c>
      <c r="J942" s="66"/>
      <c r="K942" s="66"/>
      <c r="L942" s="68"/>
      <c r="M942" s="63" t="str">
        <f>HYPERLINK("http://nsgreg.nga.mil/genc/view?v=863090&amp;end_month=12&amp;end_day=31&amp;end_year=2016","Correlation")</f>
        <v>Correlation</v>
      </c>
    </row>
    <row r="943" spans="1:13" x14ac:dyDescent="0.2">
      <c r="A943" s="113"/>
      <c r="B943" s="58" t="s">
        <v>3478</v>
      </c>
      <c r="C943" s="58" t="s">
        <v>1796</v>
      </c>
      <c r="D943" s="58" t="s">
        <v>3479</v>
      </c>
      <c r="E943" s="60" t="b">
        <v>1</v>
      </c>
      <c r="F943" s="80" t="s">
        <v>3443</v>
      </c>
      <c r="G943" s="58" t="s">
        <v>3478</v>
      </c>
      <c r="H943" s="58" t="s">
        <v>1796</v>
      </c>
      <c r="I943" s="64" t="s">
        <v>3479</v>
      </c>
      <c r="J943" s="66"/>
      <c r="K943" s="66"/>
      <c r="L943" s="68"/>
      <c r="M943" s="63" t="str">
        <f>HYPERLINK("http://nsgreg.nga.mil/genc/view?v=863065&amp;end_month=12&amp;end_day=31&amp;end_year=2016","Correlation")</f>
        <v>Correlation</v>
      </c>
    </row>
    <row r="944" spans="1:13" x14ac:dyDescent="0.2">
      <c r="A944" s="113"/>
      <c r="B944" s="58" t="s">
        <v>3480</v>
      </c>
      <c r="C944" s="58" t="s">
        <v>1796</v>
      </c>
      <c r="D944" s="58" t="s">
        <v>3481</v>
      </c>
      <c r="E944" s="60" t="b">
        <v>1</v>
      </c>
      <c r="F944" s="80" t="s">
        <v>3443</v>
      </c>
      <c r="G944" s="58" t="s">
        <v>3480</v>
      </c>
      <c r="H944" s="58" t="s">
        <v>1796</v>
      </c>
      <c r="I944" s="64" t="s">
        <v>3481</v>
      </c>
      <c r="J944" s="66"/>
      <c r="K944" s="66"/>
      <c r="L944" s="68"/>
      <c r="M944" s="63" t="str">
        <f>HYPERLINK("http://nsgreg.nga.mil/genc/view?v=863062&amp;end_month=12&amp;end_day=31&amp;end_year=2016","Correlation")</f>
        <v>Correlation</v>
      </c>
    </row>
    <row r="945" spans="1:13" x14ac:dyDescent="0.2">
      <c r="A945" s="113"/>
      <c r="B945" s="58" t="s">
        <v>3482</v>
      </c>
      <c r="C945" s="58" t="s">
        <v>1796</v>
      </c>
      <c r="D945" s="58" t="s">
        <v>3483</v>
      </c>
      <c r="E945" s="60" t="b">
        <v>1</v>
      </c>
      <c r="F945" s="80" t="s">
        <v>3443</v>
      </c>
      <c r="G945" s="58" t="s">
        <v>3482</v>
      </c>
      <c r="H945" s="58" t="s">
        <v>1796</v>
      </c>
      <c r="I945" s="64" t="s">
        <v>3483</v>
      </c>
      <c r="J945" s="66"/>
      <c r="K945" s="66"/>
      <c r="L945" s="68"/>
      <c r="M945" s="63" t="str">
        <f>HYPERLINK("http://nsgreg.nga.mil/genc/view?v=863093&amp;end_month=12&amp;end_day=31&amp;end_year=2016","Correlation")</f>
        <v>Correlation</v>
      </c>
    </row>
    <row r="946" spans="1:13" x14ac:dyDescent="0.2">
      <c r="A946" s="113"/>
      <c r="B946" s="58" t="s">
        <v>3484</v>
      </c>
      <c r="C946" s="58" t="s">
        <v>1796</v>
      </c>
      <c r="D946" s="58" t="s">
        <v>3485</v>
      </c>
      <c r="E946" s="60" t="b">
        <v>1</v>
      </c>
      <c r="F946" s="80" t="s">
        <v>3443</v>
      </c>
      <c r="G946" s="58" t="s">
        <v>3484</v>
      </c>
      <c r="H946" s="58" t="s">
        <v>1796</v>
      </c>
      <c r="I946" s="64" t="s">
        <v>3485</v>
      </c>
      <c r="J946" s="66"/>
      <c r="K946" s="66"/>
      <c r="L946" s="68"/>
      <c r="M946" s="63" t="str">
        <f>HYPERLINK("http://nsgreg.nga.mil/genc/view?v=863066&amp;end_month=12&amp;end_day=31&amp;end_year=2016","Correlation")</f>
        <v>Correlation</v>
      </c>
    </row>
    <row r="947" spans="1:13" x14ac:dyDescent="0.2">
      <c r="A947" s="113"/>
      <c r="B947" s="58" t="s">
        <v>3486</v>
      </c>
      <c r="C947" s="58" t="s">
        <v>1796</v>
      </c>
      <c r="D947" s="58" t="s">
        <v>3487</v>
      </c>
      <c r="E947" s="60" t="b">
        <v>1</v>
      </c>
      <c r="F947" s="80" t="s">
        <v>3443</v>
      </c>
      <c r="G947" s="58" t="s">
        <v>3486</v>
      </c>
      <c r="H947" s="58" t="s">
        <v>1796</v>
      </c>
      <c r="I947" s="64" t="s">
        <v>3487</v>
      </c>
      <c r="J947" s="66"/>
      <c r="K947" s="66"/>
      <c r="L947" s="68"/>
      <c r="M947" s="63" t="str">
        <f>HYPERLINK("http://nsgreg.nga.mil/genc/view?v=863075&amp;end_month=12&amp;end_day=31&amp;end_year=2016","Correlation")</f>
        <v>Correlation</v>
      </c>
    </row>
    <row r="948" spans="1:13" x14ac:dyDescent="0.2">
      <c r="A948" s="113"/>
      <c r="B948" s="58" t="s">
        <v>3488</v>
      </c>
      <c r="C948" s="58" t="s">
        <v>1728</v>
      </c>
      <c r="D948" s="58" t="s">
        <v>3489</v>
      </c>
      <c r="E948" s="60" t="b">
        <v>1</v>
      </c>
      <c r="F948" s="80" t="s">
        <v>3443</v>
      </c>
      <c r="G948" s="58" t="s">
        <v>3490</v>
      </c>
      <c r="H948" s="58" t="s">
        <v>1728</v>
      </c>
      <c r="I948" s="64" t="s">
        <v>3489</v>
      </c>
      <c r="J948" s="66"/>
      <c r="K948" s="66"/>
      <c r="L948" s="68"/>
      <c r="M948" s="63" t="str">
        <f>HYPERLINK("http://nsgreg.nga.mil/genc/view?v=863108&amp;end_month=12&amp;end_day=31&amp;end_year=2016","Correlation")</f>
        <v>Correlation</v>
      </c>
    </row>
    <row r="949" spans="1:13" x14ac:dyDescent="0.2">
      <c r="A949" s="113"/>
      <c r="B949" s="58" t="s">
        <v>3491</v>
      </c>
      <c r="C949" s="58" t="s">
        <v>1728</v>
      </c>
      <c r="D949" s="58" t="s">
        <v>3492</v>
      </c>
      <c r="E949" s="60" t="b">
        <v>1</v>
      </c>
      <c r="F949" s="80" t="s">
        <v>3443</v>
      </c>
      <c r="G949" s="58" t="s">
        <v>3493</v>
      </c>
      <c r="H949" s="58" t="s">
        <v>1728</v>
      </c>
      <c r="I949" s="64" t="s">
        <v>3492</v>
      </c>
      <c r="J949" s="66"/>
      <c r="K949" s="66"/>
      <c r="L949" s="68"/>
      <c r="M949" s="63" t="str">
        <f>HYPERLINK("http://nsgreg.nga.mil/genc/view?v=863109&amp;end_month=12&amp;end_day=31&amp;end_year=2016","Correlation")</f>
        <v>Correlation</v>
      </c>
    </row>
    <row r="950" spans="1:13" x14ac:dyDescent="0.2">
      <c r="A950" s="113"/>
      <c r="B950" s="58" t="s">
        <v>3494</v>
      </c>
      <c r="C950" s="58" t="s">
        <v>1796</v>
      </c>
      <c r="D950" s="58" t="s">
        <v>3495</v>
      </c>
      <c r="E950" s="60" t="b">
        <v>1</v>
      </c>
      <c r="F950" s="80" t="s">
        <v>3443</v>
      </c>
      <c r="G950" s="58" t="s">
        <v>3494</v>
      </c>
      <c r="H950" s="58" t="s">
        <v>1796</v>
      </c>
      <c r="I950" s="64" t="s">
        <v>3495</v>
      </c>
      <c r="J950" s="66"/>
      <c r="K950" s="66"/>
      <c r="L950" s="68"/>
      <c r="M950" s="63" t="str">
        <f>HYPERLINK("http://nsgreg.nga.mil/genc/view?v=863039&amp;end_month=12&amp;end_day=31&amp;end_year=2016","Correlation")</f>
        <v>Correlation</v>
      </c>
    </row>
    <row r="951" spans="1:13" x14ac:dyDescent="0.2">
      <c r="A951" s="113"/>
      <c r="B951" s="58" t="s">
        <v>3496</v>
      </c>
      <c r="C951" s="58" t="s">
        <v>1728</v>
      </c>
      <c r="D951" s="58" t="s">
        <v>3497</v>
      </c>
      <c r="E951" s="60" t="b">
        <v>1</v>
      </c>
      <c r="F951" s="80" t="s">
        <v>3443</v>
      </c>
      <c r="G951" s="58" t="s">
        <v>3498</v>
      </c>
      <c r="H951" s="58" t="s">
        <v>1728</v>
      </c>
      <c r="I951" s="64" t="s">
        <v>3497</v>
      </c>
      <c r="J951" s="66"/>
      <c r="K951" s="66"/>
      <c r="L951" s="68"/>
      <c r="M951" s="63" t="str">
        <f>HYPERLINK("http://nsgreg.nga.mil/genc/view?v=863110&amp;end_month=12&amp;end_day=31&amp;end_year=2016","Correlation")</f>
        <v>Correlation</v>
      </c>
    </row>
    <row r="952" spans="1:13" x14ac:dyDescent="0.2">
      <c r="A952" s="113"/>
      <c r="B952" s="58" t="s">
        <v>3499</v>
      </c>
      <c r="C952" s="58" t="s">
        <v>1796</v>
      </c>
      <c r="D952" s="58" t="s">
        <v>3500</v>
      </c>
      <c r="E952" s="60" t="b">
        <v>1</v>
      </c>
      <c r="F952" s="80" t="s">
        <v>3443</v>
      </c>
      <c r="G952" s="58" t="s">
        <v>3499</v>
      </c>
      <c r="H952" s="58" t="s">
        <v>1796</v>
      </c>
      <c r="I952" s="64" t="s">
        <v>3500</v>
      </c>
      <c r="J952" s="66"/>
      <c r="K952" s="66"/>
      <c r="L952" s="68"/>
      <c r="M952" s="63" t="str">
        <f>HYPERLINK("http://nsgreg.nga.mil/genc/view?v=863052&amp;end_month=12&amp;end_day=31&amp;end_year=2016","Correlation")</f>
        <v>Correlation</v>
      </c>
    </row>
    <row r="953" spans="1:13" x14ac:dyDescent="0.2">
      <c r="A953" s="113"/>
      <c r="B953" s="58" t="s">
        <v>3501</v>
      </c>
      <c r="C953" s="58" t="s">
        <v>1796</v>
      </c>
      <c r="D953" s="58" t="s">
        <v>3502</v>
      </c>
      <c r="E953" s="60" t="b">
        <v>1</v>
      </c>
      <c r="F953" s="80" t="s">
        <v>3443</v>
      </c>
      <c r="G953" s="58" t="s">
        <v>3501</v>
      </c>
      <c r="H953" s="58" t="s">
        <v>1796</v>
      </c>
      <c r="I953" s="64" t="s">
        <v>3502</v>
      </c>
      <c r="J953" s="66"/>
      <c r="K953" s="66"/>
      <c r="L953" s="68"/>
      <c r="M953" s="63" t="str">
        <f>HYPERLINK("http://nsgreg.nga.mil/genc/view?v=863104&amp;end_month=12&amp;end_day=31&amp;end_year=2016","Correlation")</f>
        <v>Correlation</v>
      </c>
    </row>
    <row r="954" spans="1:13" x14ac:dyDescent="0.2">
      <c r="A954" s="113"/>
      <c r="B954" s="58" t="s">
        <v>3503</v>
      </c>
      <c r="C954" s="58" t="s">
        <v>1796</v>
      </c>
      <c r="D954" s="58" t="s">
        <v>3504</v>
      </c>
      <c r="E954" s="60" t="b">
        <v>1</v>
      </c>
      <c r="F954" s="80" t="s">
        <v>3443</v>
      </c>
      <c r="G954" s="58" t="s">
        <v>3503</v>
      </c>
      <c r="H954" s="58" t="s">
        <v>1796</v>
      </c>
      <c r="I954" s="64" t="s">
        <v>3504</v>
      </c>
      <c r="J954" s="66"/>
      <c r="K954" s="66"/>
      <c r="L954" s="68"/>
      <c r="M954" s="63" t="str">
        <f>HYPERLINK("http://nsgreg.nga.mil/genc/view?v=863027&amp;end_month=12&amp;end_day=31&amp;end_year=2016","Correlation")</f>
        <v>Correlation</v>
      </c>
    </row>
    <row r="955" spans="1:13" x14ac:dyDescent="0.2">
      <c r="A955" s="113"/>
      <c r="B955" s="58" t="s">
        <v>3505</v>
      </c>
      <c r="C955" s="58" t="s">
        <v>1796</v>
      </c>
      <c r="D955" s="58" t="s">
        <v>3506</v>
      </c>
      <c r="E955" s="60" t="b">
        <v>1</v>
      </c>
      <c r="F955" s="80" t="s">
        <v>3443</v>
      </c>
      <c r="G955" s="58" t="s">
        <v>3505</v>
      </c>
      <c r="H955" s="58" t="s">
        <v>1796</v>
      </c>
      <c r="I955" s="64" t="s">
        <v>3506</v>
      </c>
      <c r="J955" s="66"/>
      <c r="K955" s="66"/>
      <c r="L955" s="68"/>
      <c r="M955" s="63" t="str">
        <f>HYPERLINK("http://nsgreg.nga.mil/genc/view?v=863045&amp;end_month=12&amp;end_day=31&amp;end_year=2016","Correlation")</f>
        <v>Correlation</v>
      </c>
    </row>
    <row r="956" spans="1:13" x14ac:dyDescent="0.2">
      <c r="A956" s="113"/>
      <c r="B956" s="58" t="s">
        <v>3507</v>
      </c>
      <c r="C956" s="58" t="s">
        <v>1796</v>
      </c>
      <c r="D956" s="58" t="s">
        <v>3508</v>
      </c>
      <c r="E956" s="60" t="b">
        <v>1</v>
      </c>
      <c r="F956" s="80" t="s">
        <v>3443</v>
      </c>
      <c r="G956" s="58" t="s">
        <v>3507</v>
      </c>
      <c r="H956" s="58" t="s">
        <v>1796</v>
      </c>
      <c r="I956" s="64" t="s">
        <v>3508</v>
      </c>
      <c r="J956" s="66"/>
      <c r="K956" s="66"/>
      <c r="L956" s="68"/>
      <c r="M956" s="63" t="str">
        <f>HYPERLINK("http://nsgreg.nga.mil/genc/view?v=863028&amp;end_month=12&amp;end_day=31&amp;end_year=2016","Correlation")</f>
        <v>Correlation</v>
      </c>
    </row>
    <row r="957" spans="1:13" x14ac:dyDescent="0.2">
      <c r="A957" s="113"/>
      <c r="B957" s="58" t="s">
        <v>3509</v>
      </c>
      <c r="C957" s="58" t="s">
        <v>1728</v>
      </c>
      <c r="D957" s="58" t="s">
        <v>3510</v>
      </c>
      <c r="E957" s="60" t="b">
        <v>1</v>
      </c>
      <c r="F957" s="80" t="s">
        <v>3443</v>
      </c>
      <c r="G957" s="58" t="s">
        <v>3511</v>
      </c>
      <c r="H957" s="58" t="s">
        <v>1728</v>
      </c>
      <c r="I957" s="64" t="s">
        <v>3510</v>
      </c>
      <c r="J957" s="66"/>
      <c r="K957" s="66"/>
      <c r="L957" s="68"/>
      <c r="M957" s="63" t="str">
        <f>HYPERLINK("http://nsgreg.nga.mil/genc/view?v=863111&amp;end_month=12&amp;end_day=31&amp;end_year=2016","Correlation")</f>
        <v>Correlation</v>
      </c>
    </row>
    <row r="958" spans="1:13" x14ac:dyDescent="0.2">
      <c r="A958" s="113"/>
      <c r="B958" s="58" t="s">
        <v>3512</v>
      </c>
      <c r="C958" s="58" t="s">
        <v>1796</v>
      </c>
      <c r="D958" s="58" t="s">
        <v>3513</v>
      </c>
      <c r="E958" s="60" t="b">
        <v>1</v>
      </c>
      <c r="F958" s="80" t="s">
        <v>3443</v>
      </c>
      <c r="G958" s="58" t="s">
        <v>3512</v>
      </c>
      <c r="H958" s="58" t="s">
        <v>1796</v>
      </c>
      <c r="I958" s="64" t="s">
        <v>3513</v>
      </c>
      <c r="J958" s="66"/>
      <c r="K958" s="66"/>
      <c r="L958" s="68"/>
      <c r="M958" s="63" t="str">
        <f>HYPERLINK("http://nsgreg.nga.mil/genc/view?v=863098&amp;end_month=12&amp;end_day=31&amp;end_year=2016","Correlation")</f>
        <v>Correlation</v>
      </c>
    </row>
    <row r="959" spans="1:13" x14ac:dyDescent="0.2">
      <c r="A959" s="113"/>
      <c r="B959" s="58" t="s">
        <v>3514</v>
      </c>
      <c r="C959" s="58" t="s">
        <v>1796</v>
      </c>
      <c r="D959" s="58" t="s">
        <v>3515</v>
      </c>
      <c r="E959" s="60" t="b">
        <v>1</v>
      </c>
      <c r="F959" s="80" t="s">
        <v>3443</v>
      </c>
      <c r="G959" s="58" t="s">
        <v>3514</v>
      </c>
      <c r="H959" s="58" t="s">
        <v>1796</v>
      </c>
      <c r="I959" s="64" t="s">
        <v>3515</v>
      </c>
      <c r="J959" s="66"/>
      <c r="K959" s="66"/>
      <c r="L959" s="68"/>
      <c r="M959" s="63" t="str">
        <f>HYPERLINK("http://nsgreg.nga.mil/genc/view?v=863029&amp;end_month=12&amp;end_day=31&amp;end_year=2016","Correlation")</f>
        <v>Correlation</v>
      </c>
    </row>
    <row r="960" spans="1:13" x14ac:dyDescent="0.2">
      <c r="A960" s="113"/>
      <c r="B960" s="58" t="s">
        <v>3516</v>
      </c>
      <c r="C960" s="58" t="s">
        <v>1796</v>
      </c>
      <c r="D960" s="58" t="s">
        <v>3517</v>
      </c>
      <c r="E960" s="60" t="b">
        <v>1</v>
      </c>
      <c r="F960" s="80" t="s">
        <v>3443</v>
      </c>
      <c r="G960" s="58" t="s">
        <v>3516</v>
      </c>
      <c r="H960" s="58" t="s">
        <v>1796</v>
      </c>
      <c r="I960" s="64" t="s">
        <v>3517</v>
      </c>
      <c r="J960" s="66"/>
      <c r="K960" s="66"/>
      <c r="L960" s="68"/>
      <c r="M960" s="63" t="str">
        <f>HYPERLINK("http://nsgreg.nga.mil/genc/view?v=863063&amp;end_month=12&amp;end_day=31&amp;end_year=2016","Correlation")</f>
        <v>Correlation</v>
      </c>
    </row>
    <row r="961" spans="1:13" x14ac:dyDescent="0.2">
      <c r="A961" s="113"/>
      <c r="B961" s="58" t="s">
        <v>3518</v>
      </c>
      <c r="C961" s="58" t="s">
        <v>1728</v>
      </c>
      <c r="D961" s="58" t="s">
        <v>3519</v>
      </c>
      <c r="E961" s="60" t="b">
        <v>1</v>
      </c>
      <c r="F961" s="80" t="s">
        <v>3443</v>
      </c>
      <c r="G961" s="58" t="s">
        <v>3520</v>
      </c>
      <c r="H961" s="58" t="s">
        <v>1728</v>
      </c>
      <c r="I961" s="64" t="s">
        <v>3519</v>
      </c>
      <c r="J961" s="66"/>
      <c r="K961" s="66"/>
      <c r="L961" s="68"/>
      <c r="M961" s="63" t="str">
        <f>HYPERLINK("http://nsgreg.nga.mil/genc/view?v=863112&amp;end_month=12&amp;end_day=31&amp;end_year=2016","Correlation")</f>
        <v>Correlation</v>
      </c>
    </row>
    <row r="962" spans="1:13" x14ac:dyDescent="0.2">
      <c r="A962" s="113"/>
      <c r="B962" s="58" t="s">
        <v>3521</v>
      </c>
      <c r="C962" s="58" t="s">
        <v>1796</v>
      </c>
      <c r="D962" s="58" t="s">
        <v>3522</v>
      </c>
      <c r="E962" s="60" t="b">
        <v>1</v>
      </c>
      <c r="F962" s="80" t="s">
        <v>3443</v>
      </c>
      <c r="G962" s="58" t="s">
        <v>3521</v>
      </c>
      <c r="H962" s="58" t="s">
        <v>1796</v>
      </c>
      <c r="I962" s="64" t="s">
        <v>3522</v>
      </c>
      <c r="J962" s="66"/>
      <c r="K962" s="66"/>
      <c r="L962" s="68"/>
      <c r="M962" s="63" t="str">
        <f>HYPERLINK("http://nsgreg.nga.mil/genc/view?v=863056&amp;end_month=12&amp;end_day=31&amp;end_year=2016","Correlation")</f>
        <v>Correlation</v>
      </c>
    </row>
    <row r="963" spans="1:13" x14ac:dyDescent="0.2">
      <c r="A963" s="113"/>
      <c r="B963" s="58" t="s">
        <v>3523</v>
      </c>
      <c r="C963" s="58" t="s">
        <v>1796</v>
      </c>
      <c r="D963" s="58" t="s">
        <v>3524</v>
      </c>
      <c r="E963" s="60" t="b">
        <v>1</v>
      </c>
      <c r="F963" s="80" t="s">
        <v>3443</v>
      </c>
      <c r="G963" s="58" t="s">
        <v>3523</v>
      </c>
      <c r="H963" s="58" t="s">
        <v>1796</v>
      </c>
      <c r="I963" s="64" t="s">
        <v>3524</v>
      </c>
      <c r="J963" s="66"/>
      <c r="K963" s="66"/>
      <c r="L963" s="68"/>
      <c r="M963" s="63" t="str">
        <f>HYPERLINK("http://nsgreg.nga.mil/genc/view?v=863057&amp;end_month=12&amp;end_day=31&amp;end_year=2016","Correlation")</f>
        <v>Correlation</v>
      </c>
    </row>
    <row r="964" spans="1:13" x14ac:dyDescent="0.2">
      <c r="A964" s="113"/>
      <c r="B964" s="58" t="s">
        <v>3525</v>
      </c>
      <c r="C964" s="58" t="s">
        <v>1796</v>
      </c>
      <c r="D964" s="58" t="s">
        <v>3526</v>
      </c>
      <c r="E964" s="60" t="b">
        <v>1</v>
      </c>
      <c r="F964" s="80" t="s">
        <v>3443</v>
      </c>
      <c r="G964" s="58" t="s">
        <v>3525</v>
      </c>
      <c r="H964" s="58" t="s">
        <v>1796</v>
      </c>
      <c r="I964" s="64" t="s">
        <v>3526</v>
      </c>
      <c r="J964" s="66"/>
      <c r="K964" s="66"/>
      <c r="L964" s="68"/>
      <c r="M964" s="63" t="str">
        <f>HYPERLINK("http://nsgreg.nga.mil/genc/view?v=863030&amp;end_month=12&amp;end_day=31&amp;end_year=2016","Correlation")</f>
        <v>Correlation</v>
      </c>
    </row>
    <row r="965" spans="1:13" x14ac:dyDescent="0.2">
      <c r="A965" s="113"/>
      <c r="B965" s="58" t="s">
        <v>3527</v>
      </c>
      <c r="C965" s="58" t="s">
        <v>1796</v>
      </c>
      <c r="D965" s="58" t="s">
        <v>3528</v>
      </c>
      <c r="E965" s="60" t="b">
        <v>1</v>
      </c>
      <c r="F965" s="80" t="s">
        <v>3443</v>
      </c>
      <c r="G965" s="58" t="s">
        <v>3529</v>
      </c>
      <c r="H965" s="58" t="s">
        <v>1796</v>
      </c>
      <c r="I965" s="64" t="s">
        <v>3528</v>
      </c>
      <c r="J965" s="66"/>
      <c r="K965" s="66"/>
      <c r="L965" s="68"/>
      <c r="M965" s="63" t="str">
        <f>HYPERLINK("http://nsgreg.nga.mil/genc/view?v=863087&amp;end_month=12&amp;end_day=31&amp;end_year=2016","Correlation")</f>
        <v>Correlation</v>
      </c>
    </row>
    <row r="966" spans="1:13" x14ac:dyDescent="0.2">
      <c r="A966" s="113"/>
      <c r="B966" s="58" t="s">
        <v>3530</v>
      </c>
      <c r="C966" s="58" t="s">
        <v>1796</v>
      </c>
      <c r="D966" s="58" t="s">
        <v>3531</v>
      </c>
      <c r="E966" s="60" t="b">
        <v>1</v>
      </c>
      <c r="F966" s="80" t="s">
        <v>3443</v>
      </c>
      <c r="G966" s="58" t="s">
        <v>3530</v>
      </c>
      <c r="H966" s="58" t="s">
        <v>1796</v>
      </c>
      <c r="I966" s="64" t="s">
        <v>3531</v>
      </c>
      <c r="J966" s="66"/>
      <c r="K966" s="66"/>
      <c r="L966" s="68"/>
      <c r="M966" s="63" t="str">
        <f>HYPERLINK("http://nsgreg.nga.mil/genc/view?v=863031&amp;end_month=12&amp;end_day=31&amp;end_year=2016","Correlation")</f>
        <v>Correlation</v>
      </c>
    </row>
    <row r="967" spans="1:13" x14ac:dyDescent="0.2">
      <c r="A967" s="113"/>
      <c r="B967" s="58" t="s">
        <v>3532</v>
      </c>
      <c r="C967" s="58" t="s">
        <v>1728</v>
      </c>
      <c r="D967" s="58" t="s">
        <v>3533</v>
      </c>
      <c r="E967" s="60" t="b">
        <v>1</v>
      </c>
      <c r="F967" s="80" t="s">
        <v>3443</v>
      </c>
      <c r="G967" s="58" t="s">
        <v>3534</v>
      </c>
      <c r="H967" s="58" t="s">
        <v>1728</v>
      </c>
      <c r="I967" s="64" t="s">
        <v>3533</v>
      </c>
      <c r="J967" s="66"/>
      <c r="K967" s="66"/>
      <c r="L967" s="68"/>
      <c r="M967" s="63" t="str">
        <f>HYPERLINK("http://nsgreg.nga.mil/genc/view?v=863113&amp;end_month=12&amp;end_day=31&amp;end_year=2016","Correlation")</f>
        <v>Correlation</v>
      </c>
    </row>
    <row r="968" spans="1:13" x14ac:dyDescent="0.2">
      <c r="A968" s="113"/>
      <c r="B968" s="58" t="s">
        <v>3535</v>
      </c>
      <c r="C968" s="58" t="s">
        <v>1796</v>
      </c>
      <c r="D968" s="58" t="s">
        <v>3536</v>
      </c>
      <c r="E968" s="60" t="b">
        <v>1</v>
      </c>
      <c r="F968" s="80" t="s">
        <v>3443</v>
      </c>
      <c r="G968" s="58" t="s">
        <v>3535</v>
      </c>
      <c r="H968" s="58" t="s">
        <v>1796</v>
      </c>
      <c r="I968" s="64" t="s">
        <v>3536</v>
      </c>
      <c r="J968" s="66"/>
      <c r="K968" s="66"/>
      <c r="L968" s="68"/>
      <c r="M968" s="63" t="str">
        <f>HYPERLINK("http://nsgreg.nga.mil/genc/view?v=863058&amp;end_month=12&amp;end_day=31&amp;end_year=2016","Correlation")</f>
        <v>Correlation</v>
      </c>
    </row>
    <row r="969" spans="1:13" x14ac:dyDescent="0.2">
      <c r="A969" s="113"/>
      <c r="B969" s="58" t="s">
        <v>3537</v>
      </c>
      <c r="C969" s="58" t="s">
        <v>1796</v>
      </c>
      <c r="D969" s="58" t="s">
        <v>3538</v>
      </c>
      <c r="E969" s="60" t="b">
        <v>1</v>
      </c>
      <c r="F969" s="80" t="s">
        <v>3443</v>
      </c>
      <c r="G969" s="58" t="s">
        <v>3537</v>
      </c>
      <c r="H969" s="58" t="s">
        <v>1796</v>
      </c>
      <c r="I969" s="64" t="s">
        <v>3538</v>
      </c>
      <c r="J969" s="66"/>
      <c r="K969" s="66"/>
      <c r="L969" s="68"/>
      <c r="M969" s="63" t="str">
        <f>HYPERLINK("http://nsgreg.nga.mil/genc/view?v=863067&amp;end_month=12&amp;end_day=31&amp;end_year=2016","Correlation")</f>
        <v>Correlation</v>
      </c>
    </row>
    <row r="970" spans="1:13" x14ac:dyDescent="0.2">
      <c r="A970" s="113"/>
      <c r="B970" s="58" t="s">
        <v>3539</v>
      </c>
      <c r="C970" s="58" t="s">
        <v>1796</v>
      </c>
      <c r="D970" s="58" t="s">
        <v>3540</v>
      </c>
      <c r="E970" s="60" t="b">
        <v>1</v>
      </c>
      <c r="F970" s="80" t="s">
        <v>3443</v>
      </c>
      <c r="G970" s="58" t="s">
        <v>3539</v>
      </c>
      <c r="H970" s="58" t="s">
        <v>1796</v>
      </c>
      <c r="I970" s="64" t="s">
        <v>3540</v>
      </c>
      <c r="J970" s="66"/>
      <c r="K970" s="66"/>
      <c r="L970" s="68"/>
      <c r="M970" s="63" t="str">
        <f>HYPERLINK("http://nsgreg.nga.mil/genc/view?v=863105&amp;end_month=12&amp;end_day=31&amp;end_year=2016","Correlation")</f>
        <v>Correlation</v>
      </c>
    </row>
    <row r="971" spans="1:13" x14ac:dyDescent="0.2">
      <c r="A971" s="113"/>
      <c r="B971" s="58" t="s">
        <v>3541</v>
      </c>
      <c r="C971" s="58" t="s">
        <v>1796</v>
      </c>
      <c r="D971" s="58" t="s">
        <v>3542</v>
      </c>
      <c r="E971" s="60" t="b">
        <v>1</v>
      </c>
      <c r="F971" s="80" t="s">
        <v>3443</v>
      </c>
      <c r="G971" s="58" t="s">
        <v>3541</v>
      </c>
      <c r="H971" s="58" t="s">
        <v>1796</v>
      </c>
      <c r="I971" s="64" t="s">
        <v>3542</v>
      </c>
      <c r="J971" s="66"/>
      <c r="K971" s="66"/>
      <c r="L971" s="68"/>
      <c r="M971" s="63" t="str">
        <f>HYPERLINK("http://nsgreg.nga.mil/genc/view?v=863032&amp;end_month=12&amp;end_day=31&amp;end_year=2016","Correlation")</f>
        <v>Correlation</v>
      </c>
    </row>
    <row r="972" spans="1:13" x14ac:dyDescent="0.2">
      <c r="A972" s="113"/>
      <c r="B972" s="58" t="s">
        <v>3543</v>
      </c>
      <c r="C972" s="58" t="s">
        <v>1796</v>
      </c>
      <c r="D972" s="58" t="s">
        <v>3544</v>
      </c>
      <c r="E972" s="60" t="b">
        <v>1</v>
      </c>
      <c r="F972" s="80" t="s">
        <v>3443</v>
      </c>
      <c r="G972" s="58" t="s">
        <v>3543</v>
      </c>
      <c r="H972" s="58" t="s">
        <v>1796</v>
      </c>
      <c r="I972" s="64" t="s">
        <v>3544</v>
      </c>
      <c r="J972" s="66"/>
      <c r="K972" s="66"/>
      <c r="L972" s="68"/>
      <c r="M972" s="63" t="str">
        <f>HYPERLINK("http://nsgreg.nga.mil/genc/view?v=863094&amp;end_month=12&amp;end_day=31&amp;end_year=2016","Correlation")</f>
        <v>Correlation</v>
      </c>
    </row>
    <row r="973" spans="1:13" x14ac:dyDescent="0.2">
      <c r="A973" s="113"/>
      <c r="B973" s="58" t="s">
        <v>3545</v>
      </c>
      <c r="C973" s="58" t="s">
        <v>1728</v>
      </c>
      <c r="D973" s="58" t="s">
        <v>3546</v>
      </c>
      <c r="E973" s="60" t="b">
        <v>1</v>
      </c>
      <c r="F973" s="80" t="s">
        <v>3443</v>
      </c>
      <c r="G973" s="58" t="s">
        <v>3547</v>
      </c>
      <c r="H973" s="58" t="s">
        <v>1728</v>
      </c>
      <c r="I973" s="64" t="s">
        <v>3546</v>
      </c>
      <c r="J973" s="66"/>
      <c r="K973" s="66"/>
      <c r="L973" s="68"/>
      <c r="M973" s="63" t="str">
        <f>HYPERLINK("http://nsgreg.nga.mil/genc/view?v=863114&amp;end_month=12&amp;end_day=31&amp;end_year=2016","Correlation")</f>
        <v>Correlation</v>
      </c>
    </row>
    <row r="974" spans="1:13" x14ac:dyDescent="0.2">
      <c r="A974" s="113"/>
      <c r="B974" s="58" t="s">
        <v>3548</v>
      </c>
      <c r="C974" s="58" t="s">
        <v>1796</v>
      </c>
      <c r="D974" s="58" t="s">
        <v>3549</v>
      </c>
      <c r="E974" s="60" t="b">
        <v>1</v>
      </c>
      <c r="F974" s="80" t="s">
        <v>3443</v>
      </c>
      <c r="G974" s="58" t="s">
        <v>3548</v>
      </c>
      <c r="H974" s="58" t="s">
        <v>1796</v>
      </c>
      <c r="I974" s="64" t="s">
        <v>3549</v>
      </c>
      <c r="J974" s="66"/>
      <c r="K974" s="66"/>
      <c r="L974" s="68"/>
      <c r="M974" s="63" t="str">
        <f>HYPERLINK("http://nsgreg.nga.mil/genc/view?v=863106&amp;end_month=12&amp;end_day=31&amp;end_year=2016","Correlation")</f>
        <v>Correlation</v>
      </c>
    </row>
    <row r="975" spans="1:13" x14ac:dyDescent="0.2">
      <c r="A975" s="113"/>
      <c r="B975" s="58" t="s">
        <v>3550</v>
      </c>
      <c r="C975" s="58" t="s">
        <v>1796</v>
      </c>
      <c r="D975" s="58" t="s">
        <v>3551</v>
      </c>
      <c r="E975" s="60" t="b">
        <v>1</v>
      </c>
      <c r="F975" s="80" t="s">
        <v>3443</v>
      </c>
      <c r="G975" s="58" t="s">
        <v>3552</v>
      </c>
      <c r="H975" s="58" t="s">
        <v>1796</v>
      </c>
      <c r="I975" s="64" t="s">
        <v>3551</v>
      </c>
      <c r="J975" s="66"/>
      <c r="K975" s="66"/>
      <c r="L975" s="68"/>
      <c r="M975" s="63" t="str">
        <f>HYPERLINK("http://nsgreg.nga.mil/genc/view?v=863107&amp;end_month=12&amp;end_day=31&amp;end_year=2016","Correlation")</f>
        <v>Correlation</v>
      </c>
    </row>
    <row r="976" spans="1:13" x14ac:dyDescent="0.2">
      <c r="A976" s="113"/>
      <c r="B976" s="58" t="s">
        <v>3553</v>
      </c>
      <c r="C976" s="58" t="s">
        <v>1796</v>
      </c>
      <c r="D976" s="58" t="s">
        <v>3554</v>
      </c>
      <c r="E976" s="60" t="b">
        <v>1</v>
      </c>
      <c r="F976" s="80" t="s">
        <v>3443</v>
      </c>
      <c r="G976" s="58" t="s">
        <v>3553</v>
      </c>
      <c r="H976" s="58" t="s">
        <v>1796</v>
      </c>
      <c r="I976" s="64" t="s">
        <v>3554</v>
      </c>
      <c r="J976" s="66"/>
      <c r="K976" s="66"/>
      <c r="L976" s="68"/>
      <c r="M976" s="63" t="str">
        <f>HYPERLINK("http://nsgreg.nga.mil/genc/view?v=863071&amp;end_month=12&amp;end_day=31&amp;end_year=2016","Correlation")</f>
        <v>Correlation</v>
      </c>
    </row>
    <row r="977" spans="1:13" x14ac:dyDescent="0.2">
      <c r="A977" s="113"/>
      <c r="B977" s="58" t="s">
        <v>3555</v>
      </c>
      <c r="C977" s="58" t="s">
        <v>1728</v>
      </c>
      <c r="D977" s="58" t="s">
        <v>3556</v>
      </c>
      <c r="E977" s="60" t="b">
        <v>1</v>
      </c>
      <c r="F977" s="80" t="s">
        <v>3443</v>
      </c>
      <c r="G977" s="58" t="s">
        <v>3557</v>
      </c>
      <c r="H977" s="58" t="s">
        <v>1728</v>
      </c>
      <c r="I977" s="64" t="s">
        <v>3556</v>
      </c>
      <c r="J977" s="66"/>
      <c r="K977" s="66"/>
      <c r="L977" s="68"/>
      <c r="M977" s="63" t="str">
        <f>HYPERLINK("http://nsgreg.nga.mil/genc/view?v=863115&amp;end_month=12&amp;end_day=31&amp;end_year=2016","Correlation")</f>
        <v>Correlation</v>
      </c>
    </row>
    <row r="978" spans="1:13" x14ac:dyDescent="0.2">
      <c r="A978" s="113"/>
      <c r="B978" s="58" t="s">
        <v>3558</v>
      </c>
      <c r="C978" s="58" t="s">
        <v>1796</v>
      </c>
      <c r="D978" s="58" t="s">
        <v>3559</v>
      </c>
      <c r="E978" s="60" t="b">
        <v>1</v>
      </c>
      <c r="F978" s="80" t="s">
        <v>3443</v>
      </c>
      <c r="G978" s="58" t="s">
        <v>3558</v>
      </c>
      <c r="H978" s="58" t="s">
        <v>1796</v>
      </c>
      <c r="I978" s="64" t="s">
        <v>3559</v>
      </c>
      <c r="J978" s="66"/>
      <c r="K978" s="66"/>
      <c r="L978" s="68"/>
      <c r="M978" s="63" t="str">
        <f>HYPERLINK("http://nsgreg.nga.mil/genc/view?v=863076&amp;end_month=12&amp;end_day=31&amp;end_year=2016","Correlation")</f>
        <v>Correlation</v>
      </c>
    </row>
    <row r="979" spans="1:13" x14ac:dyDescent="0.2">
      <c r="A979" s="113"/>
      <c r="B979" s="58" t="s">
        <v>3560</v>
      </c>
      <c r="C979" s="58" t="s">
        <v>1796</v>
      </c>
      <c r="D979" s="58" t="s">
        <v>3561</v>
      </c>
      <c r="E979" s="60" t="b">
        <v>1</v>
      </c>
      <c r="F979" s="80" t="s">
        <v>3443</v>
      </c>
      <c r="G979" s="58" t="s">
        <v>3560</v>
      </c>
      <c r="H979" s="58" t="s">
        <v>1796</v>
      </c>
      <c r="I979" s="64" t="s">
        <v>3561</v>
      </c>
      <c r="J979" s="66"/>
      <c r="K979" s="66"/>
      <c r="L979" s="68"/>
      <c r="M979" s="63" t="str">
        <f>HYPERLINK("http://nsgreg.nga.mil/genc/view?v=863040&amp;end_month=12&amp;end_day=31&amp;end_year=2016","Correlation")</f>
        <v>Correlation</v>
      </c>
    </row>
    <row r="980" spans="1:13" x14ac:dyDescent="0.2">
      <c r="A980" s="113"/>
      <c r="B980" s="58" t="s">
        <v>3562</v>
      </c>
      <c r="C980" s="58" t="s">
        <v>1796</v>
      </c>
      <c r="D980" s="58" t="s">
        <v>3563</v>
      </c>
      <c r="E980" s="60" t="b">
        <v>1</v>
      </c>
      <c r="F980" s="80" t="s">
        <v>3443</v>
      </c>
      <c r="G980" s="58" t="s">
        <v>3564</v>
      </c>
      <c r="H980" s="58" t="s">
        <v>1796</v>
      </c>
      <c r="I980" s="64" t="s">
        <v>3563</v>
      </c>
      <c r="J980" s="66"/>
      <c r="K980" s="66"/>
      <c r="L980" s="68"/>
      <c r="M980" s="63" t="str">
        <f>HYPERLINK("http://nsgreg.nga.mil/genc/view?v=863047&amp;end_month=12&amp;end_day=31&amp;end_year=2016","Correlation")</f>
        <v>Correlation</v>
      </c>
    </row>
    <row r="981" spans="1:13" x14ac:dyDescent="0.2">
      <c r="A981" s="113"/>
      <c r="B981" s="58" t="s">
        <v>3565</v>
      </c>
      <c r="C981" s="58" t="s">
        <v>1796</v>
      </c>
      <c r="D981" s="58" t="s">
        <v>3566</v>
      </c>
      <c r="E981" s="60" t="b">
        <v>1</v>
      </c>
      <c r="F981" s="80" t="s">
        <v>3443</v>
      </c>
      <c r="G981" s="58" t="s">
        <v>3567</v>
      </c>
      <c r="H981" s="58" t="s">
        <v>1796</v>
      </c>
      <c r="I981" s="64" t="s">
        <v>3566</v>
      </c>
      <c r="J981" s="66"/>
      <c r="K981" s="66"/>
      <c r="L981" s="68"/>
      <c r="M981" s="63" t="str">
        <f>HYPERLINK("http://nsgreg.nga.mil/genc/view?v=863046&amp;end_month=12&amp;end_day=31&amp;end_year=2016","Correlation")</f>
        <v>Correlation</v>
      </c>
    </row>
    <row r="982" spans="1:13" x14ac:dyDescent="0.2">
      <c r="A982" s="113"/>
      <c r="B982" s="58" t="s">
        <v>3568</v>
      </c>
      <c r="C982" s="58" t="s">
        <v>1796</v>
      </c>
      <c r="D982" s="58" t="s">
        <v>3569</v>
      </c>
      <c r="E982" s="60" t="b">
        <v>1</v>
      </c>
      <c r="F982" s="80" t="s">
        <v>3443</v>
      </c>
      <c r="G982" s="58" t="s">
        <v>3570</v>
      </c>
      <c r="H982" s="58" t="s">
        <v>1796</v>
      </c>
      <c r="I982" s="64" t="s">
        <v>3569</v>
      </c>
      <c r="J982" s="66"/>
      <c r="K982" s="66"/>
      <c r="L982" s="68"/>
      <c r="M982" s="63" t="str">
        <f>HYPERLINK("http://nsgreg.nga.mil/genc/view?v=863048&amp;end_month=12&amp;end_day=31&amp;end_year=2016","Correlation")</f>
        <v>Correlation</v>
      </c>
    </row>
    <row r="983" spans="1:13" x14ac:dyDescent="0.2">
      <c r="A983" s="113"/>
      <c r="B983" s="58" t="s">
        <v>3571</v>
      </c>
      <c r="C983" s="58" t="s">
        <v>1728</v>
      </c>
      <c r="D983" s="58" t="s">
        <v>3572</v>
      </c>
      <c r="E983" s="60" t="b">
        <v>1</v>
      </c>
      <c r="F983" s="80" t="s">
        <v>3443</v>
      </c>
      <c r="G983" s="58" t="s">
        <v>3573</v>
      </c>
      <c r="H983" s="58" t="s">
        <v>1728</v>
      </c>
      <c r="I983" s="64" t="s">
        <v>3572</v>
      </c>
      <c r="J983" s="66"/>
      <c r="K983" s="66"/>
      <c r="L983" s="68"/>
      <c r="M983" s="63" t="str">
        <f>HYPERLINK("http://nsgreg.nga.mil/genc/view?v=863116&amp;end_month=12&amp;end_day=31&amp;end_year=2016","Correlation")</f>
        <v>Correlation</v>
      </c>
    </row>
    <row r="984" spans="1:13" x14ac:dyDescent="0.2">
      <c r="A984" s="113"/>
      <c r="B984" s="58" t="s">
        <v>3574</v>
      </c>
      <c r="C984" s="58" t="s">
        <v>1796</v>
      </c>
      <c r="D984" s="58" t="s">
        <v>3575</v>
      </c>
      <c r="E984" s="60" t="b">
        <v>1</v>
      </c>
      <c r="F984" s="80" t="s">
        <v>3443</v>
      </c>
      <c r="G984" s="58" t="s">
        <v>3574</v>
      </c>
      <c r="H984" s="58" t="s">
        <v>1796</v>
      </c>
      <c r="I984" s="64" t="s">
        <v>3575</v>
      </c>
      <c r="J984" s="66"/>
      <c r="K984" s="66"/>
      <c r="L984" s="68"/>
      <c r="M984" s="63" t="str">
        <f>HYPERLINK("http://nsgreg.nga.mil/genc/view?v=863041&amp;end_month=12&amp;end_day=31&amp;end_year=2016","Correlation")</f>
        <v>Correlation</v>
      </c>
    </row>
    <row r="985" spans="1:13" x14ac:dyDescent="0.2">
      <c r="A985" s="113"/>
      <c r="B985" s="58" t="s">
        <v>3576</v>
      </c>
      <c r="C985" s="58" t="s">
        <v>3577</v>
      </c>
      <c r="D985" s="58" t="s">
        <v>3578</v>
      </c>
      <c r="E985" s="60" t="b">
        <v>1</v>
      </c>
      <c r="F985" s="80" t="s">
        <v>3443</v>
      </c>
      <c r="G985" s="58" t="s">
        <v>3579</v>
      </c>
      <c r="H985" s="58" t="s">
        <v>3577</v>
      </c>
      <c r="I985" s="64" t="s">
        <v>3578</v>
      </c>
      <c r="J985" s="66"/>
      <c r="K985" s="66"/>
      <c r="L985" s="68"/>
      <c r="M985" s="63" t="str">
        <f>HYPERLINK("http://nsgreg.nga.mil/genc/view?v=863117&amp;end_month=12&amp;end_day=31&amp;end_year=2016","Correlation")</f>
        <v>Correlation</v>
      </c>
    </row>
    <row r="986" spans="1:13" x14ac:dyDescent="0.2">
      <c r="A986" s="113"/>
      <c r="B986" s="58" t="s">
        <v>3580</v>
      </c>
      <c r="C986" s="58" t="s">
        <v>1796</v>
      </c>
      <c r="D986" s="58" t="s">
        <v>3581</v>
      </c>
      <c r="E986" s="60" t="b">
        <v>1</v>
      </c>
      <c r="F986" s="80" t="s">
        <v>3443</v>
      </c>
      <c r="G986" s="58" t="s">
        <v>3582</v>
      </c>
      <c r="H986" s="58" t="s">
        <v>1796</v>
      </c>
      <c r="I986" s="64" t="s">
        <v>3581</v>
      </c>
      <c r="J986" s="66"/>
      <c r="K986" s="66"/>
      <c r="L986" s="68"/>
      <c r="M986" s="63" t="str">
        <f>HYPERLINK("http://nsgreg.nga.mil/genc/view?v=863023&amp;end_month=12&amp;end_day=31&amp;end_year=2016","Correlation")</f>
        <v>Correlation</v>
      </c>
    </row>
    <row r="987" spans="1:13" x14ac:dyDescent="0.2">
      <c r="A987" s="113"/>
      <c r="B987" s="58" t="s">
        <v>3583</v>
      </c>
      <c r="C987" s="58" t="s">
        <v>1796</v>
      </c>
      <c r="D987" s="58" t="s">
        <v>3584</v>
      </c>
      <c r="E987" s="60" t="b">
        <v>1</v>
      </c>
      <c r="F987" s="80" t="s">
        <v>3443</v>
      </c>
      <c r="G987" s="58" t="s">
        <v>3585</v>
      </c>
      <c r="H987" s="58" t="s">
        <v>1796</v>
      </c>
      <c r="I987" s="64" t="s">
        <v>3584</v>
      </c>
      <c r="J987" s="66"/>
      <c r="K987" s="66"/>
      <c r="L987" s="68"/>
      <c r="M987" s="63" t="str">
        <f>HYPERLINK("http://nsgreg.nga.mil/genc/view?v=863013&amp;end_month=12&amp;end_day=31&amp;end_year=2016","Correlation")</f>
        <v>Correlation</v>
      </c>
    </row>
    <row r="988" spans="1:13" x14ac:dyDescent="0.2">
      <c r="A988" s="113"/>
      <c r="B988" s="58" t="s">
        <v>3586</v>
      </c>
      <c r="C988" s="58" t="s">
        <v>1796</v>
      </c>
      <c r="D988" s="58" t="s">
        <v>3587</v>
      </c>
      <c r="E988" s="60" t="b">
        <v>1</v>
      </c>
      <c r="F988" s="80" t="s">
        <v>3443</v>
      </c>
      <c r="G988" s="58" t="s">
        <v>3588</v>
      </c>
      <c r="H988" s="58" t="s">
        <v>1796</v>
      </c>
      <c r="I988" s="64" t="s">
        <v>3587</v>
      </c>
      <c r="J988" s="66"/>
      <c r="K988" s="66"/>
      <c r="L988" s="68"/>
      <c r="M988" s="63" t="str">
        <f>HYPERLINK("http://nsgreg.nga.mil/genc/view?v=863019&amp;end_month=12&amp;end_day=31&amp;end_year=2016","Correlation")</f>
        <v>Correlation</v>
      </c>
    </row>
    <row r="989" spans="1:13" x14ac:dyDescent="0.2">
      <c r="A989" s="113"/>
      <c r="B989" s="58" t="s">
        <v>3589</v>
      </c>
      <c r="C989" s="58" t="s">
        <v>1796</v>
      </c>
      <c r="D989" s="58" t="s">
        <v>3590</v>
      </c>
      <c r="E989" s="60" t="b">
        <v>1</v>
      </c>
      <c r="F989" s="80" t="s">
        <v>3443</v>
      </c>
      <c r="G989" s="58" t="s">
        <v>3591</v>
      </c>
      <c r="H989" s="58" t="s">
        <v>1796</v>
      </c>
      <c r="I989" s="64" t="s">
        <v>3590</v>
      </c>
      <c r="J989" s="66"/>
      <c r="K989" s="66"/>
      <c r="L989" s="68"/>
      <c r="M989" s="63" t="str">
        <f>HYPERLINK("http://nsgreg.nga.mil/genc/view?v=863082&amp;end_month=12&amp;end_day=31&amp;end_year=2016","Correlation")</f>
        <v>Correlation</v>
      </c>
    </row>
    <row r="990" spans="1:13" x14ac:dyDescent="0.2">
      <c r="A990" s="113"/>
      <c r="B990" s="58" t="s">
        <v>3592</v>
      </c>
      <c r="C990" s="58" t="s">
        <v>1796</v>
      </c>
      <c r="D990" s="58" t="s">
        <v>3593</v>
      </c>
      <c r="E990" s="60" t="b">
        <v>1</v>
      </c>
      <c r="F990" s="80" t="s">
        <v>3443</v>
      </c>
      <c r="G990" s="58" t="s">
        <v>3594</v>
      </c>
      <c r="H990" s="58" t="s">
        <v>1796</v>
      </c>
      <c r="I990" s="64" t="s">
        <v>3593</v>
      </c>
      <c r="J990" s="66"/>
      <c r="K990" s="66"/>
      <c r="L990" s="68"/>
      <c r="M990" s="63" t="str">
        <f>HYPERLINK("http://nsgreg.nga.mil/genc/view?v=863018&amp;end_month=12&amp;end_day=31&amp;end_year=2016","Correlation")</f>
        <v>Correlation</v>
      </c>
    </row>
    <row r="991" spans="1:13" x14ac:dyDescent="0.2">
      <c r="A991" s="113"/>
      <c r="B991" s="58" t="s">
        <v>3595</v>
      </c>
      <c r="C991" s="58" t="s">
        <v>1796</v>
      </c>
      <c r="D991" s="58" t="s">
        <v>3596</v>
      </c>
      <c r="E991" s="60" t="b">
        <v>1</v>
      </c>
      <c r="F991" s="80" t="s">
        <v>3443</v>
      </c>
      <c r="G991" s="58" t="s">
        <v>3597</v>
      </c>
      <c r="H991" s="58" t="s">
        <v>1796</v>
      </c>
      <c r="I991" s="64" t="s">
        <v>3596</v>
      </c>
      <c r="J991" s="66"/>
      <c r="K991" s="66"/>
      <c r="L991" s="68"/>
      <c r="M991" s="63" t="str">
        <f>HYPERLINK("http://nsgreg.nga.mil/genc/view?v=863011&amp;end_month=12&amp;end_day=31&amp;end_year=2016","Correlation")</f>
        <v>Correlation</v>
      </c>
    </row>
    <row r="992" spans="1:13" x14ac:dyDescent="0.2">
      <c r="A992" s="113"/>
      <c r="B992" s="58" t="s">
        <v>3598</v>
      </c>
      <c r="C992" s="58" t="s">
        <v>1796</v>
      </c>
      <c r="D992" s="58" t="s">
        <v>3599</v>
      </c>
      <c r="E992" s="60" t="b">
        <v>1</v>
      </c>
      <c r="F992" s="80" t="s">
        <v>3443</v>
      </c>
      <c r="G992" s="58" t="s">
        <v>3600</v>
      </c>
      <c r="H992" s="58" t="s">
        <v>1796</v>
      </c>
      <c r="I992" s="64" t="s">
        <v>3599</v>
      </c>
      <c r="J992" s="66"/>
      <c r="K992" s="66"/>
      <c r="L992" s="68"/>
      <c r="M992" s="63" t="str">
        <f>HYPERLINK("http://nsgreg.nga.mil/genc/view?v=863083&amp;end_month=12&amp;end_day=31&amp;end_year=2016","Correlation")</f>
        <v>Correlation</v>
      </c>
    </row>
    <row r="993" spans="1:13" x14ac:dyDescent="0.2">
      <c r="A993" s="113"/>
      <c r="B993" s="58" t="s">
        <v>3601</v>
      </c>
      <c r="C993" s="58" t="s">
        <v>1796</v>
      </c>
      <c r="D993" s="58" t="s">
        <v>3602</v>
      </c>
      <c r="E993" s="60" t="b">
        <v>1</v>
      </c>
      <c r="F993" s="80" t="s">
        <v>3443</v>
      </c>
      <c r="G993" s="58" t="s">
        <v>3603</v>
      </c>
      <c r="H993" s="58" t="s">
        <v>1796</v>
      </c>
      <c r="I993" s="64" t="s">
        <v>3602</v>
      </c>
      <c r="J993" s="66"/>
      <c r="K993" s="66"/>
      <c r="L993" s="68"/>
      <c r="M993" s="63" t="str">
        <f>HYPERLINK("http://nsgreg.nga.mil/genc/view?v=863085&amp;end_month=12&amp;end_day=31&amp;end_year=2016","Correlation")</f>
        <v>Correlation</v>
      </c>
    </row>
    <row r="994" spans="1:13" x14ac:dyDescent="0.2">
      <c r="A994" s="113"/>
      <c r="B994" s="58" t="s">
        <v>3604</v>
      </c>
      <c r="C994" s="58" t="s">
        <v>1796</v>
      </c>
      <c r="D994" s="58" t="s">
        <v>3605</v>
      </c>
      <c r="E994" s="60" t="b">
        <v>1</v>
      </c>
      <c r="F994" s="80" t="s">
        <v>3443</v>
      </c>
      <c r="G994" s="58" t="s">
        <v>3606</v>
      </c>
      <c r="H994" s="58" t="s">
        <v>1796</v>
      </c>
      <c r="I994" s="64" t="s">
        <v>3605</v>
      </c>
      <c r="J994" s="66"/>
      <c r="K994" s="66"/>
      <c r="L994" s="68"/>
      <c r="M994" s="63" t="str">
        <f>HYPERLINK("http://nsgreg.nga.mil/genc/view?v=863084&amp;end_month=12&amp;end_day=31&amp;end_year=2016","Correlation")</f>
        <v>Correlation</v>
      </c>
    </row>
    <row r="995" spans="1:13" x14ac:dyDescent="0.2">
      <c r="A995" s="113"/>
      <c r="B995" s="58" t="s">
        <v>3607</v>
      </c>
      <c r="C995" s="58" t="s">
        <v>1796</v>
      </c>
      <c r="D995" s="58" t="s">
        <v>3608</v>
      </c>
      <c r="E995" s="60" t="b">
        <v>1</v>
      </c>
      <c r="F995" s="80" t="s">
        <v>3443</v>
      </c>
      <c r="G995" s="58" t="s">
        <v>3609</v>
      </c>
      <c r="H995" s="58" t="s">
        <v>1796</v>
      </c>
      <c r="I995" s="64" t="s">
        <v>3608</v>
      </c>
      <c r="J995" s="66"/>
      <c r="K995" s="66"/>
      <c r="L995" s="68"/>
      <c r="M995" s="63" t="str">
        <f>HYPERLINK("http://nsgreg.nga.mil/genc/view?v=863021&amp;end_month=12&amp;end_day=31&amp;end_year=2016","Correlation")</f>
        <v>Correlation</v>
      </c>
    </row>
    <row r="996" spans="1:13" x14ac:dyDescent="0.2">
      <c r="A996" s="113"/>
      <c r="B996" s="58" t="s">
        <v>3610</v>
      </c>
      <c r="C996" s="58" t="s">
        <v>1796</v>
      </c>
      <c r="D996" s="58" t="s">
        <v>3611</v>
      </c>
      <c r="E996" s="60" t="b">
        <v>1</v>
      </c>
      <c r="F996" s="80" t="s">
        <v>3443</v>
      </c>
      <c r="G996" s="58" t="s">
        <v>3612</v>
      </c>
      <c r="H996" s="58" t="s">
        <v>1796</v>
      </c>
      <c r="I996" s="64" t="s">
        <v>3611</v>
      </c>
      <c r="J996" s="66"/>
      <c r="K996" s="66"/>
      <c r="L996" s="68"/>
      <c r="M996" s="63" t="str">
        <f>HYPERLINK("http://nsgreg.nga.mil/genc/view?v=863010&amp;end_month=12&amp;end_day=31&amp;end_year=2016","Correlation")</f>
        <v>Correlation</v>
      </c>
    </row>
    <row r="997" spans="1:13" x14ac:dyDescent="0.2">
      <c r="A997" s="113"/>
      <c r="B997" s="58" t="s">
        <v>3613</v>
      </c>
      <c r="C997" s="58" t="s">
        <v>1796</v>
      </c>
      <c r="D997" s="58" t="s">
        <v>3614</v>
      </c>
      <c r="E997" s="60" t="b">
        <v>1</v>
      </c>
      <c r="F997" s="80" t="s">
        <v>3443</v>
      </c>
      <c r="G997" s="58" t="s">
        <v>3615</v>
      </c>
      <c r="H997" s="58" t="s">
        <v>1796</v>
      </c>
      <c r="I997" s="64" t="s">
        <v>3614</v>
      </c>
      <c r="J997" s="66"/>
      <c r="K997" s="66"/>
      <c r="L997" s="68"/>
      <c r="M997" s="63" t="str">
        <f>HYPERLINK("http://nsgreg.nga.mil/genc/view?v=863020&amp;end_month=12&amp;end_day=31&amp;end_year=2016","Correlation")</f>
        <v>Correlation</v>
      </c>
    </row>
    <row r="998" spans="1:13" x14ac:dyDescent="0.2">
      <c r="A998" s="113"/>
      <c r="B998" s="58" t="s">
        <v>3616</v>
      </c>
      <c r="C998" s="58" t="s">
        <v>1796</v>
      </c>
      <c r="D998" s="58" t="s">
        <v>3617</v>
      </c>
      <c r="E998" s="60" t="b">
        <v>1</v>
      </c>
      <c r="F998" s="80" t="s">
        <v>3443</v>
      </c>
      <c r="G998" s="58" t="s">
        <v>3618</v>
      </c>
      <c r="H998" s="58" t="s">
        <v>1796</v>
      </c>
      <c r="I998" s="64" t="s">
        <v>3617</v>
      </c>
      <c r="J998" s="66"/>
      <c r="K998" s="66"/>
      <c r="L998" s="68"/>
      <c r="M998" s="63" t="str">
        <f>HYPERLINK("http://nsgreg.nga.mil/genc/view?v=863017&amp;end_month=12&amp;end_day=31&amp;end_year=2016","Correlation")</f>
        <v>Correlation</v>
      </c>
    </row>
    <row r="999" spans="1:13" x14ac:dyDescent="0.2">
      <c r="A999" s="113"/>
      <c r="B999" s="58" t="s">
        <v>3619</v>
      </c>
      <c r="C999" s="58" t="s">
        <v>1796</v>
      </c>
      <c r="D999" s="58" t="s">
        <v>3620</v>
      </c>
      <c r="E999" s="60" t="b">
        <v>1</v>
      </c>
      <c r="F999" s="80" t="s">
        <v>3443</v>
      </c>
      <c r="G999" s="58" t="s">
        <v>3621</v>
      </c>
      <c r="H999" s="58" t="s">
        <v>1796</v>
      </c>
      <c r="I999" s="64" t="s">
        <v>3620</v>
      </c>
      <c r="J999" s="66"/>
      <c r="K999" s="66"/>
      <c r="L999" s="68"/>
      <c r="M999" s="63" t="str">
        <f>HYPERLINK("http://nsgreg.nga.mil/genc/view?v=863081&amp;end_month=12&amp;end_day=31&amp;end_year=2016","Correlation")</f>
        <v>Correlation</v>
      </c>
    </row>
    <row r="1000" spans="1:13" x14ac:dyDescent="0.2">
      <c r="A1000" s="113"/>
      <c r="B1000" s="58" t="s">
        <v>3622</v>
      </c>
      <c r="C1000" s="58" t="s">
        <v>1796</v>
      </c>
      <c r="D1000" s="58" t="s">
        <v>3623</v>
      </c>
      <c r="E1000" s="60" t="b">
        <v>1</v>
      </c>
      <c r="F1000" s="80" t="s">
        <v>3443</v>
      </c>
      <c r="G1000" s="58" t="s">
        <v>3624</v>
      </c>
      <c r="H1000" s="58" t="s">
        <v>1796</v>
      </c>
      <c r="I1000" s="64" t="s">
        <v>3623</v>
      </c>
      <c r="J1000" s="66"/>
      <c r="K1000" s="66"/>
      <c r="L1000" s="68"/>
      <c r="M1000" s="63" t="str">
        <f>HYPERLINK("http://nsgreg.nga.mil/genc/view?v=863024&amp;end_month=12&amp;end_day=31&amp;end_year=2016","Correlation")</f>
        <v>Correlation</v>
      </c>
    </row>
    <row r="1001" spans="1:13" x14ac:dyDescent="0.2">
      <c r="A1001" s="113"/>
      <c r="B1001" s="58" t="s">
        <v>3625</v>
      </c>
      <c r="C1001" s="58" t="s">
        <v>1796</v>
      </c>
      <c r="D1001" s="58" t="s">
        <v>3626</v>
      </c>
      <c r="E1001" s="60" t="b">
        <v>1</v>
      </c>
      <c r="F1001" s="80" t="s">
        <v>3443</v>
      </c>
      <c r="G1001" s="58" t="s">
        <v>3627</v>
      </c>
      <c r="H1001" s="58" t="s">
        <v>1796</v>
      </c>
      <c r="I1001" s="64" t="s">
        <v>3626</v>
      </c>
      <c r="J1001" s="66"/>
      <c r="K1001" s="66"/>
      <c r="L1001" s="68"/>
      <c r="M1001" s="63" t="str">
        <f>HYPERLINK("http://nsgreg.nga.mil/genc/view?v=863014&amp;end_month=12&amp;end_day=31&amp;end_year=2016","Correlation")</f>
        <v>Correlation</v>
      </c>
    </row>
    <row r="1002" spans="1:13" x14ac:dyDescent="0.2">
      <c r="A1002" s="113"/>
      <c r="B1002" s="58" t="s">
        <v>3628</v>
      </c>
      <c r="C1002" s="58" t="s">
        <v>1796</v>
      </c>
      <c r="D1002" s="58" t="s">
        <v>3629</v>
      </c>
      <c r="E1002" s="60" t="b">
        <v>1</v>
      </c>
      <c r="F1002" s="80" t="s">
        <v>3443</v>
      </c>
      <c r="G1002" s="58" t="s">
        <v>3630</v>
      </c>
      <c r="H1002" s="58" t="s">
        <v>1796</v>
      </c>
      <c r="I1002" s="64" t="s">
        <v>3629</v>
      </c>
      <c r="J1002" s="66"/>
      <c r="K1002" s="66"/>
      <c r="L1002" s="68"/>
      <c r="M1002" s="63" t="str">
        <f>HYPERLINK("http://nsgreg.nga.mil/genc/view?v=863016&amp;end_month=12&amp;end_day=31&amp;end_year=2016","Correlation")</f>
        <v>Correlation</v>
      </c>
    </row>
    <row r="1003" spans="1:13" x14ac:dyDescent="0.2">
      <c r="A1003" s="113"/>
      <c r="B1003" s="58" t="s">
        <v>3631</v>
      </c>
      <c r="C1003" s="58" t="s">
        <v>1796</v>
      </c>
      <c r="D1003" s="58" t="s">
        <v>3632</v>
      </c>
      <c r="E1003" s="60" t="b">
        <v>1</v>
      </c>
      <c r="F1003" s="80" t="s">
        <v>3443</v>
      </c>
      <c r="G1003" s="58" t="s">
        <v>3633</v>
      </c>
      <c r="H1003" s="58" t="s">
        <v>1796</v>
      </c>
      <c r="I1003" s="64" t="s">
        <v>3632</v>
      </c>
      <c r="J1003" s="66"/>
      <c r="K1003" s="66"/>
      <c r="L1003" s="68"/>
      <c r="M1003" s="63" t="str">
        <f>HYPERLINK("http://nsgreg.nga.mil/genc/view?v=863080&amp;end_month=12&amp;end_day=31&amp;end_year=2016","Correlation")</f>
        <v>Correlation</v>
      </c>
    </row>
    <row r="1004" spans="1:13" x14ac:dyDescent="0.2">
      <c r="A1004" s="113"/>
      <c r="B1004" s="58" t="s">
        <v>3634</v>
      </c>
      <c r="C1004" s="58" t="s">
        <v>1796</v>
      </c>
      <c r="D1004" s="58" t="s">
        <v>3635</v>
      </c>
      <c r="E1004" s="60" t="b">
        <v>1</v>
      </c>
      <c r="F1004" s="80" t="s">
        <v>3443</v>
      </c>
      <c r="G1004" s="58" t="s">
        <v>3636</v>
      </c>
      <c r="H1004" s="58" t="s">
        <v>1796</v>
      </c>
      <c r="I1004" s="64" t="s">
        <v>3635</v>
      </c>
      <c r="J1004" s="66"/>
      <c r="K1004" s="66"/>
      <c r="L1004" s="68"/>
      <c r="M1004" s="63" t="str">
        <f>HYPERLINK("http://nsgreg.nga.mil/genc/view?v=863015&amp;end_month=12&amp;end_day=31&amp;end_year=2016","Correlation")</f>
        <v>Correlation</v>
      </c>
    </row>
    <row r="1005" spans="1:13" x14ac:dyDescent="0.2">
      <c r="A1005" s="113"/>
      <c r="B1005" s="58" t="s">
        <v>3637</v>
      </c>
      <c r="C1005" s="58" t="s">
        <v>1796</v>
      </c>
      <c r="D1005" s="58" t="s">
        <v>3638</v>
      </c>
      <c r="E1005" s="60" t="b">
        <v>1</v>
      </c>
      <c r="F1005" s="80" t="s">
        <v>3443</v>
      </c>
      <c r="G1005" s="58" t="s">
        <v>3639</v>
      </c>
      <c r="H1005" s="58" t="s">
        <v>1796</v>
      </c>
      <c r="I1005" s="64" t="s">
        <v>3638</v>
      </c>
      <c r="J1005" s="66"/>
      <c r="K1005" s="66"/>
      <c r="L1005" s="68"/>
      <c r="M1005" s="63" t="str">
        <f>HYPERLINK("http://nsgreg.nga.mil/genc/view?v=863079&amp;end_month=12&amp;end_day=31&amp;end_year=2016","Correlation")</f>
        <v>Correlation</v>
      </c>
    </row>
    <row r="1006" spans="1:13" x14ac:dyDescent="0.2">
      <c r="A1006" s="113"/>
      <c r="B1006" s="58" t="s">
        <v>3640</v>
      </c>
      <c r="C1006" s="58" t="s">
        <v>1796</v>
      </c>
      <c r="D1006" s="58" t="s">
        <v>3641</v>
      </c>
      <c r="E1006" s="60" t="b">
        <v>1</v>
      </c>
      <c r="F1006" s="80" t="s">
        <v>3443</v>
      </c>
      <c r="G1006" s="58" t="s">
        <v>3642</v>
      </c>
      <c r="H1006" s="58" t="s">
        <v>1796</v>
      </c>
      <c r="I1006" s="64" t="s">
        <v>3641</v>
      </c>
      <c r="J1006" s="66"/>
      <c r="K1006" s="66"/>
      <c r="L1006" s="68"/>
      <c r="M1006" s="63" t="str">
        <f>HYPERLINK("http://nsgreg.nga.mil/genc/view?v=863012&amp;end_month=12&amp;end_day=31&amp;end_year=2016","Correlation")</f>
        <v>Correlation</v>
      </c>
    </row>
    <row r="1007" spans="1:13" x14ac:dyDescent="0.2">
      <c r="A1007" s="113"/>
      <c r="B1007" s="58" t="s">
        <v>3643</v>
      </c>
      <c r="C1007" s="58" t="s">
        <v>1796</v>
      </c>
      <c r="D1007" s="58" t="s">
        <v>3644</v>
      </c>
      <c r="E1007" s="60" t="b">
        <v>1</v>
      </c>
      <c r="F1007" s="80" t="s">
        <v>3443</v>
      </c>
      <c r="G1007" s="58" t="s">
        <v>3645</v>
      </c>
      <c r="H1007" s="58" t="s">
        <v>1796</v>
      </c>
      <c r="I1007" s="64" t="s">
        <v>3644</v>
      </c>
      <c r="J1007" s="66"/>
      <c r="K1007" s="66"/>
      <c r="L1007" s="68"/>
      <c r="M1007" s="63" t="str">
        <f>HYPERLINK("http://nsgreg.nga.mil/genc/view?v=863022&amp;end_month=12&amp;end_day=31&amp;end_year=2016","Correlation")</f>
        <v>Correlation</v>
      </c>
    </row>
    <row r="1008" spans="1:13" x14ac:dyDescent="0.2">
      <c r="A1008" s="113"/>
      <c r="B1008" s="58" t="s">
        <v>3646</v>
      </c>
      <c r="C1008" s="58" t="s">
        <v>1796</v>
      </c>
      <c r="D1008" s="58" t="s">
        <v>3647</v>
      </c>
      <c r="E1008" s="60" t="b">
        <v>1</v>
      </c>
      <c r="F1008" s="80" t="s">
        <v>3443</v>
      </c>
      <c r="G1008" s="58" t="s">
        <v>3648</v>
      </c>
      <c r="H1008" s="58" t="s">
        <v>1796</v>
      </c>
      <c r="I1008" s="64" t="s">
        <v>3647</v>
      </c>
      <c r="J1008" s="66"/>
      <c r="K1008" s="66"/>
      <c r="L1008" s="68"/>
      <c r="M1008" s="63" t="str">
        <f>HYPERLINK("http://nsgreg.nga.mil/genc/view?v=863033&amp;end_month=12&amp;end_day=31&amp;end_year=2016","Correlation")</f>
        <v>Correlation</v>
      </c>
    </row>
    <row r="1009" spans="1:13" x14ac:dyDescent="0.2">
      <c r="A1009" s="113"/>
      <c r="B1009" s="58" t="s">
        <v>3649</v>
      </c>
      <c r="C1009" s="58" t="s">
        <v>1796</v>
      </c>
      <c r="D1009" s="58" t="s">
        <v>3650</v>
      </c>
      <c r="E1009" s="60" t="b">
        <v>1</v>
      </c>
      <c r="F1009" s="80" t="s">
        <v>3443</v>
      </c>
      <c r="G1009" s="58" t="s">
        <v>3651</v>
      </c>
      <c r="H1009" s="58" t="s">
        <v>1796</v>
      </c>
      <c r="I1009" s="64" t="s">
        <v>3650</v>
      </c>
      <c r="J1009" s="66"/>
      <c r="K1009" s="66"/>
      <c r="L1009" s="68"/>
      <c r="M1009" s="63" t="str">
        <f>HYPERLINK("http://nsgreg.nga.mil/genc/view?v=863034&amp;end_month=12&amp;end_day=31&amp;end_year=2016","Correlation")</f>
        <v>Correlation</v>
      </c>
    </row>
    <row r="1010" spans="1:13" x14ac:dyDescent="0.2">
      <c r="A1010" s="113"/>
      <c r="B1010" s="58" t="s">
        <v>3652</v>
      </c>
      <c r="C1010" s="58" t="s">
        <v>1796</v>
      </c>
      <c r="D1010" s="58" t="s">
        <v>3653</v>
      </c>
      <c r="E1010" s="60" t="b">
        <v>1</v>
      </c>
      <c r="F1010" s="80" t="s">
        <v>3443</v>
      </c>
      <c r="G1010" s="58" t="s">
        <v>3652</v>
      </c>
      <c r="H1010" s="58" t="s">
        <v>1796</v>
      </c>
      <c r="I1010" s="64" t="s">
        <v>3653</v>
      </c>
      <c r="J1010" s="66"/>
      <c r="K1010" s="66"/>
      <c r="L1010" s="68"/>
      <c r="M1010" s="63" t="str">
        <f>HYPERLINK("http://nsgreg.nga.mil/genc/view?v=863096&amp;end_month=12&amp;end_day=31&amp;end_year=2016","Correlation")</f>
        <v>Correlation</v>
      </c>
    </row>
    <row r="1011" spans="1:13" x14ac:dyDescent="0.2">
      <c r="A1011" s="113"/>
      <c r="B1011" s="58" t="s">
        <v>3654</v>
      </c>
      <c r="C1011" s="58" t="s">
        <v>1796</v>
      </c>
      <c r="D1011" s="58" t="s">
        <v>3655</v>
      </c>
      <c r="E1011" s="60" t="b">
        <v>1</v>
      </c>
      <c r="F1011" s="80" t="s">
        <v>3443</v>
      </c>
      <c r="G1011" s="58" t="s">
        <v>3654</v>
      </c>
      <c r="H1011" s="58" t="s">
        <v>1796</v>
      </c>
      <c r="I1011" s="64" t="s">
        <v>3655</v>
      </c>
      <c r="J1011" s="66"/>
      <c r="K1011" s="66"/>
      <c r="L1011" s="68"/>
      <c r="M1011" s="63" t="str">
        <f>HYPERLINK("http://nsgreg.nga.mil/genc/view?v=863035&amp;end_month=12&amp;end_day=31&amp;end_year=2016","Correlation")</f>
        <v>Correlation</v>
      </c>
    </row>
    <row r="1012" spans="1:13" x14ac:dyDescent="0.2">
      <c r="A1012" s="113"/>
      <c r="B1012" s="58" t="s">
        <v>3656</v>
      </c>
      <c r="C1012" s="58" t="s">
        <v>1796</v>
      </c>
      <c r="D1012" s="58" t="s">
        <v>3657</v>
      </c>
      <c r="E1012" s="60" t="b">
        <v>1</v>
      </c>
      <c r="F1012" s="80" t="s">
        <v>3443</v>
      </c>
      <c r="G1012" s="58" t="s">
        <v>3656</v>
      </c>
      <c r="H1012" s="58" t="s">
        <v>1796</v>
      </c>
      <c r="I1012" s="64" t="s">
        <v>3657</v>
      </c>
      <c r="J1012" s="66"/>
      <c r="K1012" s="66"/>
      <c r="L1012" s="68"/>
      <c r="M1012" s="63" t="str">
        <f>HYPERLINK("http://nsgreg.nga.mil/genc/view?v=863095&amp;end_month=12&amp;end_day=31&amp;end_year=2016","Correlation")</f>
        <v>Correlation</v>
      </c>
    </row>
    <row r="1013" spans="1:13" x14ac:dyDescent="0.2">
      <c r="A1013" s="113"/>
      <c r="B1013" s="58" t="s">
        <v>3658</v>
      </c>
      <c r="C1013" s="58" t="s">
        <v>1796</v>
      </c>
      <c r="D1013" s="58" t="s">
        <v>3659</v>
      </c>
      <c r="E1013" s="60" t="b">
        <v>1</v>
      </c>
      <c r="F1013" s="80" t="s">
        <v>3443</v>
      </c>
      <c r="G1013" s="58" t="s">
        <v>3658</v>
      </c>
      <c r="H1013" s="58" t="s">
        <v>1796</v>
      </c>
      <c r="I1013" s="64" t="s">
        <v>3659</v>
      </c>
      <c r="J1013" s="66"/>
      <c r="K1013" s="66"/>
      <c r="L1013" s="68"/>
      <c r="M1013" s="63" t="str">
        <f>HYPERLINK("http://nsgreg.nga.mil/genc/view?v=863036&amp;end_month=12&amp;end_day=31&amp;end_year=2016","Correlation")</f>
        <v>Correlation</v>
      </c>
    </row>
    <row r="1014" spans="1:13" x14ac:dyDescent="0.2">
      <c r="A1014" s="113"/>
      <c r="B1014" s="58" t="s">
        <v>3660</v>
      </c>
      <c r="C1014" s="58" t="s">
        <v>1796</v>
      </c>
      <c r="D1014" s="58" t="s">
        <v>3661</v>
      </c>
      <c r="E1014" s="60" t="b">
        <v>1</v>
      </c>
      <c r="F1014" s="80" t="s">
        <v>3443</v>
      </c>
      <c r="G1014" s="58" t="s">
        <v>3660</v>
      </c>
      <c r="H1014" s="58" t="s">
        <v>1796</v>
      </c>
      <c r="I1014" s="64" t="s">
        <v>3661</v>
      </c>
      <c r="J1014" s="66"/>
      <c r="K1014" s="66"/>
      <c r="L1014" s="68"/>
      <c r="M1014" s="63" t="str">
        <f>HYPERLINK("http://nsgreg.nga.mil/genc/view?v=863049&amp;end_month=12&amp;end_day=31&amp;end_year=2016","Correlation")</f>
        <v>Correlation</v>
      </c>
    </row>
    <row r="1015" spans="1:13" x14ac:dyDescent="0.2">
      <c r="A1015" s="113"/>
      <c r="B1015" s="58" t="s">
        <v>3662</v>
      </c>
      <c r="C1015" s="58" t="s">
        <v>1796</v>
      </c>
      <c r="D1015" s="58" t="s">
        <v>3663</v>
      </c>
      <c r="E1015" s="60" t="b">
        <v>1</v>
      </c>
      <c r="F1015" s="80" t="s">
        <v>3443</v>
      </c>
      <c r="G1015" s="58" t="s">
        <v>3662</v>
      </c>
      <c r="H1015" s="58" t="s">
        <v>1796</v>
      </c>
      <c r="I1015" s="64" t="s">
        <v>3663</v>
      </c>
      <c r="J1015" s="66"/>
      <c r="K1015" s="66"/>
      <c r="L1015" s="68"/>
      <c r="M1015" s="63" t="str">
        <f>HYPERLINK("http://nsgreg.nga.mil/genc/view?v=863068&amp;end_month=12&amp;end_day=31&amp;end_year=2016","Correlation")</f>
        <v>Correlation</v>
      </c>
    </row>
    <row r="1016" spans="1:13" x14ac:dyDescent="0.2">
      <c r="A1016" s="113"/>
      <c r="B1016" s="58" t="s">
        <v>3664</v>
      </c>
      <c r="C1016" s="58" t="s">
        <v>1796</v>
      </c>
      <c r="D1016" s="58" t="s">
        <v>3665</v>
      </c>
      <c r="E1016" s="60" t="b">
        <v>1</v>
      </c>
      <c r="F1016" s="80" t="s">
        <v>3443</v>
      </c>
      <c r="G1016" s="58" t="s">
        <v>3664</v>
      </c>
      <c r="H1016" s="58" t="s">
        <v>1796</v>
      </c>
      <c r="I1016" s="64" t="s">
        <v>3665</v>
      </c>
      <c r="J1016" s="66"/>
      <c r="K1016" s="66"/>
      <c r="L1016" s="68"/>
      <c r="M1016" s="63" t="str">
        <f>HYPERLINK("http://nsgreg.nga.mil/genc/view?v=863064&amp;end_month=12&amp;end_day=31&amp;end_year=2016","Correlation")</f>
        <v>Correlation</v>
      </c>
    </row>
    <row r="1017" spans="1:13" x14ac:dyDescent="0.2">
      <c r="A1017" s="113"/>
      <c r="B1017" s="58" t="s">
        <v>3666</v>
      </c>
      <c r="C1017" s="58" t="s">
        <v>1796</v>
      </c>
      <c r="D1017" s="58" t="s">
        <v>3667</v>
      </c>
      <c r="E1017" s="60" t="b">
        <v>1</v>
      </c>
      <c r="F1017" s="80" t="s">
        <v>3443</v>
      </c>
      <c r="G1017" s="58" t="s">
        <v>3666</v>
      </c>
      <c r="H1017" s="58" t="s">
        <v>1796</v>
      </c>
      <c r="I1017" s="64" t="s">
        <v>3667</v>
      </c>
      <c r="J1017" s="66"/>
      <c r="K1017" s="66"/>
      <c r="L1017" s="68"/>
      <c r="M1017" s="63" t="str">
        <f>HYPERLINK("http://nsgreg.nga.mil/genc/view?v=863053&amp;end_month=12&amp;end_day=31&amp;end_year=2016","Correlation")</f>
        <v>Correlation</v>
      </c>
    </row>
    <row r="1018" spans="1:13" x14ac:dyDescent="0.2">
      <c r="A1018" s="113"/>
      <c r="B1018" s="58" t="s">
        <v>3668</v>
      </c>
      <c r="C1018" s="58" t="s">
        <v>1796</v>
      </c>
      <c r="D1018" s="58" t="s">
        <v>3669</v>
      </c>
      <c r="E1018" s="60" t="b">
        <v>1</v>
      </c>
      <c r="F1018" s="80" t="s">
        <v>3443</v>
      </c>
      <c r="G1018" s="58" t="s">
        <v>3668</v>
      </c>
      <c r="H1018" s="58" t="s">
        <v>1796</v>
      </c>
      <c r="I1018" s="64" t="s">
        <v>3669</v>
      </c>
      <c r="J1018" s="66"/>
      <c r="K1018" s="66"/>
      <c r="L1018" s="68"/>
      <c r="M1018" s="63" t="str">
        <f>HYPERLINK("http://nsgreg.nga.mil/genc/view?v=863042&amp;end_month=12&amp;end_day=31&amp;end_year=2016","Correlation")</f>
        <v>Correlation</v>
      </c>
    </row>
    <row r="1019" spans="1:13" x14ac:dyDescent="0.2">
      <c r="A1019" s="113"/>
      <c r="B1019" s="58" t="s">
        <v>3670</v>
      </c>
      <c r="C1019" s="58" t="s">
        <v>1728</v>
      </c>
      <c r="D1019" s="58" t="s">
        <v>3671</v>
      </c>
      <c r="E1019" s="60" t="b">
        <v>1</v>
      </c>
      <c r="F1019" s="80" t="s">
        <v>3443</v>
      </c>
      <c r="G1019" s="58" t="s">
        <v>3672</v>
      </c>
      <c r="H1019" s="58" t="s">
        <v>1728</v>
      </c>
      <c r="I1019" s="64" t="s">
        <v>3671</v>
      </c>
      <c r="J1019" s="66"/>
      <c r="K1019" s="66"/>
      <c r="L1019" s="68"/>
      <c r="M1019" s="63" t="str">
        <f>HYPERLINK("http://nsgreg.nga.mil/genc/view?v=863118&amp;end_month=12&amp;end_day=31&amp;end_year=2016","Correlation")</f>
        <v>Correlation</v>
      </c>
    </row>
    <row r="1020" spans="1:13" x14ac:dyDescent="0.2">
      <c r="A1020" s="113"/>
      <c r="B1020" s="58" t="s">
        <v>3673</v>
      </c>
      <c r="C1020" s="58" t="s">
        <v>1796</v>
      </c>
      <c r="D1020" s="58" t="s">
        <v>3674</v>
      </c>
      <c r="E1020" s="60" t="b">
        <v>1</v>
      </c>
      <c r="F1020" s="80" t="s">
        <v>3443</v>
      </c>
      <c r="G1020" s="58" t="s">
        <v>3673</v>
      </c>
      <c r="H1020" s="58" t="s">
        <v>1796</v>
      </c>
      <c r="I1020" s="64" t="s">
        <v>3674</v>
      </c>
      <c r="J1020" s="66"/>
      <c r="K1020" s="66"/>
      <c r="L1020" s="68"/>
      <c r="M1020" s="63" t="str">
        <f>HYPERLINK("http://nsgreg.nga.mil/genc/view?v=863097&amp;end_month=12&amp;end_day=31&amp;end_year=2016","Correlation")</f>
        <v>Correlation</v>
      </c>
    </row>
    <row r="1021" spans="1:13" x14ac:dyDescent="0.2">
      <c r="A1021" s="113"/>
      <c r="B1021" s="58" t="s">
        <v>3675</v>
      </c>
      <c r="C1021" s="58" t="s">
        <v>1796</v>
      </c>
      <c r="D1021" s="58" t="s">
        <v>3676</v>
      </c>
      <c r="E1021" s="60" t="b">
        <v>1</v>
      </c>
      <c r="F1021" s="80" t="s">
        <v>3443</v>
      </c>
      <c r="G1021" s="58" t="s">
        <v>3675</v>
      </c>
      <c r="H1021" s="58" t="s">
        <v>1796</v>
      </c>
      <c r="I1021" s="64" t="s">
        <v>3676</v>
      </c>
      <c r="J1021" s="66"/>
      <c r="K1021" s="66"/>
      <c r="L1021" s="68"/>
      <c r="M1021" s="63" t="str">
        <f>HYPERLINK("http://nsgreg.nga.mil/genc/view?v=863072&amp;end_month=12&amp;end_day=31&amp;end_year=2016","Correlation")</f>
        <v>Correlation</v>
      </c>
    </row>
    <row r="1022" spans="1:13" x14ac:dyDescent="0.2">
      <c r="A1022" s="113"/>
      <c r="B1022" s="58" t="s">
        <v>3677</v>
      </c>
      <c r="C1022" s="58" t="s">
        <v>1796</v>
      </c>
      <c r="D1022" s="58" t="s">
        <v>3678</v>
      </c>
      <c r="E1022" s="60" t="b">
        <v>1</v>
      </c>
      <c r="F1022" s="80" t="s">
        <v>3443</v>
      </c>
      <c r="G1022" s="58" t="s">
        <v>3677</v>
      </c>
      <c r="H1022" s="58" t="s">
        <v>1796</v>
      </c>
      <c r="I1022" s="64" t="s">
        <v>3678</v>
      </c>
      <c r="J1022" s="66"/>
      <c r="K1022" s="66"/>
      <c r="L1022" s="68"/>
      <c r="M1022" s="63" t="str">
        <f>HYPERLINK("http://nsgreg.nga.mil/genc/view?v=863043&amp;end_month=12&amp;end_day=31&amp;end_year=2016","Correlation")</f>
        <v>Correlation</v>
      </c>
    </row>
    <row r="1023" spans="1:13" x14ac:dyDescent="0.2">
      <c r="A1023" s="113"/>
      <c r="B1023" s="58" t="s">
        <v>3679</v>
      </c>
      <c r="C1023" s="58" t="s">
        <v>1796</v>
      </c>
      <c r="D1023" s="58" t="s">
        <v>3680</v>
      </c>
      <c r="E1023" s="60" t="b">
        <v>1</v>
      </c>
      <c r="F1023" s="80" t="s">
        <v>3443</v>
      </c>
      <c r="G1023" s="58" t="s">
        <v>3679</v>
      </c>
      <c r="H1023" s="58" t="s">
        <v>1796</v>
      </c>
      <c r="I1023" s="64" t="s">
        <v>3680</v>
      </c>
      <c r="J1023" s="66"/>
      <c r="K1023" s="66"/>
      <c r="L1023" s="68"/>
      <c r="M1023" s="63" t="str">
        <f>HYPERLINK("http://nsgreg.nga.mil/genc/view?v=863050&amp;end_month=12&amp;end_day=31&amp;end_year=2016","Correlation")</f>
        <v>Correlation</v>
      </c>
    </row>
    <row r="1024" spans="1:13" x14ac:dyDescent="0.2">
      <c r="A1024" s="113"/>
      <c r="B1024" s="58" t="s">
        <v>3681</v>
      </c>
      <c r="C1024" s="58" t="s">
        <v>1796</v>
      </c>
      <c r="D1024" s="58" t="s">
        <v>3682</v>
      </c>
      <c r="E1024" s="60" t="b">
        <v>1</v>
      </c>
      <c r="F1024" s="80" t="s">
        <v>3443</v>
      </c>
      <c r="G1024" s="58" t="s">
        <v>3681</v>
      </c>
      <c r="H1024" s="58" t="s">
        <v>1796</v>
      </c>
      <c r="I1024" s="64" t="s">
        <v>3682</v>
      </c>
      <c r="J1024" s="66"/>
      <c r="K1024" s="66"/>
      <c r="L1024" s="68"/>
      <c r="M1024" s="63" t="str">
        <f>HYPERLINK("http://nsgreg.nga.mil/genc/view?v=863059&amp;end_month=12&amp;end_day=31&amp;end_year=2016","Correlation")</f>
        <v>Correlation</v>
      </c>
    </row>
    <row r="1025" spans="1:13" x14ac:dyDescent="0.2">
      <c r="A1025" s="113"/>
      <c r="B1025" s="58" t="s">
        <v>3683</v>
      </c>
      <c r="C1025" s="58" t="s">
        <v>1796</v>
      </c>
      <c r="D1025" s="58" t="s">
        <v>3684</v>
      </c>
      <c r="E1025" s="60" t="b">
        <v>1</v>
      </c>
      <c r="F1025" s="80" t="s">
        <v>3443</v>
      </c>
      <c r="G1025" s="58" t="s">
        <v>3683</v>
      </c>
      <c r="H1025" s="58" t="s">
        <v>1796</v>
      </c>
      <c r="I1025" s="64" t="s">
        <v>3684</v>
      </c>
      <c r="J1025" s="66"/>
      <c r="K1025" s="66"/>
      <c r="L1025" s="68"/>
      <c r="M1025" s="63" t="str">
        <f>HYPERLINK("http://nsgreg.nga.mil/genc/view?v=863077&amp;end_month=12&amp;end_day=31&amp;end_year=2016","Correlation")</f>
        <v>Correlation</v>
      </c>
    </row>
    <row r="1026" spans="1:13" x14ac:dyDescent="0.2">
      <c r="A1026" s="113"/>
      <c r="B1026" s="58" t="s">
        <v>3685</v>
      </c>
      <c r="C1026" s="58" t="s">
        <v>1796</v>
      </c>
      <c r="D1026" s="58" t="s">
        <v>3686</v>
      </c>
      <c r="E1026" s="60" t="b">
        <v>1</v>
      </c>
      <c r="F1026" s="80" t="s">
        <v>3443</v>
      </c>
      <c r="G1026" s="58" t="s">
        <v>3685</v>
      </c>
      <c r="H1026" s="58" t="s">
        <v>1796</v>
      </c>
      <c r="I1026" s="64" t="s">
        <v>3686</v>
      </c>
      <c r="J1026" s="66"/>
      <c r="K1026" s="66"/>
      <c r="L1026" s="68"/>
      <c r="M1026" s="63" t="str">
        <f>HYPERLINK("http://nsgreg.nga.mil/genc/view?v=863069&amp;end_month=12&amp;end_day=31&amp;end_year=2016","Correlation")</f>
        <v>Correlation</v>
      </c>
    </row>
    <row r="1027" spans="1:13" x14ac:dyDescent="0.2">
      <c r="A1027" s="113"/>
      <c r="B1027" s="58" t="s">
        <v>3687</v>
      </c>
      <c r="C1027" s="58" t="s">
        <v>1796</v>
      </c>
      <c r="D1027" s="58" t="s">
        <v>3688</v>
      </c>
      <c r="E1027" s="60" t="b">
        <v>1</v>
      </c>
      <c r="F1027" s="80" t="s">
        <v>3443</v>
      </c>
      <c r="G1027" s="58" t="s">
        <v>3687</v>
      </c>
      <c r="H1027" s="58" t="s">
        <v>1796</v>
      </c>
      <c r="I1027" s="64" t="s">
        <v>3688</v>
      </c>
      <c r="J1027" s="66"/>
      <c r="K1027" s="66"/>
      <c r="L1027" s="68"/>
      <c r="M1027" s="63" t="str">
        <f>HYPERLINK("http://nsgreg.nga.mil/genc/view?v=863099&amp;end_month=12&amp;end_day=31&amp;end_year=2016","Correlation")</f>
        <v>Correlation</v>
      </c>
    </row>
    <row r="1028" spans="1:13" x14ac:dyDescent="0.2">
      <c r="A1028" s="113"/>
      <c r="B1028" s="58" t="s">
        <v>3689</v>
      </c>
      <c r="C1028" s="58" t="s">
        <v>1728</v>
      </c>
      <c r="D1028" s="58" t="s">
        <v>3690</v>
      </c>
      <c r="E1028" s="60" t="b">
        <v>1</v>
      </c>
      <c r="F1028" s="80" t="s">
        <v>3443</v>
      </c>
      <c r="G1028" s="58" t="s">
        <v>3691</v>
      </c>
      <c r="H1028" s="58" t="s">
        <v>1728</v>
      </c>
      <c r="I1028" s="64" t="s">
        <v>3690</v>
      </c>
      <c r="J1028" s="66"/>
      <c r="K1028" s="66"/>
      <c r="L1028" s="68"/>
      <c r="M1028" s="63" t="str">
        <f>HYPERLINK("http://nsgreg.nga.mil/genc/view?v=863119&amp;end_month=12&amp;end_day=31&amp;end_year=2016","Correlation")</f>
        <v>Correlation</v>
      </c>
    </row>
    <row r="1029" spans="1:13" x14ac:dyDescent="0.2">
      <c r="A1029" s="113"/>
      <c r="B1029" s="58" t="s">
        <v>3692</v>
      </c>
      <c r="C1029" s="58" t="s">
        <v>1796</v>
      </c>
      <c r="D1029" s="58" t="s">
        <v>3693</v>
      </c>
      <c r="E1029" s="60" t="b">
        <v>1</v>
      </c>
      <c r="F1029" s="80" t="s">
        <v>3443</v>
      </c>
      <c r="G1029" s="58" t="s">
        <v>3692</v>
      </c>
      <c r="H1029" s="58" t="s">
        <v>1796</v>
      </c>
      <c r="I1029" s="64" t="s">
        <v>3693</v>
      </c>
      <c r="J1029" s="66"/>
      <c r="K1029" s="66"/>
      <c r="L1029" s="68"/>
      <c r="M1029" s="63" t="str">
        <f>HYPERLINK("http://nsgreg.nga.mil/genc/view?v=863060&amp;end_month=12&amp;end_day=31&amp;end_year=2016","Correlation")</f>
        <v>Correlation</v>
      </c>
    </row>
    <row r="1030" spans="1:13" x14ac:dyDescent="0.2">
      <c r="A1030" s="113"/>
      <c r="B1030" s="58" t="s">
        <v>3694</v>
      </c>
      <c r="C1030" s="58" t="s">
        <v>1796</v>
      </c>
      <c r="D1030" s="58" t="s">
        <v>3695</v>
      </c>
      <c r="E1030" s="60" t="b">
        <v>1</v>
      </c>
      <c r="F1030" s="80" t="s">
        <v>3443</v>
      </c>
      <c r="G1030" s="58" t="s">
        <v>3694</v>
      </c>
      <c r="H1030" s="58" t="s">
        <v>1796</v>
      </c>
      <c r="I1030" s="64" t="s">
        <v>3695</v>
      </c>
      <c r="J1030" s="66"/>
      <c r="K1030" s="66"/>
      <c r="L1030" s="68"/>
      <c r="M1030" s="63" t="str">
        <f>HYPERLINK("http://nsgreg.nga.mil/genc/view?v=863073&amp;end_month=12&amp;end_day=31&amp;end_year=2016","Correlation")</f>
        <v>Correlation</v>
      </c>
    </row>
    <row r="1031" spans="1:13" x14ac:dyDescent="0.2">
      <c r="A1031" s="113"/>
      <c r="B1031" s="58" t="s">
        <v>3696</v>
      </c>
      <c r="C1031" s="58" t="s">
        <v>1796</v>
      </c>
      <c r="D1031" s="58" t="s">
        <v>3697</v>
      </c>
      <c r="E1031" s="60" t="b">
        <v>1</v>
      </c>
      <c r="F1031" s="80" t="s">
        <v>3443</v>
      </c>
      <c r="G1031" s="58" t="s">
        <v>3696</v>
      </c>
      <c r="H1031" s="58" t="s">
        <v>1796</v>
      </c>
      <c r="I1031" s="64" t="s">
        <v>3697</v>
      </c>
      <c r="J1031" s="66"/>
      <c r="K1031" s="66"/>
      <c r="L1031" s="68"/>
      <c r="M1031" s="63" t="str">
        <f>HYPERLINK("http://nsgreg.nga.mil/genc/view?v=863100&amp;end_month=12&amp;end_day=31&amp;end_year=2016","Correlation")</f>
        <v>Correlation</v>
      </c>
    </row>
    <row r="1032" spans="1:13" x14ac:dyDescent="0.2">
      <c r="A1032" s="113"/>
      <c r="B1032" s="58" t="s">
        <v>3698</v>
      </c>
      <c r="C1032" s="58" t="s">
        <v>1796</v>
      </c>
      <c r="D1032" s="58" t="s">
        <v>3699</v>
      </c>
      <c r="E1032" s="60" t="b">
        <v>1</v>
      </c>
      <c r="F1032" s="80" t="s">
        <v>3443</v>
      </c>
      <c r="G1032" s="58" t="s">
        <v>3698</v>
      </c>
      <c r="H1032" s="58" t="s">
        <v>1796</v>
      </c>
      <c r="I1032" s="64" t="s">
        <v>3699</v>
      </c>
      <c r="J1032" s="66"/>
      <c r="K1032" s="66"/>
      <c r="L1032" s="68"/>
      <c r="M1032" s="63" t="str">
        <f>HYPERLINK("http://nsgreg.nga.mil/genc/view?v=863091&amp;end_month=12&amp;end_day=31&amp;end_year=2016","Correlation")</f>
        <v>Correlation</v>
      </c>
    </row>
    <row r="1033" spans="1:13" x14ac:dyDescent="0.2">
      <c r="A1033" s="113"/>
      <c r="B1033" s="58" t="s">
        <v>3700</v>
      </c>
      <c r="C1033" s="58" t="s">
        <v>1728</v>
      </c>
      <c r="D1033" s="58" t="s">
        <v>3701</v>
      </c>
      <c r="E1033" s="60" t="b">
        <v>1</v>
      </c>
      <c r="F1033" s="80" t="s">
        <v>3443</v>
      </c>
      <c r="G1033" s="58" t="s">
        <v>3702</v>
      </c>
      <c r="H1033" s="58" t="s">
        <v>1728</v>
      </c>
      <c r="I1033" s="64" t="s">
        <v>3701</v>
      </c>
      <c r="J1033" s="66"/>
      <c r="K1033" s="66"/>
      <c r="L1033" s="68"/>
      <c r="M1033" s="63" t="str">
        <f>HYPERLINK("http://nsgreg.nga.mil/genc/view?v=863120&amp;end_month=12&amp;end_day=31&amp;end_year=2016","Correlation")</f>
        <v>Correlation</v>
      </c>
    </row>
    <row r="1034" spans="1:13" x14ac:dyDescent="0.2">
      <c r="A1034" s="113"/>
      <c r="B1034" s="58" t="s">
        <v>3703</v>
      </c>
      <c r="C1034" s="58" t="s">
        <v>1796</v>
      </c>
      <c r="D1034" s="58" t="s">
        <v>3704</v>
      </c>
      <c r="E1034" s="60" t="b">
        <v>1</v>
      </c>
      <c r="F1034" s="80" t="s">
        <v>3443</v>
      </c>
      <c r="G1034" s="58" t="s">
        <v>3705</v>
      </c>
      <c r="H1034" s="58" t="s">
        <v>1796</v>
      </c>
      <c r="I1034" s="64" t="s">
        <v>3704</v>
      </c>
      <c r="J1034" s="66"/>
      <c r="K1034" s="66"/>
      <c r="L1034" s="68"/>
      <c r="M1034" s="63" t="str">
        <f>HYPERLINK("http://nsgreg.nga.mil/genc/view?v=863078&amp;end_month=12&amp;end_day=31&amp;end_year=2016","Correlation")</f>
        <v>Correlation</v>
      </c>
    </row>
    <row r="1035" spans="1:13" x14ac:dyDescent="0.2">
      <c r="A1035" s="113"/>
      <c r="B1035" s="58" t="s">
        <v>3706</v>
      </c>
      <c r="C1035" s="58" t="s">
        <v>1796</v>
      </c>
      <c r="D1035" s="58" t="s">
        <v>3707</v>
      </c>
      <c r="E1035" s="60" t="b">
        <v>1</v>
      </c>
      <c r="F1035" s="80" t="s">
        <v>3443</v>
      </c>
      <c r="G1035" s="58" t="s">
        <v>3706</v>
      </c>
      <c r="H1035" s="58" t="s">
        <v>1796</v>
      </c>
      <c r="I1035" s="64" t="s">
        <v>3707</v>
      </c>
      <c r="J1035" s="66"/>
      <c r="K1035" s="66"/>
      <c r="L1035" s="68"/>
      <c r="M1035" s="63" t="str">
        <f>HYPERLINK("http://nsgreg.nga.mil/genc/view?v=863101&amp;end_month=12&amp;end_day=31&amp;end_year=2016","Correlation")</f>
        <v>Correlation</v>
      </c>
    </row>
    <row r="1036" spans="1:13" x14ac:dyDescent="0.2">
      <c r="A1036" s="113"/>
      <c r="B1036" s="58" t="s">
        <v>3708</v>
      </c>
      <c r="C1036" s="58" t="s">
        <v>1728</v>
      </c>
      <c r="D1036" s="58" t="s">
        <v>3709</v>
      </c>
      <c r="E1036" s="60" t="b">
        <v>1</v>
      </c>
      <c r="F1036" s="80" t="s">
        <v>3443</v>
      </c>
      <c r="G1036" s="58" t="s">
        <v>3710</v>
      </c>
      <c r="H1036" s="58" t="s">
        <v>1728</v>
      </c>
      <c r="I1036" s="64" t="s">
        <v>3709</v>
      </c>
      <c r="J1036" s="66"/>
      <c r="K1036" s="66"/>
      <c r="L1036" s="68"/>
      <c r="M1036" s="63" t="str">
        <f>HYPERLINK("http://nsgreg.nga.mil/genc/view?v=863121&amp;end_month=12&amp;end_day=31&amp;end_year=2016","Correlation")</f>
        <v>Correlation</v>
      </c>
    </row>
    <row r="1037" spans="1:13" x14ac:dyDescent="0.2">
      <c r="A1037" s="114"/>
      <c r="B1037" s="71" t="s">
        <v>3711</v>
      </c>
      <c r="C1037" s="71" t="s">
        <v>1796</v>
      </c>
      <c r="D1037" s="71" t="s">
        <v>3712</v>
      </c>
      <c r="E1037" s="73" t="b">
        <v>1</v>
      </c>
      <c r="F1037" s="81" t="s">
        <v>3443</v>
      </c>
      <c r="G1037" s="71" t="s">
        <v>3711</v>
      </c>
      <c r="H1037" s="71" t="s">
        <v>1796</v>
      </c>
      <c r="I1037" s="74" t="s">
        <v>3712</v>
      </c>
      <c r="J1037" s="76"/>
      <c r="K1037" s="76"/>
      <c r="L1037" s="82"/>
      <c r="M1037" s="77" t="str">
        <f>HYPERLINK("http://nsgreg.nga.mil/genc/view?v=863092&amp;end_month=12&amp;end_day=31&amp;end_year=2016","Correlation")</f>
        <v>Correlation</v>
      </c>
    </row>
    <row r="1038" spans="1:13" x14ac:dyDescent="0.2">
      <c r="A1038" s="112" t="s">
        <v>471</v>
      </c>
      <c r="B1038" s="50" t="s">
        <v>3713</v>
      </c>
      <c r="C1038" s="50" t="s">
        <v>1728</v>
      </c>
      <c r="D1038" s="50" t="s">
        <v>3714</v>
      </c>
      <c r="E1038" s="52" t="b">
        <v>1</v>
      </c>
      <c r="F1038" s="78" t="s">
        <v>471</v>
      </c>
      <c r="G1038" s="50" t="s">
        <v>3713</v>
      </c>
      <c r="H1038" s="50" t="s">
        <v>1728</v>
      </c>
      <c r="I1038" s="53" t="s">
        <v>3714</v>
      </c>
      <c r="J1038" s="55"/>
      <c r="K1038" s="55"/>
      <c r="L1038" s="79"/>
      <c r="M1038" s="56" t="str">
        <f>HYPERLINK("http://nsgreg.nga.mil/genc/view?v=863147&amp;end_month=12&amp;end_day=31&amp;end_year=2016","Correlation")</f>
        <v>Correlation</v>
      </c>
    </row>
    <row r="1039" spans="1:13" x14ac:dyDescent="0.2">
      <c r="A1039" s="113"/>
      <c r="B1039" s="58" t="s">
        <v>3715</v>
      </c>
      <c r="C1039" s="58" t="s">
        <v>1728</v>
      </c>
      <c r="D1039" s="58" t="s">
        <v>3716</v>
      </c>
      <c r="E1039" s="60" t="b">
        <v>1</v>
      </c>
      <c r="F1039" s="80" t="s">
        <v>471</v>
      </c>
      <c r="G1039" s="58" t="s">
        <v>3715</v>
      </c>
      <c r="H1039" s="58" t="s">
        <v>1728</v>
      </c>
      <c r="I1039" s="64" t="s">
        <v>3716</v>
      </c>
      <c r="J1039" s="66"/>
      <c r="K1039" s="66"/>
      <c r="L1039" s="68"/>
      <c r="M1039" s="63" t="str">
        <f>HYPERLINK("http://nsgreg.nga.mil/genc/view?v=863145&amp;end_month=12&amp;end_day=31&amp;end_year=2016","Correlation")</f>
        <v>Correlation</v>
      </c>
    </row>
    <row r="1040" spans="1:13" x14ac:dyDescent="0.2">
      <c r="A1040" s="113"/>
      <c r="B1040" s="58" t="s">
        <v>3717</v>
      </c>
      <c r="C1040" s="58" t="s">
        <v>1728</v>
      </c>
      <c r="D1040" s="58" t="s">
        <v>3718</v>
      </c>
      <c r="E1040" s="60" t="b">
        <v>1</v>
      </c>
      <c r="F1040" s="80" t="s">
        <v>471</v>
      </c>
      <c r="G1040" s="58" t="s">
        <v>3717</v>
      </c>
      <c r="H1040" s="58" t="s">
        <v>1728</v>
      </c>
      <c r="I1040" s="64" t="s">
        <v>3718</v>
      </c>
      <c r="J1040" s="66"/>
      <c r="K1040" s="66"/>
      <c r="L1040" s="68"/>
      <c r="M1040" s="63" t="str">
        <f>HYPERLINK("http://nsgreg.nga.mil/genc/view?v=863144&amp;end_month=12&amp;end_day=31&amp;end_year=2016","Correlation")</f>
        <v>Correlation</v>
      </c>
    </row>
    <row r="1041" spans="1:13" x14ac:dyDescent="0.2">
      <c r="A1041" s="113"/>
      <c r="B1041" s="58" t="s">
        <v>3719</v>
      </c>
      <c r="C1041" s="58" t="s">
        <v>1728</v>
      </c>
      <c r="D1041" s="58" t="s">
        <v>3720</v>
      </c>
      <c r="E1041" s="60" t="b">
        <v>1</v>
      </c>
      <c r="F1041" s="80" t="s">
        <v>471</v>
      </c>
      <c r="G1041" s="58" t="s">
        <v>3719</v>
      </c>
      <c r="H1041" s="58" t="s">
        <v>1728</v>
      </c>
      <c r="I1041" s="64" t="s">
        <v>3720</v>
      </c>
      <c r="J1041" s="66"/>
      <c r="K1041" s="66"/>
      <c r="L1041" s="68"/>
      <c r="M1041" s="63" t="str">
        <f>HYPERLINK("http://nsgreg.nga.mil/genc/view?v=863148&amp;end_month=12&amp;end_day=31&amp;end_year=2016","Correlation")</f>
        <v>Correlation</v>
      </c>
    </row>
    <row r="1042" spans="1:13" x14ac:dyDescent="0.2">
      <c r="A1042" s="114"/>
      <c r="B1042" s="71" t="s">
        <v>3721</v>
      </c>
      <c r="C1042" s="71" t="s">
        <v>1728</v>
      </c>
      <c r="D1042" s="71" t="s">
        <v>3722</v>
      </c>
      <c r="E1042" s="73" t="b">
        <v>1</v>
      </c>
      <c r="F1042" s="81" t="s">
        <v>471</v>
      </c>
      <c r="G1042" s="71" t="s">
        <v>3721</v>
      </c>
      <c r="H1042" s="71" t="s">
        <v>1728</v>
      </c>
      <c r="I1042" s="74" t="s">
        <v>3722</v>
      </c>
      <c r="J1042" s="76"/>
      <c r="K1042" s="76"/>
      <c r="L1042" s="82"/>
      <c r="M1042" s="77" t="str">
        <f>HYPERLINK("http://nsgreg.nga.mil/genc/view?v=863146&amp;end_month=12&amp;end_day=31&amp;end_year=2016","Correlation")</f>
        <v>Correlation</v>
      </c>
    </row>
    <row r="1043" spans="1:13" x14ac:dyDescent="0.2">
      <c r="A1043" s="112" t="s">
        <v>483</v>
      </c>
      <c r="B1043" s="50" t="s">
        <v>3723</v>
      </c>
      <c r="C1043" s="50" t="s">
        <v>1728</v>
      </c>
      <c r="D1043" s="50" t="s">
        <v>3724</v>
      </c>
      <c r="E1043" s="52" t="b">
        <v>1</v>
      </c>
      <c r="F1043" s="78" t="s">
        <v>483</v>
      </c>
      <c r="G1043" s="50" t="s">
        <v>3723</v>
      </c>
      <c r="H1043" s="50" t="s">
        <v>1728</v>
      </c>
      <c r="I1043" s="53" t="s">
        <v>3724</v>
      </c>
      <c r="J1043" s="55"/>
      <c r="K1043" s="55"/>
      <c r="L1043" s="79"/>
      <c r="M1043" s="56" t="str">
        <f>HYPERLINK("http://nsgreg.nga.mil/genc/view?v=863139&amp;end_month=12&amp;end_day=31&amp;end_year=2016","Correlation")</f>
        <v>Correlation</v>
      </c>
    </row>
    <row r="1044" spans="1:13" x14ac:dyDescent="0.2">
      <c r="A1044" s="113"/>
      <c r="B1044" s="58" t="s">
        <v>3725</v>
      </c>
      <c r="C1044" s="58" t="s">
        <v>1728</v>
      </c>
      <c r="D1044" s="58" t="s">
        <v>3726</v>
      </c>
      <c r="E1044" s="60" t="b">
        <v>1</v>
      </c>
      <c r="F1044" s="80" t="s">
        <v>483</v>
      </c>
      <c r="G1044" s="58" t="s">
        <v>3725</v>
      </c>
      <c r="H1044" s="58" t="s">
        <v>1728</v>
      </c>
      <c r="I1044" s="64" t="s">
        <v>3726</v>
      </c>
      <c r="J1044" s="66"/>
      <c r="K1044" s="66"/>
      <c r="L1044" s="68"/>
      <c r="M1044" s="63" t="str">
        <f>HYPERLINK("http://nsgreg.nga.mil/genc/view?v=863138&amp;end_month=12&amp;end_day=31&amp;end_year=2016","Correlation")</f>
        <v>Correlation</v>
      </c>
    </row>
    <row r="1045" spans="1:13" x14ac:dyDescent="0.2">
      <c r="A1045" s="113"/>
      <c r="B1045" s="58" t="s">
        <v>3727</v>
      </c>
      <c r="C1045" s="58" t="s">
        <v>1728</v>
      </c>
      <c r="D1045" s="58" t="s">
        <v>3728</v>
      </c>
      <c r="E1045" s="60" t="b">
        <v>1</v>
      </c>
      <c r="F1045" s="80" t="s">
        <v>483</v>
      </c>
      <c r="G1045" s="58" t="s">
        <v>3727</v>
      </c>
      <c r="H1045" s="58" t="s">
        <v>1728</v>
      </c>
      <c r="I1045" s="64" t="s">
        <v>3728</v>
      </c>
      <c r="J1045" s="66"/>
      <c r="K1045" s="66"/>
      <c r="L1045" s="68"/>
      <c r="M1045" s="63" t="str">
        <f>HYPERLINK("http://nsgreg.nga.mil/genc/view?v=863140&amp;end_month=12&amp;end_day=31&amp;end_year=2016","Correlation")</f>
        <v>Correlation</v>
      </c>
    </row>
    <row r="1046" spans="1:13" x14ac:dyDescent="0.2">
      <c r="A1046" s="113"/>
      <c r="B1046" s="58" t="s">
        <v>3729</v>
      </c>
      <c r="C1046" s="58" t="s">
        <v>1681</v>
      </c>
      <c r="D1046" s="58" t="s">
        <v>3730</v>
      </c>
      <c r="E1046" s="60" t="b">
        <v>1</v>
      </c>
      <c r="F1046" s="80" t="s">
        <v>483</v>
      </c>
      <c r="G1046" s="58" t="s">
        <v>3729</v>
      </c>
      <c r="H1046" s="58" t="s">
        <v>1681</v>
      </c>
      <c r="I1046" s="64" t="s">
        <v>3730</v>
      </c>
      <c r="J1046" s="66"/>
      <c r="K1046" s="66"/>
      <c r="L1046" s="68"/>
      <c r="M1046" s="63" t="str">
        <f>HYPERLINK("http://nsgreg.nga.mil/genc/view?v=863141&amp;end_month=12&amp;end_day=31&amp;end_year=2016","Correlation")</f>
        <v>Correlation</v>
      </c>
    </row>
    <row r="1047" spans="1:13" x14ac:dyDescent="0.2">
      <c r="A1047" s="113"/>
      <c r="B1047" s="58" t="s">
        <v>3731</v>
      </c>
      <c r="C1047" s="58" t="s">
        <v>1728</v>
      </c>
      <c r="D1047" s="58" t="s">
        <v>3732</v>
      </c>
      <c r="E1047" s="60" t="b">
        <v>1</v>
      </c>
      <c r="F1047" s="80" t="s">
        <v>483</v>
      </c>
      <c r="G1047" s="58" t="s">
        <v>3731</v>
      </c>
      <c r="H1047" s="58" t="s">
        <v>1728</v>
      </c>
      <c r="I1047" s="64" t="s">
        <v>3732</v>
      </c>
      <c r="J1047" s="66"/>
      <c r="K1047" s="66"/>
      <c r="L1047" s="68"/>
      <c r="M1047" s="63" t="str">
        <f>HYPERLINK("http://nsgreg.nga.mil/genc/view?v=863142&amp;end_month=12&amp;end_day=31&amp;end_year=2016","Correlation")</f>
        <v>Correlation</v>
      </c>
    </row>
    <row r="1048" spans="1:13" x14ac:dyDescent="0.2">
      <c r="A1048" s="114"/>
      <c r="B1048" s="71" t="s">
        <v>3733</v>
      </c>
      <c r="C1048" s="71" t="s">
        <v>1728</v>
      </c>
      <c r="D1048" s="71" t="s">
        <v>3734</v>
      </c>
      <c r="E1048" s="73" t="b">
        <v>1</v>
      </c>
      <c r="F1048" s="81" t="s">
        <v>483</v>
      </c>
      <c r="G1048" s="71" t="s">
        <v>3733</v>
      </c>
      <c r="H1048" s="71" t="s">
        <v>1728</v>
      </c>
      <c r="I1048" s="74" t="s">
        <v>3734</v>
      </c>
      <c r="J1048" s="76"/>
      <c r="K1048" s="76"/>
      <c r="L1048" s="82"/>
      <c r="M1048" s="77" t="str">
        <f>HYPERLINK("http://nsgreg.nga.mil/genc/view?v=863143&amp;end_month=12&amp;end_day=31&amp;end_year=2016","Correlation")</f>
        <v>Correlation</v>
      </c>
    </row>
    <row r="1049" spans="1:13" x14ac:dyDescent="0.2">
      <c r="A1049" s="112" t="s">
        <v>487</v>
      </c>
      <c r="B1049" s="50" t="s">
        <v>2213</v>
      </c>
      <c r="C1049" s="50" t="s">
        <v>1607</v>
      </c>
      <c r="D1049" s="50" t="s">
        <v>3735</v>
      </c>
      <c r="E1049" s="52" t="b">
        <v>1</v>
      </c>
      <c r="F1049" s="78" t="s">
        <v>487</v>
      </c>
      <c r="G1049" s="50" t="s">
        <v>2213</v>
      </c>
      <c r="H1049" s="50" t="s">
        <v>1607</v>
      </c>
      <c r="I1049" s="53" t="s">
        <v>3735</v>
      </c>
      <c r="J1049" s="55"/>
      <c r="K1049" s="55"/>
      <c r="L1049" s="79"/>
      <c r="M1049" s="56" t="str">
        <f>HYPERLINK("http://nsgreg.nga.mil/genc/view?v=863149&amp;end_month=12&amp;end_day=31&amp;end_year=2016","Correlation")</f>
        <v>Correlation</v>
      </c>
    </row>
    <row r="1050" spans="1:13" x14ac:dyDescent="0.2">
      <c r="A1050" s="113"/>
      <c r="B1050" s="58" t="s">
        <v>3736</v>
      </c>
      <c r="C1050" s="58" t="s">
        <v>1607</v>
      </c>
      <c r="D1050" s="58" t="s">
        <v>3737</v>
      </c>
      <c r="E1050" s="60" t="b">
        <v>1</v>
      </c>
      <c r="F1050" s="80" t="s">
        <v>487</v>
      </c>
      <c r="G1050" s="58" t="s">
        <v>3736</v>
      </c>
      <c r="H1050" s="58" t="s">
        <v>1607</v>
      </c>
      <c r="I1050" s="64" t="s">
        <v>3737</v>
      </c>
      <c r="J1050" s="66"/>
      <c r="K1050" s="66"/>
      <c r="L1050" s="68"/>
      <c r="M1050" s="63" t="str">
        <f>HYPERLINK("http://nsgreg.nga.mil/genc/view?v=863150&amp;end_month=12&amp;end_day=31&amp;end_year=2016","Correlation")</f>
        <v>Correlation</v>
      </c>
    </row>
    <row r="1051" spans="1:13" x14ac:dyDescent="0.2">
      <c r="A1051" s="113"/>
      <c r="B1051" s="58" t="s">
        <v>1663</v>
      </c>
      <c r="C1051" s="58" t="s">
        <v>1607</v>
      </c>
      <c r="D1051" s="58" t="s">
        <v>3738</v>
      </c>
      <c r="E1051" s="60" t="b">
        <v>1</v>
      </c>
      <c r="F1051" s="80" t="s">
        <v>487</v>
      </c>
      <c r="G1051" s="58" t="s">
        <v>1663</v>
      </c>
      <c r="H1051" s="58" t="s">
        <v>1607</v>
      </c>
      <c r="I1051" s="64" t="s">
        <v>3738</v>
      </c>
      <c r="J1051" s="66"/>
      <c r="K1051" s="66"/>
      <c r="L1051" s="68"/>
      <c r="M1051" s="63" t="str">
        <f>HYPERLINK("http://nsgreg.nga.mil/genc/view?v=863151&amp;end_month=12&amp;end_day=31&amp;end_year=2016","Correlation")</f>
        <v>Correlation</v>
      </c>
    </row>
    <row r="1052" spans="1:13" x14ac:dyDescent="0.2">
      <c r="A1052" s="113"/>
      <c r="B1052" s="58" t="s">
        <v>1665</v>
      </c>
      <c r="C1052" s="58" t="s">
        <v>1607</v>
      </c>
      <c r="D1052" s="58" t="s">
        <v>3739</v>
      </c>
      <c r="E1052" s="60" t="b">
        <v>1</v>
      </c>
      <c r="F1052" s="80" t="s">
        <v>487</v>
      </c>
      <c r="G1052" s="58" t="s">
        <v>1665</v>
      </c>
      <c r="H1052" s="58" t="s">
        <v>1607</v>
      </c>
      <c r="I1052" s="64" t="s">
        <v>3739</v>
      </c>
      <c r="J1052" s="66"/>
      <c r="K1052" s="66"/>
      <c r="L1052" s="68"/>
      <c r="M1052" s="63" t="str">
        <f>HYPERLINK("http://nsgreg.nga.mil/genc/view?v=863152&amp;end_month=12&amp;end_day=31&amp;end_year=2016","Correlation")</f>
        <v>Correlation</v>
      </c>
    </row>
    <row r="1053" spans="1:13" x14ac:dyDescent="0.2">
      <c r="A1053" s="113"/>
      <c r="B1053" s="58" t="s">
        <v>2219</v>
      </c>
      <c r="C1053" s="58" t="s">
        <v>1607</v>
      </c>
      <c r="D1053" s="58" t="s">
        <v>3740</v>
      </c>
      <c r="E1053" s="60" t="b">
        <v>1</v>
      </c>
      <c r="F1053" s="80" t="s">
        <v>487</v>
      </c>
      <c r="G1053" s="58" t="s">
        <v>2219</v>
      </c>
      <c r="H1053" s="58" t="s">
        <v>1607</v>
      </c>
      <c r="I1053" s="64" t="s">
        <v>3740</v>
      </c>
      <c r="J1053" s="66"/>
      <c r="K1053" s="66"/>
      <c r="L1053" s="68"/>
      <c r="M1053" s="63" t="str">
        <f>HYPERLINK("http://nsgreg.nga.mil/genc/view?v=863153&amp;end_month=12&amp;end_day=31&amp;end_year=2016","Correlation")</f>
        <v>Correlation</v>
      </c>
    </row>
    <row r="1054" spans="1:13" x14ac:dyDescent="0.2">
      <c r="A1054" s="113"/>
      <c r="B1054" s="58" t="s">
        <v>3741</v>
      </c>
      <c r="C1054" s="58" t="s">
        <v>1607</v>
      </c>
      <c r="D1054" s="58" t="s">
        <v>3742</v>
      </c>
      <c r="E1054" s="60" t="b">
        <v>1</v>
      </c>
      <c r="F1054" s="80" t="s">
        <v>487</v>
      </c>
      <c r="G1054" s="58" t="s">
        <v>3741</v>
      </c>
      <c r="H1054" s="58" t="s">
        <v>1607</v>
      </c>
      <c r="I1054" s="64" t="s">
        <v>3742</v>
      </c>
      <c r="J1054" s="66"/>
      <c r="K1054" s="66"/>
      <c r="L1054" s="68"/>
      <c r="M1054" s="63" t="str">
        <f>HYPERLINK("http://nsgreg.nga.mil/genc/view?v=863154&amp;end_month=12&amp;end_day=31&amp;end_year=2016","Correlation")</f>
        <v>Correlation</v>
      </c>
    </row>
    <row r="1055" spans="1:13" x14ac:dyDescent="0.2">
      <c r="A1055" s="113"/>
      <c r="B1055" s="58" t="s">
        <v>3743</v>
      </c>
      <c r="C1055" s="58" t="s">
        <v>1607</v>
      </c>
      <c r="D1055" s="58" t="s">
        <v>3744</v>
      </c>
      <c r="E1055" s="60" t="b">
        <v>1</v>
      </c>
      <c r="F1055" s="80" t="s">
        <v>487</v>
      </c>
      <c r="G1055" s="58" t="s">
        <v>3743</v>
      </c>
      <c r="H1055" s="58" t="s">
        <v>1607</v>
      </c>
      <c r="I1055" s="64" t="s">
        <v>3744</v>
      </c>
      <c r="J1055" s="66"/>
      <c r="K1055" s="66"/>
      <c r="L1055" s="68"/>
      <c r="M1055" s="63" t="str">
        <f>HYPERLINK("http://nsgreg.nga.mil/genc/view?v=863155&amp;end_month=12&amp;end_day=31&amp;end_year=2016","Correlation")</f>
        <v>Correlation</v>
      </c>
    </row>
    <row r="1056" spans="1:13" x14ac:dyDescent="0.2">
      <c r="A1056" s="113"/>
      <c r="B1056" s="58" t="s">
        <v>3745</v>
      </c>
      <c r="C1056" s="58" t="s">
        <v>1607</v>
      </c>
      <c r="D1056" s="58" t="s">
        <v>3746</v>
      </c>
      <c r="E1056" s="60" t="b">
        <v>1</v>
      </c>
      <c r="F1056" s="80" t="s">
        <v>487</v>
      </c>
      <c r="G1056" s="58" t="s">
        <v>3745</v>
      </c>
      <c r="H1056" s="58" t="s">
        <v>1607</v>
      </c>
      <c r="I1056" s="64" t="s">
        <v>3746</v>
      </c>
      <c r="J1056" s="66"/>
      <c r="K1056" s="66"/>
      <c r="L1056" s="68"/>
      <c r="M1056" s="63" t="str">
        <f>HYPERLINK("http://nsgreg.nga.mil/genc/view?v=863156&amp;end_month=12&amp;end_day=31&amp;end_year=2016","Correlation")</f>
        <v>Correlation</v>
      </c>
    </row>
    <row r="1057" spans="1:13" x14ac:dyDescent="0.2">
      <c r="A1057" s="113"/>
      <c r="B1057" s="58" t="s">
        <v>1669</v>
      </c>
      <c r="C1057" s="58" t="s">
        <v>1607</v>
      </c>
      <c r="D1057" s="58" t="s">
        <v>3747</v>
      </c>
      <c r="E1057" s="60" t="b">
        <v>1</v>
      </c>
      <c r="F1057" s="80" t="s">
        <v>487</v>
      </c>
      <c r="G1057" s="58" t="s">
        <v>1669</v>
      </c>
      <c r="H1057" s="58" t="s">
        <v>1607</v>
      </c>
      <c r="I1057" s="64" t="s">
        <v>3747</v>
      </c>
      <c r="J1057" s="66"/>
      <c r="K1057" s="66"/>
      <c r="L1057" s="68"/>
      <c r="M1057" s="63" t="str">
        <f>HYPERLINK("http://nsgreg.nga.mil/genc/view?v=863157&amp;end_month=12&amp;end_day=31&amp;end_year=2016","Correlation")</f>
        <v>Correlation</v>
      </c>
    </row>
    <row r="1058" spans="1:13" x14ac:dyDescent="0.2">
      <c r="A1058" s="114"/>
      <c r="B1058" s="71" t="s">
        <v>1671</v>
      </c>
      <c r="C1058" s="71" t="s">
        <v>1607</v>
      </c>
      <c r="D1058" s="71" t="s">
        <v>3748</v>
      </c>
      <c r="E1058" s="73" t="b">
        <v>1</v>
      </c>
      <c r="F1058" s="81" t="s">
        <v>487</v>
      </c>
      <c r="G1058" s="71" t="s">
        <v>1671</v>
      </c>
      <c r="H1058" s="71" t="s">
        <v>1607</v>
      </c>
      <c r="I1058" s="74" t="s">
        <v>3748</v>
      </c>
      <c r="J1058" s="76"/>
      <c r="K1058" s="76"/>
      <c r="L1058" s="82"/>
      <c r="M1058" s="77" t="str">
        <f>HYPERLINK("http://nsgreg.nga.mil/genc/view?v=863158&amp;end_month=12&amp;end_day=31&amp;end_year=2016","Correlation")</f>
        <v>Correlation</v>
      </c>
    </row>
    <row r="1059" spans="1:13" x14ac:dyDescent="0.2">
      <c r="A1059" s="112" t="s">
        <v>491</v>
      </c>
      <c r="B1059" s="50" t="s">
        <v>3749</v>
      </c>
      <c r="C1059" s="50" t="s">
        <v>1413</v>
      </c>
      <c r="D1059" s="50" t="s">
        <v>3750</v>
      </c>
      <c r="E1059" s="52" t="b">
        <v>1</v>
      </c>
      <c r="F1059" s="78" t="s">
        <v>491</v>
      </c>
      <c r="G1059" s="50" t="s">
        <v>3749</v>
      </c>
      <c r="H1059" s="50" t="s">
        <v>1413</v>
      </c>
      <c r="I1059" s="53" t="s">
        <v>3750</v>
      </c>
      <c r="J1059" s="55"/>
      <c r="K1059" s="55"/>
      <c r="L1059" s="79"/>
      <c r="M1059" s="56" t="str">
        <f>HYPERLINK("http://nsgreg.nga.mil/genc/view?v=863160&amp;end_month=12&amp;end_day=31&amp;end_year=2016","Correlation")</f>
        <v>Correlation</v>
      </c>
    </row>
    <row r="1060" spans="1:13" x14ac:dyDescent="0.2">
      <c r="A1060" s="113"/>
      <c r="B1060" s="58" t="s">
        <v>3751</v>
      </c>
      <c r="C1060" s="58" t="s">
        <v>1413</v>
      </c>
      <c r="D1060" s="58" t="s">
        <v>3752</v>
      </c>
      <c r="E1060" s="60" t="b">
        <v>1</v>
      </c>
      <c r="F1060" s="80" t="s">
        <v>491</v>
      </c>
      <c r="G1060" s="58" t="s">
        <v>3751</v>
      </c>
      <c r="H1060" s="58" t="s">
        <v>1413</v>
      </c>
      <c r="I1060" s="64" t="s">
        <v>3752</v>
      </c>
      <c r="J1060" s="66"/>
      <c r="K1060" s="66"/>
      <c r="L1060" s="68"/>
      <c r="M1060" s="63" t="str">
        <f>HYPERLINK("http://nsgreg.nga.mil/genc/view?v=863161&amp;end_month=12&amp;end_day=31&amp;end_year=2016","Correlation")</f>
        <v>Correlation</v>
      </c>
    </row>
    <row r="1061" spans="1:13" x14ac:dyDescent="0.2">
      <c r="A1061" s="113"/>
      <c r="B1061" s="58" t="s">
        <v>3753</v>
      </c>
      <c r="C1061" s="58" t="s">
        <v>1413</v>
      </c>
      <c r="D1061" s="58" t="s">
        <v>3754</v>
      </c>
      <c r="E1061" s="60" t="b">
        <v>1</v>
      </c>
      <c r="F1061" s="80" t="s">
        <v>491</v>
      </c>
      <c r="G1061" s="58" t="s">
        <v>3753</v>
      </c>
      <c r="H1061" s="58" t="s">
        <v>1413</v>
      </c>
      <c r="I1061" s="64" t="s">
        <v>3754</v>
      </c>
      <c r="J1061" s="66"/>
      <c r="K1061" s="66"/>
      <c r="L1061" s="68"/>
      <c r="M1061" s="63" t="str">
        <f>HYPERLINK("http://nsgreg.nga.mil/genc/view?v=863162&amp;end_month=12&amp;end_day=31&amp;end_year=2016","Correlation")</f>
        <v>Correlation</v>
      </c>
    </row>
    <row r="1062" spans="1:13" x14ac:dyDescent="0.2">
      <c r="A1062" s="113"/>
      <c r="B1062" s="58" t="s">
        <v>3755</v>
      </c>
      <c r="C1062" s="58" t="s">
        <v>1728</v>
      </c>
      <c r="D1062" s="58" t="s">
        <v>3756</v>
      </c>
      <c r="E1062" s="60" t="b">
        <v>1</v>
      </c>
      <c r="F1062" s="80" t="s">
        <v>491</v>
      </c>
      <c r="G1062" s="58" t="s">
        <v>3755</v>
      </c>
      <c r="H1062" s="58" t="s">
        <v>1728</v>
      </c>
      <c r="I1062" s="64" t="s">
        <v>3756</v>
      </c>
      <c r="J1062" s="66"/>
      <c r="K1062" s="66"/>
      <c r="L1062" s="68"/>
      <c r="M1062" s="63" t="str">
        <f>HYPERLINK("http://nsgreg.nga.mil/genc/view?v=863191&amp;end_month=12&amp;end_day=31&amp;end_year=2016","Correlation")</f>
        <v>Correlation</v>
      </c>
    </row>
    <row r="1063" spans="1:13" x14ac:dyDescent="0.2">
      <c r="A1063" s="113"/>
      <c r="B1063" s="58" t="s">
        <v>3757</v>
      </c>
      <c r="C1063" s="58" t="s">
        <v>1728</v>
      </c>
      <c r="D1063" s="58" t="s">
        <v>3758</v>
      </c>
      <c r="E1063" s="60" t="b">
        <v>1</v>
      </c>
      <c r="F1063" s="80" t="s">
        <v>491</v>
      </c>
      <c r="G1063" s="58" t="s">
        <v>3757</v>
      </c>
      <c r="H1063" s="58" t="s">
        <v>1728</v>
      </c>
      <c r="I1063" s="64" t="s">
        <v>3758</v>
      </c>
      <c r="J1063" s="66"/>
      <c r="K1063" s="66"/>
      <c r="L1063" s="68"/>
      <c r="M1063" s="63" t="str">
        <f>HYPERLINK("http://nsgreg.nga.mil/genc/view?v=863192&amp;end_month=12&amp;end_day=31&amp;end_year=2016","Correlation")</f>
        <v>Correlation</v>
      </c>
    </row>
    <row r="1064" spans="1:13" x14ac:dyDescent="0.2">
      <c r="A1064" s="113"/>
      <c r="B1064" s="58" t="s">
        <v>3759</v>
      </c>
      <c r="C1064" s="58" t="s">
        <v>1728</v>
      </c>
      <c r="D1064" s="58" t="s">
        <v>3760</v>
      </c>
      <c r="E1064" s="60" t="b">
        <v>1</v>
      </c>
      <c r="F1064" s="80" t="s">
        <v>491</v>
      </c>
      <c r="G1064" s="58" t="s">
        <v>3759</v>
      </c>
      <c r="H1064" s="58" t="s">
        <v>1728</v>
      </c>
      <c r="I1064" s="64" t="s">
        <v>3760</v>
      </c>
      <c r="J1064" s="66"/>
      <c r="K1064" s="66"/>
      <c r="L1064" s="68"/>
      <c r="M1064" s="63" t="str">
        <f>HYPERLINK("http://nsgreg.nga.mil/genc/view?v=863193&amp;end_month=12&amp;end_day=31&amp;end_year=2016","Correlation")</f>
        <v>Correlation</v>
      </c>
    </row>
    <row r="1065" spans="1:13" x14ac:dyDescent="0.2">
      <c r="A1065" s="113"/>
      <c r="B1065" s="58" t="s">
        <v>3761</v>
      </c>
      <c r="C1065" s="58" t="s">
        <v>1728</v>
      </c>
      <c r="D1065" s="58" t="s">
        <v>3762</v>
      </c>
      <c r="E1065" s="60" t="b">
        <v>1</v>
      </c>
      <c r="F1065" s="80" t="s">
        <v>491</v>
      </c>
      <c r="G1065" s="58" t="s">
        <v>3761</v>
      </c>
      <c r="H1065" s="58" t="s">
        <v>1728</v>
      </c>
      <c r="I1065" s="64" t="s">
        <v>3762</v>
      </c>
      <c r="J1065" s="66"/>
      <c r="K1065" s="66"/>
      <c r="L1065" s="68"/>
      <c r="M1065" s="63" t="str">
        <f>HYPERLINK("http://nsgreg.nga.mil/genc/view?v=863194&amp;end_month=12&amp;end_day=31&amp;end_year=2016","Correlation")</f>
        <v>Correlation</v>
      </c>
    </row>
    <row r="1066" spans="1:13" x14ac:dyDescent="0.2">
      <c r="A1066" s="113"/>
      <c r="B1066" s="58" t="s">
        <v>3763</v>
      </c>
      <c r="C1066" s="58" t="s">
        <v>1413</v>
      </c>
      <c r="D1066" s="58" t="s">
        <v>3764</v>
      </c>
      <c r="E1066" s="60" t="b">
        <v>1</v>
      </c>
      <c r="F1066" s="80" t="s">
        <v>491</v>
      </c>
      <c r="G1066" s="58" t="s">
        <v>3763</v>
      </c>
      <c r="H1066" s="58" t="s">
        <v>1413</v>
      </c>
      <c r="I1066" s="64" t="s">
        <v>3764</v>
      </c>
      <c r="J1066" s="66"/>
      <c r="K1066" s="66"/>
      <c r="L1066" s="68"/>
      <c r="M1066" s="63" t="str">
        <f>HYPERLINK("http://nsgreg.nga.mil/genc/view?v=863163&amp;end_month=12&amp;end_day=31&amp;end_year=2016","Correlation")</f>
        <v>Correlation</v>
      </c>
    </row>
    <row r="1067" spans="1:13" x14ac:dyDescent="0.2">
      <c r="A1067" s="113"/>
      <c r="B1067" s="58" t="s">
        <v>3765</v>
      </c>
      <c r="C1067" s="58" t="s">
        <v>1796</v>
      </c>
      <c r="D1067" s="58" t="s">
        <v>3766</v>
      </c>
      <c r="E1067" s="60" t="b">
        <v>1</v>
      </c>
      <c r="F1067" s="80" t="s">
        <v>491</v>
      </c>
      <c r="G1067" s="58" t="s">
        <v>3767</v>
      </c>
      <c r="H1067" s="58" t="s">
        <v>1796</v>
      </c>
      <c r="I1067" s="64" t="s">
        <v>3766</v>
      </c>
      <c r="J1067" s="66"/>
      <c r="K1067" s="66"/>
      <c r="L1067" s="68"/>
      <c r="M1067" s="63" t="str">
        <f>HYPERLINK("http://nsgreg.nga.mil/genc/view?v=863159&amp;end_month=12&amp;end_day=31&amp;end_year=2016","Correlation")</f>
        <v>Correlation</v>
      </c>
    </row>
    <row r="1068" spans="1:13" x14ac:dyDescent="0.2">
      <c r="A1068" s="113"/>
      <c r="B1068" s="58" t="s">
        <v>3768</v>
      </c>
      <c r="C1068" s="58" t="s">
        <v>1413</v>
      </c>
      <c r="D1068" s="58" t="s">
        <v>3769</v>
      </c>
      <c r="E1068" s="60" t="b">
        <v>1</v>
      </c>
      <c r="F1068" s="80" t="s">
        <v>491</v>
      </c>
      <c r="G1068" s="58" t="s">
        <v>3768</v>
      </c>
      <c r="H1068" s="58" t="s">
        <v>1413</v>
      </c>
      <c r="I1068" s="64" t="s">
        <v>3769</v>
      </c>
      <c r="J1068" s="66"/>
      <c r="K1068" s="66"/>
      <c r="L1068" s="68"/>
      <c r="M1068" s="63" t="str">
        <f>HYPERLINK("http://nsgreg.nga.mil/genc/view?v=863164&amp;end_month=12&amp;end_day=31&amp;end_year=2016","Correlation")</f>
        <v>Correlation</v>
      </c>
    </row>
    <row r="1069" spans="1:13" x14ac:dyDescent="0.2">
      <c r="A1069" s="113"/>
      <c r="B1069" s="58" t="s">
        <v>3770</v>
      </c>
      <c r="C1069" s="58" t="s">
        <v>1413</v>
      </c>
      <c r="D1069" s="58" t="s">
        <v>3771</v>
      </c>
      <c r="E1069" s="60" t="b">
        <v>1</v>
      </c>
      <c r="F1069" s="80" t="s">
        <v>491</v>
      </c>
      <c r="G1069" s="58" t="s">
        <v>3770</v>
      </c>
      <c r="H1069" s="58" t="s">
        <v>1413</v>
      </c>
      <c r="I1069" s="64" t="s">
        <v>3771</v>
      </c>
      <c r="J1069" s="66"/>
      <c r="K1069" s="66"/>
      <c r="L1069" s="68"/>
      <c r="M1069" s="63" t="str">
        <f>HYPERLINK("http://nsgreg.nga.mil/genc/view?v=863165&amp;end_month=12&amp;end_day=31&amp;end_year=2016","Correlation")</f>
        <v>Correlation</v>
      </c>
    </row>
    <row r="1070" spans="1:13" x14ac:dyDescent="0.2">
      <c r="A1070" s="113"/>
      <c r="B1070" s="58" t="s">
        <v>3772</v>
      </c>
      <c r="C1070" s="58" t="s">
        <v>1413</v>
      </c>
      <c r="D1070" s="58" t="s">
        <v>3773</v>
      </c>
      <c r="E1070" s="60" t="b">
        <v>1</v>
      </c>
      <c r="F1070" s="80" t="s">
        <v>491</v>
      </c>
      <c r="G1070" s="58" t="s">
        <v>3772</v>
      </c>
      <c r="H1070" s="58" t="s">
        <v>1413</v>
      </c>
      <c r="I1070" s="64" t="s">
        <v>3773</v>
      </c>
      <c r="J1070" s="66"/>
      <c r="K1070" s="66"/>
      <c r="L1070" s="68"/>
      <c r="M1070" s="63" t="str">
        <f>HYPERLINK("http://nsgreg.nga.mil/genc/view?v=863166&amp;end_month=12&amp;end_day=31&amp;end_year=2016","Correlation")</f>
        <v>Correlation</v>
      </c>
    </row>
    <row r="1071" spans="1:13" x14ac:dyDescent="0.2">
      <c r="A1071" s="113"/>
      <c r="B1071" s="58" t="s">
        <v>3774</v>
      </c>
      <c r="C1071" s="58" t="s">
        <v>1728</v>
      </c>
      <c r="D1071" s="58" t="s">
        <v>3775</v>
      </c>
      <c r="E1071" s="60" t="b">
        <v>1</v>
      </c>
      <c r="F1071" s="80" t="s">
        <v>491</v>
      </c>
      <c r="G1071" s="58" t="s">
        <v>3774</v>
      </c>
      <c r="H1071" s="58" t="s">
        <v>1728</v>
      </c>
      <c r="I1071" s="64" t="s">
        <v>3775</v>
      </c>
      <c r="J1071" s="66"/>
      <c r="K1071" s="66"/>
      <c r="L1071" s="68"/>
      <c r="M1071" s="63" t="str">
        <f>HYPERLINK("http://nsgreg.nga.mil/genc/view?v=863195&amp;end_month=12&amp;end_day=31&amp;end_year=2016","Correlation")</f>
        <v>Correlation</v>
      </c>
    </row>
    <row r="1072" spans="1:13" x14ac:dyDescent="0.2">
      <c r="A1072" s="113"/>
      <c r="B1072" s="58" t="s">
        <v>3776</v>
      </c>
      <c r="C1072" s="58" t="s">
        <v>1728</v>
      </c>
      <c r="D1072" s="58" t="s">
        <v>3777</v>
      </c>
      <c r="E1072" s="60" t="b">
        <v>1</v>
      </c>
      <c r="F1072" s="80" t="s">
        <v>491</v>
      </c>
      <c r="G1072" s="58" t="s">
        <v>3776</v>
      </c>
      <c r="H1072" s="58" t="s">
        <v>1728</v>
      </c>
      <c r="I1072" s="64" t="s">
        <v>3777</v>
      </c>
      <c r="J1072" s="66"/>
      <c r="K1072" s="66"/>
      <c r="L1072" s="68"/>
      <c r="M1072" s="63" t="str">
        <f>HYPERLINK("http://nsgreg.nga.mil/genc/view?v=863196&amp;end_month=12&amp;end_day=31&amp;end_year=2016","Correlation")</f>
        <v>Correlation</v>
      </c>
    </row>
    <row r="1073" spans="1:13" x14ac:dyDescent="0.2">
      <c r="A1073" s="113"/>
      <c r="B1073" s="58" t="s">
        <v>3778</v>
      </c>
      <c r="C1073" s="58" t="s">
        <v>1413</v>
      </c>
      <c r="D1073" s="58" t="s">
        <v>3779</v>
      </c>
      <c r="E1073" s="60" t="b">
        <v>1</v>
      </c>
      <c r="F1073" s="80" t="s">
        <v>491</v>
      </c>
      <c r="G1073" s="58" t="s">
        <v>3778</v>
      </c>
      <c r="H1073" s="58" t="s">
        <v>1413</v>
      </c>
      <c r="I1073" s="64" t="s">
        <v>3779</v>
      </c>
      <c r="J1073" s="66"/>
      <c r="K1073" s="66"/>
      <c r="L1073" s="68"/>
      <c r="M1073" s="63" t="str">
        <f>HYPERLINK("http://nsgreg.nga.mil/genc/view?v=863167&amp;end_month=12&amp;end_day=31&amp;end_year=2016","Correlation")</f>
        <v>Correlation</v>
      </c>
    </row>
    <row r="1074" spans="1:13" x14ac:dyDescent="0.2">
      <c r="A1074" s="113"/>
      <c r="B1074" s="58" t="s">
        <v>3780</v>
      </c>
      <c r="C1074" s="58" t="s">
        <v>1413</v>
      </c>
      <c r="D1074" s="58" t="s">
        <v>3781</v>
      </c>
      <c r="E1074" s="60" t="b">
        <v>1</v>
      </c>
      <c r="F1074" s="80" t="s">
        <v>491</v>
      </c>
      <c r="G1074" s="58" t="s">
        <v>3780</v>
      </c>
      <c r="H1074" s="58" t="s">
        <v>1413</v>
      </c>
      <c r="I1074" s="64" t="s">
        <v>3781</v>
      </c>
      <c r="J1074" s="66"/>
      <c r="K1074" s="66"/>
      <c r="L1074" s="68"/>
      <c r="M1074" s="63" t="str">
        <f>HYPERLINK("http://nsgreg.nga.mil/genc/view?v=863188&amp;end_month=12&amp;end_day=31&amp;end_year=2016","Correlation")</f>
        <v>Correlation</v>
      </c>
    </row>
    <row r="1075" spans="1:13" x14ac:dyDescent="0.2">
      <c r="A1075" s="113"/>
      <c r="B1075" s="58" t="s">
        <v>3782</v>
      </c>
      <c r="C1075" s="58" t="s">
        <v>1413</v>
      </c>
      <c r="D1075" s="58" t="s">
        <v>3783</v>
      </c>
      <c r="E1075" s="60" t="b">
        <v>1</v>
      </c>
      <c r="F1075" s="80" t="s">
        <v>491</v>
      </c>
      <c r="G1075" s="58" t="s">
        <v>3782</v>
      </c>
      <c r="H1075" s="58" t="s">
        <v>1413</v>
      </c>
      <c r="I1075" s="64" t="s">
        <v>3783</v>
      </c>
      <c r="J1075" s="66"/>
      <c r="K1075" s="66"/>
      <c r="L1075" s="68"/>
      <c r="M1075" s="63" t="str">
        <f>HYPERLINK("http://nsgreg.nga.mil/genc/view?v=863177&amp;end_month=12&amp;end_day=31&amp;end_year=2016","Correlation")</f>
        <v>Correlation</v>
      </c>
    </row>
    <row r="1076" spans="1:13" x14ac:dyDescent="0.2">
      <c r="A1076" s="113"/>
      <c r="B1076" s="58" t="s">
        <v>3784</v>
      </c>
      <c r="C1076" s="58" t="s">
        <v>1728</v>
      </c>
      <c r="D1076" s="58" t="s">
        <v>3785</v>
      </c>
      <c r="E1076" s="60" t="b">
        <v>1</v>
      </c>
      <c r="F1076" s="80" t="s">
        <v>491</v>
      </c>
      <c r="G1076" s="58" t="s">
        <v>3784</v>
      </c>
      <c r="H1076" s="58" t="s">
        <v>1728</v>
      </c>
      <c r="I1076" s="64" t="s">
        <v>3785</v>
      </c>
      <c r="J1076" s="66"/>
      <c r="K1076" s="66"/>
      <c r="L1076" s="68"/>
      <c r="M1076" s="63" t="str">
        <f>HYPERLINK("http://nsgreg.nga.mil/genc/view?v=863197&amp;end_month=12&amp;end_day=31&amp;end_year=2016","Correlation")</f>
        <v>Correlation</v>
      </c>
    </row>
    <row r="1077" spans="1:13" x14ac:dyDescent="0.2">
      <c r="A1077" s="113"/>
      <c r="B1077" s="58" t="s">
        <v>3786</v>
      </c>
      <c r="C1077" s="58" t="s">
        <v>1413</v>
      </c>
      <c r="D1077" s="58" t="s">
        <v>3787</v>
      </c>
      <c r="E1077" s="60" t="b">
        <v>1</v>
      </c>
      <c r="F1077" s="80" t="s">
        <v>491</v>
      </c>
      <c r="G1077" s="58" t="s">
        <v>3786</v>
      </c>
      <c r="H1077" s="58" t="s">
        <v>1413</v>
      </c>
      <c r="I1077" s="64" t="s">
        <v>3787</v>
      </c>
      <c r="J1077" s="66"/>
      <c r="K1077" s="66"/>
      <c r="L1077" s="68"/>
      <c r="M1077" s="63" t="str">
        <f>HYPERLINK("http://nsgreg.nga.mil/genc/view?v=863168&amp;end_month=12&amp;end_day=31&amp;end_year=2016","Correlation")</f>
        <v>Correlation</v>
      </c>
    </row>
    <row r="1078" spans="1:13" x14ac:dyDescent="0.2">
      <c r="A1078" s="113"/>
      <c r="B1078" s="58" t="s">
        <v>3788</v>
      </c>
      <c r="C1078" s="58" t="s">
        <v>1413</v>
      </c>
      <c r="D1078" s="58" t="s">
        <v>3789</v>
      </c>
      <c r="E1078" s="60" t="b">
        <v>1</v>
      </c>
      <c r="F1078" s="80" t="s">
        <v>491</v>
      </c>
      <c r="G1078" s="58" t="s">
        <v>3788</v>
      </c>
      <c r="H1078" s="58" t="s">
        <v>1413</v>
      </c>
      <c r="I1078" s="64" t="s">
        <v>3789</v>
      </c>
      <c r="J1078" s="66"/>
      <c r="K1078" s="66"/>
      <c r="L1078" s="68"/>
      <c r="M1078" s="63" t="str">
        <f>HYPERLINK("http://nsgreg.nga.mil/genc/view?v=863169&amp;end_month=12&amp;end_day=31&amp;end_year=2016","Correlation")</f>
        <v>Correlation</v>
      </c>
    </row>
    <row r="1079" spans="1:13" x14ac:dyDescent="0.2">
      <c r="A1079" s="113"/>
      <c r="B1079" s="58" t="s">
        <v>3790</v>
      </c>
      <c r="C1079" s="58" t="s">
        <v>1413</v>
      </c>
      <c r="D1079" s="58" t="s">
        <v>3791</v>
      </c>
      <c r="E1079" s="60" t="b">
        <v>1</v>
      </c>
      <c r="F1079" s="80" t="s">
        <v>491</v>
      </c>
      <c r="G1079" s="58" t="s">
        <v>3790</v>
      </c>
      <c r="H1079" s="58" t="s">
        <v>1413</v>
      </c>
      <c r="I1079" s="64" t="s">
        <v>3791</v>
      </c>
      <c r="J1079" s="66"/>
      <c r="K1079" s="66"/>
      <c r="L1079" s="68"/>
      <c r="M1079" s="63" t="str">
        <f>HYPERLINK("http://nsgreg.nga.mil/genc/view?v=863170&amp;end_month=12&amp;end_day=31&amp;end_year=2016","Correlation")</f>
        <v>Correlation</v>
      </c>
    </row>
    <row r="1080" spans="1:13" x14ac:dyDescent="0.2">
      <c r="A1080" s="113"/>
      <c r="B1080" s="58" t="s">
        <v>3792</v>
      </c>
      <c r="C1080" s="58" t="s">
        <v>1413</v>
      </c>
      <c r="D1080" s="58" t="s">
        <v>3793</v>
      </c>
      <c r="E1080" s="60" t="b">
        <v>1</v>
      </c>
      <c r="F1080" s="80" t="s">
        <v>491</v>
      </c>
      <c r="G1080" s="58" t="s">
        <v>3792</v>
      </c>
      <c r="H1080" s="58" t="s">
        <v>1413</v>
      </c>
      <c r="I1080" s="64" t="s">
        <v>3793</v>
      </c>
      <c r="J1080" s="66"/>
      <c r="K1080" s="66"/>
      <c r="L1080" s="68"/>
      <c r="M1080" s="63" t="str">
        <f>HYPERLINK("http://nsgreg.nga.mil/genc/view?v=863171&amp;end_month=12&amp;end_day=31&amp;end_year=2016","Correlation")</f>
        <v>Correlation</v>
      </c>
    </row>
    <row r="1081" spans="1:13" x14ac:dyDescent="0.2">
      <c r="A1081" s="113"/>
      <c r="B1081" s="58" t="s">
        <v>3794</v>
      </c>
      <c r="C1081" s="58" t="s">
        <v>1413</v>
      </c>
      <c r="D1081" s="58" t="s">
        <v>3795</v>
      </c>
      <c r="E1081" s="60" t="b">
        <v>1</v>
      </c>
      <c r="F1081" s="80" t="s">
        <v>491</v>
      </c>
      <c r="G1081" s="58" t="s">
        <v>3794</v>
      </c>
      <c r="H1081" s="58" t="s">
        <v>1413</v>
      </c>
      <c r="I1081" s="64" t="s">
        <v>3795</v>
      </c>
      <c r="J1081" s="66"/>
      <c r="K1081" s="66"/>
      <c r="L1081" s="68"/>
      <c r="M1081" s="63" t="str">
        <f>HYPERLINK("http://nsgreg.nga.mil/genc/view?v=863172&amp;end_month=12&amp;end_day=31&amp;end_year=2016","Correlation")</f>
        <v>Correlation</v>
      </c>
    </row>
    <row r="1082" spans="1:13" x14ac:dyDescent="0.2">
      <c r="A1082" s="113"/>
      <c r="B1082" s="58" t="s">
        <v>3796</v>
      </c>
      <c r="C1082" s="58" t="s">
        <v>1413</v>
      </c>
      <c r="D1082" s="58" t="s">
        <v>3797</v>
      </c>
      <c r="E1082" s="60" t="b">
        <v>1</v>
      </c>
      <c r="F1082" s="80" t="s">
        <v>491</v>
      </c>
      <c r="G1082" s="58" t="s">
        <v>3796</v>
      </c>
      <c r="H1082" s="58" t="s">
        <v>1413</v>
      </c>
      <c r="I1082" s="64" t="s">
        <v>3797</v>
      </c>
      <c r="J1082" s="66"/>
      <c r="K1082" s="66"/>
      <c r="L1082" s="68"/>
      <c r="M1082" s="63" t="str">
        <f>HYPERLINK("http://nsgreg.nga.mil/genc/view?v=863186&amp;end_month=12&amp;end_day=31&amp;end_year=2016","Correlation")</f>
        <v>Correlation</v>
      </c>
    </row>
    <row r="1083" spans="1:13" x14ac:dyDescent="0.2">
      <c r="A1083" s="113"/>
      <c r="B1083" s="58" t="s">
        <v>3798</v>
      </c>
      <c r="C1083" s="58" t="s">
        <v>1413</v>
      </c>
      <c r="D1083" s="58" t="s">
        <v>3799</v>
      </c>
      <c r="E1083" s="60" t="b">
        <v>1</v>
      </c>
      <c r="F1083" s="80" t="s">
        <v>491</v>
      </c>
      <c r="G1083" s="58" t="s">
        <v>3798</v>
      </c>
      <c r="H1083" s="58" t="s">
        <v>1413</v>
      </c>
      <c r="I1083" s="64" t="s">
        <v>3799</v>
      </c>
      <c r="J1083" s="66"/>
      <c r="K1083" s="66"/>
      <c r="L1083" s="68"/>
      <c r="M1083" s="63" t="str">
        <f>HYPERLINK("http://nsgreg.nga.mil/genc/view?v=863173&amp;end_month=12&amp;end_day=31&amp;end_year=2016","Correlation")</f>
        <v>Correlation</v>
      </c>
    </row>
    <row r="1084" spans="1:13" x14ac:dyDescent="0.2">
      <c r="A1084" s="113"/>
      <c r="B1084" s="58" t="s">
        <v>3800</v>
      </c>
      <c r="C1084" s="58" t="s">
        <v>1413</v>
      </c>
      <c r="D1084" s="58" t="s">
        <v>3801</v>
      </c>
      <c r="E1084" s="60" t="b">
        <v>1</v>
      </c>
      <c r="F1084" s="80" t="s">
        <v>491</v>
      </c>
      <c r="G1084" s="58" t="s">
        <v>3800</v>
      </c>
      <c r="H1084" s="58" t="s">
        <v>1413</v>
      </c>
      <c r="I1084" s="64" t="s">
        <v>3801</v>
      </c>
      <c r="J1084" s="66"/>
      <c r="K1084" s="66"/>
      <c r="L1084" s="68"/>
      <c r="M1084" s="63" t="str">
        <f>HYPERLINK("http://nsgreg.nga.mil/genc/view?v=863187&amp;end_month=12&amp;end_day=31&amp;end_year=2016","Correlation")</f>
        <v>Correlation</v>
      </c>
    </row>
    <row r="1085" spans="1:13" x14ac:dyDescent="0.2">
      <c r="A1085" s="113"/>
      <c r="B1085" s="58" t="s">
        <v>3802</v>
      </c>
      <c r="C1085" s="58" t="s">
        <v>1728</v>
      </c>
      <c r="D1085" s="58" t="s">
        <v>3803</v>
      </c>
      <c r="E1085" s="60" t="b">
        <v>1</v>
      </c>
      <c r="F1085" s="80" t="s">
        <v>491</v>
      </c>
      <c r="G1085" s="58" t="s">
        <v>3802</v>
      </c>
      <c r="H1085" s="58" t="s">
        <v>1728</v>
      </c>
      <c r="I1085" s="64" t="s">
        <v>3803</v>
      </c>
      <c r="J1085" s="66"/>
      <c r="K1085" s="66"/>
      <c r="L1085" s="68"/>
      <c r="M1085" s="63" t="str">
        <f>HYPERLINK("http://nsgreg.nga.mil/genc/view?v=863198&amp;end_month=12&amp;end_day=31&amp;end_year=2016","Correlation")</f>
        <v>Correlation</v>
      </c>
    </row>
    <row r="1086" spans="1:13" x14ac:dyDescent="0.2">
      <c r="A1086" s="113"/>
      <c r="B1086" s="58" t="s">
        <v>3804</v>
      </c>
      <c r="C1086" s="58" t="s">
        <v>1413</v>
      </c>
      <c r="D1086" s="58" t="s">
        <v>3805</v>
      </c>
      <c r="E1086" s="60" t="b">
        <v>1</v>
      </c>
      <c r="F1086" s="80" t="s">
        <v>491</v>
      </c>
      <c r="G1086" s="58" t="s">
        <v>3804</v>
      </c>
      <c r="H1086" s="58" t="s">
        <v>1413</v>
      </c>
      <c r="I1086" s="64" t="s">
        <v>3805</v>
      </c>
      <c r="J1086" s="66"/>
      <c r="K1086" s="66"/>
      <c r="L1086" s="68"/>
      <c r="M1086" s="63" t="str">
        <f>HYPERLINK("http://nsgreg.nga.mil/genc/view?v=863174&amp;end_month=12&amp;end_day=31&amp;end_year=2016","Correlation")</f>
        <v>Correlation</v>
      </c>
    </row>
    <row r="1087" spans="1:13" x14ac:dyDescent="0.2">
      <c r="A1087" s="113"/>
      <c r="B1087" s="58" t="s">
        <v>3806</v>
      </c>
      <c r="C1087" s="58" t="s">
        <v>1413</v>
      </c>
      <c r="D1087" s="58" t="s">
        <v>3807</v>
      </c>
      <c r="E1087" s="60" t="b">
        <v>1</v>
      </c>
      <c r="F1087" s="80" t="s">
        <v>491</v>
      </c>
      <c r="G1087" s="58" t="s">
        <v>3806</v>
      </c>
      <c r="H1087" s="58" t="s">
        <v>1413</v>
      </c>
      <c r="I1087" s="64" t="s">
        <v>3807</v>
      </c>
      <c r="J1087" s="66"/>
      <c r="K1087" s="66"/>
      <c r="L1087" s="68"/>
      <c r="M1087" s="63" t="str">
        <f>HYPERLINK("http://nsgreg.nga.mil/genc/view?v=863175&amp;end_month=12&amp;end_day=31&amp;end_year=2016","Correlation")</f>
        <v>Correlation</v>
      </c>
    </row>
    <row r="1088" spans="1:13" x14ac:dyDescent="0.2">
      <c r="A1088" s="113"/>
      <c r="B1088" s="58" t="s">
        <v>3808</v>
      </c>
      <c r="C1088" s="58" t="s">
        <v>1413</v>
      </c>
      <c r="D1088" s="58" t="s">
        <v>3809</v>
      </c>
      <c r="E1088" s="60" t="b">
        <v>1</v>
      </c>
      <c r="F1088" s="80" t="s">
        <v>491</v>
      </c>
      <c r="G1088" s="58" t="s">
        <v>3808</v>
      </c>
      <c r="H1088" s="58" t="s">
        <v>1413</v>
      </c>
      <c r="I1088" s="64" t="s">
        <v>3809</v>
      </c>
      <c r="J1088" s="66"/>
      <c r="K1088" s="66"/>
      <c r="L1088" s="68"/>
      <c r="M1088" s="63" t="str">
        <f>HYPERLINK("http://nsgreg.nga.mil/genc/view?v=863176&amp;end_month=12&amp;end_day=31&amp;end_year=2016","Correlation")</f>
        <v>Correlation</v>
      </c>
    </row>
    <row r="1089" spans="1:13" x14ac:dyDescent="0.2">
      <c r="A1089" s="113"/>
      <c r="B1089" s="58" t="s">
        <v>3810</v>
      </c>
      <c r="C1089" s="58" t="s">
        <v>1413</v>
      </c>
      <c r="D1089" s="58" t="s">
        <v>3811</v>
      </c>
      <c r="E1089" s="60" t="b">
        <v>1</v>
      </c>
      <c r="F1089" s="80" t="s">
        <v>491</v>
      </c>
      <c r="G1089" s="58" t="s">
        <v>3810</v>
      </c>
      <c r="H1089" s="58" t="s">
        <v>1413</v>
      </c>
      <c r="I1089" s="64" t="s">
        <v>3811</v>
      </c>
      <c r="J1089" s="66"/>
      <c r="K1089" s="66"/>
      <c r="L1089" s="68"/>
      <c r="M1089" s="63" t="str">
        <f>HYPERLINK("http://nsgreg.nga.mil/genc/view?v=863178&amp;end_month=12&amp;end_day=31&amp;end_year=2016","Correlation")</f>
        <v>Correlation</v>
      </c>
    </row>
    <row r="1090" spans="1:13" x14ac:dyDescent="0.2">
      <c r="A1090" s="113"/>
      <c r="B1090" s="58" t="s">
        <v>3812</v>
      </c>
      <c r="C1090" s="58" t="s">
        <v>1413</v>
      </c>
      <c r="D1090" s="58" t="s">
        <v>3813</v>
      </c>
      <c r="E1090" s="60" t="b">
        <v>1</v>
      </c>
      <c r="F1090" s="80" t="s">
        <v>491</v>
      </c>
      <c r="G1090" s="58" t="s">
        <v>3812</v>
      </c>
      <c r="H1090" s="58" t="s">
        <v>1413</v>
      </c>
      <c r="I1090" s="64" t="s">
        <v>3813</v>
      </c>
      <c r="J1090" s="66"/>
      <c r="K1090" s="66"/>
      <c r="L1090" s="68"/>
      <c r="M1090" s="63" t="str">
        <f>HYPERLINK("http://nsgreg.nga.mil/genc/view?v=863179&amp;end_month=12&amp;end_day=31&amp;end_year=2016","Correlation")</f>
        <v>Correlation</v>
      </c>
    </row>
    <row r="1091" spans="1:13" x14ac:dyDescent="0.2">
      <c r="A1091" s="113"/>
      <c r="B1091" s="58" t="s">
        <v>3814</v>
      </c>
      <c r="C1091" s="58" t="s">
        <v>1413</v>
      </c>
      <c r="D1091" s="58" t="s">
        <v>3815</v>
      </c>
      <c r="E1091" s="60" t="b">
        <v>1</v>
      </c>
      <c r="F1091" s="80" t="s">
        <v>491</v>
      </c>
      <c r="G1091" s="58" t="s">
        <v>3814</v>
      </c>
      <c r="H1091" s="58" t="s">
        <v>1413</v>
      </c>
      <c r="I1091" s="64" t="s">
        <v>3815</v>
      </c>
      <c r="J1091" s="66"/>
      <c r="K1091" s="66"/>
      <c r="L1091" s="68"/>
      <c r="M1091" s="63" t="str">
        <f>HYPERLINK("http://nsgreg.nga.mil/genc/view?v=863189&amp;end_month=12&amp;end_day=31&amp;end_year=2016","Correlation")</f>
        <v>Correlation</v>
      </c>
    </row>
    <row r="1092" spans="1:13" x14ac:dyDescent="0.2">
      <c r="A1092" s="113"/>
      <c r="B1092" s="58" t="s">
        <v>1712</v>
      </c>
      <c r="C1092" s="58" t="s">
        <v>1413</v>
      </c>
      <c r="D1092" s="58" t="s">
        <v>3816</v>
      </c>
      <c r="E1092" s="60" t="b">
        <v>1</v>
      </c>
      <c r="F1092" s="80" t="s">
        <v>491</v>
      </c>
      <c r="G1092" s="58" t="s">
        <v>1712</v>
      </c>
      <c r="H1092" s="58" t="s">
        <v>1413</v>
      </c>
      <c r="I1092" s="64" t="s">
        <v>3816</v>
      </c>
      <c r="J1092" s="66"/>
      <c r="K1092" s="66"/>
      <c r="L1092" s="68"/>
      <c r="M1092" s="63" t="str">
        <f>HYPERLINK("http://nsgreg.nga.mil/genc/view?v=863180&amp;end_month=12&amp;end_day=31&amp;end_year=2016","Correlation")</f>
        <v>Correlation</v>
      </c>
    </row>
    <row r="1093" spans="1:13" x14ac:dyDescent="0.2">
      <c r="A1093" s="113"/>
      <c r="B1093" s="58" t="s">
        <v>3817</v>
      </c>
      <c r="C1093" s="58" t="s">
        <v>1413</v>
      </c>
      <c r="D1093" s="58" t="s">
        <v>3818</v>
      </c>
      <c r="E1093" s="60" t="b">
        <v>1</v>
      </c>
      <c r="F1093" s="80" t="s">
        <v>491</v>
      </c>
      <c r="G1093" s="58" t="s">
        <v>3817</v>
      </c>
      <c r="H1093" s="58" t="s">
        <v>1413</v>
      </c>
      <c r="I1093" s="64" t="s">
        <v>3818</v>
      </c>
      <c r="J1093" s="66"/>
      <c r="K1093" s="66"/>
      <c r="L1093" s="68"/>
      <c r="M1093" s="63" t="str">
        <f>HYPERLINK("http://nsgreg.nga.mil/genc/view?v=863181&amp;end_month=12&amp;end_day=31&amp;end_year=2016","Correlation")</f>
        <v>Correlation</v>
      </c>
    </row>
    <row r="1094" spans="1:13" x14ac:dyDescent="0.2">
      <c r="A1094" s="113"/>
      <c r="B1094" s="58" t="s">
        <v>3819</v>
      </c>
      <c r="C1094" s="58" t="s">
        <v>1413</v>
      </c>
      <c r="D1094" s="58" t="s">
        <v>3820</v>
      </c>
      <c r="E1094" s="60" t="b">
        <v>1</v>
      </c>
      <c r="F1094" s="80" t="s">
        <v>491</v>
      </c>
      <c r="G1094" s="58" t="s">
        <v>3819</v>
      </c>
      <c r="H1094" s="58" t="s">
        <v>1413</v>
      </c>
      <c r="I1094" s="64" t="s">
        <v>3820</v>
      </c>
      <c r="J1094" s="66"/>
      <c r="K1094" s="66"/>
      <c r="L1094" s="68"/>
      <c r="M1094" s="63" t="str">
        <f>HYPERLINK("http://nsgreg.nga.mil/genc/view?v=863182&amp;end_month=12&amp;end_day=31&amp;end_year=2016","Correlation")</f>
        <v>Correlation</v>
      </c>
    </row>
    <row r="1095" spans="1:13" x14ac:dyDescent="0.2">
      <c r="A1095" s="113"/>
      <c r="B1095" s="58" t="s">
        <v>3821</v>
      </c>
      <c r="C1095" s="58" t="s">
        <v>1413</v>
      </c>
      <c r="D1095" s="58" t="s">
        <v>3822</v>
      </c>
      <c r="E1095" s="60" t="b">
        <v>1</v>
      </c>
      <c r="F1095" s="80" t="s">
        <v>491</v>
      </c>
      <c r="G1095" s="58" t="s">
        <v>3821</v>
      </c>
      <c r="H1095" s="58" t="s">
        <v>1413</v>
      </c>
      <c r="I1095" s="64" t="s">
        <v>3822</v>
      </c>
      <c r="J1095" s="66"/>
      <c r="K1095" s="66"/>
      <c r="L1095" s="68"/>
      <c r="M1095" s="63" t="str">
        <f>HYPERLINK("http://nsgreg.nga.mil/genc/view?v=863183&amp;end_month=12&amp;end_day=31&amp;end_year=2016","Correlation")</f>
        <v>Correlation</v>
      </c>
    </row>
    <row r="1096" spans="1:13" x14ac:dyDescent="0.2">
      <c r="A1096" s="113"/>
      <c r="B1096" s="58" t="s">
        <v>3823</v>
      </c>
      <c r="C1096" s="58" t="s">
        <v>1413</v>
      </c>
      <c r="D1096" s="58" t="s">
        <v>3824</v>
      </c>
      <c r="E1096" s="60" t="b">
        <v>1</v>
      </c>
      <c r="F1096" s="80" t="s">
        <v>491</v>
      </c>
      <c r="G1096" s="58" t="s">
        <v>3823</v>
      </c>
      <c r="H1096" s="58" t="s">
        <v>1413</v>
      </c>
      <c r="I1096" s="64" t="s">
        <v>3824</v>
      </c>
      <c r="J1096" s="66"/>
      <c r="K1096" s="66"/>
      <c r="L1096" s="68"/>
      <c r="M1096" s="63" t="str">
        <f>HYPERLINK("http://nsgreg.nga.mil/genc/view?v=863184&amp;end_month=12&amp;end_day=31&amp;end_year=2016","Correlation")</f>
        <v>Correlation</v>
      </c>
    </row>
    <row r="1097" spans="1:13" x14ac:dyDescent="0.2">
      <c r="A1097" s="113"/>
      <c r="B1097" s="58" t="s">
        <v>3825</v>
      </c>
      <c r="C1097" s="58" t="s">
        <v>1413</v>
      </c>
      <c r="D1097" s="58" t="s">
        <v>3826</v>
      </c>
      <c r="E1097" s="60" t="b">
        <v>1</v>
      </c>
      <c r="F1097" s="80" t="s">
        <v>491</v>
      </c>
      <c r="G1097" s="58" t="s">
        <v>3825</v>
      </c>
      <c r="H1097" s="58" t="s">
        <v>1413</v>
      </c>
      <c r="I1097" s="64" t="s">
        <v>3826</v>
      </c>
      <c r="J1097" s="66"/>
      <c r="K1097" s="66"/>
      <c r="L1097" s="68"/>
      <c r="M1097" s="63" t="str">
        <f>HYPERLINK("http://nsgreg.nga.mil/genc/view?v=863190&amp;end_month=12&amp;end_day=31&amp;end_year=2016","Correlation")</f>
        <v>Correlation</v>
      </c>
    </row>
    <row r="1098" spans="1:13" x14ac:dyDescent="0.2">
      <c r="A1098" s="113"/>
      <c r="B1098" s="58" t="s">
        <v>3827</v>
      </c>
      <c r="C1098" s="58" t="s">
        <v>1728</v>
      </c>
      <c r="D1098" s="58" t="s">
        <v>3828</v>
      </c>
      <c r="E1098" s="60" t="b">
        <v>1</v>
      </c>
      <c r="F1098" s="80" t="s">
        <v>491</v>
      </c>
      <c r="G1098" s="58" t="s">
        <v>3827</v>
      </c>
      <c r="H1098" s="58" t="s">
        <v>1728</v>
      </c>
      <c r="I1098" s="64" t="s">
        <v>3828</v>
      </c>
      <c r="J1098" s="66"/>
      <c r="K1098" s="66"/>
      <c r="L1098" s="68"/>
      <c r="M1098" s="63" t="str">
        <f>HYPERLINK("http://nsgreg.nga.mil/genc/view?v=863199&amp;end_month=12&amp;end_day=31&amp;end_year=2016","Correlation")</f>
        <v>Correlation</v>
      </c>
    </row>
    <row r="1099" spans="1:13" x14ac:dyDescent="0.2">
      <c r="A1099" s="113"/>
      <c r="B1099" s="58" t="s">
        <v>3829</v>
      </c>
      <c r="C1099" s="58" t="s">
        <v>1413</v>
      </c>
      <c r="D1099" s="58" t="s">
        <v>3830</v>
      </c>
      <c r="E1099" s="60" t="b">
        <v>1</v>
      </c>
      <c r="F1099" s="80" t="s">
        <v>491</v>
      </c>
      <c r="G1099" s="58" t="s">
        <v>3829</v>
      </c>
      <c r="H1099" s="58" t="s">
        <v>1413</v>
      </c>
      <c r="I1099" s="64" t="s">
        <v>3830</v>
      </c>
      <c r="J1099" s="66"/>
      <c r="K1099" s="66"/>
      <c r="L1099" s="68"/>
      <c r="M1099" s="63" t="str">
        <f>HYPERLINK("http://nsgreg.nga.mil/genc/view?v=863185&amp;end_month=12&amp;end_day=31&amp;end_year=2016","Correlation")</f>
        <v>Correlation</v>
      </c>
    </row>
    <row r="1100" spans="1:13" x14ac:dyDescent="0.2">
      <c r="A1100" s="114"/>
      <c r="B1100" s="71" t="s">
        <v>3831</v>
      </c>
      <c r="C1100" s="71" t="s">
        <v>1728</v>
      </c>
      <c r="D1100" s="71" t="s">
        <v>3832</v>
      </c>
      <c r="E1100" s="73" t="b">
        <v>1</v>
      </c>
      <c r="F1100" s="81" t="s">
        <v>491</v>
      </c>
      <c r="G1100" s="71" t="s">
        <v>3831</v>
      </c>
      <c r="H1100" s="71" t="s">
        <v>1728</v>
      </c>
      <c r="I1100" s="74" t="s">
        <v>3832</v>
      </c>
      <c r="J1100" s="76"/>
      <c r="K1100" s="76"/>
      <c r="L1100" s="82"/>
      <c r="M1100" s="77" t="str">
        <f>HYPERLINK("http://nsgreg.nga.mil/genc/view?v=863200&amp;end_month=12&amp;end_day=31&amp;end_year=2016","Correlation")</f>
        <v>Correlation</v>
      </c>
    </row>
    <row r="1101" spans="1:13" x14ac:dyDescent="0.2">
      <c r="A1101" s="112" t="s">
        <v>495</v>
      </c>
      <c r="B1101" s="50" t="s">
        <v>3833</v>
      </c>
      <c r="C1101" s="50" t="s">
        <v>1413</v>
      </c>
      <c r="D1101" s="50" t="s">
        <v>3834</v>
      </c>
      <c r="E1101" s="52" t="b">
        <v>1</v>
      </c>
      <c r="F1101" s="78" t="s">
        <v>495</v>
      </c>
      <c r="G1101" s="50" t="s">
        <v>3833</v>
      </c>
      <c r="H1101" s="50" t="s">
        <v>1413</v>
      </c>
      <c r="I1101" s="53" t="s">
        <v>3834</v>
      </c>
      <c r="J1101" s="55"/>
      <c r="K1101" s="55"/>
      <c r="L1101" s="79"/>
      <c r="M1101" s="56" t="str">
        <f>HYPERLINK("http://nsgreg.nga.mil/genc/view?v=863249&amp;end_month=12&amp;end_day=31&amp;end_year=2016","Correlation")</f>
        <v>Correlation</v>
      </c>
    </row>
    <row r="1102" spans="1:13" x14ac:dyDescent="0.2">
      <c r="A1102" s="113"/>
      <c r="B1102" s="58" t="s">
        <v>3143</v>
      </c>
      <c r="C1102" s="58" t="s">
        <v>1413</v>
      </c>
      <c r="D1102" s="58" t="s">
        <v>3835</v>
      </c>
      <c r="E1102" s="60" t="b">
        <v>1</v>
      </c>
      <c r="F1102" s="80" t="s">
        <v>495</v>
      </c>
      <c r="G1102" s="58" t="s">
        <v>3143</v>
      </c>
      <c r="H1102" s="58" t="s">
        <v>1413</v>
      </c>
      <c r="I1102" s="64" t="s">
        <v>3835</v>
      </c>
      <c r="J1102" s="66"/>
      <c r="K1102" s="66"/>
      <c r="L1102" s="68"/>
      <c r="M1102" s="63" t="str">
        <f>HYPERLINK("http://nsgreg.nga.mil/genc/view?v=863250&amp;end_month=12&amp;end_day=31&amp;end_year=2016","Correlation")</f>
        <v>Correlation</v>
      </c>
    </row>
    <row r="1103" spans="1:13" x14ac:dyDescent="0.2">
      <c r="A1103" s="113"/>
      <c r="B1103" s="58" t="s">
        <v>3836</v>
      </c>
      <c r="C1103" s="58" t="s">
        <v>1413</v>
      </c>
      <c r="D1103" s="58" t="s">
        <v>3837</v>
      </c>
      <c r="E1103" s="60" t="b">
        <v>1</v>
      </c>
      <c r="F1103" s="80" t="s">
        <v>495</v>
      </c>
      <c r="G1103" s="58" t="s">
        <v>3836</v>
      </c>
      <c r="H1103" s="58" t="s">
        <v>1413</v>
      </c>
      <c r="I1103" s="64" t="s">
        <v>3837</v>
      </c>
      <c r="J1103" s="66"/>
      <c r="K1103" s="66"/>
      <c r="L1103" s="68"/>
      <c r="M1103" s="63" t="str">
        <f>HYPERLINK("http://nsgreg.nga.mil/genc/view?v=863254&amp;end_month=12&amp;end_day=31&amp;end_year=2016","Correlation")</f>
        <v>Correlation</v>
      </c>
    </row>
    <row r="1104" spans="1:13" x14ac:dyDescent="0.2">
      <c r="A1104" s="113"/>
      <c r="B1104" s="58" t="s">
        <v>3838</v>
      </c>
      <c r="C1104" s="58" t="s">
        <v>1413</v>
      </c>
      <c r="D1104" s="58" t="s">
        <v>3839</v>
      </c>
      <c r="E1104" s="60" t="b">
        <v>1</v>
      </c>
      <c r="F1104" s="80" t="s">
        <v>495</v>
      </c>
      <c r="G1104" s="58" t="s">
        <v>3838</v>
      </c>
      <c r="H1104" s="58" t="s">
        <v>1413</v>
      </c>
      <c r="I1104" s="64" t="s">
        <v>3839</v>
      </c>
      <c r="J1104" s="66"/>
      <c r="K1104" s="66"/>
      <c r="L1104" s="68"/>
      <c r="M1104" s="63" t="str">
        <f>HYPERLINK("http://nsgreg.nga.mil/genc/view?v=863251&amp;end_month=12&amp;end_day=31&amp;end_year=2016","Correlation")</f>
        <v>Correlation</v>
      </c>
    </row>
    <row r="1105" spans="1:13" x14ac:dyDescent="0.2">
      <c r="A1105" s="113"/>
      <c r="B1105" s="58" t="s">
        <v>3840</v>
      </c>
      <c r="C1105" s="58" t="s">
        <v>1413</v>
      </c>
      <c r="D1105" s="58" t="s">
        <v>3841</v>
      </c>
      <c r="E1105" s="60" t="b">
        <v>1</v>
      </c>
      <c r="F1105" s="80" t="s">
        <v>495</v>
      </c>
      <c r="G1105" s="58" t="s">
        <v>3840</v>
      </c>
      <c r="H1105" s="58" t="s">
        <v>1413</v>
      </c>
      <c r="I1105" s="64" t="s">
        <v>3841</v>
      </c>
      <c r="J1105" s="66"/>
      <c r="K1105" s="66"/>
      <c r="L1105" s="68"/>
      <c r="M1105" s="63" t="str">
        <f>HYPERLINK("http://nsgreg.nga.mil/genc/view?v=863256&amp;end_month=12&amp;end_day=31&amp;end_year=2016","Correlation")</f>
        <v>Correlation</v>
      </c>
    </row>
    <row r="1106" spans="1:13" x14ac:dyDescent="0.2">
      <c r="A1106" s="113"/>
      <c r="B1106" s="58" t="s">
        <v>3842</v>
      </c>
      <c r="C1106" s="58" t="s">
        <v>1413</v>
      </c>
      <c r="D1106" s="58" t="s">
        <v>3843</v>
      </c>
      <c r="E1106" s="60" t="b">
        <v>1</v>
      </c>
      <c r="F1106" s="80" t="s">
        <v>495</v>
      </c>
      <c r="G1106" s="58" t="s">
        <v>3842</v>
      </c>
      <c r="H1106" s="58" t="s">
        <v>1413</v>
      </c>
      <c r="I1106" s="64" t="s">
        <v>3843</v>
      </c>
      <c r="J1106" s="66"/>
      <c r="K1106" s="66"/>
      <c r="L1106" s="68"/>
      <c r="M1106" s="63" t="str">
        <f>HYPERLINK("http://nsgreg.nga.mil/genc/view?v=863270&amp;end_month=12&amp;end_day=31&amp;end_year=2016","Correlation")</f>
        <v>Correlation</v>
      </c>
    </row>
    <row r="1107" spans="1:13" x14ac:dyDescent="0.2">
      <c r="A1107" s="113"/>
      <c r="B1107" s="58" t="s">
        <v>3844</v>
      </c>
      <c r="C1107" s="58" t="s">
        <v>1413</v>
      </c>
      <c r="D1107" s="58" t="s">
        <v>3845</v>
      </c>
      <c r="E1107" s="60" t="b">
        <v>1</v>
      </c>
      <c r="F1107" s="80" t="s">
        <v>495</v>
      </c>
      <c r="G1107" s="58" t="s">
        <v>3844</v>
      </c>
      <c r="H1107" s="58" t="s">
        <v>1413</v>
      </c>
      <c r="I1107" s="64" t="s">
        <v>3845</v>
      </c>
      <c r="J1107" s="66"/>
      <c r="K1107" s="66"/>
      <c r="L1107" s="68"/>
      <c r="M1107" s="63" t="str">
        <f>HYPERLINK("http://nsgreg.nga.mil/genc/view?v=863261&amp;end_month=12&amp;end_day=31&amp;end_year=2016","Correlation")</f>
        <v>Correlation</v>
      </c>
    </row>
    <row r="1108" spans="1:13" x14ac:dyDescent="0.2">
      <c r="A1108" s="113"/>
      <c r="B1108" s="58" t="s">
        <v>3846</v>
      </c>
      <c r="C1108" s="58" t="s">
        <v>1413</v>
      </c>
      <c r="D1108" s="58" t="s">
        <v>3847</v>
      </c>
      <c r="E1108" s="60" t="b">
        <v>1</v>
      </c>
      <c r="F1108" s="80" t="s">
        <v>495</v>
      </c>
      <c r="G1108" s="58" t="s">
        <v>3846</v>
      </c>
      <c r="H1108" s="58" t="s">
        <v>1413</v>
      </c>
      <c r="I1108" s="64" t="s">
        <v>3847</v>
      </c>
      <c r="J1108" s="66"/>
      <c r="K1108" s="66"/>
      <c r="L1108" s="68"/>
      <c r="M1108" s="63" t="str">
        <f>HYPERLINK("http://nsgreg.nga.mil/genc/view?v=863253&amp;end_month=12&amp;end_day=31&amp;end_year=2016","Correlation")</f>
        <v>Correlation</v>
      </c>
    </row>
    <row r="1109" spans="1:13" x14ac:dyDescent="0.2">
      <c r="A1109" s="113"/>
      <c r="B1109" s="58" t="s">
        <v>3848</v>
      </c>
      <c r="C1109" s="58" t="s">
        <v>1413</v>
      </c>
      <c r="D1109" s="58" t="s">
        <v>3849</v>
      </c>
      <c r="E1109" s="60" t="b">
        <v>1</v>
      </c>
      <c r="F1109" s="80" t="s">
        <v>495</v>
      </c>
      <c r="G1109" s="58" t="s">
        <v>3848</v>
      </c>
      <c r="H1109" s="58" t="s">
        <v>1413</v>
      </c>
      <c r="I1109" s="64" t="s">
        <v>3849</v>
      </c>
      <c r="J1109" s="66"/>
      <c r="K1109" s="66"/>
      <c r="L1109" s="68"/>
      <c r="M1109" s="63" t="str">
        <f>HYPERLINK("http://nsgreg.nga.mil/genc/view?v=863269&amp;end_month=12&amp;end_day=31&amp;end_year=2016","Correlation")</f>
        <v>Correlation</v>
      </c>
    </row>
    <row r="1110" spans="1:13" x14ac:dyDescent="0.2">
      <c r="A1110" s="113"/>
      <c r="B1110" s="58" t="s">
        <v>3850</v>
      </c>
      <c r="C1110" s="58" t="s">
        <v>1413</v>
      </c>
      <c r="D1110" s="58" t="s">
        <v>3851</v>
      </c>
      <c r="E1110" s="60" t="b">
        <v>1</v>
      </c>
      <c r="F1110" s="80" t="s">
        <v>495</v>
      </c>
      <c r="G1110" s="58" t="s">
        <v>3850</v>
      </c>
      <c r="H1110" s="58" t="s">
        <v>1413</v>
      </c>
      <c r="I1110" s="64" t="s">
        <v>3851</v>
      </c>
      <c r="J1110" s="66"/>
      <c r="K1110" s="66"/>
      <c r="L1110" s="68"/>
      <c r="M1110" s="63" t="str">
        <f>HYPERLINK("http://nsgreg.nga.mil/genc/view?v=863255&amp;end_month=12&amp;end_day=31&amp;end_year=2016","Correlation")</f>
        <v>Correlation</v>
      </c>
    </row>
    <row r="1111" spans="1:13" x14ac:dyDescent="0.2">
      <c r="A1111" s="113"/>
      <c r="B1111" s="58" t="s">
        <v>3852</v>
      </c>
      <c r="C1111" s="58" t="s">
        <v>1413</v>
      </c>
      <c r="D1111" s="58" t="s">
        <v>3853</v>
      </c>
      <c r="E1111" s="60" t="b">
        <v>1</v>
      </c>
      <c r="F1111" s="80" t="s">
        <v>495</v>
      </c>
      <c r="G1111" s="58" t="s">
        <v>3852</v>
      </c>
      <c r="H1111" s="58" t="s">
        <v>1413</v>
      </c>
      <c r="I1111" s="64" t="s">
        <v>3853</v>
      </c>
      <c r="J1111" s="66"/>
      <c r="K1111" s="66"/>
      <c r="L1111" s="68"/>
      <c r="M1111" s="63" t="str">
        <f>HYPERLINK("http://nsgreg.nga.mil/genc/view?v=863257&amp;end_month=12&amp;end_day=31&amp;end_year=2016","Correlation")</f>
        <v>Correlation</v>
      </c>
    </row>
    <row r="1112" spans="1:13" x14ac:dyDescent="0.2">
      <c r="A1112" s="113"/>
      <c r="B1112" s="58" t="s">
        <v>3854</v>
      </c>
      <c r="C1112" s="58" t="s">
        <v>1413</v>
      </c>
      <c r="D1112" s="58" t="s">
        <v>3855</v>
      </c>
      <c r="E1112" s="60" t="b">
        <v>1</v>
      </c>
      <c r="F1112" s="80" t="s">
        <v>495</v>
      </c>
      <c r="G1112" s="58" t="s">
        <v>3854</v>
      </c>
      <c r="H1112" s="58" t="s">
        <v>1413</v>
      </c>
      <c r="I1112" s="64" t="s">
        <v>3855</v>
      </c>
      <c r="J1112" s="66"/>
      <c r="K1112" s="66"/>
      <c r="L1112" s="68"/>
      <c r="M1112" s="63" t="str">
        <f>HYPERLINK("http://nsgreg.nga.mil/genc/view?v=863258&amp;end_month=12&amp;end_day=31&amp;end_year=2016","Correlation")</f>
        <v>Correlation</v>
      </c>
    </row>
    <row r="1113" spans="1:13" x14ac:dyDescent="0.2">
      <c r="A1113" s="113"/>
      <c r="B1113" s="58" t="s">
        <v>3053</v>
      </c>
      <c r="C1113" s="58" t="s">
        <v>1413</v>
      </c>
      <c r="D1113" s="58" t="s">
        <v>3856</v>
      </c>
      <c r="E1113" s="60" t="b">
        <v>1</v>
      </c>
      <c r="F1113" s="80" t="s">
        <v>495</v>
      </c>
      <c r="G1113" s="58" t="s">
        <v>3053</v>
      </c>
      <c r="H1113" s="58" t="s">
        <v>1413</v>
      </c>
      <c r="I1113" s="64" t="s">
        <v>3856</v>
      </c>
      <c r="J1113" s="66"/>
      <c r="K1113" s="66"/>
      <c r="L1113" s="68"/>
      <c r="M1113" s="63" t="str">
        <f>HYPERLINK("http://nsgreg.nga.mil/genc/view?v=863263&amp;end_month=12&amp;end_day=31&amp;end_year=2016","Correlation")</f>
        <v>Correlation</v>
      </c>
    </row>
    <row r="1114" spans="1:13" x14ac:dyDescent="0.2">
      <c r="A1114" s="113"/>
      <c r="B1114" s="58" t="s">
        <v>3857</v>
      </c>
      <c r="C1114" s="58" t="s">
        <v>1413</v>
      </c>
      <c r="D1114" s="58" t="s">
        <v>3858</v>
      </c>
      <c r="E1114" s="60" t="b">
        <v>1</v>
      </c>
      <c r="F1114" s="80" t="s">
        <v>495</v>
      </c>
      <c r="G1114" s="58" t="s">
        <v>3857</v>
      </c>
      <c r="H1114" s="58" t="s">
        <v>1413</v>
      </c>
      <c r="I1114" s="64" t="s">
        <v>3858</v>
      </c>
      <c r="J1114" s="66"/>
      <c r="K1114" s="66"/>
      <c r="L1114" s="68"/>
      <c r="M1114" s="63" t="str">
        <f>HYPERLINK("http://nsgreg.nga.mil/genc/view?v=863259&amp;end_month=12&amp;end_day=31&amp;end_year=2016","Correlation")</f>
        <v>Correlation</v>
      </c>
    </row>
    <row r="1115" spans="1:13" x14ac:dyDescent="0.2">
      <c r="A1115" s="113"/>
      <c r="B1115" s="58" t="s">
        <v>3859</v>
      </c>
      <c r="C1115" s="58" t="s">
        <v>1413</v>
      </c>
      <c r="D1115" s="58" t="s">
        <v>3860</v>
      </c>
      <c r="E1115" s="60" t="b">
        <v>1</v>
      </c>
      <c r="F1115" s="80" t="s">
        <v>495</v>
      </c>
      <c r="G1115" s="58" t="s">
        <v>3859</v>
      </c>
      <c r="H1115" s="58" t="s">
        <v>1413</v>
      </c>
      <c r="I1115" s="64" t="s">
        <v>3860</v>
      </c>
      <c r="J1115" s="66"/>
      <c r="K1115" s="66"/>
      <c r="L1115" s="68"/>
      <c r="M1115" s="63" t="str">
        <f>HYPERLINK("http://nsgreg.nga.mil/genc/view?v=863264&amp;end_month=12&amp;end_day=31&amp;end_year=2016","Correlation")</f>
        <v>Correlation</v>
      </c>
    </row>
    <row r="1116" spans="1:13" x14ac:dyDescent="0.2">
      <c r="A1116" s="113"/>
      <c r="B1116" s="58" t="s">
        <v>3861</v>
      </c>
      <c r="C1116" s="58" t="s">
        <v>1413</v>
      </c>
      <c r="D1116" s="58" t="s">
        <v>3862</v>
      </c>
      <c r="E1116" s="60" t="b">
        <v>1</v>
      </c>
      <c r="F1116" s="80" t="s">
        <v>495</v>
      </c>
      <c r="G1116" s="58" t="s">
        <v>3861</v>
      </c>
      <c r="H1116" s="58" t="s">
        <v>1413</v>
      </c>
      <c r="I1116" s="64" t="s">
        <v>3862</v>
      </c>
      <c r="J1116" s="66"/>
      <c r="K1116" s="66"/>
      <c r="L1116" s="68"/>
      <c r="M1116" s="63" t="str">
        <f>HYPERLINK("http://nsgreg.nga.mil/genc/view?v=863260&amp;end_month=12&amp;end_day=31&amp;end_year=2016","Correlation")</f>
        <v>Correlation</v>
      </c>
    </row>
    <row r="1117" spans="1:13" x14ac:dyDescent="0.2">
      <c r="A1117" s="113"/>
      <c r="B1117" s="58" t="s">
        <v>3863</v>
      </c>
      <c r="C1117" s="58" t="s">
        <v>1413</v>
      </c>
      <c r="D1117" s="58" t="s">
        <v>3864</v>
      </c>
      <c r="E1117" s="60" t="b">
        <v>1</v>
      </c>
      <c r="F1117" s="80" t="s">
        <v>495</v>
      </c>
      <c r="G1117" s="58" t="s">
        <v>3863</v>
      </c>
      <c r="H1117" s="58" t="s">
        <v>1413</v>
      </c>
      <c r="I1117" s="64" t="s">
        <v>3864</v>
      </c>
      <c r="J1117" s="66"/>
      <c r="K1117" s="66"/>
      <c r="L1117" s="68"/>
      <c r="M1117" s="63" t="str">
        <f>HYPERLINK("http://nsgreg.nga.mil/genc/view?v=863252&amp;end_month=12&amp;end_day=31&amp;end_year=2016","Correlation")</f>
        <v>Correlation</v>
      </c>
    </row>
    <row r="1118" spans="1:13" x14ac:dyDescent="0.2">
      <c r="A1118" s="113"/>
      <c r="B1118" s="58" t="s">
        <v>3865</v>
      </c>
      <c r="C1118" s="58" t="s">
        <v>1413</v>
      </c>
      <c r="D1118" s="58" t="s">
        <v>3866</v>
      </c>
      <c r="E1118" s="60" t="b">
        <v>1</v>
      </c>
      <c r="F1118" s="80" t="s">
        <v>495</v>
      </c>
      <c r="G1118" s="58" t="s">
        <v>3865</v>
      </c>
      <c r="H1118" s="58" t="s">
        <v>1413</v>
      </c>
      <c r="I1118" s="64" t="s">
        <v>3866</v>
      </c>
      <c r="J1118" s="66"/>
      <c r="K1118" s="66"/>
      <c r="L1118" s="68"/>
      <c r="M1118" s="63" t="str">
        <f>HYPERLINK("http://nsgreg.nga.mil/genc/view?v=863271&amp;end_month=12&amp;end_day=31&amp;end_year=2016","Correlation")</f>
        <v>Correlation</v>
      </c>
    </row>
    <row r="1119" spans="1:13" x14ac:dyDescent="0.2">
      <c r="A1119" s="113"/>
      <c r="B1119" s="58" t="s">
        <v>3867</v>
      </c>
      <c r="C1119" s="58" t="s">
        <v>1413</v>
      </c>
      <c r="D1119" s="58" t="s">
        <v>3868</v>
      </c>
      <c r="E1119" s="60" t="b">
        <v>1</v>
      </c>
      <c r="F1119" s="80" t="s">
        <v>495</v>
      </c>
      <c r="G1119" s="58" t="s">
        <v>3867</v>
      </c>
      <c r="H1119" s="58" t="s">
        <v>1413</v>
      </c>
      <c r="I1119" s="64" t="s">
        <v>3868</v>
      </c>
      <c r="J1119" s="66"/>
      <c r="K1119" s="66"/>
      <c r="L1119" s="68"/>
      <c r="M1119" s="63" t="str">
        <f>HYPERLINK("http://nsgreg.nga.mil/genc/view?v=863262&amp;end_month=12&amp;end_day=31&amp;end_year=2016","Correlation")</f>
        <v>Correlation</v>
      </c>
    </row>
    <row r="1120" spans="1:13" x14ac:dyDescent="0.2">
      <c r="A1120" s="113"/>
      <c r="B1120" s="58" t="s">
        <v>3869</v>
      </c>
      <c r="C1120" s="58" t="s">
        <v>1413</v>
      </c>
      <c r="D1120" s="58" t="s">
        <v>3870</v>
      </c>
      <c r="E1120" s="60" t="b">
        <v>1</v>
      </c>
      <c r="F1120" s="80" t="s">
        <v>495</v>
      </c>
      <c r="G1120" s="58" t="s">
        <v>3869</v>
      </c>
      <c r="H1120" s="58" t="s">
        <v>1413</v>
      </c>
      <c r="I1120" s="64" t="s">
        <v>3870</v>
      </c>
      <c r="J1120" s="66"/>
      <c r="K1120" s="66"/>
      <c r="L1120" s="68"/>
      <c r="M1120" s="63" t="str">
        <f>HYPERLINK("http://nsgreg.nga.mil/genc/view?v=863266&amp;end_month=12&amp;end_day=31&amp;end_year=2016","Correlation")</f>
        <v>Correlation</v>
      </c>
    </row>
    <row r="1121" spans="1:13" x14ac:dyDescent="0.2">
      <c r="A1121" s="113"/>
      <c r="B1121" s="58" t="s">
        <v>3871</v>
      </c>
      <c r="C1121" s="58" t="s">
        <v>1413</v>
      </c>
      <c r="D1121" s="58" t="s">
        <v>3872</v>
      </c>
      <c r="E1121" s="60" t="b">
        <v>1</v>
      </c>
      <c r="F1121" s="80" t="s">
        <v>495</v>
      </c>
      <c r="G1121" s="58" t="s">
        <v>3871</v>
      </c>
      <c r="H1121" s="58" t="s">
        <v>1413</v>
      </c>
      <c r="I1121" s="64" t="s">
        <v>3872</v>
      </c>
      <c r="J1121" s="66"/>
      <c r="K1121" s="66"/>
      <c r="L1121" s="68"/>
      <c r="M1121" s="63" t="str">
        <f>HYPERLINK("http://nsgreg.nga.mil/genc/view?v=863265&amp;end_month=12&amp;end_day=31&amp;end_year=2016","Correlation")</f>
        <v>Correlation</v>
      </c>
    </row>
    <row r="1122" spans="1:13" x14ac:dyDescent="0.2">
      <c r="A1122" s="113"/>
      <c r="B1122" s="58" t="s">
        <v>3873</v>
      </c>
      <c r="C1122" s="58" t="s">
        <v>1413</v>
      </c>
      <c r="D1122" s="58" t="s">
        <v>3874</v>
      </c>
      <c r="E1122" s="60" t="b">
        <v>1</v>
      </c>
      <c r="F1122" s="80" t="s">
        <v>495</v>
      </c>
      <c r="G1122" s="58" t="s">
        <v>3873</v>
      </c>
      <c r="H1122" s="58" t="s">
        <v>1413</v>
      </c>
      <c r="I1122" s="64" t="s">
        <v>3874</v>
      </c>
      <c r="J1122" s="66"/>
      <c r="K1122" s="66"/>
      <c r="L1122" s="68"/>
      <c r="M1122" s="63" t="str">
        <f>HYPERLINK("http://nsgreg.nga.mil/genc/view?v=863268&amp;end_month=12&amp;end_day=31&amp;end_year=2016","Correlation")</f>
        <v>Correlation</v>
      </c>
    </row>
    <row r="1123" spans="1:13" x14ac:dyDescent="0.2">
      <c r="A1123" s="113"/>
      <c r="B1123" s="58" t="s">
        <v>3875</v>
      </c>
      <c r="C1123" s="58" t="s">
        <v>1413</v>
      </c>
      <c r="D1123" s="58" t="s">
        <v>3876</v>
      </c>
      <c r="E1123" s="60" t="b">
        <v>1</v>
      </c>
      <c r="F1123" s="80" t="s">
        <v>495</v>
      </c>
      <c r="G1123" s="58" t="s">
        <v>3875</v>
      </c>
      <c r="H1123" s="58" t="s">
        <v>1413</v>
      </c>
      <c r="I1123" s="64" t="s">
        <v>3876</v>
      </c>
      <c r="J1123" s="66"/>
      <c r="K1123" s="66"/>
      <c r="L1123" s="68"/>
      <c r="M1123" s="63" t="str">
        <f>HYPERLINK("http://nsgreg.nga.mil/genc/view?v=863267&amp;end_month=12&amp;end_day=31&amp;end_year=2016","Correlation")</f>
        <v>Correlation</v>
      </c>
    </row>
    <row r="1124" spans="1:13" x14ac:dyDescent="0.2">
      <c r="A1124" s="114"/>
      <c r="B1124" s="71" t="s">
        <v>3877</v>
      </c>
      <c r="C1124" s="71" t="s">
        <v>1413</v>
      </c>
      <c r="D1124" s="71" t="s">
        <v>3878</v>
      </c>
      <c r="E1124" s="73" t="b">
        <v>1</v>
      </c>
      <c r="F1124" s="81" t="s">
        <v>495</v>
      </c>
      <c r="G1124" s="71" t="s">
        <v>3877</v>
      </c>
      <c r="H1124" s="71" t="s">
        <v>1413</v>
      </c>
      <c r="I1124" s="74" t="s">
        <v>3878</v>
      </c>
      <c r="J1124" s="76"/>
      <c r="K1124" s="76"/>
      <c r="L1124" s="82"/>
      <c r="M1124" s="77" t="str">
        <f>HYPERLINK("http://nsgreg.nga.mil/genc/view?v=863272&amp;end_month=12&amp;end_day=31&amp;end_year=2016","Correlation")</f>
        <v>Correlation</v>
      </c>
    </row>
    <row r="1125" spans="1:13" x14ac:dyDescent="0.2">
      <c r="A1125" s="112" t="s">
        <v>499</v>
      </c>
      <c r="B1125" s="50" t="s">
        <v>3879</v>
      </c>
      <c r="C1125" s="50" t="s">
        <v>2030</v>
      </c>
      <c r="D1125" s="50" t="s">
        <v>3880</v>
      </c>
      <c r="E1125" s="52" t="b">
        <v>1</v>
      </c>
      <c r="F1125" s="78" t="s">
        <v>499</v>
      </c>
      <c r="G1125" s="50" t="s">
        <v>3879</v>
      </c>
      <c r="H1125" s="50" t="s">
        <v>2030</v>
      </c>
      <c r="I1125" s="53" t="s">
        <v>3880</v>
      </c>
      <c r="J1125" s="55"/>
      <c r="K1125" s="55"/>
      <c r="L1125" s="79"/>
      <c r="M1125" s="56" t="str">
        <f>HYPERLINK("http://nsgreg.nga.mil/genc/view?v=863295&amp;end_month=12&amp;end_day=31&amp;end_year=2016","Correlation")</f>
        <v>Correlation</v>
      </c>
    </row>
    <row r="1126" spans="1:13" x14ac:dyDescent="0.2">
      <c r="A1126" s="113"/>
      <c r="B1126" s="58" t="s">
        <v>3881</v>
      </c>
      <c r="C1126" s="58" t="s">
        <v>2030</v>
      </c>
      <c r="D1126" s="58" t="s">
        <v>3882</v>
      </c>
      <c r="E1126" s="60" t="b">
        <v>1</v>
      </c>
      <c r="F1126" s="80" t="s">
        <v>499</v>
      </c>
      <c r="G1126" s="58" t="s">
        <v>3881</v>
      </c>
      <c r="H1126" s="58" t="s">
        <v>2030</v>
      </c>
      <c r="I1126" s="64" t="s">
        <v>3882</v>
      </c>
      <c r="J1126" s="66"/>
      <c r="K1126" s="66"/>
      <c r="L1126" s="68"/>
      <c r="M1126" s="63" t="str">
        <f>HYPERLINK("http://nsgreg.nga.mil/genc/view?v=863291&amp;end_month=12&amp;end_day=31&amp;end_year=2016","Correlation")</f>
        <v>Correlation</v>
      </c>
    </row>
    <row r="1127" spans="1:13" x14ac:dyDescent="0.2">
      <c r="A1127" s="113"/>
      <c r="B1127" s="58" t="s">
        <v>2992</v>
      </c>
      <c r="C1127" s="58" t="s">
        <v>2030</v>
      </c>
      <c r="D1127" s="58" t="s">
        <v>3883</v>
      </c>
      <c r="E1127" s="60" t="b">
        <v>1</v>
      </c>
      <c r="F1127" s="80" t="s">
        <v>499</v>
      </c>
      <c r="G1127" s="58" t="s">
        <v>2992</v>
      </c>
      <c r="H1127" s="58" t="s">
        <v>2030</v>
      </c>
      <c r="I1127" s="64" t="s">
        <v>3883</v>
      </c>
      <c r="J1127" s="66"/>
      <c r="K1127" s="66"/>
      <c r="L1127" s="68"/>
      <c r="M1127" s="63" t="str">
        <f>HYPERLINK("http://nsgreg.nga.mil/genc/view?v=863292&amp;end_month=12&amp;end_day=31&amp;end_year=2016","Correlation")</f>
        <v>Correlation</v>
      </c>
    </row>
    <row r="1128" spans="1:13" x14ac:dyDescent="0.2">
      <c r="A1128" s="113"/>
      <c r="B1128" s="58" t="s">
        <v>3884</v>
      </c>
      <c r="C1128" s="58" t="s">
        <v>2030</v>
      </c>
      <c r="D1128" s="58" t="s">
        <v>3885</v>
      </c>
      <c r="E1128" s="60" t="b">
        <v>1</v>
      </c>
      <c r="F1128" s="80" t="s">
        <v>499</v>
      </c>
      <c r="G1128" s="58" t="s">
        <v>3884</v>
      </c>
      <c r="H1128" s="58" t="s">
        <v>2030</v>
      </c>
      <c r="I1128" s="64" t="s">
        <v>3885</v>
      </c>
      <c r="J1128" s="66"/>
      <c r="K1128" s="66"/>
      <c r="L1128" s="68"/>
      <c r="M1128" s="63" t="str">
        <f>HYPERLINK("http://nsgreg.nga.mil/genc/view?v=863297&amp;end_month=12&amp;end_day=31&amp;end_year=2016","Correlation")</f>
        <v>Correlation</v>
      </c>
    </row>
    <row r="1129" spans="1:13" x14ac:dyDescent="0.2">
      <c r="A1129" s="113"/>
      <c r="B1129" s="58" t="s">
        <v>3886</v>
      </c>
      <c r="C1129" s="58" t="s">
        <v>2030</v>
      </c>
      <c r="D1129" s="58" t="s">
        <v>3887</v>
      </c>
      <c r="E1129" s="60" t="b">
        <v>1</v>
      </c>
      <c r="F1129" s="80" t="s">
        <v>499</v>
      </c>
      <c r="G1129" s="58" t="s">
        <v>3886</v>
      </c>
      <c r="H1129" s="58" t="s">
        <v>2030</v>
      </c>
      <c r="I1129" s="64" t="s">
        <v>3887</v>
      </c>
      <c r="J1129" s="66"/>
      <c r="K1129" s="66"/>
      <c r="L1129" s="68"/>
      <c r="M1129" s="63" t="str">
        <f>HYPERLINK("http://nsgreg.nga.mil/genc/view?v=863298&amp;end_month=12&amp;end_day=31&amp;end_year=2016","Correlation")</f>
        <v>Correlation</v>
      </c>
    </row>
    <row r="1130" spans="1:13" x14ac:dyDescent="0.2">
      <c r="A1130" s="113"/>
      <c r="B1130" s="58" t="s">
        <v>3888</v>
      </c>
      <c r="C1130" s="58" t="s">
        <v>2030</v>
      </c>
      <c r="D1130" s="58" t="s">
        <v>3889</v>
      </c>
      <c r="E1130" s="60" t="b">
        <v>1</v>
      </c>
      <c r="F1130" s="80" t="s">
        <v>499</v>
      </c>
      <c r="G1130" s="58" t="s">
        <v>3888</v>
      </c>
      <c r="H1130" s="58" t="s">
        <v>2030</v>
      </c>
      <c r="I1130" s="64" t="s">
        <v>3889</v>
      </c>
      <c r="J1130" s="66"/>
      <c r="K1130" s="66"/>
      <c r="L1130" s="68"/>
      <c r="M1130" s="63" t="str">
        <f>HYPERLINK("http://nsgreg.nga.mil/genc/view?v=863288&amp;end_month=12&amp;end_day=31&amp;end_year=2016","Correlation")</f>
        <v>Correlation</v>
      </c>
    </row>
    <row r="1131" spans="1:13" x14ac:dyDescent="0.2">
      <c r="A1131" s="113"/>
      <c r="B1131" s="58" t="s">
        <v>3890</v>
      </c>
      <c r="C1131" s="58" t="s">
        <v>2030</v>
      </c>
      <c r="D1131" s="58" t="s">
        <v>3891</v>
      </c>
      <c r="E1131" s="60" t="b">
        <v>1</v>
      </c>
      <c r="F1131" s="80" t="s">
        <v>499</v>
      </c>
      <c r="G1131" s="58" t="s">
        <v>3890</v>
      </c>
      <c r="H1131" s="58" t="s">
        <v>2030</v>
      </c>
      <c r="I1131" s="64" t="s">
        <v>3891</v>
      </c>
      <c r="J1131" s="66"/>
      <c r="K1131" s="66"/>
      <c r="L1131" s="68"/>
      <c r="M1131" s="63" t="str">
        <f>HYPERLINK("http://nsgreg.nga.mil/genc/view?v=863300&amp;end_month=12&amp;end_day=31&amp;end_year=2016","Correlation")</f>
        <v>Correlation</v>
      </c>
    </row>
    <row r="1132" spans="1:13" x14ac:dyDescent="0.2">
      <c r="A1132" s="113"/>
      <c r="B1132" s="58" t="s">
        <v>3892</v>
      </c>
      <c r="C1132" s="58" t="s">
        <v>2030</v>
      </c>
      <c r="D1132" s="58" t="s">
        <v>3893</v>
      </c>
      <c r="E1132" s="60" t="b">
        <v>1</v>
      </c>
      <c r="F1132" s="80" t="s">
        <v>499</v>
      </c>
      <c r="G1132" s="58" t="s">
        <v>3892</v>
      </c>
      <c r="H1132" s="58" t="s">
        <v>2030</v>
      </c>
      <c r="I1132" s="64" t="s">
        <v>3893</v>
      </c>
      <c r="J1132" s="66"/>
      <c r="K1132" s="66"/>
      <c r="L1132" s="68"/>
      <c r="M1132" s="63" t="str">
        <f>HYPERLINK("http://nsgreg.nga.mil/genc/view?v=863299&amp;end_month=12&amp;end_day=31&amp;end_year=2016","Correlation")</f>
        <v>Correlation</v>
      </c>
    </row>
    <row r="1133" spans="1:13" x14ac:dyDescent="0.2">
      <c r="A1133" s="113"/>
      <c r="B1133" s="58" t="s">
        <v>3894</v>
      </c>
      <c r="C1133" s="58" t="s">
        <v>2030</v>
      </c>
      <c r="D1133" s="58" t="s">
        <v>3895</v>
      </c>
      <c r="E1133" s="60" t="b">
        <v>1</v>
      </c>
      <c r="F1133" s="80" t="s">
        <v>499</v>
      </c>
      <c r="G1133" s="58" t="s">
        <v>3894</v>
      </c>
      <c r="H1133" s="58" t="s">
        <v>2030</v>
      </c>
      <c r="I1133" s="64" t="s">
        <v>3895</v>
      </c>
      <c r="J1133" s="66"/>
      <c r="K1133" s="66"/>
      <c r="L1133" s="68"/>
      <c r="M1133" s="63" t="str">
        <f>HYPERLINK("http://nsgreg.nga.mil/genc/view?v=863307&amp;end_month=12&amp;end_day=31&amp;end_year=2016","Correlation")</f>
        <v>Correlation</v>
      </c>
    </row>
    <row r="1134" spans="1:13" x14ac:dyDescent="0.2">
      <c r="A1134" s="113"/>
      <c r="B1134" s="58" t="s">
        <v>3896</v>
      </c>
      <c r="C1134" s="58" t="s">
        <v>2030</v>
      </c>
      <c r="D1134" s="58" t="s">
        <v>3897</v>
      </c>
      <c r="E1134" s="60" t="b">
        <v>1</v>
      </c>
      <c r="F1134" s="80" t="s">
        <v>499</v>
      </c>
      <c r="G1134" s="58" t="s">
        <v>3896</v>
      </c>
      <c r="H1134" s="58" t="s">
        <v>2030</v>
      </c>
      <c r="I1134" s="64" t="s">
        <v>3897</v>
      </c>
      <c r="J1134" s="66"/>
      <c r="K1134" s="66"/>
      <c r="L1134" s="68"/>
      <c r="M1134" s="63" t="str">
        <f>HYPERLINK("http://nsgreg.nga.mil/genc/view?v=863306&amp;end_month=12&amp;end_day=31&amp;end_year=2016","Correlation")</f>
        <v>Correlation</v>
      </c>
    </row>
    <row r="1135" spans="1:13" x14ac:dyDescent="0.2">
      <c r="A1135" s="113"/>
      <c r="B1135" s="58" t="s">
        <v>3898</v>
      </c>
      <c r="C1135" s="58" t="s">
        <v>2030</v>
      </c>
      <c r="D1135" s="58" t="s">
        <v>3899</v>
      </c>
      <c r="E1135" s="60" t="b">
        <v>1</v>
      </c>
      <c r="F1135" s="80" t="s">
        <v>499</v>
      </c>
      <c r="G1135" s="58" t="s">
        <v>3898</v>
      </c>
      <c r="H1135" s="58" t="s">
        <v>2030</v>
      </c>
      <c r="I1135" s="64" t="s">
        <v>3899</v>
      </c>
      <c r="J1135" s="66"/>
      <c r="K1135" s="66"/>
      <c r="L1135" s="68"/>
      <c r="M1135" s="63" t="str">
        <f>HYPERLINK("http://nsgreg.nga.mil/genc/view?v=863294&amp;end_month=12&amp;end_day=31&amp;end_year=2016","Correlation")</f>
        <v>Correlation</v>
      </c>
    </row>
    <row r="1136" spans="1:13" x14ac:dyDescent="0.2">
      <c r="A1136" s="113"/>
      <c r="B1136" s="58" t="s">
        <v>3900</v>
      </c>
      <c r="C1136" s="58" t="s">
        <v>2030</v>
      </c>
      <c r="D1136" s="58" t="s">
        <v>3901</v>
      </c>
      <c r="E1136" s="60" t="b">
        <v>1</v>
      </c>
      <c r="F1136" s="80" t="s">
        <v>499</v>
      </c>
      <c r="G1136" s="58" t="s">
        <v>3900</v>
      </c>
      <c r="H1136" s="58" t="s">
        <v>2030</v>
      </c>
      <c r="I1136" s="64" t="s">
        <v>3901</v>
      </c>
      <c r="J1136" s="66"/>
      <c r="K1136" s="66"/>
      <c r="L1136" s="68"/>
      <c r="M1136" s="63" t="str">
        <f>HYPERLINK("http://nsgreg.nga.mil/genc/view?v=863302&amp;end_month=12&amp;end_day=31&amp;end_year=2016","Correlation")</f>
        <v>Correlation</v>
      </c>
    </row>
    <row r="1137" spans="1:13" x14ac:dyDescent="0.2">
      <c r="A1137" s="113"/>
      <c r="B1137" s="58" t="s">
        <v>3902</v>
      </c>
      <c r="C1137" s="58" t="s">
        <v>2030</v>
      </c>
      <c r="D1137" s="58" t="s">
        <v>3903</v>
      </c>
      <c r="E1137" s="60" t="b">
        <v>1</v>
      </c>
      <c r="F1137" s="80" t="s">
        <v>499</v>
      </c>
      <c r="G1137" s="58" t="s">
        <v>3902</v>
      </c>
      <c r="H1137" s="58" t="s">
        <v>2030</v>
      </c>
      <c r="I1137" s="64" t="s">
        <v>3903</v>
      </c>
      <c r="J1137" s="66"/>
      <c r="K1137" s="66"/>
      <c r="L1137" s="68"/>
      <c r="M1137" s="63" t="str">
        <f>HYPERLINK("http://nsgreg.nga.mil/genc/view?v=863305&amp;end_month=12&amp;end_day=31&amp;end_year=2016","Correlation")</f>
        <v>Correlation</v>
      </c>
    </row>
    <row r="1138" spans="1:13" x14ac:dyDescent="0.2">
      <c r="A1138" s="113"/>
      <c r="B1138" s="58" t="s">
        <v>3904</v>
      </c>
      <c r="C1138" s="58" t="s">
        <v>2030</v>
      </c>
      <c r="D1138" s="58" t="s">
        <v>3905</v>
      </c>
      <c r="E1138" s="60" t="b">
        <v>1</v>
      </c>
      <c r="F1138" s="80" t="s">
        <v>499</v>
      </c>
      <c r="G1138" s="58" t="s">
        <v>3904</v>
      </c>
      <c r="H1138" s="58" t="s">
        <v>2030</v>
      </c>
      <c r="I1138" s="64" t="s">
        <v>3905</v>
      </c>
      <c r="J1138" s="66"/>
      <c r="K1138" s="66"/>
      <c r="L1138" s="68"/>
      <c r="M1138" s="63" t="str">
        <f>HYPERLINK("http://nsgreg.nga.mil/genc/view?v=863314&amp;end_month=12&amp;end_day=31&amp;end_year=2016","Correlation")</f>
        <v>Correlation</v>
      </c>
    </row>
    <row r="1139" spans="1:13" x14ac:dyDescent="0.2">
      <c r="A1139" s="113"/>
      <c r="B1139" s="58" t="s">
        <v>3906</v>
      </c>
      <c r="C1139" s="58" t="s">
        <v>2030</v>
      </c>
      <c r="D1139" s="58" t="s">
        <v>3907</v>
      </c>
      <c r="E1139" s="60" t="b">
        <v>1</v>
      </c>
      <c r="F1139" s="80" t="s">
        <v>499</v>
      </c>
      <c r="G1139" s="58" t="s">
        <v>3906</v>
      </c>
      <c r="H1139" s="58" t="s">
        <v>2030</v>
      </c>
      <c r="I1139" s="64" t="s">
        <v>3907</v>
      </c>
      <c r="J1139" s="66"/>
      <c r="K1139" s="66"/>
      <c r="L1139" s="68"/>
      <c r="M1139" s="63" t="str">
        <f>HYPERLINK("http://nsgreg.nga.mil/genc/view?v=863311&amp;end_month=12&amp;end_day=31&amp;end_year=2016","Correlation")</f>
        <v>Correlation</v>
      </c>
    </row>
    <row r="1140" spans="1:13" x14ac:dyDescent="0.2">
      <c r="A1140" s="113"/>
      <c r="B1140" s="58" t="s">
        <v>3908</v>
      </c>
      <c r="C1140" s="58" t="s">
        <v>2030</v>
      </c>
      <c r="D1140" s="58" t="s">
        <v>3909</v>
      </c>
      <c r="E1140" s="60" t="b">
        <v>1</v>
      </c>
      <c r="F1140" s="80" t="s">
        <v>499</v>
      </c>
      <c r="G1140" s="58" t="s">
        <v>3908</v>
      </c>
      <c r="H1140" s="58" t="s">
        <v>2030</v>
      </c>
      <c r="I1140" s="64" t="s">
        <v>3909</v>
      </c>
      <c r="J1140" s="66"/>
      <c r="K1140" s="66"/>
      <c r="L1140" s="68"/>
      <c r="M1140" s="63" t="str">
        <f>HYPERLINK("http://nsgreg.nga.mil/genc/view?v=863313&amp;end_month=12&amp;end_day=31&amp;end_year=2016","Correlation")</f>
        <v>Correlation</v>
      </c>
    </row>
    <row r="1141" spans="1:13" x14ac:dyDescent="0.2">
      <c r="A1141" s="113"/>
      <c r="B1141" s="58" t="s">
        <v>3910</v>
      </c>
      <c r="C1141" s="58" t="s">
        <v>2030</v>
      </c>
      <c r="D1141" s="58" t="s">
        <v>3911</v>
      </c>
      <c r="E1141" s="60" t="b">
        <v>1</v>
      </c>
      <c r="F1141" s="80" t="s">
        <v>499</v>
      </c>
      <c r="G1141" s="58" t="s">
        <v>3910</v>
      </c>
      <c r="H1141" s="58" t="s">
        <v>2030</v>
      </c>
      <c r="I1141" s="64" t="s">
        <v>3911</v>
      </c>
      <c r="J1141" s="66"/>
      <c r="K1141" s="66"/>
      <c r="L1141" s="68"/>
      <c r="M1141" s="63" t="str">
        <f>HYPERLINK("http://nsgreg.nga.mil/genc/view?v=863289&amp;end_month=12&amp;end_day=31&amp;end_year=2016","Correlation")</f>
        <v>Correlation</v>
      </c>
    </row>
    <row r="1142" spans="1:13" x14ac:dyDescent="0.2">
      <c r="A1142" s="113"/>
      <c r="B1142" s="58" t="s">
        <v>3912</v>
      </c>
      <c r="C1142" s="58" t="s">
        <v>2030</v>
      </c>
      <c r="D1142" s="58" t="s">
        <v>3913</v>
      </c>
      <c r="E1142" s="60" t="b">
        <v>1</v>
      </c>
      <c r="F1142" s="80" t="s">
        <v>499</v>
      </c>
      <c r="G1142" s="58" t="s">
        <v>3912</v>
      </c>
      <c r="H1142" s="58" t="s">
        <v>2030</v>
      </c>
      <c r="I1142" s="64" t="s">
        <v>3913</v>
      </c>
      <c r="J1142" s="66"/>
      <c r="K1142" s="66"/>
      <c r="L1142" s="68"/>
      <c r="M1142" s="63" t="str">
        <f>HYPERLINK("http://nsgreg.nga.mil/genc/view?v=863290&amp;end_month=12&amp;end_day=31&amp;end_year=2016","Correlation")</f>
        <v>Correlation</v>
      </c>
    </row>
    <row r="1143" spans="1:13" x14ac:dyDescent="0.2">
      <c r="A1143" s="113"/>
      <c r="B1143" s="58" t="s">
        <v>3914</v>
      </c>
      <c r="C1143" s="58" t="s">
        <v>2030</v>
      </c>
      <c r="D1143" s="58" t="s">
        <v>3915</v>
      </c>
      <c r="E1143" s="60" t="b">
        <v>1</v>
      </c>
      <c r="F1143" s="80" t="s">
        <v>499</v>
      </c>
      <c r="G1143" s="58" t="s">
        <v>3914</v>
      </c>
      <c r="H1143" s="58" t="s">
        <v>2030</v>
      </c>
      <c r="I1143" s="64" t="s">
        <v>3915</v>
      </c>
      <c r="J1143" s="66"/>
      <c r="K1143" s="66"/>
      <c r="L1143" s="68"/>
      <c r="M1143" s="63" t="str">
        <f>HYPERLINK("http://nsgreg.nga.mil/genc/view?v=863293&amp;end_month=12&amp;end_day=31&amp;end_year=2016","Correlation")</f>
        <v>Correlation</v>
      </c>
    </row>
    <row r="1144" spans="1:13" x14ac:dyDescent="0.2">
      <c r="A1144" s="113"/>
      <c r="B1144" s="58" t="s">
        <v>3916</v>
      </c>
      <c r="C1144" s="58" t="s">
        <v>2030</v>
      </c>
      <c r="D1144" s="58" t="s">
        <v>3917</v>
      </c>
      <c r="E1144" s="60" t="b">
        <v>1</v>
      </c>
      <c r="F1144" s="80" t="s">
        <v>499</v>
      </c>
      <c r="G1144" s="58" t="s">
        <v>3916</v>
      </c>
      <c r="H1144" s="58" t="s">
        <v>2030</v>
      </c>
      <c r="I1144" s="64" t="s">
        <v>3917</v>
      </c>
      <c r="J1144" s="66"/>
      <c r="K1144" s="66"/>
      <c r="L1144" s="68"/>
      <c r="M1144" s="63" t="str">
        <f>HYPERLINK("http://nsgreg.nga.mil/genc/view?v=863309&amp;end_month=12&amp;end_day=31&amp;end_year=2016","Correlation")</f>
        <v>Correlation</v>
      </c>
    </row>
    <row r="1145" spans="1:13" x14ac:dyDescent="0.2">
      <c r="A1145" s="113"/>
      <c r="B1145" s="58" t="s">
        <v>3918</v>
      </c>
      <c r="C1145" s="58" t="s">
        <v>2030</v>
      </c>
      <c r="D1145" s="58" t="s">
        <v>3919</v>
      </c>
      <c r="E1145" s="60" t="b">
        <v>1</v>
      </c>
      <c r="F1145" s="80" t="s">
        <v>499</v>
      </c>
      <c r="G1145" s="58" t="s">
        <v>3918</v>
      </c>
      <c r="H1145" s="58" t="s">
        <v>2030</v>
      </c>
      <c r="I1145" s="64" t="s">
        <v>3919</v>
      </c>
      <c r="J1145" s="66"/>
      <c r="K1145" s="66"/>
      <c r="L1145" s="68"/>
      <c r="M1145" s="63" t="str">
        <f>HYPERLINK("http://nsgreg.nga.mil/genc/view?v=863296&amp;end_month=12&amp;end_day=31&amp;end_year=2016","Correlation")</f>
        <v>Correlation</v>
      </c>
    </row>
    <row r="1146" spans="1:13" x14ac:dyDescent="0.2">
      <c r="A1146" s="113"/>
      <c r="B1146" s="58" t="s">
        <v>3920</v>
      </c>
      <c r="C1146" s="58" t="s">
        <v>2030</v>
      </c>
      <c r="D1146" s="58" t="s">
        <v>3921</v>
      </c>
      <c r="E1146" s="60" t="b">
        <v>1</v>
      </c>
      <c r="F1146" s="80" t="s">
        <v>499</v>
      </c>
      <c r="G1146" s="58" t="s">
        <v>3920</v>
      </c>
      <c r="H1146" s="58" t="s">
        <v>2030</v>
      </c>
      <c r="I1146" s="64" t="s">
        <v>3921</v>
      </c>
      <c r="J1146" s="66"/>
      <c r="K1146" s="66"/>
      <c r="L1146" s="68"/>
      <c r="M1146" s="63" t="str">
        <f>HYPERLINK("http://nsgreg.nga.mil/genc/view?v=863301&amp;end_month=12&amp;end_day=31&amp;end_year=2016","Correlation")</f>
        <v>Correlation</v>
      </c>
    </row>
    <row r="1147" spans="1:13" x14ac:dyDescent="0.2">
      <c r="A1147" s="113"/>
      <c r="B1147" s="58" t="s">
        <v>3922</v>
      </c>
      <c r="C1147" s="58" t="s">
        <v>2030</v>
      </c>
      <c r="D1147" s="58" t="s">
        <v>3923</v>
      </c>
      <c r="E1147" s="60" t="b">
        <v>1</v>
      </c>
      <c r="F1147" s="80" t="s">
        <v>499</v>
      </c>
      <c r="G1147" s="58" t="s">
        <v>3922</v>
      </c>
      <c r="H1147" s="58" t="s">
        <v>2030</v>
      </c>
      <c r="I1147" s="64" t="s">
        <v>3923</v>
      </c>
      <c r="J1147" s="66"/>
      <c r="K1147" s="66"/>
      <c r="L1147" s="68"/>
      <c r="M1147" s="63" t="str">
        <f>HYPERLINK("http://nsgreg.nga.mil/genc/view?v=863303&amp;end_month=12&amp;end_day=31&amp;end_year=2016","Correlation")</f>
        <v>Correlation</v>
      </c>
    </row>
    <row r="1148" spans="1:13" x14ac:dyDescent="0.2">
      <c r="A1148" s="113"/>
      <c r="B1148" s="58" t="s">
        <v>3924</v>
      </c>
      <c r="C1148" s="58" t="s">
        <v>2030</v>
      </c>
      <c r="D1148" s="58" t="s">
        <v>3925</v>
      </c>
      <c r="E1148" s="60" t="b">
        <v>1</v>
      </c>
      <c r="F1148" s="80" t="s">
        <v>499</v>
      </c>
      <c r="G1148" s="58" t="s">
        <v>3924</v>
      </c>
      <c r="H1148" s="58" t="s">
        <v>2030</v>
      </c>
      <c r="I1148" s="64" t="s">
        <v>3925</v>
      </c>
      <c r="J1148" s="66"/>
      <c r="K1148" s="66"/>
      <c r="L1148" s="68"/>
      <c r="M1148" s="63" t="str">
        <f>HYPERLINK("http://nsgreg.nga.mil/genc/view?v=863308&amp;end_month=12&amp;end_day=31&amp;end_year=2016","Correlation")</f>
        <v>Correlation</v>
      </c>
    </row>
    <row r="1149" spans="1:13" x14ac:dyDescent="0.2">
      <c r="A1149" s="113"/>
      <c r="B1149" s="58" t="s">
        <v>3926</v>
      </c>
      <c r="C1149" s="58" t="s">
        <v>2030</v>
      </c>
      <c r="D1149" s="58" t="s">
        <v>3927</v>
      </c>
      <c r="E1149" s="60" t="b">
        <v>1</v>
      </c>
      <c r="F1149" s="80" t="s">
        <v>499</v>
      </c>
      <c r="G1149" s="58" t="s">
        <v>3926</v>
      </c>
      <c r="H1149" s="58" t="s">
        <v>2030</v>
      </c>
      <c r="I1149" s="64" t="s">
        <v>3927</v>
      </c>
      <c r="J1149" s="66"/>
      <c r="K1149" s="66"/>
      <c r="L1149" s="68"/>
      <c r="M1149" s="63" t="str">
        <f>HYPERLINK("http://nsgreg.nga.mil/genc/view?v=863304&amp;end_month=12&amp;end_day=31&amp;end_year=2016","Correlation")</f>
        <v>Correlation</v>
      </c>
    </row>
    <row r="1150" spans="1:13" x14ac:dyDescent="0.2">
      <c r="A1150" s="113"/>
      <c r="B1150" s="58" t="s">
        <v>3928</v>
      </c>
      <c r="C1150" s="58" t="s">
        <v>2030</v>
      </c>
      <c r="D1150" s="58" t="s">
        <v>3929</v>
      </c>
      <c r="E1150" s="60" t="b">
        <v>1</v>
      </c>
      <c r="F1150" s="80" t="s">
        <v>499</v>
      </c>
      <c r="G1150" s="58" t="s">
        <v>3928</v>
      </c>
      <c r="H1150" s="58" t="s">
        <v>2030</v>
      </c>
      <c r="I1150" s="64" t="s">
        <v>3929</v>
      </c>
      <c r="J1150" s="66"/>
      <c r="K1150" s="66"/>
      <c r="L1150" s="68"/>
      <c r="M1150" s="63" t="str">
        <f>HYPERLINK("http://nsgreg.nga.mil/genc/view?v=863312&amp;end_month=12&amp;end_day=31&amp;end_year=2016","Correlation")</f>
        <v>Correlation</v>
      </c>
    </row>
    <row r="1151" spans="1:13" x14ac:dyDescent="0.2">
      <c r="A1151" s="114"/>
      <c r="B1151" s="71" t="s">
        <v>3930</v>
      </c>
      <c r="C1151" s="71" t="s">
        <v>2030</v>
      </c>
      <c r="D1151" s="71" t="s">
        <v>3931</v>
      </c>
      <c r="E1151" s="73" t="b">
        <v>1</v>
      </c>
      <c r="F1151" s="81" t="s">
        <v>499</v>
      </c>
      <c r="G1151" s="71" t="s">
        <v>3930</v>
      </c>
      <c r="H1151" s="71" t="s">
        <v>2030</v>
      </c>
      <c r="I1151" s="74" t="s">
        <v>3931</v>
      </c>
      <c r="J1151" s="76"/>
      <c r="K1151" s="76"/>
      <c r="L1151" s="82"/>
      <c r="M1151" s="77" t="str">
        <f>HYPERLINK("http://nsgreg.nga.mil/genc/view?v=863310&amp;end_month=12&amp;end_day=31&amp;end_year=2016","Correlation")</f>
        <v>Correlation</v>
      </c>
    </row>
    <row r="1152" spans="1:13" x14ac:dyDescent="0.2">
      <c r="A1152" s="112" t="s">
        <v>503</v>
      </c>
      <c r="B1152" s="50" t="s">
        <v>3932</v>
      </c>
      <c r="C1152" s="50" t="s">
        <v>2294</v>
      </c>
      <c r="D1152" s="50" t="s">
        <v>3933</v>
      </c>
      <c r="E1152" s="52" t="b">
        <v>1</v>
      </c>
      <c r="F1152" s="78" t="s">
        <v>503</v>
      </c>
      <c r="G1152" s="50" t="s">
        <v>3932</v>
      </c>
      <c r="H1152" s="50" t="s">
        <v>2294</v>
      </c>
      <c r="I1152" s="53" t="s">
        <v>3933</v>
      </c>
      <c r="J1152" s="55"/>
      <c r="K1152" s="55"/>
      <c r="L1152" s="79"/>
      <c r="M1152" s="56" t="str">
        <f>HYPERLINK("http://nsgreg.nga.mil/genc/view?v=866530&amp;end_month=12&amp;end_day=31&amp;end_year=2016","Correlation")</f>
        <v>Correlation</v>
      </c>
    </row>
    <row r="1153" spans="1:13" x14ac:dyDescent="0.2">
      <c r="A1153" s="113"/>
      <c r="B1153" s="58" t="s">
        <v>3934</v>
      </c>
      <c r="C1153" s="58" t="s">
        <v>2294</v>
      </c>
      <c r="D1153" s="58" t="s">
        <v>3935</v>
      </c>
      <c r="E1153" s="60" t="b">
        <v>1</v>
      </c>
      <c r="F1153" s="80" t="s">
        <v>503</v>
      </c>
      <c r="G1153" s="58" t="s">
        <v>3934</v>
      </c>
      <c r="H1153" s="58" t="s">
        <v>2294</v>
      </c>
      <c r="I1153" s="64" t="s">
        <v>3935</v>
      </c>
      <c r="J1153" s="66"/>
      <c r="K1153" s="66"/>
      <c r="L1153" s="68"/>
      <c r="M1153" s="63" t="str">
        <f>HYPERLINK("http://nsgreg.nga.mil/genc/view?v=866531&amp;end_month=12&amp;end_day=31&amp;end_year=2016","Correlation")</f>
        <v>Correlation</v>
      </c>
    </row>
    <row r="1154" spans="1:13" x14ac:dyDescent="0.2">
      <c r="A1154" s="113"/>
      <c r="B1154" s="58" t="s">
        <v>3936</v>
      </c>
      <c r="C1154" s="58" t="s">
        <v>2294</v>
      </c>
      <c r="D1154" s="58" t="s">
        <v>3937</v>
      </c>
      <c r="E1154" s="60" t="b">
        <v>1</v>
      </c>
      <c r="F1154" s="80" t="s">
        <v>503</v>
      </c>
      <c r="G1154" s="58" t="s">
        <v>3936</v>
      </c>
      <c r="H1154" s="58" t="s">
        <v>2294</v>
      </c>
      <c r="I1154" s="64" t="s">
        <v>3937</v>
      </c>
      <c r="J1154" s="66"/>
      <c r="K1154" s="66"/>
      <c r="L1154" s="68"/>
      <c r="M1154" s="63" t="str">
        <f>HYPERLINK("http://nsgreg.nga.mil/genc/view?v=866532&amp;end_month=12&amp;end_day=31&amp;end_year=2016","Correlation")</f>
        <v>Correlation</v>
      </c>
    </row>
    <row r="1155" spans="1:13" x14ac:dyDescent="0.2">
      <c r="A1155" s="113"/>
      <c r="B1155" s="58" t="s">
        <v>3938</v>
      </c>
      <c r="C1155" s="58" t="s">
        <v>2294</v>
      </c>
      <c r="D1155" s="58" t="s">
        <v>3939</v>
      </c>
      <c r="E1155" s="60" t="b">
        <v>1</v>
      </c>
      <c r="F1155" s="80" t="s">
        <v>503</v>
      </c>
      <c r="G1155" s="58" t="s">
        <v>3938</v>
      </c>
      <c r="H1155" s="58" t="s">
        <v>2294</v>
      </c>
      <c r="I1155" s="64" t="s">
        <v>3939</v>
      </c>
      <c r="J1155" s="66"/>
      <c r="K1155" s="66"/>
      <c r="L1155" s="68"/>
      <c r="M1155" s="63" t="str">
        <f>HYPERLINK("http://nsgreg.nga.mil/genc/view?v=866533&amp;end_month=12&amp;end_day=31&amp;end_year=2016","Correlation")</f>
        <v>Correlation</v>
      </c>
    </row>
    <row r="1156" spans="1:13" x14ac:dyDescent="0.2">
      <c r="A1156" s="113"/>
      <c r="B1156" s="58" t="s">
        <v>3940</v>
      </c>
      <c r="C1156" s="58" t="s">
        <v>2294</v>
      </c>
      <c r="D1156" s="58" t="s">
        <v>3941</v>
      </c>
      <c r="E1156" s="60" t="b">
        <v>1</v>
      </c>
      <c r="F1156" s="80" t="s">
        <v>503</v>
      </c>
      <c r="G1156" s="58" t="s">
        <v>3940</v>
      </c>
      <c r="H1156" s="58" t="s">
        <v>2294</v>
      </c>
      <c r="I1156" s="64" t="s">
        <v>3941</v>
      </c>
      <c r="J1156" s="66"/>
      <c r="K1156" s="66"/>
      <c r="L1156" s="68"/>
      <c r="M1156" s="63" t="str">
        <f>HYPERLINK("http://nsgreg.nga.mil/genc/view?v=866534&amp;end_month=12&amp;end_day=31&amp;end_year=2016","Correlation")</f>
        <v>Correlation</v>
      </c>
    </row>
    <row r="1157" spans="1:13" x14ac:dyDescent="0.2">
      <c r="A1157" s="113"/>
      <c r="B1157" s="58" t="s">
        <v>2385</v>
      </c>
      <c r="C1157" s="58" t="s">
        <v>2294</v>
      </c>
      <c r="D1157" s="58" t="s">
        <v>3942</v>
      </c>
      <c r="E1157" s="60" t="b">
        <v>1</v>
      </c>
      <c r="F1157" s="80" t="s">
        <v>503</v>
      </c>
      <c r="G1157" s="58" t="s">
        <v>2385</v>
      </c>
      <c r="H1157" s="58" t="s">
        <v>2294</v>
      </c>
      <c r="I1157" s="64" t="s">
        <v>3942</v>
      </c>
      <c r="J1157" s="66"/>
      <c r="K1157" s="66"/>
      <c r="L1157" s="68"/>
      <c r="M1157" s="63" t="str">
        <f>HYPERLINK("http://nsgreg.nga.mil/genc/view?v=866536&amp;end_month=12&amp;end_day=31&amp;end_year=2016","Correlation")</f>
        <v>Correlation</v>
      </c>
    </row>
    <row r="1158" spans="1:13" x14ac:dyDescent="0.2">
      <c r="A1158" s="113"/>
      <c r="B1158" s="58" t="s">
        <v>3943</v>
      </c>
      <c r="C1158" s="58" t="s">
        <v>2294</v>
      </c>
      <c r="D1158" s="58" t="s">
        <v>3944</v>
      </c>
      <c r="E1158" s="60" t="b">
        <v>1</v>
      </c>
      <c r="F1158" s="80" t="s">
        <v>503</v>
      </c>
      <c r="G1158" s="58" t="s">
        <v>3943</v>
      </c>
      <c r="H1158" s="58" t="s">
        <v>2294</v>
      </c>
      <c r="I1158" s="64" t="s">
        <v>3944</v>
      </c>
      <c r="J1158" s="66"/>
      <c r="K1158" s="66"/>
      <c r="L1158" s="68"/>
      <c r="M1158" s="63" t="str">
        <f>HYPERLINK("http://nsgreg.nga.mil/genc/view?v=866542&amp;end_month=12&amp;end_day=31&amp;end_year=2016","Correlation")</f>
        <v>Correlation</v>
      </c>
    </row>
    <row r="1159" spans="1:13" x14ac:dyDescent="0.2">
      <c r="A1159" s="113"/>
      <c r="B1159" s="58" t="s">
        <v>3945</v>
      </c>
      <c r="C1159" s="58" t="s">
        <v>2294</v>
      </c>
      <c r="D1159" s="58" t="s">
        <v>3946</v>
      </c>
      <c r="E1159" s="60" t="b">
        <v>1</v>
      </c>
      <c r="F1159" s="80" t="s">
        <v>503</v>
      </c>
      <c r="G1159" s="58" t="s">
        <v>3945</v>
      </c>
      <c r="H1159" s="58" t="s">
        <v>2294</v>
      </c>
      <c r="I1159" s="64" t="s">
        <v>3946</v>
      </c>
      <c r="J1159" s="66"/>
      <c r="K1159" s="66"/>
      <c r="L1159" s="68"/>
      <c r="M1159" s="63" t="str">
        <f>HYPERLINK("http://nsgreg.nga.mil/genc/view?v=866535&amp;end_month=12&amp;end_day=31&amp;end_year=2016","Correlation")</f>
        <v>Correlation</v>
      </c>
    </row>
    <row r="1160" spans="1:13" x14ac:dyDescent="0.2">
      <c r="A1160" s="113"/>
      <c r="B1160" s="58" t="s">
        <v>3947</v>
      </c>
      <c r="C1160" s="58" t="s">
        <v>2294</v>
      </c>
      <c r="D1160" s="58" t="s">
        <v>3948</v>
      </c>
      <c r="E1160" s="60" t="b">
        <v>1</v>
      </c>
      <c r="F1160" s="80" t="s">
        <v>503</v>
      </c>
      <c r="G1160" s="58" t="s">
        <v>3947</v>
      </c>
      <c r="H1160" s="58" t="s">
        <v>2294</v>
      </c>
      <c r="I1160" s="64" t="s">
        <v>3948</v>
      </c>
      <c r="J1160" s="66"/>
      <c r="K1160" s="66"/>
      <c r="L1160" s="68"/>
      <c r="M1160" s="63" t="str">
        <f>HYPERLINK("http://nsgreg.nga.mil/genc/view?v=866538&amp;end_month=12&amp;end_day=31&amp;end_year=2016","Correlation")</f>
        <v>Correlation</v>
      </c>
    </row>
    <row r="1161" spans="1:13" x14ac:dyDescent="0.2">
      <c r="A1161" s="113"/>
      <c r="B1161" s="58" t="s">
        <v>2017</v>
      </c>
      <c r="C1161" s="58" t="s">
        <v>2294</v>
      </c>
      <c r="D1161" s="58" t="s">
        <v>3949</v>
      </c>
      <c r="E1161" s="60" t="b">
        <v>1</v>
      </c>
      <c r="F1161" s="80" t="s">
        <v>503</v>
      </c>
      <c r="G1161" s="58" t="s">
        <v>2017</v>
      </c>
      <c r="H1161" s="58" t="s">
        <v>2294</v>
      </c>
      <c r="I1161" s="64" t="s">
        <v>3949</v>
      </c>
      <c r="J1161" s="66"/>
      <c r="K1161" s="66"/>
      <c r="L1161" s="68"/>
      <c r="M1161" s="63" t="str">
        <f>HYPERLINK("http://nsgreg.nga.mil/genc/view?v=866540&amp;end_month=12&amp;end_day=31&amp;end_year=2016","Correlation")</f>
        <v>Correlation</v>
      </c>
    </row>
    <row r="1162" spans="1:13" x14ac:dyDescent="0.2">
      <c r="A1162" s="113"/>
      <c r="B1162" s="58" t="s">
        <v>3950</v>
      </c>
      <c r="C1162" s="58" t="s">
        <v>2294</v>
      </c>
      <c r="D1162" s="58" t="s">
        <v>3951</v>
      </c>
      <c r="E1162" s="60" t="b">
        <v>1</v>
      </c>
      <c r="F1162" s="80" t="s">
        <v>503</v>
      </c>
      <c r="G1162" s="58" t="s">
        <v>3950</v>
      </c>
      <c r="H1162" s="58" t="s">
        <v>2294</v>
      </c>
      <c r="I1162" s="64" t="s">
        <v>3951</v>
      </c>
      <c r="J1162" s="66"/>
      <c r="K1162" s="66"/>
      <c r="L1162" s="68"/>
      <c r="M1162" s="63" t="str">
        <f>HYPERLINK("http://nsgreg.nga.mil/genc/view?v=866537&amp;end_month=12&amp;end_day=31&amp;end_year=2016","Correlation")</f>
        <v>Correlation</v>
      </c>
    </row>
    <row r="1163" spans="1:13" x14ac:dyDescent="0.2">
      <c r="A1163" s="113"/>
      <c r="B1163" s="58" t="s">
        <v>3952</v>
      </c>
      <c r="C1163" s="58" t="s">
        <v>2294</v>
      </c>
      <c r="D1163" s="58" t="s">
        <v>3953</v>
      </c>
      <c r="E1163" s="60" t="b">
        <v>1</v>
      </c>
      <c r="F1163" s="80" t="s">
        <v>503</v>
      </c>
      <c r="G1163" s="58" t="s">
        <v>3952</v>
      </c>
      <c r="H1163" s="58" t="s">
        <v>2294</v>
      </c>
      <c r="I1163" s="64" t="s">
        <v>3953</v>
      </c>
      <c r="J1163" s="66"/>
      <c r="K1163" s="66"/>
      <c r="L1163" s="68"/>
      <c r="M1163" s="63" t="str">
        <f>HYPERLINK("http://nsgreg.nga.mil/genc/view?v=866541&amp;end_month=12&amp;end_day=31&amp;end_year=2016","Correlation")</f>
        <v>Correlation</v>
      </c>
    </row>
    <row r="1164" spans="1:13" x14ac:dyDescent="0.2">
      <c r="A1164" s="113"/>
      <c r="B1164" s="58" t="s">
        <v>3954</v>
      </c>
      <c r="C1164" s="58" t="s">
        <v>2294</v>
      </c>
      <c r="D1164" s="58" t="s">
        <v>3955</v>
      </c>
      <c r="E1164" s="60" t="b">
        <v>1</v>
      </c>
      <c r="F1164" s="80" t="s">
        <v>503</v>
      </c>
      <c r="G1164" s="58" t="s">
        <v>3954</v>
      </c>
      <c r="H1164" s="58" t="s">
        <v>2294</v>
      </c>
      <c r="I1164" s="64" t="s">
        <v>3955</v>
      </c>
      <c r="J1164" s="66"/>
      <c r="K1164" s="66"/>
      <c r="L1164" s="68"/>
      <c r="M1164" s="63" t="str">
        <f>HYPERLINK("http://nsgreg.nga.mil/genc/view?v=866539&amp;end_month=12&amp;end_day=31&amp;end_year=2016","Correlation")</f>
        <v>Correlation</v>
      </c>
    </row>
    <row r="1165" spans="1:13" x14ac:dyDescent="0.2">
      <c r="A1165" s="114"/>
      <c r="B1165" s="71" t="s">
        <v>3956</v>
      </c>
      <c r="C1165" s="71" t="s">
        <v>2294</v>
      </c>
      <c r="D1165" s="71" t="s">
        <v>3957</v>
      </c>
      <c r="E1165" s="73" t="b">
        <v>1</v>
      </c>
      <c r="F1165" s="81" t="s">
        <v>503</v>
      </c>
      <c r="G1165" s="71" t="s">
        <v>3956</v>
      </c>
      <c r="H1165" s="71" t="s">
        <v>2294</v>
      </c>
      <c r="I1165" s="74" t="s">
        <v>3957</v>
      </c>
      <c r="J1165" s="76"/>
      <c r="K1165" s="76"/>
      <c r="L1165" s="82"/>
      <c r="M1165" s="77" t="str">
        <f>HYPERLINK("http://nsgreg.nga.mil/genc/view?v=866543&amp;end_month=12&amp;end_day=31&amp;end_year=2016","Correlation")</f>
        <v>Correlation</v>
      </c>
    </row>
    <row r="1166" spans="1:13" x14ac:dyDescent="0.2">
      <c r="A1166" s="112" t="s">
        <v>527</v>
      </c>
      <c r="B1166" s="50" t="s">
        <v>3958</v>
      </c>
      <c r="C1166" s="50" t="s">
        <v>1413</v>
      </c>
      <c r="D1166" s="50" t="s">
        <v>3959</v>
      </c>
      <c r="E1166" s="52" t="b">
        <v>1</v>
      </c>
      <c r="F1166" s="78" t="s">
        <v>527</v>
      </c>
      <c r="G1166" s="50" t="s">
        <v>3958</v>
      </c>
      <c r="H1166" s="50" t="s">
        <v>1413</v>
      </c>
      <c r="I1166" s="53" t="s">
        <v>3959</v>
      </c>
      <c r="J1166" s="55"/>
      <c r="K1166" s="55"/>
      <c r="L1166" s="79"/>
      <c r="M1166" s="56" t="str">
        <f>HYPERLINK("http://nsgreg.nga.mil/genc/view?v=863863&amp;end_month=12&amp;end_day=31&amp;end_year=2016","Correlation")</f>
        <v>Correlation</v>
      </c>
    </row>
    <row r="1167" spans="1:13" x14ac:dyDescent="0.2">
      <c r="A1167" s="113"/>
      <c r="B1167" s="58" t="s">
        <v>3960</v>
      </c>
      <c r="C1167" s="58" t="s">
        <v>1413</v>
      </c>
      <c r="D1167" s="58" t="s">
        <v>3961</v>
      </c>
      <c r="E1167" s="60" t="b">
        <v>1</v>
      </c>
      <c r="F1167" s="80" t="s">
        <v>527</v>
      </c>
      <c r="G1167" s="58" t="s">
        <v>3960</v>
      </c>
      <c r="H1167" s="58" t="s">
        <v>1413</v>
      </c>
      <c r="I1167" s="64" t="s">
        <v>3961</v>
      </c>
      <c r="J1167" s="66"/>
      <c r="K1167" s="66"/>
      <c r="L1167" s="68"/>
      <c r="M1167" s="63" t="str">
        <f>HYPERLINK("http://nsgreg.nga.mil/genc/view?v=863864&amp;end_month=12&amp;end_day=31&amp;end_year=2016","Correlation")</f>
        <v>Correlation</v>
      </c>
    </row>
    <row r="1168" spans="1:13" x14ac:dyDescent="0.2">
      <c r="A1168" s="113"/>
      <c r="B1168" s="58" t="s">
        <v>3962</v>
      </c>
      <c r="C1168" s="58" t="s">
        <v>1413</v>
      </c>
      <c r="D1168" s="58" t="s">
        <v>3963</v>
      </c>
      <c r="E1168" s="60" t="b">
        <v>1</v>
      </c>
      <c r="F1168" s="80" t="s">
        <v>527</v>
      </c>
      <c r="G1168" s="58" t="s">
        <v>3962</v>
      </c>
      <c r="H1168" s="58" t="s">
        <v>1413</v>
      </c>
      <c r="I1168" s="64" t="s">
        <v>3963</v>
      </c>
      <c r="J1168" s="66"/>
      <c r="K1168" s="66"/>
      <c r="L1168" s="68"/>
      <c r="M1168" s="63" t="str">
        <f>HYPERLINK("http://nsgreg.nga.mil/genc/view?v=863865&amp;end_month=12&amp;end_day=31&amp;end_year=2016","Correlation")</f>
        <v>Correlation</v>
      </c>
    </row>
    <row r="1169" spans="1:13" x14ac:dyDescent="0.2">
      <c r="A1169" s="113"/>
      <c r="B1169" s="58" t="s">
        <v>3964</v>
      </c>
      <c r="C1169" s="58" t="s">
        <v>1413</v>
      </c>
      <c r="D1169" s="58" t="s">
        <v>3965</v>
      </c>
      <c r="E1169" s="60" t="b">
        <v>1</v>
      </c>
      <c r="F1169" s="80" t="s">
        <v>527</v>
      </c>
      <c r="G1169" s="58" t="s">
        <v>3964</v>
      </c>
      <c r="H1169" s="58" t="s">
        <v>1413</v>
      </c>
      <c r="I1169" s="64" t="s">
        <v>3965</v>
      </c>
      <c r="J1169" s="66"/>
      <c r="K1169" s="66"/>
      <c r="L1169" s="68"/>
      <c r="M1169" s="63" t="str">
        <f>HYPERLINK("http://nsgreg.nga.mil/genc/view?v=863867&amp;end_month=12&amp;end_day=31&amp;end_year=2016","Correlation")</f>
        <v>Correlation</v>
      </c>
    </row>
    <row r="1170" spans="1:13" x14ac:dyDescent="0.2">
      <c r="A1170" s="113"/>
      <c r="B1170" s="58" t="s">
        <v>3966</v>
      </c>
      <c r="C1170" s="58" t="s">
        <v>1413</v>
      </c>
      <c r="D1170" s="58" t="s">
        <v>3967</v>
      </c>
      <c r="E1170" s="60" t="b">
        <v>1</v>
      </c>
      <c r="F1170" s="80" t="s">
        <v>527</v>
      </c>
      <c r="G1170" s="58" t="s">
        <v>3966</v>
      </c>
      <c r="H1170" s="58" t="s">
        <v>1413</v>
      </c>
      <c r="I1170" s="64" t="s">
        <v>3967</v>
      </c>
      <c r="J1170" s="66"/>
      <c r="K1170" s="66"/>
      <c r="L1170" s="68"/>
      <c r="M1170" s="63" t="str">
        <f>HYPERLINK("http://nsgreg.nga.mil/genc/view?v=863869&amp;end_month=12&amp;end_day=31&amp;end_year=2016","Correlation")</f>
        <v>Correlation</v>
      </c>
    </row>
    <row r="1171" spans="1:13" x14ac:dyDescent="0.2">
      <c r="A1171" s="113"/>
      <c r="B1171" s="58" t="s">
        <v>3968</v>
      </c>
      <c r="C1171" s="58" t="s">
        <v>1413</v>
      </c>
      <c r="D1171" s="58" t="s">
        <v>3969</v>
      </c>
      <c r="E1171" s="60" t="b">
        <v>1</v>
      </c>
      <c r="F1171" s="80" t="s">
        <v>527</v>
      </c>
      <c r="G1171" s="58" t="s">
        <v>3968</v>
      </c>
      <c r="H1171" s="58" t="s">
        <v>1413</v>
      </c>
      <c r="I1171" s="64" t="s">
        <v>3969</v>
      </c>
      <c r="J1171" s="66"/>
      <c r="K1171" s="66"/>
      <c r="L1171" s="68"/>
      <c r="M1171" s="63" t="str">
        <f>HYPERLINK("http://nsgreg.nga.mil/genc/view?v=863870&amp;end_month=12&amp;end_day=31&amp;end_year=2016","Correlation")</f>
        <v>Correlation</v>
      </c>
    </row>
    <row r="1172" spans="1:13" x14ac:dyDescent="0.2">
      <c r="A1172" s="113"/>
      <c r="B1172" s="58" t="s">
        <v>3970</v>
      </c>
      <c r="C1172" s="58" t="s">
        <v>1728</v>
      </c>
      <c r="D1172" s="58" t="s">
        <v>3971</v>
      </c>
      <c r="E1172" s="60" t="b">
        <v>1</v>
      </c>
      <c r="F1172" s="80" t="s">
        <v>527</v>
      </c>
      <c r="G1172" s="58" t="s">
        <v>3970</v>
      </c>
      <c r="H1172" s="58" t="s">
        <v>1728</v>
      </c>
      <c r="I1172" s="64" t="s">
        <v>3971</v>
      </c>
      <c r="J1172" s="66"/>
      <c r="K1172" s="66"/>
      <c r="L1172" s="68"/>
      <c r="M1172" s="63" t="str">
        <f>HYPERLINK("http://nsgreg.nga.mil/genc/view?v=863866&amp;end_month=12&amp;end_day=31&amp;end_year=2016","Correlation")</f>
        <v>Correlation</v>
      </c>
    </row>
    <row r="1173" spans="1:13" x14ac:dyDescent="0.2">
      <c r="A1173" s="113"/>
      <c r="B1173" s="58" t="s">
        <v>3972</v>
      </c>
      <c r="C1173" s="58" t="s">
        <v>1728</v>
      </c>
      <c r="D1173" s="58" t="s">
        <v>3973</v>
      </c>
      <c r="E1173" s="60" t="b">
        <v>1</v>
      </c>
      <c r="F1173" s="80" t="s">
        <v>527</v>
      </c>
      <c r="G1173" s="58" t="s">
        <v>3972</v>
      </c>
      <c r="H1173" s="58" t="s">
        <v>1728</v>
      </c>
      <c r="I1173" s="64" t="s">
        <v>3973</v>
      </c>
      <c r="J1173" s="66"/>
      <c r="K1173" s="66"/>
      <c r="L1173" s="68"/>
      <c r="M1173" s="63" t="str">
        <f>HYPERLINK("http://nsgreg.nga.mil/genc/view?v=863868&amp;end_month=12&amp;end_day=31&amp;end_year=2016","Correlation")</f>
        <v>Correlation</v>
      </c>
    </row>
    <row r="1174" spans="1:13" x14ac:dyDescent="0.2">
      <c r="A1174" s="114"/>
      <c r="B1174" s="71" t="s">
        <v>3974</v>
      </c>
      <c r="C1174" s="71" t="s">
        <v>1413</v>
      </c>
      <c r="D1174" s="71" t="s">
        <v>3975</v>
      </c>
      <c r="E1174" s="73" t="b">
        <v>1</v>
      </c>
      <c r="F1174" s="81" t="s">
        <v>527</v>
      </c>
      <c r="G1174" s="71" t="s">
        <v>3976</v>
      </c>
      <c r="H1174" s="71" t="s">
        <v>1413</v>
      </c>
      <c r="I1174" s="74" t="s">
        <v>3975</v>
      </c>
      <c r="J1174" s="76"/>
      <c r="K1174" s="76"/>
      <c r="L1174" s="82"/>
      <c r="M1174" s="77" t="str">
        <f>HYPERLINK("http://nsgreg.nga.mil/genc/view?v=863871&amp;end_month=12&amp;end_day=31&amp;end_year=2016","Correlation")</f>
        <v>Correlation</v>
      </c>
    </row>
    <row r="1175" spans="1:13" x14ac:dyDescent="0.2">
      <c r="A1175" s="112" t="s">
        <v>531</v>
      </c>
      <c r="B1175" s="50" t="s">
        <v>3977</v>
      </c>
      <c r="C1175" s="50" t="s">
        <v>1728</v>
      </c>
      <c r="D1175" s="50" t="s">
        <v>3978</v>
      </c>
      <c r="E1175" s="52" t="b">
        <v>1</v>
      </c>
      <c r="F1175" s="78" t="s">
        <v>531</v>
      </c>
      <c r="G1175" s="50" t="s">
        <v>3979</v>
      </c>
      <c r="H1175" s="50" t="s">
        <v>1728</v>
      </c>
      <c r="I1175" s="53" t="s">
        <v>3978</v>
      </c>
      <c r="J1175" s="55"/>
      <c r="K1175" s="55"/>
      <c r="L1175" s="79"/>
      <c r="M1175" s="56" t="str">
        <f>HYPERLINK("http://nsgreg.nga.mil/genc/view?v=863315&amp;end_month=12&amp;end_day=31&amp;end_year=2016","Correlation")</f>
        <v>Correlation</v>
      </c>
    </row>
    <row r="1176" spans="1:13" x14ac:dyDescent="0.2">
      <c r="A1176" s="113"/>
      <c r="B1176" s="58" t="s">
        <v>3980</v>
      </c>
      <c r="C1176" s="58" t="s">
        <v>1728</v>
      </c>
      <c r="D1176" s="58" t="s">
        <v>3981</v>
      </c>
      <c r="E1176" s="60" t="b">
        <v>1</v>
      </c>
      <c r="F1176" s="80" t="s">
        <v>531</v>
      </c>
      <c r="G1176" s="58" t="s">
        <v>3982</v>
      </c>
      <c r="H1176" s="58" t="s">
        <v>1728</v>
      </c>
      <c r="I1176" s="64" t="s">
        <v>3981</v>
      </c>
      <c r="J1176" s="66"/>
      <c r="K1176" s="66"/>
      <c r="L1176" s="68"/>
      <c r="M1176" s="63" t="str">
        <f>HYPERLINK("http://nsgreg.nga.mil/genc/view?v=863317&amp;end_month=12&amp;end_day=31&amp;end_year=2016","Correlation")</f>
        <v>Correlation</v>
      </c>
    </row>
    <row r="1177" spans="1:13" x14ac:dyDescent="0.2">
      <c r="A1177" s="113"/>
      <c r="B1177" s="58" t="s">
        <v>3983</v>
      </c>
      <c r="C1177" s="58" t="s">
        <v>1728</v>
      </c>
      <c r="D1177" s="58" t="s">
        <v>3984</v>
      </c>
      <c r="E1177" s="60" t="b">
        <v>1</v>
      </c>
      <c r="F1177" s="80" t="s">
        <v>531</v>
      </c>
      <c r="G1177" s="58" t="s">
        <v>3985</v>
      </c>
      <c r="H1177" s="58" t="s">
        <v>1728</v>
      </c>
      <c r="I1177" s="64" t="s">
        <v>3984</v>
      </c>
      <c r="J1177" s="66"/>
      <c r="K1177" s="66"/>
      <c r="L1177" s="68"/>
      <c r="M1177" s="63" t="str">
        <f>HYPERLINK("http://nsgreg.nga.mil/genc/view?v=863316&amp;end_month=12&amp;end_day=31&amp;end_year=2016","Correlation")</f>
        <v>Correlation</v>
      </c>
    </row>
    <row r="1178" spans="1:13" x14ac:dyDescent="0.2">
      <c r="A1178" s="113"/>
      <c r="B1178" s="58" t="s">
        <v>3986</v>
      </c>
      <c r="C1178" s="58" t="s">
        <v>1728</v>
      </c>
      <c r="D1178" s="58" t="s">
        <v>3987</v>
      </c>
      <c r="E1178" s="60" t="b">
        <v>1</v>
      </c>
      <c r="F1178" s="80" t="s">
        <v>531</v>
      </c>
      <c r="G1178" s="58" t="s">
        <v>3988</v>
      </c>
      <c r="H1178" s="58" t="s">
        <v>1728</v>
      </c>
      <c r="I1178" s="64" t="s">
        <v>3987</v>
      </c>
      <c r="J1178" s="66"/>
      <c r="K1178" s="66"/>
      <c r="L1178" s="68"/>
      <c r="M1178" s="63" t="str">
        <f>HYPERLINK("http://nsgreg.nga.mil/genc/view?v=863318&amp;end_month=12&amp;end_day=31&amp;end_year=2016","Correlation")</f>
        <v>Correlation</v>
      </c>
    </row>
    <row r="1179" spans="1:13" x14ac:dyDescent="0.2">
      <c r="A1179" s="113"/>
      <c r="B1179" s="58" t="s">
        <v>3989</v>
      </c>
      <c r="C1179" s="58" t="s">
        <v>1728</v>
      </c>
      <c r="D1179" s="58" t="s">
        <v>3990</v>
      </c>
      <c r="E1179" s="60" t="b">
        <v>1</v>
      </c>
      <c r="F1179" s="80" t="s">
        <v>531</v>
      </c>
      <c r="G1179" s="58" t="s">
        <v>3991</v>
      </c>
      <c r="H1179" s="58" t="s">
        <v>1728</v>
      </c>
      <c r="I1179" s="64" t="s">
        <v>3990</v>
      </c>
      <c r="J1179" s="66"/>
      <c r="K1179" s="66"/>
      <c r="L1179" s="68"/>
      <c r="M1179" s="63" t="str">
        <f>HYPERLINK("http://nsgreg.nga.mil/genc/view?v=863319&amp;end_month=12&amp;end_day=31&amp;end_year=2016","Correlation")</f>
        <v>Correlation</v>
      </c>
    </row>
    <row r="1180" spans="1:13" x14ac:dyDescent="0.2">
      <c r="A1180" s="114"/>
      <c r="B1180" s="71" t="s">
        <v>3992</v>
      </c>
      <c r="C1180" s="71" t="s">
        <v>1728</v>
      </c>
      <c r="D1180" s="71" t="s">
        <v>3993</v>
      </c>
      <c r="E1180" s="73" t="b">
        <v>1</v>
      </c>
      <c r="F1180" s="81" t="s">
        <v>531</v>
      </c>
      <c r="G1180" s="71" t="s">
        <v>3994</v>
      </c>
      <c r="H1180" s="71" t="s">
        <v>1728</v>
      </c>
      <c r="I1180" s="74" t="s">
        <v>3993</v>
      </c>
      <c r="J1180" s="76"/>
      <c r="K1180" s="76"/>
      <c r="L1180" s="82"/>
      <c r="M1180" s="77" t="str">
        <f>HYPERLINK("http://nsgreg.nga.mil/genc/view?v=863320&amp;end_month=12&amp;end_day=31&amp;end_year=2016","Correlation")</f>
        <v>Correlation</v>
      </c>
    </row>
    <row r="1181" spans="1:13" x14ac:dyDescent="0.2">
      <c r="A1181" s="112" t="s">
        <v>535</v>
      </c>
      <c r="B1181" s="50" t="s">
        <v>3995</v>
      </c>
      <c r="C1181" s="50" t="s">
        <v>1483</v>
      </c>
      <c r="D1181" s="50" t="s">
        <v>3996</v>
      </c>
      <c r="E1181" s="52" t="b">
        <v>1</v>
      </c>
      <c r="F1181" s="78" t="s">
        <v>535</v>
      </c>
      <c r="G1181" s="50" t="s">
        <v>3995</v>
      </c>
      <c r="H1181" s="50" t="s">
        <v>1483</v>
      </c>
      <c r="I1181" s="53" t="s">
        <v>3996</v>
      </c>
      <c r="J1181" s="55"/>
      <c r="K1181" s="55"/>
      <c r="L1181" s="79"/>
      <c r="M1181" s="56" t="str">
        <f>HYPERLINK("http://nsgreg.nga.mil/genc/view?v=863273&amp;end_month=12&amp;end_day=31&amp;end_year=2016","Correlation")</f>
        <v>Correlation</v>
      </c>
    </row>
    <row r="1182" spans="1:13" x14ac:dyDescent="0.2">
      <c r="A1182" s="113"/>
      <c r="B1182" s="58" t="s">
        <v>3997</v>
      </c>
      <c r="C1182" s="58" t="s">
        <v>1483</v>
      </c>
      <c r="D1182" s="58" t="s">
        <v>3998</v>
      </c>
      <c r="E1182" s="60" t="b">
        <v>1</v>
      </c>
      <c r="F1182" s="80" t="s">
        <v>535</v>
      </c>
      <c r="G1182" s="58" t="s">
        <v>3997</v>
      </c>
      <c r="H1182" s="58" t="s">
        <v>1483</v>
      </c>
      <c r="I1182" s="64" t="s">
        <v>3998</v>
      </c>
      <c r="J1182" s="66"/>
      <c r="K1182" s="66"/>
      <c r="L1182" s="68"/>
      <c r="M1182" s="63" t="str">
        <f>HYPERLINK("http://nsgreg.nga.mil/genc/view?v=863274&amp;end_month=12&amp;end_day=31&amp;end_year=2016","Correlation")</f>
        <v>Correlation</v>
      </c>
    </row>
    <row r="1183" spans="1:13" x14ac:dyDescent="0.2">
      <c r="A1183" s="113"/>
      <c r="B1183" s="58" t="s">
        <v>3999</v>
      </c>
      <c r="C1183" s="58" t="s">
        <v>1483</v>
      </c>
      <c r="D1183" s="58" t="s">
        <v>4000</v>
      </c>
      <c r="E1183" s="60" t="b">
        <v>1</v>
      </c>
      <c r="F1183" s="80" t="s">
        <v>535</v>
      </c>
      <c r="G1183" s="58" t="s">
        <v>3999</v>
      </c>
      <c r="H1183" s="58" t="s">
        <v>1483</v>
      </c>
      <c r="I1183" s="64" t="s">
        <v>4000</v>
      </c>
      <c r="J1183" s="66"/>
      <c r="K1183" s="66"/>
      <c r="L1183" s="68"/>
      <c r="M1183" s="63" t="str">
        <f>HYPERLINK("http://nsgreg.nga.mil/genc/view?v=863275&amp;end_month=12&amp;end_day=31&amp;end_year=2016","Correlation")</f>
        <v>Correlation</v>
      </c>
    </row>
    <row r="1184" spans="1:13" x14ac:dyDescent="0.2">
      <c r="A1184" s="113"/>
      <c r="B1184" s="58" t="s">
        <v>4001</v>
      </c>
      <c r="C1184" s="58" t="s">
        <v>1483</v>
      </c>
      <c r="D1184" s="58" t="s">
        <v>4002</v>
      </c>
      <c r="E1184" s="60" t="b">
        <v>1</v>
      </c>
      <c r="F1184" s="80" t="s">
        <v>535</v>
      </c>
      <c r="G1184" s="58" t="s">
        <v>4001</v>
      </c>
      <c r="H1184" s="58" t="s">
        <v>1483</v>
      </c>
      <c r="I1184" s="64" t="s">
        <v>4002</v>
      </c>
      <c r="J1184" s="66"/>
      <c r="K1184" s="66"/>
      <c r="L1184" s="68"/>
      <c r="M1184" s="63" t="str">
        <f>HYPERLINK("http://nsgreg.nga.mil/genc/view?v=863277&amp;end_month=12&amp;end_day=31&amp;end_year=2016","Correlation")</f>
        <v>Correlation</v>
      </c>
    </row>
    <row r="1185" spans="1:13" x14ac:dyDescent="0.2">
      <c r="A1185" s="113"/>
      <c r="B1185" s="58" t="s">
        <v>4003</v>
      </c>
      <c r="C1185" s="58" t="s">
        <v>1483</v>
      </c>
      <c r="D1185" s="58" t="s">
        <v>4004</v>
      </c>
      <c r="E1185" s="60" t="b">
        <v>1</v>
      </c>
      <c r="F1185" s="80" t="s">
        <v>535</v>
      </c>
      <c r="G1185" s="58" t="s">
        <v>4003</v>
      </c>
      <c r="H1185" s="58" t="s">
        <v>1483</v>
      </c>
      <c r="I1185" s="64" t="s">
        <v>4004</v>
      </c>
      <c r="J1185" s="66"/>
      <c r="K1185" s="66"/>
      <c r="L1185" s="68"/>
      <c r="M1185" s="63" t="str">
        <f>HYPERLINK("http://nsgreg.nga.mil/genc/view?v=863276&amp;end_month=12&amp;end_day=31&amp;end_year=2016","Correlation")</f>
        <v>Correlation</v>
      </c>
    </row>
    <row r="1186" spans="1:13" x14ac:dyDescent="0.2">
      <c r="A1186" s="113"/>
      <c r="B1186" s="58" t="s">
        <v>4005</v>
      </c>
      <c r="C1186" s="58" t="s">
        <v>1483</v>
      </c>
      <c r="D1186" s="58" t="s">
        <v>4006</v>
      </c>
      <c r="E1186" s="60" t="b">
        <v>1</v>
      </c>
      <c r="F1186" s="80" t="s">
        <v>535</v>
      </c>
      <c r="G1186" s="58" t="s">
        <v>4005</v>
      </c>
      <c r="H1186" s="58" t="s">
        <v>1483</v>
      </c>
      <c r="I1186" s="64" t="s">
        <v>4006</v>
      </c>
      <c r="J1186" s="66"/>
      <c r="K1186" s="66"/>
      <c r="L1186" s="68"/>
      <c r="M1186" s="63" t="str">
        <f>HYPERLINK("http://nsgreg.nga.mil/genc/view?v=863278&amp;end_month=12&amp;end_day=31&amp;end_year=2016","Correlation")</f>
        <v>Correlation</v>
      </c>
    </row>
    <row r="1187" spans="1:13" x14ac:dyDescent="0.2">
      <c r="A1187" s="113"/>
      <c r="B1187" s="58" t="s">
        <v>4007</v>
      </c>
      <c r="C1187" s="58" t="s">
        <v>1483</v>
      </c>
      <c r="D1187" s="58" t="s">
        <v>4008</v>
      </c>
      <c r="E1187" s="60" t="b">
        <v>1</v>
      </c>
      <c r="F1187" s="80" t="s">
        <v>535</v>
      </c>
      <c r="G1187" s="58" t="s">
        <v>4007</v>
      </c>
      <c r="H1187" s="58" t="s">
        <v>1483</v>
      </c>
      <c r="I1187" s="64" t="s">
        <v>4008</v>
      </c>
      <c r="J1187" s="66"/>
      <c r="K1187" s="66"/>
      <c r="L1187" s="68"/>
      <c r="M1187" s="63" t="str">
        <f>HYPERLINK("http://nsgreg.nga.mil/genc/view?v=863279&amp;end_month=12&amp;end_day=31&amp;end_year=2016","Correlation")</f>
        <v>Correlation</v>
      </c>
    </row>
    <row r="1188" spans="1:13" x14ac:dyDescent="0.2">
      <c r="A1188" s="113"/>
      <c r="B1188" s="58" t="s">
        <v>4009</v>
      </c>
      <c r="C1188" s="58" t="s">
        <v>1483</v>
      </c>
      <c r="D1188" s="58" t="s">
        <v>4010</v>
      </c>
      <c r="E1188" s="60" t="b">
        <v>1</v>
      </c>
      <c r="F1188" s="80" t="s">
        <v>535</v>
      </c>
      <c r="G1188" s="58" t="s">
        <v>4009</v>
      </c>
      <c r="H1188" s="58" t="s">
        <v>1483</v>
      </c>
      <c r="I1188" s="64" t="s">
        <v>4010</v>
      </c>
      <c r="J1188" s="66"/>
      <c r="K1188" s="66"/>
      <c r="L1188" s="68"/>
      <c r="M1188" s="63" t="str">
        <f>HYPERLINK("http://nsgreg.nga.mil/genc/view?v=863281&amp;end_month=12&amp;end_day=31&amp;end_year=2016","Correlation")</f>
        <v>Correlation</v>
      </c>
    </row>
    <row r="1189" spans="1:13" x14ac:dyDescent="0.2">
      <c r="A1189" s="113"/>
      <c r="B1189" s="58" t="s">
        <v>4011</v>
      </c>
      <c r="C1189" s="58" t="s">
        <v>1483</v>
      </c>
      <c r="D1189" s="58" t="s">
        <v>4012</v>
      </c>
      <c r="E1189" s="60" t="b">
        <v>1</v>
      </c>
      <c r="F1189" s="80" t="s">
        <v>535</v>
      </c>
      <c r="G1189" s="58" t="s">
        <v>4011</v>
      </c>
      <c r="H1189" s="58" t="s">
        <v>1483</v>
      </c>
      <c r="I1189" s="64" t="s">
        <v>4012</v>
      </c>
      <c r="J1189" s="66"/>
      <c r="K1189" s="66"/>
      <c r="L1189" s="68"/>
      <c r="M1189" s="63" t="str">
        <f>HYPERLINK("http://nsgreg.nga.mil/genc/view?v=863280&amp;end_month=12&amp;end_day=31&amp;end_year=2016","Correlation")</f>
        <v>Correlation</v>
      </c>
    </row>
    <row r="1190" spans="1:13" x14ac:dyDescent="0.2">
      <c r="A1190" s="113"/>
      <c r="B1190" s="58" t="s">
        <v>4013</v>
      </c>
      <c r="C1190" s="58" t="s">
        <v>1483</v>
      </c>
      <c r="D1190" s="58" t="s">
        <v>4014</v>
      </c>
      <c r="E1190" s="60" t="b">
        <v>1</v>
      </c>
      <c r="F1190" s="80" t="s">
        <v>535</v>
      </c>
      <c r="G1190" s="58" t="s">
        <v>4013</v>
      </c>
      <c r="H1190" s="58" t="s">
        <v>1483</v>
      </c>
      <c r="I1190" s="64" t="s">
        <v>4014</v>
      </c>
      <c r="J1190" s="66"/>
      <c r="K1190" s="66"/>
      <c r="L1190" s="68"/>
      <c r="M1190" s="63" t="str">
        <f>HYPERLINK("http://nsgreg.nga.mil/genc/view?v=863282&amp;end_month=12&amp;end_day=31&amp;end_year=2016","Correlation")</f>
        <v>Correlation</v>
      </c>
    </row>
    <row r="1191" spans="1:13" x14ac:dyDescent="0.2">
      <c r="A1191" s="113"/>
      <c r="B1191" s="58" t="s">
        <v>4015</v>
      </c>
      <c r="C1191" s="58" t="s">
        <v>1483</v>
      </c>
      <c r="D1191" s="58" t="s">
        <v>4016</v>
      </c>
      <c r="E1191" s="60" t="b">
        <v>1</v>
      </c>
      <c r="F1191" s="80" t="s">
        <v>535</v>
      </c>
      <c r="G1191" s="58" t="s">
        <v>4015</v>
      </c>
      <c r="H1191" s="58" t="s">
        <v>1483</v>
      </c>
      <c r="I1191" s="64" t="s">
        <v>4016</v>
      </c>
      <c r="J1191" s="66"/>
      <c r="K1191" s="66"/>
      <c r="L1191" s="68"/>
      <c r="M1191" s="63" t="str">
        <f>HYPERLINK("http://nsgreg.nga.mil/genc/view?v=863283&amp;end_month=12&amp;end_day=31&amp;end_year=2016","Correlation")</f>
        <v>Correlation</v>
      </c>
    </row>
    <row r="1192" spans="1:13" x14ac:dyDescent="0.2">
      <c r="A1192" s="113"/>
      <c r="B1192" s="58" t="s">
        <v>4017</v>
      </c>
      <c r="C1192" s="58" t="s">
        <v>1483</v>
      </c>
      <c r="D1192" s="58" t="s">
        <v>4018</v>
      </c>
      <c r="E1192" s="60" t="b">
        <v>1</v>
      </c>
      <c r="F1192" s="80" t="s">
        <v>535</v>
      </c>
      <c r="G1192" s="58" t="s">
        <v>4017</v>
      </c>
      <c r="H1192" s="58" t="s">
        <v>1483</v>
      </c>
      <c r="I1192" s="64" t="s">
        <v>4018</v>
      </c>
      <c r="J1192" s="66"/>
      <c r="K1192" s="66"/>
      <c r="L1192" s="68"/>
      <c r="M1192" s="63" t="str">
        <f>HYPERLINK("http://nsgreg.nga.mil/genc/view?v=863284&amp;end_month=12&amp;end_day=31&amp;end_year=2016","Correlation")</f>
        <v>Correlation</v>
      </c>
    </row>
    <row r="1193" spans="1:13" x14ac:dyDescent="0.2">
      <c r="A1193" s="113"/>
      <c r="B1193" s="58" t="s">
        <v>4019</v>
      </c>
      <c r="C1193" s="58" t="s">
        <v>1483</v>
      </c>
      <c r="D1193" s="58" t="s">
        <v>4020</v>
      </c>
      <c r="E1193" s="60" t="b">
        <v>1</v>
      </c>
      <c r="F1193" s="80" t="s">
        <v>535</v>
      </c>
      <c r="G1193" s="58" t="s">
        <v>4019</v>
      </c>
      <c r="H1193" s="58" t="s">
        <v>1483</v>
      </c>
      <c r="I1193" s="64" t="s">
        <v>4020</v>
      </c>
      <c r="J1193" s="66"/>
      <c r="K1193" s="66"/>
      <c r="L1193" s="68"/>
      <c r="M1193" s="63" t="str">
        <f>HYPERLINK("http://nsgreg.nga.mil/genc/view?v=863285&amp;end_month=12&amp;end_day=31&amp;end_year=2016","Correlation")</f>
        <v>Correlation</v>
      </c>
    </row>
    <row r="1194" spans="1:13" x14ac:dyDescent="0.2">
      <c r="A1194" s="113"/>
      <c r="B1194" s="58" t="s">
        <v>4021</v>
      </c>
      <c r="C1194" s="58" t="s">
        <v>1483</v>
      </c>
      <c r="D1194" s="58" t="s">
        <v>4022</v>
      </c>
      <c r="E1194" s="60" t="b">
        <v>1</v>
      </c>
      <c r="F1194" s="80" t="s">
        <v>535</v>
      </c>
      <c r="G1194" s="58" t="s">
        <v>4021</v>
      </c>
      <c r="H1194" s="58" t="s">
        <v>1483</v>
      </c>
      <c r="I1194" s="64" t="s">
        <v>4022</v>
      </c>
      <c r="J1194" s="66"/>
      <c r="K1194" s="66"/>
      <c r="L1194" s="68"/>
      <c r="M1194" s="63" t="str">
        <f>HYPERLINK("http://nsgreg.nga.mil/genc/view?v=863286&amp;end_month=12&amp;end_day=31&amp;end_year=2016","Correlation")</f>
        <v>Correlation</v>
      </c>
    </row>
    <row r="1195" spans="1:13" x14ac:dyDescent="0.2">
      <c r="A1195" s="114"/>
      <c r="B1195" s="71" t="s">
        <v>4023</v>
      </c>
      <c r="C1195" s="71" t="s">
        <v>1483</v>
      </c>
      <c r="D1195" s="71" t="s">
        <v>4024</v>
      </c>
      <c r="E1195" s="73" t="b">
        <v>1</v>
      </c>
      <c r="F1195" s="81" t="s">
        <v>535</v>
      </c>
      <c r="G1195" s="71" t="s">
        <v>4023</v>
      </c>
      <c r="H1195" s="71" t="s">
        <v>1483</v>
      </c>
      <c r="I1195" s="74" t="s">
        <v>4024</v>
      </c>
      <c r="J1195" s="76"/>
      <c r="K1195" s="76"/>
      <c r="L1195" s="82"/>
      <c r="M1195" s="77" t="str">
        <f>HYPERLINK("http://nsgreg.nga.mil/genc/view?v=863287&amp;end_month=12&amp;end_day=31&amp;end_year=2016","Correlation")</f>
        <v>Correlation</v>
      </c>
    </row>
    <row r="1196" spans="1:13" x14ac:dyDescent="0.2">
      <c r="A1196" s="112" t="s">
        <v>539</v>
      </c>
      <c r="B1196" s="50" t="s">
        <v>4025</v>
      </c>
      <c r="C1196" s="50" t="s">
        <v>4026</v>
      </c>
      <c r="D1196" s="50" t="s">
        <v>4027</v>
      </c>
      <c r="E1196" s="52" t="b">
        <v>1</v>
      </c>
      <c r="F1196" s="78" t="s">
        <v>539</v>
      </c>
      <c r="G1196" s="50" t="s">
        <v>4025</v>
      </c>
      <c r="H1196" s="50" t="s">
        <v>4026</v>
      </c>
      <c r="I1196" s="53" t="s">
        <v>4027</v>
      </c>
      <c r="J1196" s="55"/>
      <c r="K1196" s="55"/>
      <c r="L1196" s="79"/>
      <c r="M1196" s="56" t="str">
        <f>HYPERLINK("http://nsgreg.nga.mil/genc/view?v=863390&amp;end_month=12&amp;end_day=31&amp;end_year=2016","Correlation")</f>
        <v>Correlation</v>
      </c>
    </row>
    <row r="1197" spans="1:13" x14ac:dyDescent="0.2">
      <c r="A1197" s="113"/>
      <c r="B1197" s="58" t="s">
        <v>4028</v>
      </c>
      <c r="C1197" s="58" t="s">
        <v>1763</v>
      </c>
      <c r="D1197" s="58" t="s">
        <v>4029</v>
      </c>
      <c r="E1197" s="60" t="b">
        <v>1</v>
      </c>
      <c r="F1197" s="80" t="s">
        <v>539</v>
      </c>
      <c r="G1197" s="58" t="s">
        <v>4028</v>
      </c>
      <c r="H1197" s="58" t="s">
        <v>1763</v>
      </c>
      <c r="I1197" s="64" t="s">
        <v>4029</v>
      </c>
      <c r="J1197" s="66"/>
      <c r="K1197" s="66"/>
      <c r="L1197" s="68"/>
      <c r="M1197" s="63" t="str">
        <f>HYPERLINK("http://nsgreg.nga.mil/genc/view?v=863391&amp;end_month=12&amp;end_day=31&amp;end_year=2016","Correlation")</f>
        <v>Correlation</v>
      </c>
    </row>
    <row r="1198" spans="1:13" x14ac:dyDescent="0.2">
      <c r="A1198" s="113"/>
      <c r="B1198" s="58" t="s">
        <v>4030</v>
      </c>
      <c r="C1198" s="58" t="s">
        <v>1763</v>
      </c>
      <c r="D1198" s="58" t="s">
        <v>4031</v>
      </c>
      <c r="E1198" s="60" t="b">
        <v>1</v>
      </c>
      <c r="F1198" s="80" t="s">
        <v>539</v>
      </c>
      <c r="G1198" s="58" t="s">
        <v>4030</v>
      </c>
      <c r="H1198" s="58" t="s">
        <v>1763</v>
      </c>
      <c r="I1198" s="64" t="s">
        <v>4031</v>
      </c>
      <c r="J1198" s="66"/>
      <c r="K1198" s="66"/>
      <c r="L1198" s="68"/>
      <c r="M1198" s="63" t="str">
        <f>HYPERLINK("http://nsgreg.nga.mil/genc/view?v=863392&amp;end_month=12&amp;end_day=31&amp;end_year=2016","Correlation")</f>
        <v>Correlation</v>
      </c>
    </row>
    <row r="1199" spans="1:13" x14ac:dyDescent="0.2">
      <c r="A1199" s="113"/>
      <c r="B1199" s="58" t="s">
        <v>4032</v>
      </c>
      <c r="C1199" s="58" t="s">
        <v>1763</v>
      </c>
      <c r="D1199" s="58" t="s">
        <v>4033</v>
      </c>
      <c r="E1199" s="60" t="b">
        <v>1</v>
      </c>
      <c r="F1199" s="80" t="s">
        <v>539</v>
      </c>
      <c r="G1199" s="58" t="s">
        <v>4032</v>
      </c>
      <c r="H1199" s="58" t="s">
        <v>1763</v>
      </c>
      <c r="I1199" s="64" t="s">
        <v>4033</v>
      </c>
      <c r="J1199" s="66"/>
      <c r="K1199" s="66"/>
      <c r="L1199" s="68"/>
      <c r="M1199" s="63" t="str">
        <f>HYPERLINK("http://nsgreg.nga.mil/genc/view?v=863393&amp;end_month=12&amp;end_day=31&amp;end_year=2016","Correlation")</f>
        <v>Correlation</v>
      </c>
    </row>
    <row r="1200" spans="1:13" x14ac:dyDescent="0.2">
      <c r="A1200" s="113"/>
      <c r="B1200" s="58" t="s">
        <v>4034</v>
      </c>
      <c r="C1200" s="58" t="s">
        <v>4026</v>
      </c>
      <c r="D1200" s="58" t="s">
        <v>4035</v>
      </c>
      <c r="E1200" s="60" t="b">
        <v>1</v>
      </c>
      <c r="F1200" s="80" t="s">
        <v>539</v>
      </c>
      <c r="G1200" s="58" t="s">
        <v>4034</v>
      </c>
      <c r="H1200" s="58" t="s">
        <v>4026</v>
      </c>
      <c r="I1200" s="64" t="s">
        <v>4035</v>
      </c>
      <c r="J1200" s="66"/>
      <c r="K1200" s="66"/>
      <c r="L1200" s="68"/>
      <c r="M1200" s="63" t="str">
        <f>HYPERLINK("http://nsgreg.nga.mil/genc/view?v=863394&amp;end_month=12&amp;end_day=31&amp;end_year=2016","Correlation")</f>
        <v>Correlation</v>
      </c>
    </row>
    <row r="1201" spans="1:13" x14ac:dyDescent="0.2">
      <c r="A1201" s="113"/>
      <c r="B1201" s="58" t="s">
        <v>4036</v>
      </c>
      <c r="C1201" s="58" t="s">
        <v>4026</v>
      </c>
      <c r="D1201" s="58" t="s">
        <v>4037</v>
      </c>
      <c r="E1201" s="60" t="b">
        <v>1</v>
      </c>
      <c r="F1201" s="80" t="s">
        <v>539</v>
      </c>
      <c r="G1201" s="58" t="s">
        <v>4036</v>
      </c>
      <c r="H1201" s="58" t="s">
        <v>1763</v>
      </c>
      <c r="I1201" s="64" t="s">
        <v>4037</v>
      </c>
      <c r="J1201" s="66"/>
      <c r="K1201" s="66"/>
      <c r="L1201" s="68"/>
      <c r="M1201" s="63" t="str">
        <f>HYPERLINK("http://nsgreg.nga.mil/genc/view?v=863395&amp;end_month=12&amp;end_day=31&amp;end_year=2016","Correlation")</f>
        <v>Correlation</v>
      </c>
    </row>
    <row r="1202" spans="1:13" x14ac:dyDescent="0.2">
      <c r="A1202" s="113"/>
      <c r="B1202" s="58" t="s">
        <v>4038</v>
      </c>
      <c r="C1202" s="58" t="s">
        <v>4026</v>
      </c>
      <c r="D1202" s="58" t="s">
        <v>4039</v>
      </c>
      <c r="E1202" s="60" t="b">
        <v>1</v>
      </c>
      <c r="F1202" s="80" t="s">
        <v>539</v>
      </c>
      <c r="G1202" s="58" t="s">
        <v>4038</v>
      </c>
      <c r="H1202" s="58" t="s">
        <v>1763</v>
      </c>
      <c r="I1202" s="64" t="s">
        <v>4039</v>
      </c>
      <c r="J1202" s="66"/>
      <c r="K1202" s="66"/>
      <c r="L1202" s="68"/>
      <c r="M1202" s="63" t="str">
        <f>HYPERLINK("http://nsgreg.nga.mil/genc/view?v=863396&amp;end_month=12&amp;end_day=31&amp;end_year=2016","Correlation")</f>
        <v>Correlation</v>
      </c>
    </row>
    <row r="1203" spans="1:13" x14ac:dyDescent="0.2">
      <c r="A1203" s="113"/>
      <c r="B1203" s="58" t="s">
        <v>4040</v>
      </c>
      <c r="C1203" s="58" t="s">
        <v>1763</v>
      </c>
      <c r="D1203" s="58" t="s">
        <v>4041</v>
      </c>
      <c r="E1203" s="60" t="b">
        <v>1</v>
      </c>
      <c r="F1203" s="80" t="s">
        <v>539</v>
      </c>
      <c r="G1203" s="58" t="s">
        <v>4040</v>
      </c>
      <c r="H1203" s="58" t="s">
        <v>1763</v>
      </c>
      <c r="I1203" s="64" t="s">
        <v>4041</v>
      </c>
      <c r="J1203" s="66"/>
      <c r="K1203" s="66"/>
      <c r="L1203" s="68"/>
      <c r="M1203" s="63" t="str">
        <f>HYPERLINK("http://nsgreg.nga.mil/genc/view?v=863397&amp;end_month=12&amp;end_day=31&amp;end_year=2016","Correlation")</f>
        <v>Correlation</v>
      </c>
    </row>
    <row r="1204" spans="1:13" x14ac:dyDescent="0.2">
      <c r="A1204" s="113"/>
      <c r="B1204" s="58" t="s">
        <v>4042</v>
      </c>
      <c r="C1204" s="58" t="s">
        <v>1763</v>
      </c>
      <c r="D1204" s="58" t="s">
        <v>4043</v>
      </c>
      <c r="E1204" s="60" t="b">
        <v>1</v>
      </c>
      <c r="F1204" s="80" t="s">
        <v>539</v>
      </c>
      <c r="G1204" s="58" t="s">
        <v>4042</v>
      </c>
      <c r="H1204" s="58" t="s">
        <v>1763</v>
      </c>
      <c r="I1204" s="64" t="s">
        <v>4043</v>
      </c>
      <c r="J1204" s="66"/>
      <c r="K1204" s="66"/>
      <c r="L1204" s="68"/>
      <c r="M1204" s="63" t="str">
        <f>HYPERLINK("http://nsgreg.nga.mil/genc/view?v=863399&amp;end_month=12&amp;end_day=31&amp;end_year=2016","Correlation")</f>
        <v>Correlation</v>
      </c>
    </row>
    <row r="1205" spans="1:13" x14ac:dyDescent="0.2">
      <c r="A1205" s="113"/>
      <c r="B1205" s="58" t="s">
        <v>4044</v>
      </c>
      <c r="C1205" s="58" t="s">
        <v>4026</v>
      </c>
      <c r="D1205" s="58" t="s">
        <v>4045</v>
      </c>
      <c r="E1205" s="60" t="b">
        <v>1</v>
      </c>
      <c r="F1205" s="80" t="s">
        <v>539</v>
      </c>
      <c r="G1205" s="58" t="s">
        <v>4044</v>
      </c>
      <c r="H1205" s="58" t="s">
        <v>1763</v>
      </c>
      <c r="I1205" s="64" t="s">
        <v>4045</v>
      </c>
      <c r="J1205" s="66"/>
      <c r="K1205" s="66"/>
      <c r="L1205" s="68"/>
      <c r="M1205" s="63" t="str">
        <f>HYPERLINK("http://nsgreg.nga.mil/genc/view?v=863400&amp;end_month=12&amp;end_day=31&amp;end_year=2016","Correlation")</f>
        <v>Correlation</v>
      </c>
    </row>
    <row r="1206" spans="1:13" x14ac:dyDescent="0.2">
      <c r="A1206" s="114"/>
      <c r="B1206" s="71" t="s">
        <v>4046</v>
      </c>
      <c r="C1206" s="71" t="s">
        <v>1763</v>
      </c>
      <c r="D1206" s="71" t="s">
        <v>4047</v>
      </c>
      <c r="E1206" s="73" t="b">
        <v>1</v>
      </c>
      <c r="F1206" s="81" t="s">
        <v>539</v>
      </c>
      <c r="G1206" s="71" t="s">
        <v>4046</v>
      </c>
      <c r="H1206" s="71" t="s">
        <v>1763</v>
      </c>
      <c r="I1206" s="74" t="s">
        <v>4047</v>
      </c>
      <c r="J1206" s="76"/>
      <c r="K1206" s="76"/>
      <c r="L1206" s="82"/>
      <c r="M1206" s="77" t="str">
        <f>HYPERLINK("http://nsgreg.nga.mil/genc/view?v=863398&amp;end_month=12&amp;end_day=31&amp;end_year=2016","Correlation")</f>
        <v>Correlation</v>
      </c>
    </row>
    <row r="1207" spans="1:13" x14ac:dyDescent="0.2">
      <c r="A1207" s="112" t="s">
        <v>556</v>
      </c>
      <c r="B1207" s="50" t="s">
        <v>4048</v>
      </c>
      <c r="C1207" s="50" t="s">
        <v>1413</v>
      </c>
      <c r="D1207" s="50" t="s">
        <v>4049</v>
      </c>
      <c r="E1207" s="52" t="b">
        <v>1</v>
      </c>
      <c r="F1207" s="78" t="s">
        <v>556</v>
      </c>
      <c r="G1207" s="50" t="s">
        <v>4048</v>
      </c>
      <c r="H1207" s="50" t="s">
        <v>1413</v>
      </c>
      <c r="I1207" s="53" t="s">
        <v>4049</v>
      </c>
      <c r="J1207" s="55"/>
      <c r="K1207" s="55"/>
      <c r="L1207" s="79"/>
      <c r="M1207" s="56" t="str">
        <f>HYPERLINK("http://nsgreg.nga.mil/genc/view?v=863420&amp;end_month=12&amp;end_day=31&amp;end_year=2016","Correlation")</f>
        <v>Correlation</v>
      </c>
    </row>
    <row r="1208" spans="1:13" x14ac:dyDescent="0.2">
      <c r="A1208" s="113"/>
      <c r="B1208" s="58" t="s">
        <v>4050</v>
      </c>
      <c r="C1208" s="58" t="s">
        <v>1413</v>
      </c>
      <c r="D1208" s="58" t="s">
        <v>4051</v>
      </c>
      <c r="E1208" s="60" t="b">
        <v>1</v>
      </c>
      <c r="F1208" s="80" t="s">
        <v>556</v>
      </c>
      <c r="G1208" s="58" t="s">
        <v>4050</v>
      </c>
      <c r="H1208" s="58" t="s">
        <v>1413</v>
      </c>
      <c r="I1208" s="64" t="s">
        <v>4051</v>
      </c>
      <c r="J1208" s="66"/>
      <c r="K1208" s="66"/>
      <c r="L1208" s="68"/>
      <c r="M1208" s="63" t="str">
        <f>HYPERLINK("http://nsgreg.nga.mil/genc/view?v=863421&amp;end_month=12&amp;end_day=31&amp;end_year=2016","Correlation")</f>
        <v>Correlation</v>
      </c>
    </row>
    <row r="1209" spans="1:13" x14ac:dyDescent="0.2">
      <c r="A1209" s="113"/>
      <c r="B1209" s="58" t="s">
        <v>4052</v>
      </c>
      <c r="C1209" s="58" t="s">
        <v>1413</v>
      </c>
      <c r="D1209" s="58" t="s">
        <v>4053</v>
      </c>
      <c r="E1209" s="60" t="b">
        <v>1</v>
      </c>
      <c r="F1209" s="80" t="s">
        <v>556</v>
      </c>
      <c r="G1209" s="58" t="s">
        <v>4052</v>
      </c>
      <c r="H1209" s="58" t="s">
        <v>1413</v>
      </c>
      <c r="I1209" s="64" t="s">
        <v>4053</v>
      </c>
      <c r="J1209" s="66"/>
      <c r="K1209" s="66"/>
      <c r="L1209" s="68"/>
      <c r="M1209" s="63" t="str">
        <f>HYPERLINK("http://nsgreg.nga.mil/genc/view?v=863422&amp;end_month=12&amp;end_day=31&amp;end_year=2016","Correlation")</f>
        <v>Correlation</v>
      </c>
    </row>
    <row r="1210" spans="1:13" x14ac:dyDescent="0.2">
      <c r="A1210" s="113"/>
      <c r="B1210" s="58" t="s">
        <v>2411</v>
      </c>
      <c r="C1210" s="58" t="s">
        <v>2048</v>
      </c>
      <c r="D1210" s="58" t="s">
        <v>4054</v>
      </c>
      <c r="E1210" s="60" t="b">
        <v>1</v>
      </c>
      <c r="F1210" s="80" t="s">
        <v>556</v>
      </c>
      <c r="G1210" s="58" t="s">
        <v>2411</v>
      </c>
      <c r="H1210" s="58" t="s">
        <v>2048</v>
      </c>
      <c r="I1210" s="64" t="s">
        <v>4054</v>
      </c>
      <c r="J1210" s="66"/>
      <c r="K1210" s="66"/>
      <c r="L1210" s="68"/>
      <c r="M1210" s="63" t="str">
        <f>HYPERLINK("http://nsgreg.nga.mil/genc/view?v=863434&amp;end_month=12&amp;end_day=31&amp;end_year=2016","Correlation")</f>
        <v>Correlation</v>
      </c>
    </row>
    <row r="1211" spans="1:13" x14ac:dyDescent="0.2">
      <c r="A1211" s="113"/>
      <c r="B1211" s="58" t="s">
        <v>4055</v>
      </c>
      <c r="C1211" s="58" t="s">
        <v>2048</v>
      </c>
      <c r="D1211" s="58" t="s">
        <v>4056</v>
      </c>
      <c r="E1211" s="60" t="b">
        <v>1</v>
      </c>
      <c r="F1211" s="80" t="s">
        <v>556</v>
      </c>
      <c r="G1211" s="58" t="s">
        <v>4055</v>
      </c>
      <c r="H1211" s="58" t="s">
        <v>2048</v>
      </c>
      <c r="I1211" s="64" t="s">
        <v>4056</v>
      </c>
      <c r="J1211" s="66"/>
      <c r="K1211" s="66"/>
      <c r="L1211" s="68"/>
      <c r="M1211" s="63" t="str">
        <f>HYPERLINK("http://nsgreg.nga.mil/genc/view?v=863435&amp;end_month=12&amp;end_day=31&amp;end_year=2016","Correlation")</f>
        <v>Correlation</v>
      </c>
    </row>
    <row r="1212" spans="1:13" x14ac:dyDescent="0.2">
      <c r="A1212" s="113"/>
      <c r="B1212" s="58" t="s">
        <v>4057</v>
      </c>
      <c r="C1212" s="58" t="s">
        <v>1413</v>
      </c>
      <c r="D1212" s="58" t="s">
        <v>4058</v>
      </c>
      <c r="E1212" s="60" t="b">
        <v>1</v>
      </c>
      <c r="F1212" s="80" t="s">
        <v>556</v>
      </c>
      <c r="G1212" s="58" t="s">
        <v>4057</v>
      </c>
      <c r="H1212" s="58" t="s">
        <v>1413</v>
      </c>
      <c r="I1212" s="64" t="s">
        <v>4058</v>
      </c>
      <c r="J1212" s="66"/>
      <c r="K1212" s="66"/>
      <c r="L1212" s="68"/>
      <c r="M1212" s="63" t="str">
        <f>HYPERLINK("http://nsgreg.nga.mil/genc/view?v=863423&amp;end_month=12&amp;end_day=31&amp;end_year=2016","Correlation")</f>
        <v>Correlation</v>
      </c>
    </row>
    <row r="1213" spans="1:13" x14ac:dyDescent="0.2">
      <c r="A1213" s="113"/>
      <c r="B1213" s="58" t="s">
        <v>4059</v>
      </c>
      <c r="C1213" s="58" t="s">
        <v>1413</v>
      </c>
      <c r="D1213" s="58" t="s">
        <v>4060</v>
      </c>
      <c r="E1213" s="60" t="b">
        <v>1</v>
      </c>
      <c r="F1213" s="80" t="s">
        <v>556</v>
      </c>
      <c r="G1213" s="58" t="s">
        <v>4059</v>
      </c>
      <c r="H1213" s="58" t="s">
        <v>1413</v>
      </c>
      <c r="I1213" s="64" t="s">
        <v>4060</v>
      </c>
      <c r="J1213" s="66"/>
      <c r="K1213" s="66"/>
      <c r="L1213" s="68"/>
      <c r="M1213" s="63" t="str">
        <f>HYPERLINK("http://nsgreg.nga.mil/genc/view?v=863424&amp;end_month=12&amp;end_day=31&amp;end_year=2016","Correlation")</f>
        <v>Correlation</v>
      </c>
    </row>
    <row r="1214" spans="1:13" x14ac:dyDescent="0.2">
      <c r="A1214" s="113"/>
      <c r="B1214" s="58" t="s">
        <v>4061</v>
      </c>
      <c r="C1214" s="58" t="s">
        <v>1413</v>
      </c>
      <c r="D1214" s="58" t="s">
        <v>4062</v>
      </c>
      <c r="E1214" s="60" t="b">
        <v>1</v>
      </c>
      <c r="F1214" s="80" t="s">
        <v>556</v>
      </c>
      <c r="G1214" s="58" t="s">
        <v>4061</v>
      </c>
      <c r="H1214" s="58" t="s">
        <v>1413</v>
      </c>
      <c r="I1214" s="64" t="s">
        <v>4062</v>
      </c>
      <c r="J1214" s="66"/>
      <c r="K1214" s="66"/>
      <c r="L1214" s="68"/>
      <c r="M1214" s="63" t="str">
        <f>HYPERLINK("http://nsgreg.nga.mil/genc/view?v=863425&amp;end_month=12&amp;end_day=31&amp;end_year=2016","Correlation")</f>
        <v>Correlation</v>
      </c>
    </row>
    <row r="1215" spans="1:13" x14ac:dyDescent="0.2">
      <c r="A1215" s="113"/>
      <c r="B1215" s="58" t="s">
        <v>4063</v>
      </c>
      <c r="C1215" s="58" t="s">
        <v>1413</v>
      </c>
      <c r="D1215" s="58" t="s">
        <v>4064</v>
      </c>
      <c r="E1215" s="60" t="b">
        <v>1</v>
      </c>
      <c r="F1215" s="80" t="s">
        <v>556</v>
      </c>
      <c r="G1215" s="58" t="s">
        <v>4063</v>
      </c>
      <c r="H1215" s="58" t="s">
        <v>1413</v>
      </c>
      <c r="I1215" s="64" t="s">
        <v>4064</v>
      </c>
      <c r="J1215" s="66"/>
      <c r="K1215" s="66"/>
      <c r="L1215" s="68"/>
      <c r="M1215" s="63" t="str">
        <f>HYPERLINK("http://nsgreg.nga.mil/genc/view?v=863426&amp;end_month=12&amp;end_day=31&amp;end_year=2016","Correlation")</f>
        <v>Correlation</v>
      </c>
    </row>
    <row r="1216" spans="1:13" x14ac:dyDescent="0.2">
      <c r="A1216" s="113"/>
      <c r="B1216" s="58" t="s">
        <v>4065</v>
      </c>
      <c r="C1216" s="58" t="s">
        <v>1413</v>
      </c>
      <c r="D1216" s="58" t="s">
        <v>4066</v>
      </c>
      <c r="E1216" s="60" t="b">
        <v>1</v>
      </c>
      <c r="F1216" s="80" t="s">
        <v>556</v>
      </c>
      <c r="G1216" s="58" t="s">
        <v>4065</v>
      </c>
      <c r="H1216" s="58" t="s">
        <v>1413</v>
      </c>
      <c r="I1216" s="64" t="s">
        <v>4066</v>
      </c>
      <c r="J1216" s="66"/>
      <c r="K1216" s="66"/>
      <c r="L1216" s="68"/>
      <c r="M1216" s="63" t="str">
        <f>HYPERLINK("http://nsgreg.nga.mil/genc/view?v=863427&amp;end_month=12&amp;end_day=31&amp;end_year=2016","Correlation")</f>
        <v>Correlation</v>
      </c>
    </row>
    <row r="1217" spans="1:13" x14ac:dyDescent="0.2">
      <c r="A1217" s="113"/>
      <c r="B1217" s="58" t="s">
        <v>4067</v>
      </c>
      <c r="C1217" s="58" t="s">
        <v>1413</v>
      </c>
      <c r="D1217" s="58" t="s">
        <v>4068</v>
      </c>
      <c r="E1217" s="60" t="b">
        <v>1</v>
      </c>
      <c r="F1217" s="80" t="s">
        <v>556</v>
      </c>
      <c r="G1217" s="58" t="s">
        <v>4067</v>
      </c>
      <c r="H1217" s="58" t="s">
        <v>1413</v>
      </c>
      <c r="I1217" s="64" t="s">
        <v>4068</v>
      </c>
      <c r="J1217" s="66"/>
      <c r="K1217" s="66"/>
      <c r="L1217" s="68"/>
      <c r="M1217" s="63" t="str">
        <f>HYPERLINK("http://nsgreg.nga.mil/genc/view?v=863428&amp;end_month=12&amp;end_day=31&amp;end_year=2016","Correlation")</f>
        <v>Correlation</v>
      </c>
    </row>
    <row r="1218" spans="1:13" x14ac:dyDescent="0.2">
      <c r="A1218" s="113"/>
      <c r="B1218" s="58" t="s">
        <v>4069</v>
      </c>
      <c r="C1218" s="58" t="s">
        <v>1413</v>
      </c>
      <c r="D1218" s="58" t="s">
        <v>4070</v>
      </c>
      <c r="E1218" s="60" t="b">
        <v>1</v>
      </c>
      <c r="F1218" s="80" t="s">
        <v>556</v>
      </c>
      <c r="G1218" s="58" t="s">
        <v>4069</v>
      </c>
      <c r="H1218" s="58" t="s">
        <v>1413</v>
      </c>
      <c r="I1218" s="64" t="s">
        <v>4070</v>
      </c>
      <c r="J1218" s="66"/>
      <c r="K1218" s="66"/>
      <c r="L1218" s="68"/>
      <c r="M1218" s="63" t="str">
        <f>HYPERLINK("http://nsgreg.nga.mil/genc/view?v=863429&amp;end_month=12&amp;end_day=31&amp;end_year=2016","Correlation")</f>
        <v>Correlation</v>
      </c>
    </row>
    <row r="1219" spans="1:13" x14ac:dyDescent="0.2">
      <c r="A1219" s="113"/>
      <c r="B1219" s="58" t="s">
        <v>4071</v>
      </c>
      <c r="C1219" s="58" t="s">
        <v>2048</v>
      </c>
      <c r="D1219" s="58" t="s">
        <v>4072</v>
      </c>
      <c r="E1219" s="60" t="b">
        <v>1</v>
      </c>
      <c r="F1219" s="80" t="s">
        <v>556</v>
      </c>
      <c r="G1219" s="58" t="s">
        <v>4071</v>
      </c>
      <c r="H1219" s="58" t="s">
        <v>2048</v>
      </c>
      <c r="I1219" s="64" t="s">
        <v>4072</v>
      </c>
      <c r="J1219" s="66"/>
      <c r="K1219" s="66"/>
      <c r="L1219" s="68"/>
      <c r="M1219" s="63" t="str">
        <f>HYPERLINK("http://nsgreg.nga.mil/genc/view?v=863436&amp;end_month=12&amp;end_day=31&amp;end_year=2016","Correlation")</f>
        <v>Correlation</v>
      </c>
    </row>
    <row r="1220" spans="1:13" x14ac:dyDescent="0.2">
      <c r="A1220" s="113"/>
      <c r="B1220" s="58" t="s">
        <v>4073</v>
      </c>
      <c r="C1220" s="58" t="s">
        <v>1413</v>
      </c>
      <c r="D1220" s="58" t="s">
        <v>4074</v>
      </c>
      <c r="E1220" s="60" t="b">
        <v>1</v>
      </c>
      <c r="F1220" s="80" t="s">
        <v>556</v>
      </c>
      <c r="G1220" s="58" t="s">
        <v>4073</v>
      </c>
      <c r="H1220" s="58" t="s">
        <v>1413</v>
      </c>
      <c r="I1220" s="64" t="s">
        <v>4074</v>
      </c>
      <c r="J1220" s="66"/>
      <c r="K1220" s="66"/>
      <c r="L1220" s="68"/>
      <c r="M1220" s="63" t="str">
        <f>HYPERLINK("http://nsgreg.nga.mil/genc/view?v=863430&amp;end_month=12&amp;end_day=31&amp;end_year=2016","Correlation")</f>
        <v>Correlation</v>
      </c>
    </row>
    <row r="1221" spans="1:13" x14ac:dyDescent="0.2">
      <c r="A1221" s="113"/>
      <c r="B1221" s="58" t="s">
        <v>4075</v>
      </c>
      <c r="C1221" s="58" t="s">
        <v>1413</v>
      </c>
      <c r="D1221" s="58" t="s">
        <v>4076</v>
      </c>
      <c r="E1221" s="60" t="b">
        <v>1</v>
      </c>
      <c r="F1221" s="80" t="s">
        <v>556</v>
      </c>
      <c r="G1221" s="58" t="s">
        <v>4075</v>
      </c>
      <c r="H1221" s="58" t="s">
        <v>1413</v>
      </c>
      <c r="I1221" s="64" t="s">
        <v>4076</v>
      </c>
      <c r="J1221" s="66"/>
      <c r="K1221" s="66"/>
      <c r="L1221" s="68"/>
      <c r="M1221" s="63" t="str">
        <f>HYPERLINK("http://nsgreg.nga.mil/genc/view?v=863431&amp;end_month=12&amp;end_day=31&amp;end_year=2016","Correlation")</f>
        <v>Correlation</v>
      </c>
    </row>
    <row r="1222" spans="1:13" x14ac:dyDescent="0.2">
      <c r="A1222" s="113"/>
      <c r="B1222" s="58" t="s">
        <v>4077</v>
      </c>
      <c r="C1222" s="58" t="s">
        <v>1659</v>
      </c>
      <c r="D1222" s="58" t="s">
        <v>4078</v>
      </c>
      <c r="E1222" s="60" t="b">
        <v>1</v>
      </c>
      <c r="F1222" s="80" t="s">
        <v>556</v>
      </c>
      <c r="G1222" s="58" t="s">
        <v>4077</v>
      </c>
      <c r="H1222" s="58" t="s">
        <v>1659</v>
      </c>
      <c r="I1222" s="64" t="s">
        <v>4078</v>
      </c>
      <c r="J1222" s="66"/>
      <c r="K1222" s="66"/>
      <c r="L1222" s="68"/>
      <c r="M1222" s="63" t="str">
        <f>HYPERLINK("http://nsgreg.nga.mil/genc/view?v=863437&amp;end_month=12&amp;end_day=31&amp;end_year=2016","Correlation")</f>
        <v>Correlation</v>
      </c>
    </row>
    <row r="1223" spans="1:13" x14ac:dyDescent="0.2">
      <c r="A1223" s="113"/>
      <c r="B1223" s="58" t="s">
        <v>4079</v>
      </c>
      <c r="C1223" s="58" t="s">
        <v>1413</v>
      </c>
      <c r="D1223" s="58" t="s">
        <v>4080</v>
      </c>
      <c r="E1223" s="60" t="b">
        <v>1</v>
      </c>
      <c r="F1223" s="80" t="s">
        <v>556</v>
      </c>
      <c r="G1223" s="58" t="s">
        <v>4079</v>
      </c>
      <c r="H1223" s="58" t="s">
        <v>1413</v>
      </c>
      <c r="I1223" s="64" t="s">
        <v>4080</v>
      </c>
      <c r="J1223" s="66"/>
      <c r="K1223" s="66"/>
      <c r="L1223" s="68"/>
      <c r="M1223" s="63" t="str">
        <f>HYPERLINK("http://nsgreg.nga.mil/genc/view?v=863432&amp;end_month=12&amp;end_day=31&amp;end_year=2016","Correlation")</f>
        <v>Correlation</v>
      </c>
    </row>
    <row r="1224" spans="1:13" x14ac:dyDescent="0.2">
      <c r="A1224" s="113"/>
      <c r="B1224" s="58" t="s">
        <v>4081</v>
      </c>
      <c r="C1224" s="58" t="s">
        <v>1413</v>
      </c>
      <c r="D1224" s="58" t="s">
        <v>4082</v>
      </c>
      <c r="E1224" s="60" t="b">
        <v>1</v>
      </c>
      <c r="F1224" s="80" t="s">
        <v>556</v>
      </c>
      <c r="G1224" s="58" t="s">
        <v>4081</v>
      </c>
      <c r="H1224" s="58" t="s">
        <v>1413</v>
      </c>
      <c r="I1224" s="64" t="s">
        <v>4082</v>
      </c>
      <c r="J1224" s="66"/>
      <c r="K1224" s="66"/>
      <c r="L1224" s="68"/>
      <c r="M1224" s="63" t="str">
        <f>HYPERLINK("http://nsgreg.nga.mil/genc/view?v=863433&amp;end_month=12&amp;end_day=31&amp;end_year=2016","Correlation")</f>
        <v>Correlation</v>
      </c>
    </row>
    <row r="1225" spans="1:13" x14ac:dyDescent="0.2">
      <c r="A1225" s="114"/>
      <c r="B1225" s="71" t="s">
        <v>4083</v>
      </c>
      <c r="C1225" s="71" t="s">
        <v>2048</v>
      </c>
      <c r="D1225" s="71" t="s">
        <v>4084</v>
      </c>
      <c r="E1225" s="73" t="b">
        <v>1</v>
      </c>
      <c r="F1225" s="81" t="s">
        <v>556</v>
      </c>
      <c r="G1225" s="71" t="s">
        <v>4083</v>
      </c>
      <c r="H1225" s="71" t="s">
        <v>2048</v>
      </c>
      <c r="I1225" s="74" t="s">
        <v>4084</v>
      </c>
      <c r="J1225" s="76"/>
      <c r="K1225" s="76"/>
      <c r="L1225" s="82"/>
      <c r="M1225" s="77" t="str">
        <f>HYPERLINK("http://nsgreg.nga.mil/genc/view?v=863438&amp;end_month=12&amp;end_day=31&amp;end_year=2016","Correlation")</f>
        <v>Correlation</v>
      </c>
    </row>
    <row r="1226" spans="1:13" x14ac:dyDescent="0.2">
      <c r="A1226" s="112" t="s">
        <v>560</v>
      </c>
      <c r="B1226" s="50" t="s">
        <v>4085</v>
      </c>
      <c r="C1226" s="50" t="s">
        <v>1728</v>
      </c>
      <c r="D1226" s="50" t="s">
        <v>4086</v>
      </c>
      <c r="E1226" s="52" t="b">
        <v>1</v>
      </c>
      <c r="F1226" s="78" t="s">
        <v>560</v>
      </c>
      <c r="G1226" s="50" t="s">
        <v>4087</v>
      </c>
      <c r="H1226" s="50" t="s">
        <v>1728</v>
      </c>
      <c r="I1226" s="53" t="s">
        <v>4086</v>
      </c>
      <c r="J1226" s="55"/>
      <c r="K1226" s="55"/>
      <c r="L1226" s="79"/>
      <c r="M1226" s="56" t="str">
        <f>HYPERLINK("http://nsgreg.nga.mil/genc/view?v=863401&amp;end_month=12&amp;end_day=31&amp;end_year=2016","Correlation")</f>
        <v>Correlation</v>
      </c>
    </row>
    <row r="1227" spans="1:13" x14ac:dyDescent="0.2">
      <c r="A1227" s="113"/>
      <c r="B1227" s="58" t="s">
        <v>4088</v>
      </c>
      <c r="C1227" s="58" t="s">
        <v>1728</v>
      </c>
      <c r="D1227" s="58" t="s">
        <v>4089</v>
      </c>
      <c r="E1227" s="60" t="b">
        <v>1</v>
      </c>
      <c r="F1227" s="80" t="s">
        <v>560</v>
      </c>
      <c r="G1227" s="58" t="s">
        <v>4088</v>
      </c>
      <c r="H1227" s="58" t="s">
        <v>1728</v>
      </c>
      <c r="I1227" s="64" t="s">
        <v>4089</v>
      </c>
      <c r="J1227" s="66"/>
      <c r="K1227" s="66"/>
      <c r="L1227" s="68"/>
      <c r="M1227" s="63" t="str">
        <f>HYPERLINK("http://nsgreg.nga.mil/genc/view?v=863402&amp;end_month=12&amp;end_day=31&amp;end_year=2016","Correlation")</f>
        <v>Correlation</v>
      </c>
    </row>
    <row r="1228" spans="1:13" x14ac:dyDescent="0.2">
      <c r="A1228" s="113"/>
      <c r="B1228" s="58" t="s">
        <v>4090</v>
      </c>
      <c r="C1228" s="58" t="s">
        <v>1728</v>
      </c>
      <c r="D1228" s="58" t="s">
        <v>4091</v>
      </c>
      <c r="E1228" s="60" t="b">
        <v>1</v>
      </c>
      <c r="F1228" s="80" t="s">
        <v>560</v>
      </c>
      <c r="G1228" s="58" t="s">
        <v>4090</v>
      </c>
      <c r="H1228" s="58" t="s">
        <v>1728</v>
      </c>
      <c r="I1228" s="64" t="s">
        <v>4091</v>
      </c>
      <c r="J1228" s="66"/>
      <c r="K1228" s="66"/>
      <c r="L1228" s="68"/>
      <c r="M1228" s="63" t="str">
        <f>HYPERLINK("http://nsgreg.nga.mil/genc/view?v=863403&amp;end_month=12&amp;end_day=31&amp;end_year=2016","Correlation")</f>
        <v>Correlation</v>
      </c>
    </row>
    <row r="1229" spans="1:13" x14ac:dyDescent="0.2">
      <c r="A1229" s="113"/>
      <c r="B1229" s="58" t="s">
        <v>4092</v>
      </c>
      <c r="C1229" s="58" t="s">
        <v>1728</v>
      </c>
      <c r="D1229" s="58" t="s">
        <v>4093</v>
      </c>
      <c r="E1229" s="60" t="b">
        <v>1</v>
      </c>
      <c r="F1229" s="80" t="s">
        <v>560</v>
      </c>
      <c r="G1229" s="58" t="s">
        <v>4092</v>
      </c>
      <c r="H1229" s="58" t="s">
        <v>1728</v>
      </c>
      <c r="I1229" s="64" t="s">
        <v>4093</v>
      </c>
      <c r="J1229" s="66"/>
      <c r="K1229" s="66"/>
      <c r="L1229" s="68"/>
      <c r="M1229" s="63" t="str">
        <f>HYPERLINK("http://nsgreg.nga.mil/genc/view?v=863404&amp;end_month=12&amp;end_day=31&amp;end_year=2016","Correlation")</f>
        <v>Correlation</v>
      </c>
    </row>
    <row r="1230" spans="1:13" x14ac:dyDescent="0.2">
      <c r="A1230" s="113"/>
      <c r="B1230" s="58" t="s">
        <v>4094</v>
      </c>
      <c r="C1230" s="58" t="s">
        <v>1728</v>
      </c>
      <c r="D1230" s="58" t="s">
        <v>4095</v>
      </c>
      <c r="E1230" s="60" t="b">
        <v>1</v>
      </c>
      <c r="F1230" s="80" t="s">
        <v>560</v>
      </c>
      <c r="G1230" s="58" t="s">
        <v>4094</v>
      </c>
      <c r="H1230" s="58" t="s">
        <v>1728</v>
      </c>
      <c r="I1230" s="64" t="s">
        <v>4095</v>
      </c>
      <c r="J1230" s="66"/>
      <c r="K1230" s="66"/>
      <c r="L1230" s="68"/>
      <c r="M1230" s="63" t="str">
        <f>HYPERLINK("http://nsgreg.nga.mil/genc/view?v=863405&amp;end_month=12&amp;end_day=31&amp;end_year=2016","Correlation")</f>
        <v>Correlation</v>
      </c>
    </row>
    <row r="1231" spans="1:13" x14ac:dyDescent="0.2">
      <c r="A1231" s="113"/>
      <c r="B1231" s="58" t="s">
        <v>4096</v>
      </c>
      <c r="C1231" s="58" t="s">
        <v>1728</v>
      </c>
      <c r="D1231" s="58" t="s">
        <v>4097</v>
      </c>
      <c r="E1231" s="60" t="b">
        <v>1</v>
      </c>
      <c r="F1231" s="80" t="s">
        <v>560</v>
      </c>
      <c r="G1231" s="58" t="s">
        <v>4096</v>
      </c>
      <c r="H1231" s="58" t="s">
        <v>1728</v>
      </c>
      <c r="I1231" s="64" t="s">
        <v>4097</v>
      </c>
      <c r="J1231" s="66"/>
      <c r="K1231" s="66"/>
      <c r="L1231" s="68"/>
      <c r="M1231" s="63" t="str">
        <f>HYPERLINK("http://nsgreg.nga.mil/genc/view?v=863406&amp;end_month=12&amp;end_day=31&amp;end_year=2016","Correlation")</f>
        <v>Correlation</v>
      </c>
    </row>
    <row r="1232" spans="1:13" x14ac:dyDescent="0.2">
      <c r="A1232" s="113"/>
      <c r="B1232" s="58" t="s">
        <v>4098</v>
      </c>
      <c r="C1232" s="58" t="s">
        <v>1728</v>
      </c>
      <c r="D1232" s="58" t="s">
        <v>4099</v>
      </c>
      <c r="E1232" s="60" t="b">
        <v>1</v>
      </c>
      <c r="F1232" s="80" t="s">
        <v>560</v>
      </c>
      <c r="G1232" s="58" t="s">
        <v>4098</v>
      </c>
      <c r="H1232" s="58" t="s">
        <v>1728</v>
      </c>
      <c r="I1232" s="64" t="s">
        <v>4099</v>
      </c>
      <c r="J1232" s="66"/>
      <c r="K1232" s="66"/>
      <c r="L1232" s="68"/>
      <c r="M1232" s="63" t="str">
        <f>HYPERLINK("http://nsgreg.nga.mil/genc/view?v=863407&amp;end_month=12&amp;end_day=31&amp;end_year=2016","Correlation")</f>
        <v>Correlation</v>
      </c>
    </row>
    <row r="1233" spans="1:13" x14ac:dyDescent="0.2">
      <c r="A1233" s="113"/>
      <c r="B1233" s="58" t="s">
        <v>4100</v>
      </c>
      <c r="C1233" s="58" t="s">
        <v>1728</v>
      </c>
      <c r="D1233" s="58" t="s">
        <v>4101</v>
      </c>
      <c r="E1233" s="60" t="b">
        <v>1</v>
      </c>
      <c r="F1233" s="80" t="s">
        <v>560</v>
      </c>
      <c r="G1233" s="58" t="s">
        <v>4100</v>
      </c>
      <c r="H1233" s="58" t="s">
        <v>1728</v>
      </c>
      <c r="I1233" s="64" t="s">
        <v>4101</v>
      </c>
      <c r="J1233" s="66"/>
      <c r="K1233" s="66"/>
      <c r="L1233" s="68"/>
      <c r="M1233" s="63" t="str">
        <f>HYPERLINK("http://nsgreg.nga.mil/genc/view?v=863408&amp;end_month=12&amp;end_day=31&amp;end_year=2016","Correlation")</f>
        <v>Correlation</v>
      </c>
    </row>
    <row r="1234" spans="1:13" x14ac:dyDescent="0.2">
      <c r="A1234" s="113"/>
      <c r="B1234" s="58" t="s">
        <v>4102</v>
      </c>
      <c r="C1234" s="58" t="s">
        <v>1728</v>
      </c>
      <c r="D1234" s="58" t="s">
        <v>4103</v>
      </c>
      <c r="E1234" s="60" t="b">
        <v>1</v>
      </c>
      <c r="F1234" s="80" t="s">
        <v>560</v>
      </c>
      <c r="G1234" s="58" t="s">
        <v>4102</v>
      </c>
      <c r="H1234" s="58" t="s">
        <v>1728</v>
      </c>
      <c r="I1234" s="64" t="s">
        <v>4103</v>
      </c>
      <c r="J1234" s="66"/>
      <c r="K1234" s="66"/>
      <c r="L1234" s="68"/>
      <c r="M1234" s="63" t="str">
        <f>HYPERLINK("http://nsgreg.nga.mil/genc/view?v=863409&amp;end_month=12&amp;end_day=31&amp;end_year=2016","Correlation")</f>
        <v>Correlation</v>
      </c>
    </row>
    <row r="1235" spans="1:13" x14ac:dyDescent="0.2">
      <c r="A1235" s="113"/>
      <c r="B1235" s="58" t="s">
        <v>4104</v>
      </c>
      <c r="C1235" s="58" t="s">
        <v>1728</v>
      </c>
      <c r="D1235" s="58" t="s">
        <v>4105</v>
      </c>
      <c r="E1235" s="60" t="b">
        <v>1</v>
      </c>
      <c r="F1235" s="80" t="s">
        <v>560</v>
      </c>
      <c r="G1235" s="58" t="s">
        <v>4104</v>
      </c>
      <c r="H1235" s="58" t="s">
        <v>1728</v>
      </c>
      <c r="I1235" s="64" t="s">
        <v>4105</v>
      </c>
      <c r="J1235" s="66"/>
      <c r="K1235" s="66"/>
      <c r="L1235" s="68"/>
      <c r="M1235" s="63" t="str">
        <f>HYPERLINK("http://nsgreg.nga.mil/genc/view?v=863410&amp;end_month=12&amp;end_day=31&amp;end_year=2016","Correlation")</f>
        <v>Correlation</v>
      </c>
    </row>
    <row r="1236" spans="1:13" x14ac:dyDescent="0.2">
      <c r="A1236" s="113"/>
      <c r="B1236" s="58" t="s">
        <v>4106</v>
      </c>
      <c r="C1236" s="58" t="s">
        <v>1728</v>
      </c>
      <c r="D1236" s="58" t="s">
        <v>4107</v>
      </c>
      <c r="E1236" s="60" t="b">
        <v>1</v>
      </c>
      <c r="F1236" s="80" t="s">
        <v>560</v>
      </c>
      <c r="G1236" s="58" t="s">
        <v>4106</v>
      </c>
      <c r="H1236" s="58" t="s">
        <v>1728</v>
      </c>
      <c r="I1236" s="64" t="s">
        <v>4107</v>
      </c>
      <c r="J1236" s="66"/>
      <c r="K1236" s="66"/>
      <c r="L1236" s="68"/>
      <c r="M1236" s="63" t="str">
        <f>HYPERLINK("http://nsgreg.nga.mil/genc/view?v=863416&amp;end_month=12&amp;end_day=31&amp;end_year=2016","Correlation")</f>
        <v>Correlation</v>
      </c>
    </row>
    <row r="1237" spans="1:13" x14ac:dyDescent="0.2">
      <c r="A1237" s="113"/>
      <c r="B1237" s="58" t="s">
        <v>4108</v>
      </c>
      <c r="C1237" s="58" t="s">
        <v>1728</v>
      </c>
      <c r="D1237" s="58" t="s">
        <v>4109</v>
      </c>
      <c r="E1237" s="60" t="b">
        <v>1</v>
      </c>
      <c r="F1237" s="80" t="s">
        <v>560</v>
      </c>
      <c r="G1237" s="58" t="s">
        <v>4108</v>
      </c>
      <c r="H1237" s="58" t="s">
        <v>1728</v>
      </c>
      <c r="I1237" s="64" t="s">
        <v>4109</v>
      </c>
      <c r="J1237" s="66"/>
      <c r="K1237" s="66"/>
      <c r="L1237" s="68"/>
      <c r="M1237" s="63" t="str">
        <f>HYPERLINK("http://nsgreg.nga.mil/genc/view?v=863411&amp;end_month=12&amp;end_day=31&amp;end_year=2016","Correlation")</f>
        <v>Correlation</v>
      </c>
    </row>
    <row r="1238" spans="1:13" x14ac:dyDescent="0.2">
      <c r="A1238" s="113"/>
      <c r="B1238" s="58" t="s">
        <v>4110</v>
      </c>
      <c r="C1238" s="58" t="s">
        <v>1728</v>
      </c>
      <c r="D1238" s="58" t="s">
        <v>4111</v>
      </c>
      <c r="E1238" s="60" t="b">
        <v>1</v>
      </c>
      <c r="F1238" s="80" t="s">
        <v>560</v>
      </c>
      <c r="G1238" s="58" t="s">
        <v>4110</v>
      </c>
      <c r="H1238" s="58" t="s">
        <v>1728</v>
      </c>
      <c r="I1238" s="64" t="s">
        <v>4111</v>
      </c>
      <c r="J1238" s="66"/>
      <c r="K1238" s="66"/>
      <c r="L1238" s="68"/>
      <c r="M1238" s="63" t="str">
        <f>HYPERLINK("http://nsgreg.nga.mil/genc/view?v=863412&amp;end_month=12&amp;end_day=31&amp;end_year=2016","Correlation")</f>
        <v>Correlation</v>
      </c>
    </row>
    <row r="1239" spans="1:13" x14ac:dyDescent="0.2">
      <c r="A1239" s="113"/>
      <c r="B1239" s="58" t="s">
        <v>4112</v>
      </c>
      <c r="C1239" s="58" t="s">
        <v>1728</v>
      </c>
      <c r="D1239" s="58" t="s">
        <v>4113</v>
      </c>
      <c r="E1239" s="60" t="b">
        <v>1</v>
      </c>
      <c r="F1239" s="80" t="s">
        <v>560</v>
      </c>
      <c r="G1239" s="58" t="s">
        <v>4112</v>
      </c>
      <c r="H1239" s="58" t="s">
        <v>1728</v>
      </c>
      <c r="I1239" s="64" t="s">
        <v>4113</v>
      </c>
      <c r="J1239" s="66"/>
      <c r="K1239" s="66"/>
      <c r="L1239" s="68"/>
      <c r="M1239" s="63" t="str">
        <f>HYPERLINK("http://nsgreg.nga.mil/genc/view?v=863413&amp;end_month=12&amp;end_day=31&amp;end_year=2016","Correlation")</f>
        <v>Correlation</v>
      </c>
    </row>
    <row r="1240" spans="1:13" x14ac:dyDescent="0.2">
      <c r="A1240" s="113"/>
      <c r="B1240" s="58" t="s">
        <v>4114</v>
      </c>
      <c r="C1240" s="58" t="s">
        <v>1728</v>
      </c>
      <c r="D1240" s="58" t="s">
        <v>4115</v>
      </c>
      <c r="E1240" s="60" t="b">
        <v>1</v>
      </c>
      <c r="F1240" s="80" t="s">
        <v>560</v>
      </c>
      <c r="G1240" s="58" t="s">
        <v>4114</v>
      </c>
      <c r="H1240" s="58" t="s">
        <v>1728</v>
      </c>
      <c r="I1240" s="64" t="s">
        <v>4115</v>
      </c>
      <c r="J1240" s="66"/>
      <c r="K1240" s="66"/>
      <c r="L1240" s="68"/>
      <c r="M1240" s="63" t="str">
        <f>HYPERLINK("http://nsgreg.nga.mil/genc/view?v=863414&amp;end_month=12&amp;end_day=31&amp;end_year=2016","Correlation")</f>
        <v>Correlation</v>
      </c>
    </row>
    <row r="1241" spans="1:13" x14ac:dyDescent="0.2">
      <c r="A1241" s="113"/>
      <c r="B1241" s="58" t="s">
        <v>4116</v>
      </c>
      <c r="C1241" s="58" t="s">
        <v>1728</v>
      </c>
      <c r="D1241" s="58" t="s">
        <v>4117</v>
      </c>
      <c r="E1241" s="60" t="b">
        <v>1</v>
      </c>
      <c r="F1241" s="80" t="s">
        <v>560</v>
      </c>
      <c r="G1241" s="58" t="s">
        <v>4116</v>
      </c>
      <c r="H1241" s="58" t="s">
        <v>1728</v>
      </c>
      <c r="I1241" s="64" t="s">
        <v>4117</v>
      </c>
      <c r="J1241" s="66"/>
      <c r="K1241" s="66"/>
      <c r="L1241" s="68"/>
      <c r="M1241" s="63" t="str">
        <f>HYPERLINK("http://nsgreg.nga.mil/genc/view?v=863415&amp;end_month=12&amp;end_day=31&amp;end_year=2016","Correlation")</f>
        <v>Correlation</v>
      </c>
    </row>
    <row r="1242" spans="1:13" x14ac:dyDescent="0.2">
      <c r="A1242" s="113"/>
      <c r="B1242" s="58" t="s">
        <v>4118</v>
      </c>
      <c r="C1242" s="58" t="s">
        <v>1728</v>
      </c>
      <c r="D1242" s="58" t="s">
        <v>4119</v>
      </c>
      <c r="E1242" s="60" t="b">
        <v>1</v>
      </c>
      <c r="F1242" s="80" t="s">
        <v>560</v>
      </c>
      <c r="G1242" s="58" t="s">
        <v>4118</v>
      </c>
      <c r="H1242" s="58" t="s">
        <v>1728</v>
      </c>
      <c r="I1242" s="64" t="s">
        <v>4119</v>
      </c>
      <c r="J1242" s="66"/>
      <c r="K1242" s="66"/>
      <c r="L1242" s="68"/>
      <c r="M1242" s="63" t="str">
        <f>HYPERLINK("http://nsgreg.nga.mil/genc/view?v=863417&amp;end_month=12&amp;end_day=31&amp;end_year=2016","Correlation")</f>
        <v>Correlation</v>
      </c>
    </row>
    <row r="1243" spans="1:13" x14ac:dyDescent="0.2">
      <c r="A1243" s="113"/>
      <c r="B1243" s="58" t="s">
        <v>4120</v>
      </c>
      <c r="C1243" s="58" t="s">
        <v>1728</v>
      </c>
      <c r="D1243" s="58" t="s">
        <v>4121</v>
      </c>
      <c r="E1243" s="60" t="b">
        <v>1</v>
      </c>
      <c r="F1243" s="80" t="s">
        <v>560</v>
      </c>
      <c r="G1243" s="58" t="s">
        <v>4120</v>
      </c>
      <c r="H1243" s="58" t="s">
        <v>1728</v>
      </c>
      <c r="I1243" s="64" t="s">
        <v>4121</v>
      </c>
      <c r="J1243" s="66"/>
      <c r="K1243" s="66"/>
      <c r="L1243" s="68"/>
      <c r="M1243" s="63" t="str">
        <f>HYPERLINK("http://nsgreg.nga.mil/genc/view?v=863418&amp;end_month=12&amp;end_day=31&amp;end_year=2016","Correlation")</f>
        <v>Correlation</v>
      </c>
    </row>
    <row r="1244" spans="1:13" x14ac:dyDescent="0.2">
      <c r="A1244" s="114"/>
      <c r="B1244" s="71" t="s">
        <v>4122</v>
      </c>
      <c r="C1244" s="71" t="s">
        <v>1728</v>
      </c>
      <c r="D1244" s="71" t="s">
        <v>4123</v>
      </c>
      <c r="E1244" s="73" t="b">
        <v>1</v>
      </c>
      <c r="F1244" s="81" t="s">
        <v>560</v>
      </c>
      <c r="G1244" s="71" t="s">
        <v>4122</v>
      </c>
      <c r="H1244" s="71" t="s">
        <v>1728</v>
      </c>
      <c r="I1244" s="74" t="s">
        <v>4123</v>
      </c>
      <c r="J1244" s="76"/>
      <c r="K1244" s="76"/>
      <c r="L1244" s="82"/>
      <c r="M1244" s="77" t="str">
        <f>HYPERLINK("http://nsgreg.nga.mil/genc/view?v=863419&amp;end_month=12&amp;end_day=31&amp;end_year=2016","Correlation")</f>
        <v>Correlation</v>
      </c>
    </row>
    <row r="1245" spans="1:13" x14ac:dyDescent="0.2">
      <c r="A1245" s="112" t="s">
        <v>404</v>
      </c>
      <c r="B1245" s="50" t="s">
        <v>4124</v>
      </c>
      <c r="C1245" s="50" t="s">
        <v>2294</v>
      </c>
      <c r="D1245" s="50" t="s">
        <v>4125</v>
      </c>
      <c r="E1245" s="52" t="b">
        <v>1</v>
      </c>
      <c r="F1245" s="78" t="s">
        <v>404</v>
      </c>
      <c r="G1245" s="50" t="s">
        <v>4124</v>
      </c>
      <c r="H1245" s="50" t="s">
        <v>4126</v>
      </c>
      <c r="I1245" s="53" t="s">
        <v>4125</v>
      </c>
      <c r="J1245" s="55"/>
      <c r="K1245" s="55"/>
      <c r="L1245" s="79"/>
      <c r="M1245" s="56" t="str">
        <f>HYPERLINK("http://nsgreg.nga.mil/genc/view?v=863443&amp;end_month=12&amp;end_day=31&amp;end_year=2016","Correlation")</f>
        <v>Correlation</v>
      </c>
    </row>
    <row r="1246" spans="1:13" x14ac:dyDescent="0.2">
      <c r="A1246" s="113"/>
      <c r="B1246" s="58" t="s">
        <v>4127</v>
      </c>
      <c r="C1246" s="58" t="s">
        <v>2294</v>
      </c>
      <c r="D1246" s="58" t="s">
        <v>4128</v>
      </c>
      <c r="E1246" s="60" t="b">
        <v>1</v>
      </c>
      <c r="F1246" s="80" t="s">
        <v>404</v>
      </c>
      <c r="G1246" s="58" t="s">
        <v>4127</v>
      </c>
      <c r="H1246" s="58" t="s">
        <v>4126</v>
      </c>
      <c r="I1246" s="64" t="s">
        <v>4128</v>
      </c>
      <c r="J1246" s="66"/>
      <c r="K1246" s="66"/>
      <c r="L1246" s="68"/>
      <c r="M1246" s="63" t="str">
        <f>HYPERLINK("http://nsgreg.nga.mil/genc/view?v=863444&amp;end_month=12&amp;end_day=31&amp;end_year=2016","Correlation")</f>
        <v>Correlation</v>
      </c>
    </row>
    <row r="1247" spans="1:13" x14ac:dyDescent="0.2">
      <c r="A1247" s="113"/>
      <c r="B1247" s="58" t="s">
        <v>4129</v>
      </c>
      <c r="C1247" s="58" t="s">
        <v>2294</v>
      </c>
      <c r="D1247" s="58" t="s">
        <v>4130</v>
      </c>
      <c r="E1247" s="60" t="b">
        <v>1</v>
      </c>
      <c r="F1247" s="80" t="s">
        <v>404</v>
      </c>
      <c r="G1247" s="58" t="s">
        <v>4129</v>
      </c>
      <c r="H1247" s="58" t="s">
        <v>4126</v>
      </c>
      <c r="I1247" s="64" t="s">
        <v>4130</v>
      </c>
      <c r="J1247" s="66"/>
      <c r="K1247" s="66"/>
      <c r="L1247" s="68"/>
      <c r="M1247" s="63" t="str">
        <f>HYPERLINK("http://nsgreg.nga.mil/genc/view?v=863445&amp;end_month=12&amp;end_day=31&amp;end_year=2016","Correlation")</f>
        <v>Correlation</v>
      </c>
    </row>
    <row r="1248" spans="1:13" x14ac:dyDescent="0.2">
      <c r="A1248" s="113"/>
      <c r="B1248" s="58" t="s">
        <v>4131</v>
      </c>
      <c r="C1248" s="58" t="s">
        <v>2294</v>
      </c>
      <c r="D1248" s="58" t="s">
        <v>4132</v>
      </c>
      <c r="E1248" s="60" t="b">
        <v>1</v>
      </c>
      <c r="F1248" s="80" t="s">
        <v>404</v>
      </c>
      <c r="G1248" s="58" t="s">
        <v>4131</v>
      </c>
      <c r="H1248" s="58" t="s">
        <v>4126</v>
      </c>
      <c r="I1248" s="64" t="s">
        <v>4132</v>
      </c>
      <c r="J1248" s="66"/>
      <c r="K1248" s="66"/>
      <c r="L1248" s="68"/>
      <c r="M1248" s="63" t="str">
        <f>HYPERLINK("http://nsgreg.nga.mil/genc/view?v=863446&amp;end_month=12&amp;end_day=31&amp;end_year=2016","Correlation")</f>
        <v>Correlation</v>
      </c>
    </row>
    <row r="1249" spans="1:13" x14ac:dyDescent="0.2">
      <c r="A1249" s="113"/>
      <c r="B1249" s="58" t="s">
        <v>4133</v>
      </c>
      <c r="C1249" s="58" t="s">
        <v>2294</v>
      </c>
      <c r="D1249" s="58" t="s">
        <v>4134</v>
      </c>
      <c r="E1249" s="60" t="b">
        <v>1</v>
      </c>
      <c r="F1249" s="80" t="s">
        <v>404</v>
      </c>
      <c r="G1249" s="58" t="s">
        <v>4133</v>
      </c>
      <c r="H1249" s="58" t="s">
        <v>4126</v>
      </c>
      <c r="I1249" s="64" t="s">
        <v>4134</v>
      </c>
      <c r="J1249" s="66"/>
      <c r="K1249" s="66"/>
      <c r="L1249" s="68"/>
      <c r="M1249" s="63" t="str">
        <f>HYPERLINK("http://nsgreg.nga.mil/genc/view?v=863448&amp;end_month=12&amp;end_day=31&amp;end_year=2016","Correlation")</f>
        <v>Correlation</v>
      </c>
    </row>
    <row r="1250" spans="1:13" x14ac:dyDescent="0.2">
      <c r="A1250" s="113"/>
      <c r="B1250" s="58" t="s">
        <v>4135</v>
      </c>
      <c r="C1250" s="58" t="s">
        <v>2294</v>
      </c>
      <c r="D1250" s="58" t="s">
        <v>4136</v>
      </c>
      <c r="E1250" s="60" t="b">
        <v>1</v>
      </c>
      <c r="F1250" s="80" t="s">
        <v>404</v>
      </c>
      <c r="G1250" s="58" t="s">
        <v>4135</v>
      </c>
      <c r="H1250" s="58" t="s">
        <v>4126</v>
      </c>
      <c r="I1250" s="64" t="s">
        <v>4136</v>
      </c>
      <c r="J1250" s="66"/>
      <c r="K1250" s="66"/>
      <c r="L1250" s="68"/>
      <c r="M1250" s="63" t="str">
        <f>HYPERLINK("http://nsgreg.nga.mil/genc/view?v=863449&amp;end_month=12&amp;end_day=31&amp;end_year=2016","Correlation")</f>
        <v>Correlation</v>
      </c>
    </row>
    <row r="1251" spans="1:13" x14ac:dyDescent="0.2">
      <c r="A1251" s="113"/>
      <c r="B1251" s="58" t="s">
        <v>4137</v>
      </c>
      <c r="C1251" s="58" t="s">
        <v>2294</v>
      </c>
      <c r="D1251" s="58" t="s">
        <v>4138</v>
      </c>
      <c r="E1251" s="60" t="b">
        <v>1</v>
      </c>
      <c r="F1251" s="80" t="s">
        <v>404</v>
      </c>
      <c r="G1251" s="58" t="s">
        <v>4137</v>
      </c>
      <c r="H1251" s="58" t="s">
        <v>4126</v>
      </c>
      <c r="I1251" s="64" t="s">
        <v>4138</v>
      </c>
      <c r="J1251" s="66"/>
      <c r="K1251" s="66"/>
      <c r="L1251" s="68"/>
      <c r="M1251" s="63" t="str">
        <f>HYPERLINK("http://nsgreg.nga.mil/genc/view?v=863450&amp;end_month=12&amp;end_day=31&amp;end_year=2016","Correlation")</f>
        <v>Correlation</v>
      </c>
    </row>
    <row r="1252" spans="1:13" x14ac:dyDescent="0.2">
      <c r="A1252" s="113"/>
      <c r="B1252" s="58" t="s">
        <v>4139</v>
      </c>
      <c r="C1252" s="58" t="s">
        <v>2294</v>
      </c>
      <c r="D1252" s="58" t="s">
        <v>4140</v>
      </c>
      <c r="E1252" s="60" t="b">
        <v>1</v>
      </c>
      <c r="F1252" s="80" t="s">
        <v>404</v>
      </c>
      <c r="G1252" s="58" t="s">
        <v>4139</v>
      </c>
      <c r="H1252" s="58" t="s">
        <v>4126</v>
      </c>
      <c r="I1252" s="64" t="s">
        <v>4140</v>
      </c>
      <c r="J1252" s="66"/>
      <c r="K1252" s="66"/>
      <c r="L1252" s="68"/>
      <c r="M1252" s="63" t="str">
        <f>HYPERLINK("http://nsgreg.nga.mil/genc/view?v=863451&amp;end_month=12&amp;end_day=31&amp;end_year=2016","Correlation")</f>
        <v>Correlation</v>
      </c>
    </row>
    <row r="1253" spans="1:13" x14ac:dyDescent="0.2">
      <c r="A1253" s="113"/>
      <c r="B1253" s="58" t="s">
        <v>4141</v>
      </c>
      <c r="C1253" s="58" t="s">
        <v>2294</v>
      </c>
      <c r="D1253" s="58" t="s">
        <v>4142</v>
      </c>
      <c r="E1253" s="60" t="b">
        <v>1</v>
      </c>
      <c r="F1253" s="80" t="s">
        <v>404</v>
      </c>
      <c r="G1253" s="58" t="s">
        <v>4141</v>
      </c>
      <c r="H1253" s="58" t="s">
        <v>4126</v>
      </c>
      <c r="I1253" s="64" t="s">
        <v>4142</v>
      </c>
      <c r="J1253" s="66"/>
      <c r="K1253" s="66"/>
      <c r="L1253" s="68"/>
      <c r="M1253" s="63" t="str">
        <f>HYPERLINK("http://nsgreg.nga.mil/genc/view?v=863452&amp;end_month=12&amp;end_day=31&amp;end_year=2016","Correlation")</f>
        <v>Correlation</v>
      </c>
    </row>
    <row r="1254" spans="1:13" x14ac:dyDescent="0.2">
      <c r="A1254" s="113"/>
      <c r="B1254" s="58" t="s">
        <v>4143</v>
      </c>
      <c r="C1254" s="58" t="s">
        <v>2294</v>
      </c>
      <c r="D1254" s="58" t="s">
        <v>4144</v>
      </c>
      <c r="E1254" s="60" t="b">
        <v>1</v>
      </c>
      <c r="F1254" s="80" t="s">
        <v>404</v>
      </c>
      <c r="G1254" s="58" t="s">
        <v>4143</v>
      </c>
      <c r="H1254" s="58" t="s">
        <v>4126</v>
      </c>
      <c r="I1254" s="64" t="s">
        <v>4144</v>
      </c>
      <c r="J1254" s="66"/>
      <c r="K1254" s="66"/>
      <c r="L1254" s="68"/>
      <c r="M1254" s="63" t="str">
        <f>HYPERLINK("http://nsgreg.nga.mil/genc/view?v=863453&amp;end_month=12&amp;end_day=31&amp;end_year=2016","Correlation")</f>
        <v>Correlation</v>
      </c>
    </row>
    <row r="1255" spans="1:13" x14ac:dyDescent="0.2">
      <c r="A1255" s="113"/>
      <c r="B1255" s="58" t="s">
        <v>4145</v>
      </c>
      <c r="C1255" s="58" t="s">
        <v>1728</v>
      </c>
      <c r="D1255" s="58" t="s">
        <v>4146</v>
      </c>
      <c r="E1255" s="60" t="b">
        <v>1</v>
      </c>
      <c r="F1255" s="80" t="s">
        <v>404</v>
      </c>
      <c r="G1255" s="58" t="s">
        <v>4145</v>
      </c>
      <c r="H1255" s="58" t="s">
        <v>4147</v>
      </c>
      <c r="I1255" s="64" t="s">
        <v>4146</v>
      </c>
      <c r="J1255" s="66"/>
      <c r="K1255" s="66"/>
      <c r="L1255" s="68"/>
      <c r="M1255" s="63" t="str">
        <f>HYPERLINK("http://nsgreg.nga.mil/genc/view?v=863545&amp;end_month=12&amp;end_day=31&amp;end_year=2016","Correlation")</f>
        <v>Correlation</v>
      </c>
    </row>
    <row r="1256" spans="1:13" x14ac:dyDescent="0.2">
      <c r="A1256" s="113"/>
      <c r="B1256" s="58" t="s">
        <v>4148</v>
      </c>
      <c r="C1256" s="58" t="s">
        <v>2294</v>
      </c>
      <c r="D1256" s="58" t="s">
        <v>4149</v>
      </c>
      <c r="E1256" s="60" t="b">
        <v>1</v>
      </c>
      <c r="F1256" s="80" t="s">
        <v>404</v>
      </c>
      <c r="G1256" s="58" t="s">
        <v>4148</v>
      </c>
      <c r="H1256" s="58" t="s">
        <v>4126</v>
      </c>
      <c r="I1256" s="64" t="s">
        <v>4149</v>
      </c>
      <c r="J1256" s="66"/>
      <c r="K1256" s="66"/>
      <c r="L1256" s="68"/>
      <c r="M1256" s="63" t="str">
        <f>HYPERLINK("http://nsgreg.nga.mil/genc/view?v=863454&amp;end_month=12&amp;end_day=31&amp;end_year=2016","Correlation")</f>
        <v>Correlation</v>
      </c>
    </row>
    <row r="1257" spans="1:13" x14ac:dyDescent="0.2">
      <c r="A1257" s="113"/>
      <c r="B1257" s="58" t="s">
        <v>4150</v>
      </c>
      <c r="C1257" s="58" t="s">
        <v>2294</v>
      </c>
      <c r="D1257" s="58" t="s">
        <v>4151</v>
      </c>
      <c r="E1257" s="60" t="b">
        <v>1</v>
      </c>
      <c r="F1257" s="80" t="s">
        <v>404</v>
      </c>
      <c r="G1257" s="58" t="s">
        <v>4150</v>
      </c>
      <c r="H1257" s="58" t="s">
        <v>4126</v>
      </c>
      <c r="I1257" s="64" t="s">
        <v>4151</v>
      </c>
      <c r="J1257" s="66"/>
      <c r="K1257" s="66"/>
      <c r="L1257" s="68"/>
      <c r="M1257" s="63" t="str">
        <f>HYPERLINK("http://nsgreg.nga.mil/genc/view?v=863510&amp;end_month=12&amp;end_day=31&amp;end_year=2016","Correlation")</f>
        <v>Correlation</v>
      </c>
    </row>
    <row r="1258" spans="1:13" x14ac:dyDescent="0.2">
      <c r="A1258" s="113"/>
      <c r="B1258" s="58" t="s">
        <v>4152</v>
      </c>
      <c r="C1258" s="58" t="s">
        <v>2294</v>
      </c>
      <c r="D1258" s="58" t="s">
        <v>4153</v>
      </c>
      <c r="E1258" s="60" t="b">
        <v>1</v>
      </c>
      <c r="F1258" s="80" t="s">
        <v>404</v>
      </c>
      <c r="G1258" s="58" t="s">
        <v>4154</v>
      </c>
      <c r="H1258" s="58" t="s">
        <v>4126</v>
      </c>
      <c r="I1258" s="64" t="s">
        <v>4153</v>
      </c>
      <c r="J1258" s="66"/>
      <c r="K1258" s="66"/>
      <c r="L1258" s="68"/>
      <c r="M1258" s="63" t="str">
        <f>HYPERLINK("http://nsgreg.nga.mil/genc/view?v=863533&amp;end_month=12&amp;end_day=31&amp;end_year=2016","Correlation")</f>
        <v>Correlation</v>
      </c>
    </row>
    <row r="1259" spans="1:13" x14ac:dyDescent="0.2">
      <c r="A1259" s="113"/>
      <c r="B1259" s="58" t="s">
        <v>4155</v>
      </c>
      <c r="C1259" s="58" t="s">
        <v>2294</v>
      </c>
      <c r="D1259" s="58" t="s">
        <v>4156</v>
      </c>
      <c r="E1259" s="60" t="b">
        <v>1</v>
      </c>
      <c r="F1259" s="80" t="s">
        <v>404</v>
      </c>
      <c r="G1259" s="58" t="s">
        <v>4155</v>
      </c>
      <c r="H1259" s="58" t="s">
        <v>4126</v>
      </c>
      <c r="I1259" s="64" t="s">
        <v>4156</v>
      </c>
      <c r="J1259" s="66"/>
      <c r="K1259" s="66"/>
      <c r="L1259" s="68"/>
      <c r="M1259" s="63" t="str">
        <f>HYPERLINK("http://nsgreg.nga.mil/genc/view?v=863455&amp;end_month=12&amp;end_day=31&amp;end_year=2016","Correlation")</f>
        <v>Correlation</v>
      </c>
    </row>
    <row r="1260" spans="1:13" x14ac:dyDescent="0.2">
      <c r="A1260" s="113"/>
      <c r="B1260" s="58" t="s">
        <v>4157</v>
      </c>
      <c r="C1260" s="58" t="s">
        <v>1728</v>
      </c>
      <c r="D1260" s="58" t="s">
        <v>4158</v>
      </c>
      <c r="E1260" s="60" t="b">
        <v>1</v>
      </c>
      <c r="F1260" s="80" t="s">
        <v>404</v>
      </c>
      <c r="G1260" s="58" t="s">
        <v>4157</v>
      </c>
      <c r="H1260" s="58" t="s">
        <v>4147</v>
      </c>
      <c r="I1260" s="64" t="s">
        <v>4158</v>
      </c>
      <c r="J1260" s="66"/>
      <c r="K1260" s="66"/>
      <c r="L1260" s="68"/>
      <c r="M1260" s="63" t="str">
        <f>HYPERLINK("http://nsgreg.nga.mil/genc/view?v=863546&amp;end_month=12&amp;end_day=31&amp;end_year=2016","Correlation")</f>
        <v>Correlation</v>
      </c>
    </row>
    <row r="1261" spans="1:13" x14ac:dyDescent="0.2">
      <c r="A1261" s="113"/>
      <c r="B1261" s="58" t="s">
        <v>4159</v>
      </c>
      <c r="C1261" s="58" t="s">
        <v>1728</v>
      </c>
      <c r="D1261" s="58" t="s">
        <v>4160</v>
      </c>
      <c r="E1261" s="60" t="b">
        <v>1</v>
      </c>
      <c r="F1261" s="80" t="s">
        <v>404</v>
      </c>
      <c r="G1261" s="58" t="s">
        <v>4159</v>
      </c>
      <c r="H1261" s="58" t="s">
        <v>4147</v>
      </c>
      <c r="I1261" s="64" t="s">
        <v>4160</v>
      </c>
      <c r="J1261" s="66"/>
      <c r="K1261" s="66"/>
      <c r="L1261" s="68"/>
      <c r="M1261" s="63" t="str">
        <f>HYPERLINK("http://nsgreg.nga.mil/genc/view?v=863539&amp;end_month=12&amp;end_day=31&amp;end_year=2016","Correlation")</f>
        <v>Correlation</v>
      </c>
    </row>
    <row r="1262" spans="1:13" x14ac:dyDescent="0.2">
      <c r="A1262" s="113"/>
      <c r="B1262" s="58" t="s">
        <v>4161</v>
      </c>
      <c r="C1262" s="58" t="s">
        <v>2294</v>
      </c>
      <c r="D1262" s="58" t="s">
        <v>4162</v>
      </c>
      <c r="E1262" s="60" t="b">
        <v>1</v>
      </c>
      <c r="F1262" s="80" t="s">
        <v>404</v>
      </c>
      <c r="G1262" s="58" t="s">
        <v>4161</v>
      </c>
      <c r="H1262" s="58" t="s">
        <v>4126</v>
      </c>
      <c r="I1262" s="64" t="s">
        <v>4162</v>
      </c>
      <c r="J1262" s="66"/>
      <c r="K1262" s="66"/>
      <c r="L1262" s="68"/>
      <c r="M1262" s="63" t="str">
        <f>HYPERLINK("http://nsgreg.nga.mil/genc/view?v=863456&amp;end_month=12&amp;end_day=31&amp;end_year=2016","Correlation")</f>
        <v>Correlation</v>
      </c>
    </row>
    <row r="1263" spans="1:13" x14ac:dyDescent="0.2">
      <c r="A1263" s="113"/>
      <c r="B1263" s="58" t="s">
        <v>4163</v>
      </c>
      <c r="C1263" s="58" t="s">
        <v>2294</v>
      </c>
      <c r="D1263" s="58" t="s">
        <v>4164</v>
      </c>
      <c r="E1263" s="60" t="b">
        <v>1</v>
      </c>
      <c r="F1263" s="80" t="s">
        <v>404</v>
      </c>
      <c r="G1263" s="58" t="s">
        <v>4163</v>
      </c>
      <c r="H1263" s="58" t="s">
        <v>4126</v>
      </c>
      <c r="I1263" s="64" t="s">
        <v>4164</v>
      </c>
      <c r="J1263" s="66"/>
      <c r="K1263" s="66"/>
      <c r="L1263" s="68"/>
      <c r="M1263" s="63" t="str">
        <f>HYPERLINK("http://nsgreg.nga.mil/genc/view?v=863457&amp;end_month=12&amp;end_day=31&amp;end_year=2016","Correlation")</f>
        <v>Correlation</v>
      </c>
    </row>
    <row r="1264" spans="1:13" x14ac:dyDescent="0.2">
      <c r="A1264" s="113"/>
      <c r="B1264" s="58" t="s">
        <v>4165</v>
      </c>
      <c r="C1264" s="58" t="s">
        <v>1728</v>
      </c>
      <c r="D1264" s="58" t="s">
        <v>4166</v>
      </c>
      <c r="E1264" s="60" t="b">
        <v>1</v>
      </c>
      <c r="F1264" s="80" t="s">
        <v>404</v>
      </c>
      <c r="G1264" s="58" t="s">
        <v>4165</v>
      </c>
      <c r="H1264" s="58" t="s">
        <v>4147</v>
      </c>
      <c r="I1264" s="64" t="s">
        <v>4166</v>
      </c>
      <c r="J1264" s="66"/>
      <c r="K1264" s="66"/>
      <c r="L1264" s="68"/>
      <c r="M1264" s="63" t="str">
        <f>HYPERLINK("http://nsgreg.nga.mil/genc/view?v=863540&amp;end_month=12&amp;end_day=31&amp;end_year=2016","Correlation")</f>
        <v>Correlation</v>
      </c>
    </row>
    <row r="1265" spans="1:13" x14ac:dyDescent="0.2">
      <c r="A1265" s="113"/>
      <c r="B1265" s="58" t="s">
        <v>4167</v>
      </c>
      <c r="C1265" s="58" t="s">
        <v>2294</v>
      </c>
      <c r="D1265" s="58" t="s">
        <v>4168</v>
      </c>
      <c r="E1265" s="60" t="b">
        <v>1</v>
      </c>
      <c r="F1265" s="80" t="s">
        <v>404</v>
      </c>
      <c r="G1265" s="58" t="s">
        <v>4167</v>
      </c>
      <c r="H1265" s="58" t="s">
        <v>4126</v>
      </c>
      <c r="I1265" s="64" t="s">
        <v>4168</v>
      </c>
      <c r="J1265" s="66"/>
      <c r="K1265" s="66"/>
      <c r="L1265" s="68"/>
      <c r="M1265" s="63" t="str">
        <f>HYPERLINK("http://nsgreg.nga.mil/genc/view?v=863458&amp;end_month=12&amp;end_day=31&amp;end_year=2016","Correlation")</f>
        <v>Correlation</v>
      </c>
    </row>
    <row r="1266" spans="1:13" x14ac:dyDescent="0.2">
      <c r="A1266" s="113"/>
      <c r="B1266" s="58" t="s">
        <v>4169</v>
      </c>
      <c r="C1266" s="58" t="s">
        <v>2294</v>
      </c>
      <c r="D1266" s="58" t="s">
        <v>4170</v>
      </c>
      <c r="E1266" s="60" t="b">
        <v>1</v>
      </c>
      <c r="F1266" s="80" t="s">
        <v>404</v>
      </c>
      <c r="G1266" s="58" t="s">
        <v>4169</v>
      </c>
      <c r="H1266" s="58" t="s">
        <v>4126</v>
      </c>
      <c r="I1266" s="64" t="s">
        <v>4170</v>
      </c>
      <c r="J1266" s="66"/>
      <c r="K1266" s="66"/>
      <c r="L1266" s="68"/>
      <c r="M1266" s="63" t="str">
        <f>HYPERLINK("http://nsgreg.nga.mil/genc/view?v=863459&amp;end_month=12&amp;end_day=31&amp;end_year=2016","Correlation")</f>
        <v>Correlation</v>
      </c>
    </row>
    <row r="1267" spans="1:13" x14ac:dyDescent="0.2">
      <c r="A1267" s="113"/>
      <c r="B1267" s="58" t="s">
        <v>4171</v>
      </c>
      <c r="C1267" s="58" t="s">
        <v>2294</v>
      </c>
      <c r="D1267" s="58" t="s">
        <v>4172</v>
      </c>
      <c r="E1267" s="60" t="b">
        <v>1</v>
      </c>
      <c r="F1267" s="80" t="s">
        <v>404</v>
      </c>
      <c r="G1267" s="58" t="s">
        <v>4171</v>
      </c>
      <c r="H1267" s="58" t="s">
        <v>4126</v>
      </c>
      <c r="I1267" s="64" t="s">
        <v>4172</v>
      </c>
      <c r="J1267" s="66"/>
      <c r="K1267" s="66"/>
      <c r="L1267" s="68"/>
      <c r="M1267" s="63" t="str">
        <f>HYPERLINK("http://nsgreg.nga.mil/genc/view?v=863460&amp;end_month=12&amp;end_day=31&amp;end_year=2016","Correlation")</f>
        <v>Correlation</v>
      </c>
    </row>
    <row r="1268" spans="1:13" x14ac:dyDescent="0.2">
      <c r="A1268" s="113"/>
      <c r="B1268" s="58" t="s">
        <v>4173</v>
      </c>
      <c r="C1268" s="58" t="s">
        <v>2294</v>
      </c>
      <c r="D1268" s="58" t="s">
        <v>4174</v>
      </c>
      <c r="E1268" s="60" t="b">
        <v>1</v>
      </c>
      <c r="F1268" s="80" t="s">
        <v>404</v>
      </c>
      <c r="G1268" s="58" t="s">
        <v>4173</v>
      </c>
      <c r="H1268" s="58" t="s">
        <v>4126</v>
      </c>
      <c r="I1268" s="64" t="s">
        <v>4174</v>
      </c>
      <c r="J1268" s="66"/>
      <c r="K1268" s="66"/>
      <c r="L1268" s="68"/>
      <c r="M1268" s="63" t="str">
        <f>HYPERLINK("http://nsgreg.nga.mil/genc/view?v=863461&amp;end_month=12&amp;end_day=31&amp;end_year=2016","Correlation")</f>
        <v>Correlation</v>
      </c>
    </row>
    <row r="1269" spans="1:13" x14ac:dyDescent="0.2">
      <c r="A1269" s="113"/>
      <c r="B1269" s="58" t="s">
        <v>4175</v>
      </c>
      <c r="C1269" s="58" t="s">
        <v>2294</v>
      </c>
      <c r="D1269" s="58" t="s">
        <v>4176</v>
      </c>
      <c r="E1269" s="60" t="b">
        <v>1</v>
      </c>
      <c r="F1269" s="80" t="s">
        <v>404</v>
      </c>
      <c r="G1269" s="58" t="s">
        <v>4175</v>
      </c>
      <c r="H1269" s="58" t="s">
        <v>4126</v>
      </c>
      <c r="I1269" s="64" t="s">
        <v>4176</v>
      </c>
      <c r="J1269" s="66"/>
      <c r="K1269" s="66"/>
      <c r="L1269" s="68"/>
      <c r="M1269" s="63" t="str">
        <f>HYPERLINK("http://nsgreg.nga.mil/genc/view?v=863471&amp;end_month=12&amp;end_day=31&amp;end_year=2016","Correlation")</f>
        <v>Correlation</v>
      </c>
    </row>
    <row r="1270" spans="1:13" x14ac:dyDescent="0.2">
      <c r="A1270" s="113"/>
      <c r="B1270" s="58" t="s">
        <v>4177</v>
      </c>
      <c r="C1270" s="58" t="s">
        <v>1728</v>
      </c>
      <c r="D1270" s="58" t="s">
        <v>4178</v>
      </c>
      <c r="E1270" s="60" t="b">
        <v>1</v>
      </c>
      <c r="F1270" s="80" t="s">
        <v>404</v>
      </c>
      <c r="G1270" s="58" t="s">
        <v>4179</v>
      </c>
      <c r="H1270" s="58" t="s">
        <v>4147</v>
      </c>
      <c r="I1270" s="64" t="s">
        <v>4178</v>
      </c>
      <c r="J1270" s="66"/>
      <c r="K1270" s="66"/>
      <c r="L1270" s="68"/>
      <c r="M1270" s="63" t="str">
        <f>HYPERLINK("http://nsgreg.nga.mil/genc/view?v=863541&amp;end_month=12&amp;end_day=31&amp;end_year=2016","Correlation")</f>
        <v>Correlation</v>
      </c>
    </row>
    <row r="1271" spans="1:13" x14ac:dyDescent="0.2">
      <c r="A1271" s="113"/>
      <c r="B1271" s="58" t="s">
        <v>4180</v>
      </c>
      <c r="C1271" s="58" t="s">
        <v>2294</v>
      </c>
      <c r="D1271" s="58" t="s">
        <v>4181</v>
      </c>
      <c r="E1271" s="60" t="b">
        <v>1</v>
      </c>
      <c r="F1271" s="80" t="s">
        <v>404</v>
      </c>
      <c r="G1271" s="58" t="s">
        <v>4182</v>
      </c>
      <c r="H1271" s="58" t="s">
        <v>4126</v>
      </c>
      <c r="I1271" s="64" t="s">
        <v>4181</v>
      </c>
      <c r="J1271" s="66"/>
      <c r="K1271" s="66"/>
      <c r="L1271" s="68"/>
      <c r="M1271" s="63" t="str">
        <f>HYPERLINK("http://nsgreg.nga.mil/genc/view?v=863462&amp;end_month=12&amp;end_day=31&amp;end_year=2016","Correlation")</f>
        <v>Correlation</v>
      </c>
    </row>
    <row r="1272" spans="1:13" x14ac:dyDescent="0.2">
      <c r="A1272" s="113"/>
      <c r="B1272" s="58" t="s">
        <v>4183</v>
      </c>
      <c r="C1272" s="58" t="s">
        <v>2294</v>
      </c>
      <c r="D1272" s="58" t="s">
        <v>4184</v>
      </c>
      <c r="E1272" s="60" t="b">
        <v>1</v>
      </c>
      <c r="F1272" s="80" t="s">
        <v>404</v>
      </c>
      <c r="G1272" s="58" t="s">
        <v>4185</v>
      </c>
      <c r="H1272" s="58" t="s">
        <v>4126</v>
      </c>
      <c r="I1272" s="64" t="s">
        <v>4184</v>
      </c>
      <c r="J1272" s="66"/>
      <c r="K1272" s="66"/>
      <c r="L1272" s="68"/>
      <c r="M1272" s="63" t="str">
        <f>HYPERLINK("http://nsgreg.nga.mil/genc/view?v=863463&amp;end_month=12&amp;end_day=31&amp;end_year=2016","Correlation")</f>
        <v>Correlation</v>
      </c>
    </row>
    <row r="1273" spans="1:13" x14ac:dyDescent="0.2">
      <c r="A1273" s="113"/>
      <c r="B1273" s="58" t="s">
        <v>4186</v>
      </c>
      <c r="C1273" s="58" t="s">
        <v>2294</v>
      </c>
      <c r="D1273" s="58" t="s">
        <v>4187</v>
      </c>
      <c r="E1273" s="60" t="b">
        <v>1</v>
      </c>
      <c r="F1273" s="80" t="s">
        <v>404</v>
      </c>
      <c r="G1273" s="58" t="s">
        <v>4186</v>
      </c>
      <c r="H1273" s="58" t="s">
        <v>4126</v>
      </c>
      <c r="I1273" s="64" t="s">
        <v>4187</v>
      </c>
      <c r="J1273" s="66"/>
      <c r="K1273" s="66"/>
      <c r="L1273" s="68"/>
      <c r="M1273" s="63" t="str">
        <f>HYPERLINK("http://nsgreg.nga.mil/genc/view?v=863464&amp;end_month=12&amp;end_day=31&amp;end_year=2016","Correlation")</f>
        <v>Correlation</v>
      </c>
    </row>
    <row r="1274" spans="1:13" x14ac:dyDescent="0.2">
      <c r="A1274" s="113"/>
      <c r="B1274" s="58" t="s">
        <v>4188</v>
      </c>
      <c r="C1274" s="58" t="s">
        <v>2294</v>
      </c>
      <c r="D1274" s="58" t="s">
        <v>4189</v>
      </c>
      <c r="E1274" s="60" t="b">
        <v>1</v>
      </c>
      <c r="F1274" s="80" t="s">
        <v>404</v>
      </c>
      <c r="G1274" s="58" t="s">
        <v>4188</v>
      </c>
      <c r="H1274" s="58" t="s">
        <v>4126</v>
      </c>
      <c r="I1274" s="64" t="s">
        <v>4189</v>
      </c>
      <c r="J1274" s="66"/>
      <c r="K1274" s="66"/>
      <c r="L1274" s="68"/>
      <c r="M1274" s="63" t="str">
        <f>HYPERLINK("http://nsgreg.nga.mil/genc/view?v=863522&amp;end_month=12&amp;end_day=31&amp;end_year=2016","Correlation")</f>
        <v>Correlation</v>
      </c>
    </row>
    <row r="1275" spans="1:13" x14ac:dyDescent="0.2">
      <c r="A1275" s="113"/>
      <c r="B1275" s="58" t="s">
        <v>4190</v>
      </c>
      <c r="C1275" s="58" t="s">
        <v>2294</v>
      </c>
      <c r="D1275" s="58" t="s">
        <v>4191</v>
      </c>
      <c r="E1275" s="60" t="b">
        <v>1</v>
      </c>
      <c r="F1275" s="80" t="s">
        <v>404</v>
      </c>
      <c r="G1275" s="58" t="s">
        <v>4190</v>
      </c>
      <c r="H1275" s="58" t="s">
        <v>4126</v>
      </c>
      <c r="I1275" s="64" t="s">
        <v>4191</v>
      </c>
      <c r="J1275" s="66"/>
      <c r="K1275" s="66"/>
      <c r="L1275" s="68"/>
      <c r="M1275" s="63" t="str">
        <f>HYPERLINK("http://nsgreg.nga.mil/genc/view?v=863465&amp;end_month=12&amp;end_day=31&amp;end_year=2016","Correlation")</f>
        <v>Correlation</v>
      </c>
    </row>
    <row r="1276" spans="1:13" x14ac:dyDescent="0.2">
      <c r="A1276" s="113"/>
      <c r="B1276" s="58" t="s">
        <v>4192</v>
      </c>
      <c r="C1276" s="58" t="s">
        <v>2294</v>
      </c>
      <c r="D1276" s="58" t="s">
        <v>4193</v>
      </c>
      <c r="E1276" s="60" t="b">
        <v>1</v>
      </c>
      <c r="F1276" s="80" t="s">
        <v>404</v>
      </c>
      <c r="G1276" s="58" t="s">
        <v>4192</v>
      </c>
      <c r="H1276" s="58" t="s">
        <v>4126</v>
      </c>
      <c r="I1276" s="64" t="s">
        <v>4193</v>
      </c>
      <c r="J1276" s="66"/>
      <c r="K1276" s="66"/>
      <c r="L1276" s="68"/>
      <c r="M1276" s="63" t="str">
        <f>HYPERLINK("http://nsgreg.nga.mil/genc/view?v=863466&amp;end_month=12&amp;end_day=31&amp;end_year=2016","Correlation")</f>
        <v>Correlation</v>
      </c>
    </row>
    <row r="1277" spans="1:13" x14ac:dyDescent="0.2">
      <c r="A1277" s="113"/>
      <c r="B1277" s="58" t="s">
        <v>4194</v>
      </c>
      <c r="C1277" s="58" t="s">
        <v>2294</v>
      </c>
      <c r="D1277" s="58" t="s">
        <v>4195</v>
      </c>
      <c r="E1277" s="60" t="b">
        <v>1</v>
      </c>
      <c r="F1277" s="80" t="s">
        <v>404</v>
      </c>
      <c r="G1277" s="58" t="s">
        <v>4194</v>
      </c>
      <c r="H1277" s="58" t="s">
        <v>4126</v>
      </c>
      <c r="I1277" s="64" t="s">
        <v>4195</v>
      </c>
      <c r="J1277" s="66"/>
      <c r="K1277" s="66"/>
      <c r="L1277" s="68"/>
      <c r="M1277" s="63" t="str">
        <f>HYPERLINK("http://nsgreg.nga.mil/genc/view?v=863467&amp;end_month=12&amp;end_day=31&amp;end_year=2016","Correlation")</f>
        <v>Correlation</v>
      </c>
    </row>
    <row r="1278" spans="1:13" x14ac:dyDescent="0.2">
      <c r="A1278" s="113"/>
      <c r="B1278" s="58" t="s">
        <v>4196</v>
      </c>
      <c r="C1278" s="58" t="s">
        <v>2294</v>
      </c>
      <c r="D1278" s="58" t="s">
        <v>4197</v>
      </c>
      <c r="E1278" s="60" t="b">
        <v>1</v>
      </c>
      <c r="F1278" s="80" t="s">
        <v>404</v>
      </c>
      <c r="G1278" s="58" t="s">
        <v>4196</v>
      </c>
      <c r="H1278" s="58" t="s">
        <v>4126</v>
      </c>
      <c r="I1278" s="64" t="s">
        <v>4197</v>
      </c>
      <c r="J1278" s="66"/>
      <c r="K1278" s="66"/>
      <c r="L1278" s="68"/>
      <c r="M1278" s="63" t="str">
        <f>HYPERLINK("http://nsgreg.nga.mil/genc/view?v=863534&amp;end_month=12&amp;end_day=31&amp;end_year=2016","Correlation")</f>
        <v>Correlation</v>
      </c>
    </row>
    <row r="1279" spans="1:13" x14ac:dyDescent="0.2">
      <c r="A1279" s="113"/>
      <c r="B1279" s="58" t="s">
        <v>4198</v>
      </c>
      <c r="C1279" s="58" t="s">
        <v>2294</v>
      </c>
      <c r="D1279" s="58" t="s">
        <v>4199</v>
      </c>
      <c r="E1279" s="60" t="b">
        <v>1</v>
      </c>
      <c r="F1279" s="80" t="s">
        <v>404</v>
      </c>
      <c r="G1279" s="58" t="s">
        <v>4198</v>
      </c>
      <c r="H1279" s="58" t="s">
        <v>4126</v>
      </c>
      <c r="I1279" s="64" t="s">
        <v>4199</v>
      </c>
      <c r="J1279" s="66"/>
      <c r="K1279" s="66"/>
      <c r="L1279" s="68"/>
      <c r="M1279" s="63" t="str">
        <f>HYPERLINK("http://nsgreg.nga.mil/genc/view?v=863468&amp;end_month=12&amp;end_day=31&amp;end_year=2016","Correlation")</f>
        <v>Correlation</v>
      </c>
    </row>
    <row r="1280" spans="1:13" x14ac:dyDescent="0.2">
      <c r="A1280" s="113"/>
      <c r="B1280" s="58" t="s">
        <v>4200</v>
      </c>
      <c r="C1280" s="58" t="s">
        <v>2294</v>
      </c>
      <c r="D1280" s="58" t="s">
        <v>4201</v>
      </c>
      <c r="E1280" s="60" t="b">
        <v>1</v>
      </c>
      <c r="F1280" s="80" t="s">
        <v>404</v>
      </c>
      <c r="G1280" s="58" t="s">
        <v>4200</v>
      </c>
      <c r="H1280" s="58" t="s">
        <v>4126</v>
      </c>
      <c r="I1280" s="64" t="s">
        <v>4201</v>
      </c>
      <c r="J1280" s="66"/>
      <c r="K1280" s="66"/>
      <c r="L1280" s="68"/>
      <c r="M1280" s="63" t="str">
        <f>HYPERLINK("http://nsgreg.nga.mil/genc/view?v=863469&amp;end_month=12&amp;end_day=31&amp;end_year=2016","Correlation")</f>
        <v>Correlation</v>
      </c>
    </row>
    <row r="1281" spans="1:13" x14ac:dyDescent="0.2">
      <c r="A1281" s="113"/>
      <c r="B1281" s="58" t="s">
        <v>4202</v>
      </c>
      <c r="C1281" s="58" t="s">
        <v>2294</v>
      </c>
      <c r="D1281" s="58" t="s">
        <v>4203</v>
      </c>
      <c r="E1281" s="60" t="b">
        <v>1</v>
      </c>
      <c r="F1281" s="80" t="s">
        <v>404</v>
      </c>
      <c r="G1281" s="58" t="s">
        <v>4202</v>
      </c>
      <c r="H1281" s="58" t="s">
        <v>4126</v>
      </c>
      <c r="I1281" s="64" t="s">
        <v>4203</v>
      </c>
      <c r="J1281" s="66"/>
      <c r="K1281" s="66"/>
      <c r="L1281" s="68"/>
      <c r="M1281" s="63" t="str">
        <f>HYPERLINK("http://nsgreg.nga.mil/genc/view?v=863470&amp;end_month=12&amp;end_day=31&amp;end_year=2016","Correlation")</f>
        <v>Correlation</v>
      </c>
    </row>
    <row r="1282" spans="1:13" x14ac:dyDescent="0.2">
      <c r="A1282" s="113"/>
      <c r="B1282" s="58" t="s">
        <v>4204</v>
      </c>
      <c r="C1282" s="58" t="s">
        <v>2294</v>
      </c>
      <c r="D1282" s="58" t="s">
        <v>4205</v>
      </c>
      <c r="E1282" s="60" t="b">
        <v>1</v>
      </c>
      <c r="F1282" s="80" t="s">
        <v>404</v>
      </c>
      <c r="G1282" s="58" t="s">
        <v>4204</v>
      </c>
      <c r="H1282" s="58" t="s">
        <v>4126</v>
      </c>
      <c r="I1282" s="64" t="s">
        <v>4205</v>
      </c>
      <c r="J1282" s="66"/>
      <c r="K1282" s="66"/>
      <c r="L1282" s="68"/>
      <c r="M1282" s="63" t="str">
        <f>HYPERLINK("http://nsgreg.nga.mil/genc/view?v=863473&amp;end_month=12&amp;end_day=31&amp;end_year=2016","Correlation")</f>
        <v>Correlation</v>
      </c>
    </row>
    <row r="1283" spans="1:13" x14ac:dyDescent="0.2">
      <c r="A1283" s="113"/>
      <c r="B1283" s="58" t="s">
        <v>4206</v>
      </c>
      <c r="C1283" s="58" t="s">
        <v>2294</v>
      </c>
      <c r="D1283" s="58" t="s">
        <v>4207</v>
      </c>
      <c r="E1283" s="60" t="b">
        <v>1</v>
      </c>
      <c r="F1283" s="80" t="s">
        <v>404</v>
      </c>
      <c r="G1283" s="58" t="s">
        <v>4206</v>
      </c>
      <c r="H1283" s="58" t="s">
        <v>4126</v>
      </c>
      <c r="I1283" s="64" t="s">
        <v>4207</v>
      </c>
      <c r="J1283" s="66"/>
      <c r="K1283" s="66"/>
      <c r="L1283" s="68"/>
      <c r="M1283" s="63" t="str">
        <f>HYPERLINK("http://nsgreg.nga.mil/genc/view?v=863475&amp;end_month=12&amp;end_day=31&amp;end_year=2016","Correlation")</f>
        <v>Correlation</v>
      </c>
    </row>
    <row r="1284" spans="1:13" x14ac:dyDescent="0.2">
      <c r="A1284" s="113"/>
      <c r="B1284" s="58" t="s">
        <v>4208</v>
      </c>
      <c r="C1284" s="58" t="s">
        <v>2294</v>
      </c>
      <c r="D1284" s="58" t="s">
        <v>4209</v>
      </c>
      <c r="E1284" s="60" t="b">
        <v>1</v>
      </c>
      <c r="F1284" s="80" t="s">
        <v>404</v>
      </c>
      <c r="G1284" s="58" t="s">
        <v>4208</v>
      </c>
      <c r="H1284" s="58" t="s">
        <v>4126</v>
      </c>
      <c r="I1284" s="64" t="s">
        <v>4209</v>
      </c>
      <c r="J1284" s="66"/>
      <c r="K1284" s="66"/>
      <c r="L1284" s="68"/>
      <c r="M1284" s="63" t="str">
        <f>HYPERLINK("http://nsgreg.nga.mil/genc/view?v=863476&amp;end_month=12&amp;end_day=31&amp;end_year=2016","Correlation")</f>
        <v>Correlation</v>
      </c>
    </row>
    <row r="1285" spans="1:13" x14ac:dyDescent="0.2">
      <c r="A1285" s="113"/>
      <c r="B1285" s="58" t="s">
        <v>4210</v>
      </c>
      <c r="C1285" s="58" t="s">
        <v>1728</v>
      </c>
      <c r="D1285" s="58" t="s">
        <v>4211</v>
      </c>
      <c r="E1285" s="60" t="b">
        <v>1</v>
      </c>
      <c r="F1285" s="80" t="s">
        <v>404</v>
      </c>
      <c r="G1285" s="58" t="s">
        <v>4212</v>
      </c>
      <c r="H1285" s="58" t="s">
        <v>4147</v>
      </c>
      <c r="I1285" s="64" t="s">
        <v>4211</v>
      </c>
      <c r="J1285" s="66"/>
      <c r="K1285" s="66"/>
      <c r="L1285" s="68"/>
      <c r="M1285" s="63" t="str">
        <f>HYPERLINK("http://nsgreg.nga.mil/genc/view?v=863547&amp;end_month=12&amp;end_day=31&amp;end_year=2016","Correlation")</f>
        <v>Correlation</v>
      </c>
    </row>
    <row r="1286" spans="1:13" x14ac:dyDescent="0.2">
      <c r="A1286" s="113"/>
      <c r="B1286" s="58" t="s">
        <v>4213</v>
      </c>
      <c r="C1286" s="58" t="s">
        <v>2294</v>
      </c>
      <c r="D1286" s="58" t="s">
        <v>4214</v>
      </c>
      <c r="E1286" s="60" t="b">
        <v>1</v>
      </c>
      <c r="F1286" s="80" t="s">
        <v>404</v>
      </c>
      <c r="G1286" s="58" t="s">
        <v>4213</v>
      </c>
      <c r="H1286" s="58" t="s">
        <v>4126</v>
      </c>
      <c r="I1286" s="64" t="s">
        <v>4214</v>
      </c>
      <c r="J1286" s="66"/>
      <c r="K1286" s="66"/>
      <c r="L1286" s="68"/>
      <c r="M1286" s="63" t="str">
        <f>HYPERLINK("http://nsgreg.nga.mil/genc/view?v=863472&amp;end_month=12&amp;end_day=31&amp;end_year=2016","Correlation")</f>
        <v>Correlation</v>
      </c>
    </row>
    <row r="1287" spans="1:13" x14ac:dyDescent="0.2">
      <c r="A1287" s="113"/>
      <c r="B1287" s="58" t="s">
        <v>4215</v>
      </c>
      <c r="C1287" s="58" t="s">
        <v>2294</v>
      </c>
      <c r="D1287" s="58" t="s">
        <v>4216</v>
      </c>
      <c r="E1287" s="60" t="b">
        <v>1</v>
      </c>
      <c r="F1287" s="80" t="s">
        <v>404</v>
      </c>
      <c r="G1287" s="58" t="s">
        <v>4215</v>
      </c>
      <c r="H1287" s="58" t="s">
        <v>4126</v>
      </c>
      <c r="I1287" s="64" t="s">
        <v>4216</v>
      </c>
      <c r="J1287" s="66"/>
      <c r="K1287" s="66"/>
      <c r="L1287" s="68"/>
      <c r="M1287" s="63" t="str">
        <f>HYPERLINK("http://nsgreg.nga.mil/genc/view?v=863474&amp;end_month=12&amp;end_day=31&amp;end_year=2016","Correlation")</f>
        <v>Correlation</v>
      </c>
    </row>
    <row r="1288" spans="1:13" x14ac:dyDescent="0.2">
      <c r="A1288" s="113"/>
      <c r="B1288" s="58" t="s">
        <v>4217</v>
      </c>
      <c r="C1288" s="58" t="s">
        <v>2294</v>
      </c>
      <c r="D1288" s="58" t="s">
        <v>4218</v>
      </c>
      <c r="E1288" s="60" t="b">
        <v>1</v>
      </c>
      <c r="F1288" s="80" t="s">
        <v>404</v>
      </c>
      <c r="G1288" s="58" t="s">
        <v>4217</v>
      </c>
      <c r="H1288" s="58" t="s">
        <v>4126</v>
      </c>
      <c r="I1288" s="64" t="s">
        <v>4218</v>
      </c>
      <c r="J1288" s="66"/>
      <c r="K1288" s="66"/>
      <c r="L1288" s="68"/>
      <c r="M1288" s="63" t="str">
        <f>HYPERLINK("http://nsgreg.nga.mil/genc/view?v=863486&amp;end_month=12&amp;end_day=31&amp;end_year=2016","Correlation")</f>
        <v>Correlation</v>
      </c>
    </row>
    <row r="1289" spans="1:13" x14ac:dyDescent="0.2">
      <c r="A1289" s="113"/>
      <c r="B1289" s="58" t="s">
        <v>4219</v>
      </c>
      <c r="C1289" s="58" t="s">
        <v>2294</v>
      </c>
      <c r="D1289" s="58" t="s">
        <v>4220</v>
      </c>
      <c r="E1289" s="60" t="b">
        <v>1</v>
      </c>
      <c r="F1289" s="80" t="s">
        <v>404</v>
      </c>
      <c r="G1289" s="58" t="s">
        <v>4219</v>
      </c>
      <c r="H1289" s="58" t="s">
        <v>4126</v>
      </c>
      <c r="I1289" s="64" t="s">
        <v>4220</v>
      </c>
      <c r="J1289" s="66"/>
      <c r="K1289" s="66"/>
      <c r="L1289" s="68"/>
      <c r="M1289" s="63" t="str">
        <f>HYPERLINK("http://nsgreg.nga.mil/genc/view?v=863495&amp;end_month=12&amp;end_day=31&amp;end_year=2016","Correlation")</f>
        <v>Correlation</v>
      </c>
    </row>
    <row r="1290" spans="1:13" x14ac:dyDescent="0.2">
      <c r="A1290" s="113"/>
      <c r="B1290" s="58" t="s">
        <v>4221</v>
      </c>
      <c r="C1290" s="58" t="s">
        <v>2294</v>
      </c>
      <c r="D1290" s="58" t="s">
        <v>4222</v>
      </c>
      <c r="E1290" s="60" t="b">
        <v>1</v>
      </c>
      <c r="F1290" s="80" t="s">
        <v>404</v>
      </c>
      <c r="G1290" s="58" t="s">
        <v>4221</v>
      </c>
      <c r="H1290" s="58" t="s">
        <v>4126</v>
      </c>
      <c r="I1290" s="64" t="s">
        <v>4222</v>
      </c>
      <c r="J1290" s="66"/>
      <c r="K1290" s="66"/>
      <c r="L1290" s="68"/>
      <c r="M1290" s="63" t="str">
        <f>HYPERLINK("http://nsgreg.nga.mil/genc/view?v=863447&amp;end_month=12&amp;end_day=31&amp;end_year=2016","Correlation")</f>
        <v>Correlation</v>
      </c>
    </row>
    <row r="1291" spans="1:13" x14ac:dyDescent="0.2">
      <c r="A1291" s="113"/>
      <c r="B1291" s="58" t="s">
        <v>4223</v>
      </c>
      <c r="C1291" s="58" t="s">
        <v>2294</v>
      </c>
      <c r="D1291" s="58" t="s">
        <v>4224</v>
      </c>
      <c r="E1291" s="60" t="b">
        <v>1</v>
      </c>
      <c r="F1291" s="80" t="s">
        <v>404</v>
      </c>
      <c r="G1291" s="58" t="s">
        <v>4223</v>
      </c>
      <c r="H1291" s="58" t="s">
        <v>4126</v>
      </c>
      <c r="I1291" s="64" t="s">
        <v>4224</v>
      </c>
      <c r="J1291" s="66"/>
      <c r="K1291" s="66"/>
      <c r="L1291" s="68"/>
      <c r="M1291" s="63" t="str">
        <f>HYPERLINK("http://nsgreg.nga.mil/genc/view?v=863513&amp;end_month=12&amp;end_day=31&amp;end_year=2016","Correlation")</f>
        <v>Correlation</v>
      </c>
    </row>
    <row r="1292" spans="1:13" x14ac:dyDescent="0.2">
      <c r="A1292" s="113"/>
      <c r="B1292" s="58" t="s">
        <v>4225</v>
      </c>
      <c r="C1292" s="58" t="s">
        <v>2294</v>
      </c>
      <c r="D1292" s="58" t="s">
        <v>4226</v>
      </c>
      <c r="E1292" s="60" t="b">
        <v>1</v>
      </c>
      <c r="F1292" s="80" t="s">
        <v>404</v>
      </c>
      <c r="G1292" s="58" t="s">
        <v>4225</v>
      </c>
      <c r="H1292" s="58" t="s">
        <v>4126</v>
      </c>
      <c r="I1292" s="64" t="s">
        <v>4226</v>
      </c>
      <c r="J1292" s="66"/>
      <c r="K1292" s="66"/>
      <c r="L1292" s="68"/>
      <c r="M1292" s="63" t="str">
        <f>HYPERLINK("http://nsgreg.nga.mil/genc/view?v=863517&amp;end_month=12&amp;end_day=31&amp;end_year=2016","Correlation")</f>
        <v>Correlation</v>
      </c>
    </row>
    <row r="1293" spans="1:13" x14ac:dyDescent="0.2">
      <c r="A1293" s="113"/>
      <c r="B1293" s="58" t="s">
        <v>4227</v>
      </c>
      <c r="C1293" s="58" t="s">
        <v>2294</v>
      </c>
      <c r="D1293" s="58" t="s">
        <v>4228</v>
      </c>
      <c r="E1293" s="60" t="b">
        <v>1</v>
      </c>
      <c r="F1293" s="80" t="s">
        <v>404</v>
      </c>
      <c r="G1293" s="58" t="s">
        <v>4227</v>
      </c>
      <c r="H1293" s="58" t="s">
        <v>4126</v>
      </c>
      <c r="I1293" s="64" t="s">
        <v>4228</v>
      </c>
      <c r="J1293" s="66"/>
      <c r="K1293" s="66"/>
      <c r="L1293" s="68"/>
      <c r="M1293" s="63" t="str">
        <f>HYPERLINK("http://nsgreg.nga.mil/genc/view?v=863508&amp;end_month=12&amp;end_day=31&amp;end_year=2016","Correlation")</f>
        <v>Correlation</v>
      </c>
    </row>
    <row r="1294" spans="1:13" x14ac:dyDescent="0.2">
      <c r="A1294" s="113"/>
      <c r="B1294" s="58" t="s">
        <v>4229</v>
      </c>
      <c r="C1294" s="58" t="s">
        <v>2294</v>
      </c>
      <c r="D1294" s="58" t="s">
        <v>4230</v>
      </c>
      <c r="E1294" s="60" t="b">
        <v>1</v>
      </c>
      <c r="F1294" s="80" t="s">
        <v>404</v>
      </c>
      <c r="G1294" s="58" t="s">
        <v>4229</v>
      </c>
      <c r="H1294" s="58" t="s">
        <v>4126</v>
      </c>
      <c r="I1294" s="64" t="s">
        <v>4230</v>
      </c>
      <c r="J1294" s="66"/>
      <c r="K1294" s="66"/>
      <c r="L1294" s="68"/>
      <c r="M1294" s="63" t="str">
        <f>HYPERLINK("http://nsgreg.nga.mil/genc/view?v=863530&amp;end_month=12&amp;end_day=31&amp;end_year=2016","Correlation")</f>
        <v>Correlation</v>
      </c>
    </row>
    <row r="1295" spans="1:13" x14ac:dyDescent="0.2">
      <c r="A1295" s="113"/>
      <c r="B1295" s="58" t="s">
        <v>4231</v>
      </c>
      <c r="C1295" s="58" t="s">
        <v>2294</v>
      </c>
      <c r="D1295" s="58" t="s">
        <v>4232</v>
      </c>
      <c r="E1295" s="60" t="b">
        <v>1</v>
      </c>
      <c r="F1295" s="80" t="s">
        <v>404</v>
      </c>
      <c r="G1295" s="58" t="s">
        <v>4231</v>
      </c>
      <c r="H1295" s="58" t="s">
        <v>4126</v>
      </c>
      <c r="I1295" s="64" t="s">
        <v>4232</v>
      </c>
      <c r="J1295" s="66"/>
      <c r="K1295" s="66"/>
      <c r="L1295" s="68"/>
      <c r="M1295" s="63" t="str">
        <f>HYPERLINK("http://nsgreg.nga.mil/genc/view?v=863511&amp;end_month=12&amp;end_day=31&amp;end_year=2016","Correlation")</f>
        <v>Correlation</v>
      </c>
    </row>
    <row r="1296" spans="1:13" x14ac:dyDescent="0.2">
      <c r="A1296" s="113"/>
      <c r="B1296" s="58" t="s">
        <v>4233</v>
      </c>
      <c r="C1296" s="58" t="s">
        <v>1728</v>
      </c>
      <c r="D1296" s="58" t="s">
        <v>4234</v>
      </c>
      <c r="E1296" s="60" t="b">
        <v>1</v>
      </c>
      <c r="F1296" s="80" t="s">
        <v>404</v>
      </c>
      <c r="G1296" s="58" t="s">
        <v>4233</v>
      </c>
      <c r="H1296" s="58" t="s">
        <v>4147</v>
      </c>
      <c r="I1296" s="64" t="s">
        <v>4234</v>
      </c>
      <c r="J1296" s="66"/>
      <c r="K1296" s="66"/>
      <c r="L1296" s="68"/>
      <c r="M1296" s="63" t="str">
        <f>HYPERLINK("http://nsgreg.nga.mil/genc/view?v=863548&amp;end_month=12&amp;end_day=31&amp;end_year=2016","Correlation")</f>
        <v>Correlation</v>
      </c>
    </row>
    <row r="1297" spans="1:13" x14ac:dyDescent="0.2">
      <c r="A1297" s="113"/>
      <c r="B1297" s="58" t="s">
        <v>4235</v>
      </c>
      <c r="C1297" s="58" t="s">
        <v>2294</v>
      </c>
      <c r="D1297" s="58" t="s">
        <v>4236</v>
      </c>
      <c r="E1297" s="60" t="b">
        <v>1</v>
      </c>
      <c r="F1297" s="80" t="s">
        <v>404</v>
      </c>
      <c r="G1297" s="58" t="s">
        <v>4235</v>
      </c>
      <c r="H1297" s="58" t="s">
        <v>4126</v>
      </c>
      <c r="I1297" s="64" t="s">
        <v>4236</v>
      </c>
      <c r="J1297" s="66"/>
      <c r="K1297" s="66"/>
      <c r="L1297" s="68"/>
      <c r="M1297" s="63" t="str">
        <f>HYPERLINK("http://nsgreg.nga.mil/genc/view?v=863535&amp;end_month=12&amp;end_day=31&amp;end_year=2016","Correlation")</f>
        <v>Correlation</v>
      </c>
    </row>
    <row r="1298" spans="1:13" x14ac:dyDescent="0.2">
      <c r="A1298" s="113"/>
      <c r="B1298" s="58" t="s">
        <v>4237</v>
      </c>
      <c r="C1298" s="58" t="s">
        <v>2294</v>
      </c>
      <c r="D1298" s="58" t="s">
        <v>4238</v>
      </c>
      <c r="E1298" s="60" t="b">
        <v>1</v>
      </c>
      <c r="F1298" s="80" t="s">
        <v>404</v>
      </c>
      <c r="G1298" s="58" t="s">
        <v>4237</v>
      </c>
      <c r="H1298" s="58" t="s">
        <v>4126</v>
      </c>
      <c r="I1298" s="64" t="s">
        <v>4238</v>
      </c>
      <c r="J1298" s="66"/>
      <c r="K1298" s="66"/>
      <c r="L1298" s="68"/>
      <c r="M1298" s="63" t="str">
        <f>HYPERLINK("http://nsgreg.nga.mil/genc/view?v=863477&amp;end_month=12&amp;end_day=31&amp;end_year=2016","Correlation")</f>
        <v>Correlation</v>
      </c>
    </row>
    <row r="1299" spans="1:13" x14ac:dyDescent="0.2">
      <c r="A1299" s="113"/>
      <c r="B1299" s="58" t="s">
        <v>4239</v>
      </c>
      <c r="C1299" s="58" t="s">
        <v>1728</v>
      </c>
      <c r="D1299" s="58" t="s">
        <v>4240</v>
      </c>
      <c r="E1299" s="60" t="b">
        <v>1</v>
      </c>
      <c r="F1299" s="80" t="s">
        <v>404</v>
      </c>
      <c r="G1299" s="58" t="s">
        <v>4239</v>
      </c>
      <c r="H1299" s="58" t="s">
        <v>4147</v>
      </c>
      <c r="I1299" s="64" t="s">
        <v>4240</v>
      </c>
      <c r="J1299" s="66"/>
      <c r="K1299" s="66"/>
      <c r="L1299" s="68"/>
      <c r="M1299" s="63" t="str">
        <f>HYPERLINK("http://nsgreg.nga.mil/genc/view?v=863542&amp;end_month=12&amp;end_day=31&amp;end_year=2016","Correlation")</f>
        <v>Correlation</v>
      </c>
    </row>
    <row r="1300" spans="1:13" x14ac:dyDescent="0.2">
      <c r="A1300" s="113"/>
      <c r="B1300" s="58" t="s">
        <v>4241</v>
      </c>
      <c r="C1300" s="58" t="s">
        <v>2294</v>
      </c>
      <c r="D1300" s="58" t="s">
        <v>4242</v>
      </c>
      <c r="E1300" s="60" t="b">
        <v>1</v>
      </c>
      <c r="F1300" s="80" t="s">
        <v>404</v>
      </c>
      <c r="G1300" s="58" t="s">
        <v>4241</v>
      </c>
      <c r="H1300" s="58" t="s">
        <v>4126</v>
      </c>
      <c r="I1300" s="64" t="s">
        <v>4242</v>
      </c>
      <c r="J1300" s="66"/>
      <c r="K1300" s="66"/>
      <c r="L1300" s="68"/>
      <c r="M1300" s="63" t="str">
        <f>HYPERLINK("http://nsgreg.nga.mil/genc/view?v=863478&amp;end_month=12&amp;end_day=31&amp;end_year=2016","Correlation")</f>
        <v>Correlation</v>
      </c>
    </row>
    <row r="1301" spans="1:13" x14ac:dyDescent="0.2">
      <c r="A1301" s="113"/>
      <c r="B1301" s="58" t="s">
        <v>4243</v>
      </c>
      <c r="C1301" s="58" t="s">
        <v>2294</v>
      </c>
      <c r="D1301" s="58" t="s">
        <v>4244</v>
      </c>
      <c r="E1301" s="60" t="b">
        <v>1</v>
      </c>
      <c r="F1301" s="80" t="s">
        <v>404</v>
      </c>
      <c r="G1301" s="58" t="s">
        <v>4243</v>
      </c>
      <c r="H1301" s="58" t="s">
        <v>4126</v>
      </c>
      <c r="I1301" s="64" t="s">
        <v>4244</v>
      </c>
      <c r="J1301" s="66"/>
      <c r="K1301" s="66"/>
      <c r="L1301" s="68"/>
      <c r="M1301" s="63" t="str">
        <f>HYPERLINK("http://nsgreg.nga.mil/genc/view?v=863479&amp;end_month=12&amp;end_day=31&amp;end_year=2016","Correlation")</f>
        <v>Correlation</v>
      </c>
    </row>
    <row r="1302" spans="1:13" x14ac:dyDescent="0.2">
      <c r="A1302" s="113"/>
      <c r="B1302" s="58" t="s">
        <v>4245</v>
      </c>
      <c r="C1302" s="58" t="s">
        <v>2294</v>
      </c>
      <c r="D1302" s="58" t="s">
        <v>4246</v>
      </c>
      <c r="E1302" s="60" t="b">
        <v>1</v>
      </c>
      <c r="F1302" s="80" t="s">
        <v>404</v>
      </c>
      <c r="G1302" s="58" t="s">
        <v>4245</v>
      </c>
      <c r="H1302" s="58" t="s">
        <v>4126</v>
      </c>
      <c r="I1302" s="64" t="s">
        <v>4246</v>
      </c>
      <c r="J1302" s="66"/>
      <c r="K1302" s="66"/>
      <c r="L1302" s="68"/>
      <c r="M1302" s="63" t="str">
        <f>HYPERLINK("http://nsgreg.nga.mil/genc/view?v=863480&amp;end_month=12&amp;end_day=31&amp;end_year=2016","Correlation")</f>
        <v>Correlation</v>
      </c>
    </row>
    <row r="1303" spans="1:13" x14ac:dyDescent="0.2">
      <c r="A1303" s="113"/>
      <c r="B1303" s="58" t="s">
        <v>4247</v>
      </c>
      <c r="C1303" s="58" t="s">
        <v>2294</v>
      </c>
      <c r="D1303" s="58" t="s">
        <v>4248</v>
      </c>
      <c r="E1303" s="60" t="b">
        <v>1</v>
      </c>
      <c r="F1303" s="80" t="s">
        <v>404</v>
      </c>
      <c r="G1303" s="58" t="s">
        <v>4247</v>
      </c>
      <c r="H1303" s="58" t="s">
        <v>4126</v>
      </c>
      <c r="I1303" s="64" t="s">
        <v>4248</v>
      </c>
      <c r="J1303" s="66"/>
      <c r="K1303" s="66"/>
      <c r="L1303" s="68"/>
      <c r="M1303" s="63" t="str">
        <f>HYPERLINK("http://nsgreg.nga.mil/genc/view?v=863481&amp;end_month=12&amp;end_day=31&amp;end_year=2016","Correlation")</f>
        <v>Correlation</v>
      </c>
    </row>
    <row r="1304" spans="1:13" x14ac:dyDescent="0.2">
      <c r="A1304" s="113"/>
      <c r="B1304" s="58" t="s">
        <v>4249</v>
      </c>
      <c r="C1304" s="58" t="s">
        <v>2294</v>
      </c>
      <c r="D1304" s="58" t="s">
        <v>4250</v>
      </c>
      <c r="E1304" s="60" t="b">
        <v>1</v>
      </c>
      <c r="F1304" s="80" t="s">
        <v>404</v>
      </c>
      <c r="G1304" s="58" t="s">
        <v>4249</v>
      </c>
      <c r="H1304" s="58" t="s">
        <v>4126</v>
      </c>
      <c r="I1304" s="64" t="s">
        <v>4250</v>
      </c>
      <c r="J1304" s="66"/>
      <c r="K1304" s="66"/>
      <c r="L1304" s="68"/>
      <c r="M1304" s="63" t="str">
        <f>HYPERLINK("http://nsgreg.nga.mil/genc/view?v=863482&amp;end_month=12&amp;end_day=31&amp;end_year=2016","Correlation")</f>
        <v>Correlation</v>
      </c>
    </row>
    <row r="1305" spans="1:13" x14ac:dyDescent="0.2">
      <c r="A1305" s="113"/>
      <c r="B1305" s="58" t="s">
        <v>4251</v>
      </c>
      <c r="C1305" s="58" t="s">
        <v>2294</v>
      </c>
      <c r="D1305" s="58" t="s">
        <v>4252</v>
      </c>
      <c r="E1305" s="60" t="b">
        <v>1</v>
      </c>
      <c r="F1305" s="80" t="s">
        <v>404</v>
      </c>
      <c r="G1305" s="58" t="s">
        <v>4251</v>
      </c>
      <c r="H1305" s="58" t="s">
        <v>4126</v>
      </c>
      <c r="I1305" s="64" t="s">
        <v>4252</v>
      </c>
      <c r="J1305" s="66"/>
      <c r="K1305" s="66"/>
      <c r="L1305" s="68"/>
      <c r="M1305" s="63" t="str">
        <f>HYPERLINK("http://nsgreg.nga.mil/genc/view?v=863483&amp;end_month=12&amp;end_day=31&amp;end_year=2016","Correlation")</f>
        <v>Correlation</v>
      </c>
    </row>
    <row r="1306" spans="1:13" x14ac:dyDescent="0.2">
      <c r="A1306" s="113"/>
      <c r="B1306" s="58" t="s">
        <v>4253</v>
      </c>
      <c r="C1306" s="58" t="s">
        <v>2294</v>
      </c>
      <c r="D1306" s="58" t="s">
        <v>4254</v>
      </c>
      <c r="E1306" s="60" t="b">
        <v>1</v>
      </c>
      <c r="F1306" s="80" t="s">
        <v>404</v>
      </c>
      <c r="G1306" s="58" t="s">
        <v>4253</v>
      </c>
      <c r="H1306" s="58" t="s">
        <v>4126</v>
      </c>
      <c r="I1306" s="64" t="s">
        <v>4254</v>
      </c>
      <c r="J1306" s="66"/>
      <c r="K1306" s="66"/>
      <c r="L1306" s="68"/>
      <c r="M1306" s="63" t="str">
        <f>HYPERLINK("http://nsgreg.nga.mil/genc/view?v=863485&amp;end_month=12&amp;end_day=31&amp;end_year=2016","Correlation")</f>
        <v>Correlation</v>
      </c>
    </row>
    <row r="1307" spans="1:13" x14ac:dyDescent="0.2">
      <c r="A1307" s="113"/>
      <c r="B1307" s="58" t="s">
        <v>4255</v>
      </c>
      <c r="C1307" s="58" t="s">
        <v>2294</v>
      </c>
      <c r="D1307" s="58" t="s">
        <v>4256</v>
      </c>
      <c r="E1307" s="60" t="b">
        <v>1</v>
      </c>
      <c r="F1307" s="80" t="s">
        <v>404</v>
      </c>
      <c r="G1307" s="58" t="s">
        <v>4255</v>
      </c>
      <c r="H1307" s="58" t="s">
        <v>4126</v>
      </c>
      <c r="I1307" s="64" t="s">
        <v>4256</v>
      </c>
      <c r="J1307" s="66"/>
      <c r="K1307" s="66"/>
      <c r="L1307" s="68"/>
      <c r="M1307" s="63" t="str">
        <f>HYPERLINK("http://nsgreg.nga.mil/genc/view?v=863487&amp;end_month=12&amp;end_day=31&amp;end_year=2016","Correlation")</f>
        <v>Correlation</v>
      </c>
    </row>
    <row r="1308" spans="1:13" x14ac:dyDescent="0.2">
      <c r="A1308" s="113"/>
      <c r="B1308" s="58" t="s">
        <v>4257</v>
      </c>
      <c r="C1308" s="58" t="s">
        <v>2294</v>
      </c>
      <c r="D1308" s="58" t="s">
        <v>4258</v>
      </c>
      <c r="E1308" s="60" t="b">
        <v>1</v>
      </c>
      <c r="F1308" s="80" t="s">
        <v>404</v>
      </c>
      <c r="G1308" s="58" t="s">
        <v>4257</v>
      </c>
      <c r="H1308" s="58" t="s">
        <v>4126</v>
      </c>
      <c r="I1308" s="64" t="s">
        <v>4258</v>
      </c>
      <c r="J1308" s="66"/>
      <c r="K1308" s="66"/>
      <c r="L1308" s="68"/>
      <c r="M1308" s="63" t="str">
        <f>HYPERLINK("http://nsgreg.nga.mil/genc/view?v=863488&amp;end_month=12&amp;end_day=31&amp;end_year=2016","Correlation")</f>
        <v>Correlation</v>
      </c>
    </row>
    <row r="1309" spans="1:13" x14ac:dyDescent="0.2">
      <c r="A1309" s="113"/>
      <c r="B1309" s="58" t="s">
        <v>4259</v>
      </c>
      <c r="C1309" s="58" t="s">
        <v>2294</v>
      </c>
      <c r="D1309" s="58" t="s">
        <v>4260</v>
      </c>
      <c r="E1309" s="60" t="b">
        <v>1</v>
      </c>
      <c r="F1309" s="80" t="s">
        <v>404</v>
      </c>
      <c r="G1309" s="58" t="s">
        <v>4259</v>
      </c>
      <c r="H1309" s="58" t="s">
        <v>4126</v>
      </c>
      <c r="I1309" s="64" t="s">
        <v>4260</v>
      </c>
      <c r="J1309" s="66"/>
      <c r="K1309" s="66"/>
      <c r="L1309" s="68"/>
      <c r="M1309" s="63" t="str">
        <f>HYPERLINK("http://nsgreg.nga.mil/genc/view?v=863484&amp;end_month=12&amp;end_day=31&amp;end_year=2016","Correlation")</f>
        <v>Correlation</v>
      </c>
    </row>
    <row r="1310" spans="1:13" x14ac:dyDescent="0.2">
      <c r="A1310" s="113"/>
      <c r="B1310" s="58" t="s">
        <v>4261</v>
      </c>
      <c r="C1310" s="58" t="s">
        <v>2294</v>
      </c>
      <c r="D1310" s="58" t="s">
        <v>4262</v>
      </c>
      <c r="E1310" s="60" t="b">
        <v>1</v>
      </c>
      <c r="F1310" s="80" t="s">
        <v>404</v>
      </c>
      <c r="G1310" s="58" t="s">
        <v>4261</v>
      </c>
      <c r="H1310" s="58" t="s">
        <v>4126</v>
      </c>
      <c r="I1310" s="64" t="s">
        <v>4262</v>
      </c>
      <c r="J1310" s="66"/>
      <c r="K1310" s="66"/>
      <c r="L1310" s="68"/>
      <c r="M1310" s="63" t="str">
        <f>HYPERLINK("http://nsgreg.nga.mil/genc/view?v=863489&amp;end_month=12&amp;end_day=31&amp;end_year=2016","Correlation")</f>
        <v>Correlation</v>
      </c>
    </row>
    <row r="1311" spans="1:13" x14ac:dyDescent="0.2">
      <c r="A1311" s="113"/>
      <c r="B1311" s="58" t="s">
        <v>4263</v>
      </c>
      <c r="C1311" s="58" t="s">
        <v>2294</v>
      </c>
      <c r="D1311" s="58" t="s">
        <v>4264</v>
      </c>
      <c r="E1311" s="60" t="b">
        <v>1</v>
      </c>
      <c r="F1311" s="80" t="s">
        <v>404</v>
      </c>
      <c r="G1311" s="58" t="s">
        <v>4263</v>
      </c>
      <c r="H1311" s="58" t="s">
        <v>4126</v>
      </c>
      <c r="I1311" s="64" t="s">
        <v>4264</v>
      </c>
      <c r="J1311" s="66"/>
      <c r="K1311" s="66"/>
      <c r="L1311" s="68"/>
      <c r="M1311" s="63" t="str">
        <f>HYPERLINK("http://nsgreg.nga.mil/genc/view?v=863490&amp;end_month=12&amp;end_day=31&amp;end_year=2016","Correlation")</f>
        <v>Correlation</v>
      </c>
    </row>
    <row r="1312" spans="1:13" x14ac:dyDescent="0.2">
      <c r="A1312" s="113"/>
      <c r="B1312" s="58" t="s">
        <v>4265</v>
      </c>
      <c r="C1312" s="58" t="s">
        <v>2294</v>
      </c>
      <c r="D1312" s="58" t="s">
        <v>4266</v>
      </c>
      <c r="E1312" s="60" t="b">
        <v>1</v>
      </c>
      <c r="F1312" s="80" t="s">
        <v>404</v>
      </c>
      <c r="G1312" s="58" t="s">
        <v>4265</v>
      </c>
      <c r="H1312" s="58" t="s">
        <v>4126</v>
      </c>
      <c r="I1312" s="64" t="s">
        <v>4266</v>
      </c>
      <c r="J1312" s="66"/>
      <c r="K1312" s="66"/>
      <c r="L1312" s="68"/>
      <c r="M1312" s="63" t="str">
        <f>HYPERLINK("http://nsgreg.nga.mil/genc/view?v=863491&amp;end_month=12&amp;end_day=31&amp;end_year=2016","Correlation")</f>
        <v>Correlation</v>
      </c>
    </row>
    <row r="1313" spans="1:13" x14ac:dyDescent="0.2">
      <c r="A1313" s="113"/>
      <c r="B1313" s="58" t="s">
        <v>4267</v>
      </c>
      <c r="C1313" s="58" t="s">
        <v>2294</v>
      </c>
      <c r="D1313" s="58" t="s">
        <v>4268</v>
      </c>
      <c r="E1313" s="60" t="b">
        <v>1</v>
      </c>
      <c r="F1313" s="80" t="s">
        <v>404</v>
      </c>
      <c r="G1313" s="58" t="s">
        <v>4267</v>
      </c>
      <c r="H1313" s="58" t="s">
        <v>4126</v>
      </c>
      <c r="I1313" s="64" t="s">
        <v>4268</v>
      </c>
      <c r="J1313" s="66"/>
      <c r="K1313" s="66"/>
      <c r="L1313" s="68"/>
      <c r="M1313" s="63" t="str">
        <f>HYPERLINK("http://nsgreg.nga.mil/genc/view?v=863492&amp;end_month=12&amp;end_day=31&amp;end_year=2016","Correlation")</f>
        <v>Correlation</v>
      </c>
    </row>
    <row r="1314" spans="1:13" x14ac:dyDescent="0.2">
      <c r="A1314" s="113"/>
      <c r="B1314" s="58" t="s">
        <v>4269</v>
      </c>
      <c r="C1314" s="58" t="s">
        <v>2294</v>
      </c>
      <c r="D1314" s="58" t="s">
        <v>4270</v>
      </c>
      <c r="E1314" s="60" t="b">
        <v>1</v>
      </c>
      <c r="F1314" s="80" t="s">
        <v>404</v>
      </c>
      <c r="G1314" s="58" t="s">
        <v>4269</v>
      </c>
      <c r="H1314" s="58" t="s">
        <v>4126</v>
      </c>
      <c r="I1314" s="64" t="s">
        <v>4270</v>
      </c>
      <c r="J1314" s="66"/>
      <c r="K1314" s="66"/>
      <c r="L1314" s="68"/>
      <c r="M1314" s="63" t="str">
        <f>HYPERLINK("http://nsgreg.nga.mil/genc/view?v=863493&amp;end_month=12&amp;end_day=31&amp;end_year=2016","Correlation")</f>
        <v>Correlation</v>
      </c>
    </row>
    <row r="1315" spans="1:13" x14ac:dyDescent="0.2">
      <c r="A1315" s="113"/>
      <c r="B1315" s="58" t="s">
        <v>4271</v>
      </c>
      <c r="C1315" s="58" t="s">
        <v>2294</v>
      </c>
      <c r="D1315" s="58" t="s">
        <v>4272</v>
      </c>
      <c r="E1315" s="60" t="b">
        <v>1</v>
      </c>
      <c r="F1315" s="80" t="s">
        <v>404</v>
      </c>
      <c r="G1315" s="58" t="s">
        <v>4271</v>
      </c>
      <c r="H1315" s="58" t="s">
        <v>4126</v>
      </c>
      <c r="I1315" s="64" t="s">
        <v>4272</v>
      </c>
      <c r="J1315" s="66"/>
      <c r="K1315" s="66"/>
      <c r="L1315" s="68"/>
      <c r="M1315" s="63" t="str">
        <f>HYPERLINK("http://nsgreg.nga.mil/genc/view?v=863494&amp;end_month=12&amp;end_day=31&amp;end_year=2016","Correlation")</f>
        <v>Correlation</v>
      </c>
    </row>
    <row r="1316" spans="1:13" x14ac:dyDescent="0.2">
      <c r="A1316" s="113"/>
      <c r="B1316" s="58" t="s">
        <v>4273</v>
      </c>
      <c r="C1316" s="58" t="s">
        <v>2294</v>
      </c>
      <c r="D1316" s="58" t="s">
        <v>4274</v>
      </c>
      <c r="E1316" s="60" t="b">
        <v>1</v>
      </c>
      <c r="F1316" s="80" t="s">
        <v>404</v>
      </c>
      <c r="G1316" s="58" t="s">
        <v>4273</v>
      </c>
      <c r="H1316" s="58" t="s">
        <v>4126</v>
      </c>
      <c r="I1316" s="64" t="s">
        <v>4274</v>
      </c>
      <c r="J1316" s="66"/>
      <c r="K1316" s="66"/>
      <c r="L1316" s="68"/>
      <c r="M1316" s="63" t="str">
        <f>HYPERLINK("http://nsgreg.nga.mil/genc/view?v=863496&amp;end_month=12&amp;end_day=31&amp;end_year=2016","Correlation")</f>
        <v>Correlation</v>
      </c>
    </row>
    <row r="1317" spans="1:13" x14ac:dyDescent="0.2">
      <c r="A1317" s="113"/>
      <c r="B1317" s="58" t="s">
        <v>4275</v>
      </c>
      <c r="C1317" s="58" t="s">
        <v>2294</v>
      </c>
      <c r="D1317" s="58" t="s">
        <v>4276</v>
      </c>
      <c r="E1317" s="60" t="b">
        <v>1</v>
      </c>
      <c r="F1317" s="80" t="s">
        <v>404</v>
      </c>
      <c r="G1317" s="58" t="s">
        <v>4275</v>
      </c>
      <c r="H1317" s="58" t="s">
        <v>4126</v>
      </c>
      <c r="I1317" s="64" t="s">
        <v>4276</v>
      </c>
      <c r="J1317" s="66"/>
      <c r="K1317" s="66"/>
      <c r="L1317" s="68"/>
      <c r="M1317" s="63" t="str">
        <f>HYPERLINK("http://nsgreg.nga.mil/genc/view?v=863497&amp;end_month=12&amp;end_day=31&amp;end_year=2016","Correlation")</f>
        <v>Correlation</v>
      </c>
    </row>
    <row r="1318" spans="1:13" x14ac:dyDescent="0.2">
      <c r="A1318" s="113"/>
      <c r="B1318" s="58" t="s">
        <v>4277</v>
      </c>
      <c r="C1318" s="58" t="s">
        <v>2294</v>
      </c>
      <c r="D1318" s="58" t="s">
        <v>4278</v>
      </c>
      <c r="E1318" s="60" t="b">
        <v>1</v>
      </c>
      <c r="F1318" s="80" t="s">
        <v>404</v>
      </c>
      <c r="G1318" s="58" t="s">
        <v>4277</v>
      </c>
      <c r="H1318" s="58" t="s">
        <v>4126</v>
      </c>
      <c r="I1318" s="64" t="s">
        <v>4278</v>
      </c>
      <c r="J1318" s="66"/>
      <c r="K1318" s="66"/>
      <c r="L1318" s="68"/>
      <c r="M1318" s="63" t="str">
        <f>HYPERLINK("http://nsgreg.nga.mil/genc/view?v=863498&amp;end_month=12&amp;end_day=31&amp;end_year=2016","Correlation")</f>
        <v>Correlation</v>
      </c>
    </row>
    <row r="1319" spans="1:13" x14ac:dyDescent="0.2">
      <c r="A1319" s="113"/>
      <c r="B1319" s="58" t="s">
        <v>4279</v>
      </c>
      <c r="C1319" s="58" t="s">
        <v>2294</v>
      </c>
      <c r="D1319" s="58" t="s">
        <v>4280</v>
      </c>
      <c r="E1319" s="60" t="b">
        <v>1</v>
      </c>
      <c r="F1319" s="80" t="s">
        <v>404</v>
      </c>
      <c r="G1319" s="58" t="s">
        <v>4279</v>
      </c>
      <c r="H1319" s="58" t="s">
        <v>4126</v>
      </c>
      <c r="I1319" s="64" t="s">
        <v>4280</v>
      </c>
      <c r="J1319" s="66"/>
      <c r="K1319" s="66"/>
      <c r="L1319" s="68"/>
      <c r="M1319" s="63" t="str">
        <f>HYPERLINK("http://nsgreg.nga.mil/genc/view?v=863499&amp;end_month=12&amp;end_day=31&amp;end_year=2016","Correlation")</f>
        <v>Correlation</v>
      </c>
    </row>
    <row r="1320" spans="1:13" x14ac:dyDescent="0.2">
      <c r="A1320" s="113"/>
      <c r="B1320" s="58" t="s">
        <v>4281</v>
      </c>
      <c r="C1320" s="58" t="s">
        <v>2294</v>
      </c>
      <c r="D1320" s="58" t="s">
        <v>4282</v>
      </c>
      <c r="E1320" s="60" t="b">
        <v>1</v>
      </c>
      <c r="F1320" s="80" t="s">
        <v>404</v>
      </c>
      <c r="G1320" s="58" t="s">
        <v>4281</v>
      </c>
      <c r="H1320" s="58" t="s">
        <v>4126</v>
      </c>
      <c r="I1320" s="64" t="s">
        <v>4282</v>
      </c>
      <c r="J1320" s="66"/>
      <c r="K1320" s="66"/>
      <c r="L1320" s="68"/>
      <c r="M1320" s="63" t="str">
        <f>HYPERLINK("http://nsgreg.nga.mil/genc/view?v=863500&amp;end_month=12&amp;end_day=31&amp;end_year=2016","Correlation")</f>
        <v>Correlation</v>
      </c>
    </row>
    <row r="1321" spans="1:13" x14ac:dyDescent="0.2">
      <c r="A1321" s="113"/>
      <c r="B1321" s="58" t="s">
        <v>4283</v>
      </c>
      <c r="C1321" s="58" t="s">
        <v>2294</v>
      </c>
      <c r="D1321" s="58" t="s">
        <v>4284</v>
      </c>
      <c r="E1321" s="60" t="b">
        <v>1</v>
      </c>
      <c r="F1321" s="80" t="s">
        <v>404</v>
      </c>
      <c r="G1321" s="58" t="s">
        <v>4283</v>
      </c>
      <c r="H1321" s="58" t="s">
        <v>4126</v>
      </c>
      <c r="I1321" s="64" t="s">
        <v>4284</v>
      </c>
      <c r="J1321" s="66"/>
      <c r="K1321" s="66"/>
      <c r="L1321" s="68"/>
      <c r="M1321" s="63" t="str">
        <f>HYPERLINK("http://nsgreg.nga.mil/genc/view?v=863501&amp;end_month=12&amp;end_day=31&amp;end_year=2016","Correlation")</f>
        <v>Correlation</v>
      </c>
    </row>
    <row r="1322" spans="1:13" x14ac:dyDescent="0.2">
      <c r="A1322" s="113"/>
      <c r="B1322" s="58" t="s">
        <v>2637</v>
      </c>
      <c r="C1322" s="58" t="s">
        <v>2294</v>
      </c>
      <c r="D1322" s="58" t="s">
        <v>4285</v>
      </c>
      <c r="E1322" s="60" t="b">
        <v>1</v>
      </c>
      <c r="F1322" s="80" t="s">
        <v>404</v>
      </c>
      <c r="G1322" s="58" t="s">
        <v>2637</v>
      </c>
      <c r="H1322" s="58" t="s">
        <v>4126</v>
      </c>
      <c r="I1322" s="64" t="s">
        <v>4285</v>
      </c>
      <c r="J1322" s="66"/>
      <c r="K1322" s="66"/>
      <c r="L1322" s="68"/>
      <c r="M1322" s="63" t="str">
        <f>HYPERLINK("http://nsgreg.nga.mil/genc/view?v=863502&amp;end_month=12&amp;end_day=31&amp;end_year=2016","Correlation")</f>
        <v>Correlation</v>
      </c>
    </row>
    <row r="1323" spans="1:13" x14ac:dyDescent="0.2">
      <c r="A1323" s="113"/>
      <c r="B1323" s="58" t="s">
        <v>4286</v>
      </c>
      <c r="C1323" s="58" t="s">
        <v>1728</v>
      </c>
      <c r="D1323" s="58" t="s">
        <v>4287</v>
      </c>
      <c r="E1323" s="60" t="b">
        <v>1</v>
      </c>
      <c r="F1323" s="80" t="s">
        <v>404</v>
      </c>
      <c r="G1323" s="58" t="s">
        <v>4286</v>
      </c>
      <c r="H1323" s="58" t="s">
        <v>4147</v>
      </c>
      <c r="I1323" s="64" t="s">
        <v>4287</v>
      </c>
      <c r="J1323" s="66"/>
      <c r="K1323" s="66"/>
      <c r="L1323" s="68"/>
      <c r="M1323" s="63" t="str">
        <f>HYPERLINK("http://nsgreg.nga.mil/genc/view?v=863549&amp;end_month=12&amp;end_day=31&amp;end_year=2016","Correlation")</f>
        <v>Correlation</v>
      </c>
    </row>
    <row r="1324" spans="1:13" x14ac:dyDescent="0.2">
      <c r="A1324" s="113"/>
      <c r="B1324" s="58" t="s">
        <v>4288</v>
      </c>
      <c r="C1324" s="58" t="s">
        <v>1728</v>
      </c>
      <c r="D1324" s="58" t="s">
        <v>4289</v>
      </c>
      <c r="E1324" s="60" t="b">
        <v>1</v>
      </c>
      <c r="F1324" s="80" t="s">
        <v>404</v>
      </c>
      <c r="G1324" s="58" t="s">
        <v>4288</v>
      </c>
      <c r="H1324" s="58" t="s">
        <v>4147</v>
      </c>
      <c r="I1324" s="64" t="s">
        <v>4289</v>
      </c>
      <c r="J1324" s="66"/>
      <c r="K1324" s="66"/>
      <c r="L1324" s="68"/>
      <c r="M1324" s="63" t="str">
        <f>HYPERLINK("http://nsgreg.nga.mil/genc/view?v=863550&amp;end_month=12&amp;end_day=31&amp;end_year=2016","Correlation")</f>
        <v>Correlation</v>
      </c>
    </row>
    <row r="1325" spans="1:13" x14ac:dyDescent="0.2">
      <c r="A1325" s="113"/>
      <c r="B1325" s="58" t="s">
        <v>4290</v>
      </c>
      <c r="C1325" s="58" t="s">
        <v>1728</v>
      </c>
      <c r="D1325" s="58" t="s">
        <v>4291</v>
      </c>
      <c r="E1325" s="60" t="b">
        <v>1</v>
      </c>
      <c r="F1325" s="80" t="s">
        <v>404</v>
      </c>
      <c r="G1325" s="58" t="s">
        <v>4290</v>
      </c>
      <c r="H1325" s="58" t="s">
        <v>4147</v>
      </c>
      <c r="I1325" s="64" t="s">
        <v>4291</v>
      </c>
      <c r="J1325" s="66"/>
      <c r="K1325" s="66"/>
      <c r="L1325" s="68"/>
      <c r="M1325" s="63" t="str">
        <f>HYPERLINK("http://nsgreg.nga.mil/genc/view?v=863551&amp;end_month=12&amp;end_day=31&amp;end_year=2016","Correlation")</f>
        <v>Correlation</v>
      </c>
    </row>
    <row r="1326" spans="1:13" x14ac:dyDescent="0.2">
      <c r="A1326" s="113"/>
      <c r="B1326" s="58" t="s">
        <v>4292</v>
      </c>
      <c r="C1326" s="58" t="s">
        <v>2294</v>
      </c>
      <c r="D1326" s="58" t="s">
        <v>4293</v>
      </c>
      <c r="E1326" s="60" t="b">
        <v>1</v>
      </c>
      <c r="F1326" s="80" t="s">
        <v>404</v>
      </c>
      <c r="G1326" s="58" t="s">
        <v>4292</v>
      </c>
      <c r="H1326" s="58" t="s">
        <v>4126</v>
      </c>
      <c r="I1326" s="64" t="s">
        <v>4293</v>
      </c>
      <c r="J1326" s="66"/>
      <c r="K1326" s="66"/>
      <c r="L1326" s="68"/>
      <c r="M1326" s="63" t="str">
        <f>HYPERLINK("http://nsgreg.nga.mil/genc/view?v=863503&amp;end_month=12&amp;end_day=31&amp;end_year=2016","Correlation")</f>
        <v>Correlation</v>
      </c>
    </row>
    <row r="1327" spans="1:13" x14ac:dyDescent="0.2">
      <c r="A1327" s="113"/>
      <c r="B1327" s="58" t="s">
        <v>4294</v>
      </c>
      <c r="C1327" s="58" t="s">
        <v>2294</v>
      </c>
      <c r="D1327" s="58" t="s">
        <v>4295</v>
      </c>
      <c r="E1327" s="60" t="b">
        <v>1</v>
      </c>
      <c r="F1327" s="80" t="s">
        <v>404</v>
      </c>
      <c r="G1327" s="58" t="s">
        <v>4294</v>
      </c>
      <c r="H1327" s="58" t="s">
        <v>4126</v>
      </c>
      <c r="I1327" s="64" t="s">
        <v>4295</v>
      </c>
      <c r="J1327" s="66"/>
      <c r="K1327" s="66"/>
      <c r="L1327" s="68"/>
      <c r="M1327" s="63" t="str">
        <f>HYPERLINK("http://nsgreg.nga.mil/genc/view?v=863504&amp;end_month=12&amp;end_day=31&amp;end_year=2016","Correlation")</f>
        <v>Correlation</v>
      </c>
    </row>
    <row r="1328" spans="1:13" x14ac:dyDescent="0.2">
      <c r="A1328" s="113"/>
      <c r="B1328" s="58" t="s">
        <v>4296</v>
      </c>
      <c r="C1328" s="58" t="s">
        <v>2294</v>
      </c>
      <c r="D1328" s="58" t="s">
        <v>4297</v>
      </c>
      <c r="E1328" s="60" t="b">
        <v>1</v>
      </c>
      <c r="F1328" s="80" t="s">
        <v>404</v>
      </c>
      <c r="G1328" s="58" t="s">
        <v>4296</v>
      </c>
      <c r="H1328" s="58" t="s">
        <v>4126</v>
      </c>
      <c r="I1328" s="64" t="s">
        <v>4297</v>
      </c>
      <c r="J1328" s="66"/>
      <c r="K1328" s="66"/>
      <c r="L1328" s="68"/>
      <c r="M1328" s="63" t="str">
        <f>HYPERLINK("http://nsgreg.nga.mil/genc/view?v=863518&amp;end_month=12&amp;end_day=31&amp;end_year=2016","Correlation")</f>
        <v>Correlation</v>
      </c>
    </row>
    <row r="1329" spans="1:13" x14ac:dyDescent="0.2">
      <c r="A1329" s="113"/>
      <c r="B1329" s="58" t="s">
        <v>4298</v>
      </c>
      <c r="C1329" s="58" t="s">
        <v>2294</v>
      </c>
      <c r="D1329" s="58" t="s">
        <v>4299</v>
      </c>
      <c r="E1329" s="60" t="b">
        <v>1</v>
      </c>
      <c r="F1329" s="80" t="s">
        <v>404</v>
      </c>
      <c r="G1329" s="58" t="s">
        <v>4298</v>
      </c>
      <c r="H1329" s="58" t="s">
        <v>4126</v>
      </c>
      <c r="I1329" s="64" t="s">
        <v>4299</v>
      </c>
      <c r="J1329" s="66"/>
      <c r="K1329" s="66"/>
      <c r="L1329" s="68"/>
      <c r="M1329" s="63" t="str">
        <f>HYPERLINK("http://nsgreg.nga.mil/genc/view?v=863505&amp;end_month=12&amp;end_day=31&amp;end_year=2016","Correlation")</f>
        <v>Correlation</v>
      </c>
    </row>
    <row r="1330" spans="1:13" x14ac:dyDescent="0.2">
      <c r="A1330" s="113"/>
      <c r="B1330" s="58" t="s">
        <v>4300</v>
      </c>
      <c r="C1330" s="58" t="s">
        <v>1728</v>
      </c>
      <c r="D1330" s="58" t="s">
        <v>4301</v>
      </c>
      <c r="E1330" s="60" t="b">
        <v>1</v>
      </c>
      <c r="F1330" s="80" t="s">
        <v>404</v>
      </c>
      <c r="G1330" s="58" t="s">
        <v>4302</v>
      </c>
      <c r="H1330" s="58" t="s">
        <v>4147</v>
      </c>
      <c r="I1330" s="64" t="s">
        <v>4301</v>
      </c>
      <c r="J1330" s="66"/>
      <c r="K1330" s="66"/>
      <c r="L1330" s="68"/>
      <c r="M1330" s="63" t="str">
        <f>HYPERLINK("http://nsgreg.nga.mil/genc/view?v=863543&amp;end_month=12&amp;end_day=31&amp;end_year=2016","Correlation")</f>
        <v>Correlation</v>
      </c>
    </row>
    <row r="1331" spans="1:13" x14ac:dyDescent="0.2">
      <c r="A1331" s="113"/>
      <c r="B1331" s="58" t="s">
        <v>4303</v>
      </c>
      <c r="C1331" s="58" t="s">
        <v>1728</v>
      </c>
      <c r="D1331" s="58" t="s">
        <v>4304</v>
      </c>
      <c r="E1331" s="60" t="b">
        <v>1</v>
      </c>
      <c r="F1331" s="80" t="s">
        <v>404</v>
      </c>
      <c r="G1331" s="58" t="s">
        <v>4305</v>
      </c>
      <c r="H1331" s="58" t="s">
        <v>4147</v>
      </c>
      <c r="I1331" s="64" t="s">
        <v>4304</v>
      </c>
      <c r="J1331" s="66"/>
      <c r="K1331" s="66"/>
      <c r="L1331" s="68"/>
      <c r="M1331" s="63" t="str">
        <f>HYPERLINK("http://nsgreg.nga.mil/genc/view?v=863544&amp;end_month=12&amp;end_day=31&amp;end_year=2016","Correlation")</f>
        <v>Correlation</v>
      </c>
    </row>
    <row r="1332" spans="1:13" x14ac:dyDescent="0.2">
      <c r="A1332" s="113"/>
      <c r="B1332" s="58" t="s">
        <v>4306</v>
      </c>
      <c r="C1332" s="58" t="s">
        <v>2294</v>
      </c>
      <c r="D1332" s="58" t="s">
        <v>4307</v>
      </c>
      <c r="E1332" s="60" t="b">
        <v>1</v>
      </c>
      <c r="F1332" s="80" t="s">
        <v>404</v>
      </c>
      <c r="G1332" s="58" t="s">
        <v>4306</v>
      </c>
      <c r="H1332" s="58" t="s">
        <v>4126</v>
      </c>
      <c r="I1332" s="64" t="s">
        <v>4307</v>
      </c>
      <c r="J1332" s="66"/>
      <c r="K1332" s="66"/>
      <c r="L1332" s="68"/>
      <c r="M1332" s="63" t="str">
        <f>HYPERLINK("http://nsgreg.nga.mil/genc/view?v=863506&amp;end_month=12&amp;end_day=31&amp;end_year=2016","Correlation")</f>
        <v>Correlation</v>
      </c>
    </row>
    <row r="1333" spans="1:13" x14ac:dyDescent="0.2">
      <c r="A1333" s="113"/>
      <c r="B1333" s="58" t="s">
        <v>4308</v>
      </c>
      <c r="C1333" s="58" t="s">
        <v>2294</v>
      </c>
      <c r="D1333" s="58" t="s">
        <v>4309</v>
      </c>
      <c r="E1333" s="60" t="b">
        <v>1</v>
      </c>
      <c r="F1333" s="80" t="s">
        <v>404</v>
      </c>
      <c r="G1333" s="58" t="s">
        <v>4308</v>
      </c>
      <c r="H1333" s="58" t="s">
        <v>4126</v>
      </c>
      <c r="I1333" s="64" t="s">
        <v>4309</v>
      </c>
      <c r="J1333" s="66"/>
      <c r="K1333" s="66"/>
      <c r="L1333" s="68"/>
      <c r="M1333" s="63" t="str">
        <f>HYPERLINK("http://nsgreg.nga.mil/genc/view?v=863507&amp;end_month=12&amp;end_day=31&amp;end_year=2016","Correlation")</f>
        <v>Correlation</v>
      </c>
    </row>
    <row r="1334" spans="1:13" x14ac:dyDescent="0.2">
      <c r="A1334" s="113"/>
      <c r="B1334" s="58" t="s">
        <v>4310</v>
      </c>
      <c r="C1334" s="58" t="s">
        <v>2294</v>
      </c>
      <c r="D1334" s="58" t="s">
        <v>4311</v>
      </c>
      <c r="E1334" s="60" t="b">
        <v>1</v>
      </c>
      <c r="F1334" s="80" t="s">
        <v>404</v>
      </c>
      <c r="G1334" s="58" t="s">
        <v>4310</v>
      </c>
      <c r="H1334" s="58" t="s">
        <v>4126</v>
      </c>
      <c r="I1334" s="64" t="s">
        <v>4311</v>
      </c>
      <c r="J1334" s="66"/>
      <c r="K1334" s="66"/>
      <c r="L1334" s="68"/>
      <c r="M1334" s="63" t="str">
        <f>HYPERLINK("http://nsgreg.nga.mil/genc/view?v=863509&amp;end_month=12&amp;end_day=31&amp;end_year=2016","Correlation")</f>
        <v>Correlation</v>
      </c>
    </row>
    <row r="1335" spans="1:13" x14ac:dyDescent="0.2">
      <c r="A1335" s="113"/>
      <c r="B1335" s="58" t="s">
        <v>4312</v>
      </c>
      <c r="C1335" s="58" t="s">
        <v>2294</v>
      </c>
      <c r="D1335" s="58" t="s">
        <v>4313</v>
      </c>
      <c r="E1335" s="60" t="b">
        <v>1</v>
      </c>
      <c r="F1335" s="80" t="s">
        <v>404</v>
      </c>
      <c r="G1335" s="58" t="s">
        <v>4312</v>
      </c>
      <c r="H1335" s="58" t="s">
        <v>4126</v>
      </c>
      <c r="I1335" s="64" t="s">
        <v>4313</v>
      </c>
      <c r="J1335" s="66"/>
      <c r="K1335" s="66"/>
      <c r="L1335" s="68"/>
      <c r="M1335" s="63" t="str">
        <f>HYPERLINK("http://nsgreg.nga.mil/genc/view?v=863512&amp;end_month=12&amp;end_day=31&amp;end_year=2016","Correlation")</f>
        <v>Correlation</v>
      </c>
    </row>
    <row r="1336" spans="1:13" x14ac:dyDescent="0.2">
      <c r="A1336" s="113"/>
      <c r="B1336" s="58" t="s">
        <v>4314</v>
      </c>
      <c r="C1336" s="58" t="s">
        <v>2294</v>
      </c>
      <c r="D1336" s="58" t="s">
        <v>4315</v>
      </c>
      <c r="E1336" s="60" t="b">
        <v>1</v>
      </c>
      <c r="F1336" s="80" t="s">
        <v>404</v>
      </c>
      <c r="G1336" s="58" t="s">
        <v>4314</v>
      </c>
      <c r="H1336" s="58" t="s">
        <v>4126</v>
      </c>
      <c r="I1336" s="64" t="s">
        <v>4315</v>
      </c>
      <c r="J1336" s="66"/>
      <c r="K1336" s="66"/>
      <c r="L1336" s="68"/>
      <c r="M1336" s="63" t="str">
        <f>HYPERLINK("http://nsgreg.nga.mil/genc/view?v=863514&amp;end_month=12&amp;end_day=31&amp;end_year=2016","Correlation")</f>
        <v>Correlation</v>
      </c>
    </row>
    <row r="1337" spans="1:13" x14ac:dyDescent="0.2">
      <c r="A1337" s="113"/>
      <c r="B1337" s="58" t="s">
        <v>4316</v>
      </c>
      <c r="C1337" s="58" t="s">
        <v>2294</v>
      </c>
      <c r="D1337" s="58" t="s">
        <v>4317</v>
      </c>
      <c r="E1337" s="60" t="b">
        <v>1</v>
      </c>
      <c r="F1337" s="80" t="s">
        <v>404</v>
      </c>
      <c r="G1337" s="58" t="s">
        <v>4316</v>
      </c>
      <c r="H1337" s="58" t="s">
        <v>4126</v>
      </c>
      <c r="I1337" s="64" t="s">
        <v>4317</v>
      </c>
      <c r="J1337" s="66"/>
      <c r="K1337" s="66"/>
      <c r="L1337" s="68"/>
      <c r="M1337" s="63" t="str">
        <f>HYPERLINK("http://nsgreg.nga.mil/genc/view?v=863515&amp;end_month=12&amp;end_day=31&amp;end_year=2016","Correlation")</f>
        <v>Correlation</v>
      </c>
    </row>
    <row r="1338" spans="1:13" x14ac:dyDescent="0.2">
      <c r="A1338" s="113"/>
      <c r="B1338" s="58" t="s">
        <v>4318</v>
      </c>
      <c r="C1338" s="58" t="s">
        <v>2294</v>
      </c>
      <c r="D1338" s="58" t="s">
        <v>4319</v>
      </c>
      <c r="E1338" s="60" t="b">
        <v>1</v>
      </c>
      <c r="F1338" s="80" t="s">
        <v>404</v>
      </c>
      <c r="G1338" s="58" t="s">
        <v>4318</v>
      </c>
      <c r="H1338" s="58" t="s">
        <v>4126</v>
      </c>
      <c r="I1338" s="64" t="s">
        <v>4319</v>
      </c>
      <c r="J1338" s="66"/>
      <c r="K1338" s="66"/>
      <c r="L1338" s="68"/>
      <c r="M1338" s="63" t="str">
        <f>HYPERLINK("http://nsgreg.nga.mil/genc/view?v=863516&amp;end_month=12&amp;end_day=31&amp;end_year=2016","Correlation")</f>
        <v>Correlation</v>
      </c>
    </row>
    <row r="1339" spans="1:13" x14ac:dyDescent="0.2">
      <c r="A1339" s="113"/>
      <c r="B1339" s="58" t="s">
        <v>4320</v>
      </c>
      <c r="C1339" s="58" t="s">
        <v>2294</v>
      </c>
      <c r="D1339" s="58" t="s">
        <v>4321</v>
      </c>
      <c r="E1339" s="60" t="b">
        <v>1</v>
      </c>
      <c r="F1339" s="80" t="s">
        <v>404</v>
      </c>
      <c r="G1339" s="58" t="s">
        <v>4320</v>
      </c>
      <c r="H1339" s="58" t="s">
        <v>4126</v>
      </c>
      <c r="I1339" s="64" t="s">
        <v>4321</v>
      </c>
      <c r="J1339" s="66"/>
      <c r="K1339" s="66"/>
      <c r="L1339" s="68"/>
      <c r="M1339" s="63" t="str">
        <f>HYPERLINK("http://nsgreg.nga.mil/genc/view?v=863520&amp;end_month=12&amp;end_day=31&amp;end_year=2016","Correlation")</f>
        <v>Correlation</v>
      </c>
    </row>
    <row r="1340" spans="1:13" x14ac:dyDescent="0.2">
      <c r="A1340" s="113"/>
      <c r="B1340" s="58" t="s">
        <v>4322</v>
      </c>
      <c r="C1340" s="58" t="s">
        <v>2294</v>
      </c>
      <c r="D1340" s="58" t="s">
        <v>4323</v>
      </c>
      <c r="E1340" s="60" t="b">
        <v>1</v>
      </c>
      <c r="F1340" s="80" t="s">
        <v>404</v>
      </c>
      <c r="G1340" s="58" t="s">
        <v>4322</v>
      </c>
      <c r="H1340" s="58" t="s">
        <v>4126</v>
      </c>
      <c r="I1340" s="64" t="s">
        <v>4323</v>
      </c>
      <c r="J1340" s="66"/>
      <c r="K1340" s="66"/>
      <c r="L1340" s="68"/>
      <c r="M1340" s="63" t="str">
        <f>HYPERLINK("http://nsgreg.nga.mil/genc/view?v=863519&amp;end_month=12&amp;end_day=31&amp;end_year=2016","Correlation")</f>
        <v>Correlation</v>
      </c>
    </row>
    <row r="1341" spans="1:13" x14ac:dyDescent="0.2">
      <c r="A1341" s="113"/>
      <c r="B1341" s="58" t="s">
        <v>4324</v>
      </c>
      <c r="C1341" s="58" t="s">
        <v>2294</v>
      </c>
      <c r="D1341" s="58" t="s">
        <v>4325</v>
      </c>
      <c r="E1341" s="60" t="b">
        <v>1</v>
      </c>
      <c r="F1341" s="80" t="s">
        <v>404</v>
      </c>
      <c r="G1341" s="58" t="s">
        <v>4324</v>
      </c>
      <c r="H1341" s="58" t="s">
        <v>4126</v>
      </c>
      <c r="I1341" s="64" t="s">
        <v>4325</v>
      </c>
      <c r="J1341" s="66"/>
      <c r="K1341" s="66"/>
      <c r="L1341" s="68"/>
      <c r="M1341" s="63" t="str">
        <f>HYPERLINK("http://nsgreg.nga.mil/genc/view?v=863536&amp;end_month=12&amp;end_day=31&amp;end_year=2016","Correlation")</f>
        <v>Correlation</v>
      </c>
    </row>
    <row r="1342" spans="1:13" x14ac:dyDescent="0.2">
      <c r="A1342" s="113"/>
      <c r="B1342" s="58" t="s">
        <v>4326</v>
      </c>
      <c r="C1342" s="58" t="s">
        <v>2294</v>
      </c>
      <c r="D1342" s="58" t="s">
        <v>4327</v>
      </c>
      <c r="E1342" s="60" t="b">
        <v>1</v>
      </c>
      <c r="F1342" s="80" t="s">
        <v>404</v>
      </c>
      <c r="G1342" s="58" t="s">
        <v>4326</v>
      </c>
      <c r="H1342" s="58" t="s">
        <v>4126</v>
      </c>
      <c r="I1342" s="64" t="s">
        <v>4327</v>
      </c>
      <c r="J1342" s="66"/>
      <c r="K1342" s="66"/>
      <c r="L1342" s="68"/>
      <c r="M1342" s="63" t="str">
        <f>HYPERLINK("http://nsgreg.nga.mil/genc/view?v=863523&amp;end_month=12&amp;end_day=31&amp;end_year=2016","Correlation")</f>
        <v>Correlation</v>
      </c>
    </row>
    <row r="1343" spans="1:13" x14ac:dyDescent="0.2">
      <c r="A1343" s="113"/>
      <c r="B1343" s="58" t="s">
        <v>4328</v>
      </c>
      <c r="C1343" s="58" t="s">
        <v>2294</v>
      </c>
      <c r="D1343" s="58" t="s">
        <v>4329</v>
      </c>
      <c r="E1343" s="60" t="b">
        <v>1</v>
      </c>
      <c r="F1343" s="80" t="s">
        <v>404</v>
      </c>
      <c r="G1343" s="58" t="s">
        <v>4328</v>
      </c>
      <c r="H1343" s="58" t="s">
        <v>4126</v>
      </c>
      <c r="I1343" s="64" t="s">
        <v>4329</v>
      </c>
      <c r="J1343" s="66"/>
      <c r="K1343" s="66"/>
      <c r="L1343" s="68"/>
      <c r="M1343" s="63" t="str">
        <f>HYPERLINK("http://nsgreg.nga.mil/genc/view?v=863524&amp;end_month=12&amp;end_day=31&amp;end_year=2016","Correlation")</f>
        <v>Correlation</v>
      </c>
    </row>
    <row r="1344" spans="1:13" x14ac:dyDescent="0.2">
      <c r="A1344" s="113"/>
      <c r="B1344" s="58" t="s">
        <v>4330</v>
      </c>
      <c r="C1344" s="58" t="s">
        <v>2294</v>
      </c>
      <c r="D1344" s="58" t="s">
        <v>4331</v>
      </c>
      <c r="E1344" s="60" t="b">
        <v>1</v>
      </c>
      <c r="F1344" s="80" t="s">
        <v>404</v>
      </c>
      <c r="G1344" s="58" t="s">
        <v>4330</v>
      </c>
      <c r="H1344" s="58" t="s">
        <v>4126</v>
      </c>
      <c r="I1344" s="64" t="s">
        <v>4331</v>
      </c>
      <c r="J1344" s="66"/>
      <c r="K1344" s="66"/>
      <c r="L1344" s="68"/>
      <c r="M1344" s="63" t="str">
        <f>HYPERLINK("http://nsgreg.nga.mil/genc/view?v=863525&amp;end_month=12&amp;end_day=31&amp;end_year=2016","Correlation")</f>
        <v>Correlation</v>
      </c>
    </row>
    <row r="1345" spans="1:13" x14ac:dyDescent="0.2">
      <c r="A1345" s="113"/>
      <c r="B1345" s="58" t="s">
        <v>4332</v>
      </c>
      <c r="C1345" s="58" t="s">
        <v>2294</v>
      </c>
      <c r="D1345" s="58" t="s">
        <v>4333</v>
      </c>
      <c r="E1345" s="60" t="b">
        <v>1</v>
      </c>
      <c r="F1345" s="80" t="s">
        <v>404</v>
      </c>
      <c r="G1345" s="58" t="s">
        <v>4332</v>
      </c>
      <c r="H1345" s="58" t="s">
        <v>4126</v>
      </c>
      <c r="I1345" s="64" t="s">
        <v>4333</v>
      </c>
      <c r="J1345" s="66"/>
      <c r="K1345" s="66"/>
      <c r="L1345" s="68"/>
      <c r="M1345" s="63" t="str">
        <f>HYPERLINK("http://nsgreg.nga.mil/genc/view?v=863537&amp;end_month=12&amp;end_day=31&amp;end_year=2016","Correlation")</f>
        <v>Correlation</v>
      </c>
    </row>
    <row r="1346" spans="1:13" x14ac:dyDescent="0.2">
      <c r="A1346" s="113"/>
      <c r="B1346" s="58" t="s">
        <v>4334</v>
      </c>
      <c r="C1346" s="58" t="s">
        <v>2294</v>
      </c>
      <c r="D1346" s="58" t="s">
        <v>4335</v>
      </c>
      <c r="E1346" s="60" t="b">
        <v>1</v>
      </c>
      <c r="F1346" s="80" t="s">
        <v>404</v>
      </c>
      <c r="G1346" s="58" t="s">
        <v>4336</v>
      </c>
      <c r="H1346" s="58" t="s">
        <v>4126</v>
      </c>
      <c r="I1346" s="64" t="s">
        <v>4335</v>
      </c>
      <c r="J1346" s="66"/>
      <c r="K1346" s="66"/>
      <c r="L1346" s="68"/>
      <c r="M1346" s="63" t="str">
        <f>HYPERLINK("http://nsgreg.nga.mil/genc/view?v=863538&amp;end_month=12&amp;end_day=31&amp;end_year=2016","Correlation")</f>
        <v>Correlation</v>
      </c>
    </row>
    <row r="1347" spans="1:13" x14ac:dyDescent="0.2">
      <c r="A1347" s="113"/>
      <c r="B1347" s="58" t="s">
        <v>4337</v>
      </c>
      <c r="C1347" s="58" t="s">
        <v>2294</v>
      </c>
      <c r="D1347" s="58" t="s">
        <v>4338</v>
      </c>
      <c r="E1347" s="60" t="b">
        <v>1</v>
      </c>
      <c r="F1347" s="80" t="s">
        <v>404</v>
      </c>
      <c r="G1347" s="58" t="s">
        <v>4337</v>
      </c>
      <c r="H1347" s="58" t="s">
        <v>4126</v>
      </c>
      <c r="I1347" s="64" t="s">
        <v>4338</v>
      </c>
      <c r="J1347" s="66"/>
      <c r="K1347" s="66"/>
      <c r="L1347" s="68"/>
      <c r="M1347" s="63" t="str">
        <f>HYPERLINK("http://nsgreg.nga.mil/genc/view?v=863526&amp;end_month=12&amp;end_day=31&amp;end_year=2016","Correlation")</f>
        <v>Correlation</v>
      </c>
    </row>
    <row r="1348" spans="1:13" x14ac:dyDescent="0.2">
      <c r="A1348" s="113"/>
      <c r="B1348" s="58" t="s">
        <v>4339</v>
      </c>
      <c r="C1348" s="58" t="s">
        <v>2294</v>
      </c>
      <c r="D1348" s="58" t="s">
        <v>4340</v>
      </c>
      <c r="E1348" s="60" t="b">
        <v>1</v>
      </c>
      <c r="F1348" s="80" t="s">
        <v>404</v>
      </c>
      <c r="G1348" s="58" t="s">
        <v>4339</v>
      </c>
      <c r="H1348" s="58" t="s">
        <v>4126</v>
      </c>
      <c r="I1348" s="64" t="s">
        <v>4340</v>
      </c>
      <c r="J1348" s="66"/>
      <c r="K1348" s="66"/>
      <c r="L1348" s="68"/>
      <c r="M1348" s="63" t="str">
        <f>HYPERLINK("http://nsgreg.nga.mil/genc/view?v=863527&amp;end_month=12&amp;end_day=31&amp;end_year=2016","Correlation")</f>
        <v>Correlation</v>
      </c>
    </row>
    <row r="1349" spans="1:13" x14ac:dyDescent="0.2">
      <c r="A1349" s="113"/>
      <c r="B1349" s="58" t="s">
        <v>4341</v>
      </c>
      <c r="C1349" s="58" t="s">
        <v>2294</v>
      </c>
      <c r="D1349" s="58" t="s">
        <v>4342</v>
      </c>
      <c r="E1349" s="60" t="b">
        <v>1</v>
      </c>
      <c r="F1349" s="80" t="s">
        <v>404</v>
      </c>
      <c r="G1349" s="58" t="s">
        <v>4341</v>
      </c>
      <c r="H1349" s="58" t="s">
        <v>4126</v>
      </c>
      <c r="I1349" s="64" t="s">
        <v>4342</v>
      </c>
      <c r="J1349" s="66"/>
      <c r="K1349" s="66"/>
      <c r="L1349" s="68"/>
      <c r="M1349" s="63" t="str">
        <f>HYPERLINK("http://nsgreg.nga.mil/genc/view?v=863528&amp;end_month=12&amp;end_day=31&amp;end_year=2016","Correlation")</f>
        <v>Correlation</v>
      </c>
    </row>
    <row r="1350" spans="1:13" x14ac:dyDescent="0.2">
      <c r="A1350" s="113"/>
      <c r="B1350" s="58" t="s">
        <v>4343</v>
      </c>
      <c r="C1350" s="58" t="s">
        <v>2294</v>
      </c>
      <c r="D1350" s="58" t="s">
        <v>4344</v>
      </c>
      <c r="E1350" s="60" t="b">
        <v>1</v>
      </c>
      <c r="F1350" s="80" t="s">
        <v>404</v>
      </c>
      <c r="G1350" s="58" t="s">
        <v>4343</v>
      </c>
      <c r="H1350" s="58" t="s">
        <v>4126</v>
      </c>
      <c r="I1350" s="64" t="s">
        <v>4344</v>
      </c>
      <c r="J1350" s="66"/>
      <c r="K1350" s="66"/>
      <c r="L1350" s="68"/>
      <c r="M1350" s="63" t="str">
        <f>HYPERLINK("http://nsgreg.nga.mil/genc/view?v=863529&amp;end_month=12&amp;end_day=31&amp;end_year=2016","Correlation")</f>
        <v>Correlation</v>
      </c>
    </row>
    <row r="1351" spans="1:13" x14ac:dyDescent="0.2">
      <c r="A1351" s="113"/>
      <c r="B1351" s="58" t="s">
        <v>4345</v>
      </c>
      <c r="C1351" s="58" t="s">
        <v>2294</v>
      </c>
      <c r="D1351" s="58" t="s">
        <v>4346</v>
      </c>
      <c r="E1351" s="60" t="b">
        <v>1</v>
      </c>
      <c r="F1351" s="80" t="s">
        <v>404</v>
      </c>
      <c r="G1351" s="58" t="s">
        <v>4345</v>
      </c>
      <c r="H1351" s="58" t="s">
        <v>4126</v>
      </c>
      <c r="I1351" s="64" t="s">
        <v>4346</v>
      </c>
      <c r="J1351" s="66"/>
      <c r="K1351" s="66"/>
      <c r="L1351" s="68"/>
      <c r="M1351" s="63" t="str">
        <f>HYPERLINK("http://nsgreg.nga.mil/genc/view?v=863531&amp;end_month=12&amp;end_day=31&amp;end_year=2016","Correlation")</f>
        <v>Correlation</v>
      </c>
    </row>
    <row r="1352" spans="1:13" x14ac:dyDescent="0.2">
      <c r="A1352" s="113"/>
      <c r="B1352" s="58" t="s">
        <v>4347</v>
      </c>
      <c r="C1352" s="58" t="s">
        <v>2294</v>
      </c>
      <c r="D1352" s="58" t="s">
        <v>4348</v>
      </c>
      <c r="E1352" s="60" t="b">
        <v>1</v>
      </c>
      <c r="F1352" s="80" t="s">
        <v>404</v>
      </c>
      <c r="G1352" s="58" t="s">
        <v>4347</v>
      </c>
      <c r="H1352" s="58" t="s">
        <v>4126</v>
      </c>
      <c r="I1352" s="64" t="s">
        <v>4348</v>
      </c>
      <c r="J1352" s="66"/>
      <c r="K1352" s="66"/>
      <c r="L1352" s="68"/>
      <c r="M1352" s="63" t="str">
        <f>HYPERLINK("http://nsgreg.nga.mil/genc/view?v=863532&amp;end_month=12&amp;end_day=31&amp;end_year=2016","Correlation")</f>
        <v>Correlation</v>
      </c>
    </row>
    <row r="1353" spans="1:13" x14ac:dyDescent="0.2">
      <c r="A1353" s="114"/>
      <c r="B1353" s="71" t="s">
        <v>4349</v>
      </c>
      <c r="C1353" s="71" t="s">
        <v>2294</v>
      </c>
      <c r="D1353" s="71" t="s">
        <v>4350</v>
      </c>
      <c r="E1353" s="73" t="b">
        <v>1</v>
      </c>
      <c r="F1353" s="81" t="s">
        <v>404</v>
      </c>
      <c r="G1353" s="71" t="s">
        <v>4349</v>
      </c>
      <c r="H1353" s="71" t="s">
        <v>4126</v>
      </c>
      <c r="I1353" s="74" t="s">
        <v>4350</v>
      </c>
      <c r="J1353" s="76"/>
      <c r="K1353" s="76"/>
      <c r="L1353" s="82"/>
      <c r="M1353" s="77" t="str">
        <f>HYPERLINK("http://nsgreg.nga.mil/genc/view?v=863521&amp;end_month=12&amp;end_day=31&amp;end_year=2016","Correlation")</f>
        <v>Correlation</v>
      </c>
    </row>
    <row r="1354" spans="1:13" x14ac:dyDescent="0.2">
      <c r="A1354" s="112" t="s">
        <v>574</v>
      </c>
      <c r="B1354" s="50" t="s">
        <v>4351</v>
      </c>
      <c r="C1354" s="50" t="s">
        <v>4352</v>
      </c>
      <c r="D1354" s="50" t="s">
        <v>4353</v>
      </c>
      <c r="E1354" s="52" t="b">
        <v>1</v>
      </c>
      <c r="F1354" s="83" t="s">
        <v>167</v>
      </c>
      <c r="G1354" s="83"/>
      <c r="H1354" s="83"/>
      <c r="I1354" s="83"/>
      <c r="J1354" s="83"/>
      <c r="K1354" s="83"/>
      <c r="L1354" s="84"/>
      <c r="M1354" s="56" t="str">
        <f>HYPERLINK("http://nsgreg.nga.mil/genc/view?v=865599&amp;end_month=12&amp;end_day=31&amp;end_year=2016","Correlation")</f>
        <v>Correlation</v>
      </c>
    </row>
    <row r="1355" spans="1:13" x14ac:dyDescent="0.2">
      <c r="A1355" s="113"/>
      <c r="B1355" s="58" t="s">
        <v>4354</v>
      </c>
      <c r="C1355" s="58" t="s">
        <v>4352</v>
      </c>
      <c r="D1355" s="58" t="s">
        <v>4355</v>
      </c>
      <c r="E1355" s="60" t="b">
        <v>1</v>
      </c>
      <c r="F1355" s="61" t="s">
        <v>167</v>
      </c>
      <c r="G1355" s="61"/>
      <c r="H1355" s="61"/>
      <c r="I1355" s="61"/>
      <c r="J1355" s="61"/>
      <c r="K1355" s="61"/>
      <c r="L1355" s="62"/>
      <c r="M1355" s="63" t="str">
        <f>HYPERLINK("http://nsgreg.nga.mil/genc/view?v=865600&amp;end_month=12&amp;end_day=31&amp;end_year=2016","Correlation")</f>
        <v>Correlation</v>
      </c>
    </row>
    <row r="1356" spans="1:13" x14ac:dyDescent="0.2">
      <c r="A1356" s="113"/>
      <c r="B1356" s="58" t="s">
        <v>4356</v>
      </c>
      <c r="C1356" s="58" t="s">
        <v>4352</v>
      </c>
      <c r="D1356" s="58" t="s">
        <v>4357</v>
      </c>
      <c r="E1356" s="60" t="b">
        <v>1</v>
      </c>
      <c r="F1356" s="61" t="s">
        <v>167</v>
      </c>
      <c r="G1356" s="61"/>
      <c r="H1356" s="61"/>
      <c r="I1356" s="61"/>
      <c r="J1356" s="61"/>
      <c r="K1356" s="61"/>
      <c r="L1356" s="62"/>
      <c r="M1356" s="63" t="str">
        <f>HYPERLINK("http://nsgreg.nga.mil/genc/view?v=865601&amp;end_month=12&amp;end_day=31&amp;end_year=2016","Correlation")</f>
        <v>Correlation</v>
      </c>
    </row>
    <row r="1357" spans="1:13" x14ac:dyDescent="0.2">
      <c r="A1357" s="113"/>
      <c r="B1357" s="58" t="s">
        <v>4358</v>
      </c>
      <c r="C1357" s="58" t="s">
        <v>4352</v>
      </c>
      <c r="D1357" s="58" t="s">
        <v>4359</v>
      </c>
      <c r="E1357" s="60" t="b">
        <v>1</v>
      </c>
      <c r="F1357" s="61" t="s">
        <v>167</v>
      </c>
      <c r="G1357" s="61"/>
      <c r="H1357" s="61"/>
      <c r="I1357" s="61"/>
      <c r="J1357" s="61"/>
      <c r="K1357" s="61"/>
      <c r="L1357" s="62"/>
      <c r="M1357" s="63" t="str">
        <f>HYPERLINK("http://nsgreg.nga.mil/genc/view?v=865602&amp;end_month=12&amp;end_day=31&amp;end_year=2016","Correlation")</f>
        <v>Correlation</v>
      </c>
    </row>
    <row r="1358" spans="1:13" x14ac:dyDescent="0.2">
      <c r="A1358" s="114"/>
      <c r="B1358" s="71" t="s">
        <v>4360</v>
      </c>
      <c r="C1358" s="71" t="s">
        <v>4352</v>
      </c>
      <c r="D1358" s="71" t="s">
        <v>4361</v>
      </c>
      <c r="E1358" s="73" t="b">
        <v>1</v>
      </c>
      <c r="F1358" s="85" t="s">
        <v>167</v>
      </c>
      <c r="G1358" s="85"/>
      <c r="H1358" s="85"/>
      <c r="I1358" s="85"/>
      <c r="J1358" s="85"/>
      <c r="K1358" s="85"/>
      <c r="L1358" s="86"/>
      <c r="M1358" s="77" t="str">
        <f>HYPERLINK("http://nsgreg.nga.mil/genc/view?v=865603&amp;end_month=12&amp;end_day=31&amp;end_year=2016","Correlation")</f>
        <v>Correlation</v>
      </c>
    </row>
    <row r="1359" spans="1:13" x14ac:dyDescent="0.2">
      <c r="A1359" s="112" t="s">
        <v>581</v>
      </c>
      <c r="B1359" s="50" t="s">
        <v>4362</v>
      </c>
      <c r="C1359" s="50" t="s">
        <v>1413</v>
      </c>
      <c r="D1359" s="50" t="s">
        <v>4363</v>
      </c>
      <c r="E1359" s="52" t="b">
        <v>1</v>
      </c>
      <c r="F1359" s="78" t="s">
        <v>581</v>
      </c>
      <c r="G1359" s="50" t="s">
        <v>4362</v>
      </c>
      <c r="H1359" s="50" t="s">
        <v>1413</v>
      </c>
      <c r="I1359" s="53" t="s">
        <v>4363</v>
      </c>
      <c r="J1359" s="55"/>
      <c r="K1359" s="55"/>
      <c r="L1359" s="79"/>
      <c r="M1359" s="56" t="str">
        <f>HYPERLINK("http://nsgreg.nga.mil/genc/view?v=863552&amp;end_month=12&amp;end_day=31&amp;end_year=2016","Correlation")</f>
        <v>Correlation</v>
      </c>
    </row>
    <row r="1360" spans="1:13" x14ac:dyDescent="0.2">
      <c r="A1360" s="113"/>
      <c r="B1360" s="58" t="s">
        <v>4364</v>
      </c>
      <c r="C1360" s="58" t="s">
        <v>1413</v>
      </c>
      <c r="D1360" s="58" t="s">
        <v>4365</v>
      </c>
      <c r="E1360" s="60" t="b">
        <v>1</v>
      </c>
      <c r="F1360" s="80" t="s">
        <v>581</v>
      </c>
      <c r="G1360" s="58" t="s">
        <v>4364</v>
      </c>
      <c r="H1360" s="58" t="s">
        <v>1413</v>
      </c>
      <c r="I1360" s="64" t="s">
        <v>4365</v>
      </c>
      <c r="J1360" s="66"/>
      <c r="K1360" s="66"/>
      <c r="L1360" s="68"/>
      <c r="M1360" s="63" t="str">
        <f>HYPERLINK("http://nsgreg.nga.mil/genc/view?v=863553&amp;end_month=12&amp;end_day=31&amp;end_year=2016","Correlation")</f>
        <v>Correlation</v>
      </c>
    </row>
    <row r="1361" spans="1:13" x14ac:dyDescent="0.2">
      <c r="A1361" s="113"/>
      <c r="B1361" s="58" t="s">
        <v>4366</v>
      </c>
      <c r="C1361" s="58" t="s">
        <v>1413</v>
      </c>
      <c r="D1361" s="58" t="s">
        <v>4367</v>
      </c>
      <c r="E1361" s="60" t="b">
        <v>1</v>
      </c>
      <c r="F1361" s="80" t="s">
        <v>581</v>
      </c>
      <c r="G1361" s="58" t="s">
        <v>4366</v>
      </c>
      <c r="H1361" s="58" t="s">
        <v>1413</v>
      </c>
      <c r="I1361" s="64" t="s">
        <v>4367</v>
      </c>
      <c r="J1361" s="66"/>
      <c r="K1361" s="66"/>
      <c r="L1361" s="68"/>
      <c r="M1361" s="63" t="str">
        <f>HYPERLINK("http://nsgreg.nga.mil/genc/view?v=863554&amp;end_month=12&amp;end_day=31&amp;end_year=2016","Correlation")</f>
        <v>Correlation</v>
      </c>
    </row>
    <row r="1362" spans="1:13" x14ac:dyDescent="0.2">
      <c r="A1362" s="113"/>
      <c r="B1362" s="58" t="s">
        <v>4368</v>
      </c>
      <c r="C1362" s="58" t="s">
        <v>1413</v>
      </c>
      <c r="D1362" s="58" t="s">
        <v>4369</v>
      </c>
      <c r="E1362" s="60" t="b">
        <v>1</v>
      </c>
      <c r="F1362" s="80" t="s">
        <v>581</v>
      </c>
      <c r="G1362" s="58" t="s">
        <v>4368</v>
      </c>
      <c r="H1362" s="58" t="s">
        <v>1413</v>
      </c>
      <c r="I1362" s="64" t="s">
        <v>4369</v>
      </c>
      <c r="J1362" s="66"/>
      <c r="K1362" s="66"/>
      <c r="L1362" s="68"/>
      <c r="M1362" s="63" t="str">
        <f>HYPERLINK("http://nsgreg.nga.mil/genc/view?v=863555&amp;end_month=12&amp;end_day=31&amp;end_year=2016","Correlation")</f>
        <v>Correlation</v>
      </c>
    </row>
    <row r="1363" spans="1:13" x14ac:dyDescent="0.2">
      <c r="A1363" s="113"/>
      <c r="B1363" s="58" t="s">
        <v>4370</v>
      </c>
      <c r="C1363" s="58" t="s">
        <v>1413</v>
      </c>
      <c r="D1363" s="58" t="s">
        <v>4371</v>
      </c>
      <c r="E1363" s="60" t="b">
        <v>1</v>
      </c>
      <c r="F1363" s="80" t="s">
        <v>581</v>
      </c>
      <c r="G1363" s="58" t="s">
        <v>4370</v>
      </c>
      <c r="H1363" s="58" t="s">
        <v>1413</v>
      </c>
      <c r="I1363" s="64" t="s">
        <v>4371</v>
      </c>
      <c r="J1363" s="66"/>
      <c r="K1363" s="66"/>
      <c r="L1363" s="68"/>
      <c r="M1363" s="63" t="str">
        <f>HYPERLINK("http://nsgreg.nga.mil/genc/view?v=863556&amp;end_month=12&amp;end_day=31&amp;end_year=2016","Correlation")</f>
        <v>Correlation</v>
      </c>
    </row>
    <row r="1364" spans="1:13" x14ac:dyDescent="0.2">
      <c r="A1364" s="113"/>
      <c r="B1364" s="58" t="s">
        <v>4372</v>
      </c>
      <c r="C1364" s="58" t="s">
        <v>1413</v>
      </c>
      <c r="D1364" s="58" t="s">
        <v>4373</v>
      </c>
      <c r="E1364" s="60" t="b">
        <v>1</v>
      </c>
      <c r="F1364" s="80" t="s">
        <v>581</v>
      </c>
      <c r="G1364" s="58" t="s">
        <v>4372</v>
      </c>
      <c r="H1364" s="58" t="s">
        <v>1413</v>
      </c>
      <c r="I1364" s="64" t="s">
        <v>4373</v>
      </c>
      <c r="J1364" s="66"/>
      <c r="K1364" s="66"/>
      <c r="L1364" s="68"/>
      <c r="M1364" s="63" t="str">
        <f>HYPERLINK("http://nsgreg.nga.mil/genc/view?v=863557&amp;end_month=12&amp;end_day=31&amp;end_year=2016","Correlation")</f>
        <v>Correlation</v>
      </c>
    </row>
    <row r="1365" spans="1:13" x14ac:dyDescent="0.2">
      <c r="A1365" s="113"/>
      <c r="B1365" s="58" t="s">
        <v>4374</v>
      </c>
      <c r="C1365" s="58" t="s">
        <v>1413</v>
      </c>
      <c r="D1365" s="58" t="s">
        <v>4375</v>
      </c>
      <c r="E1365" s="60" t="b">
        <v>1</v>
      </c>
      <c r="F1365" s="80" t="s">
        <v>581</v>
      </c>
      <c r="G1365" s="58" t="s">
        <v>4374</v>
      </c>
      <c r="H1365" s="58" t="s">
        <v>1413</v>
      </c>
      <c r="I1365" s="64" t="s">
        <v>4375</v>
      </c>
      <c r="J1365" s="66"/>
      <c r="K1365" s="66"/>
      <c r="L1365" s="68"/>
      <c r="M1365" s="63" t="str">
        <f>HYPERLINK("http://nsgreg.nga.mil/genc/view?v=863558&amp;end_month=12&amp;end_day=31&amp;end_year=2016","Correlation")</f>
        <v>Correlation</v>
      </c>
    </row>
    <row r="1366" spans="1:13" x14ac:dyDescent="0.2">
      <c r="A1366" s="113"/>
      <c r="B1366" s="58" t="s">
        <v>4376</v>
      </c>
      <c r="C1366" s="58" t="s">
        <v>1413</v>
      </c>
      <c r="D1366" s="58" t="s">
        <v>4377</v>
      </c>
      <c r="E1366" s="60" t="b">
        <v>1</v>
      </c>
      <c r="F1366" s="80" t="s">
        <v>581</v>
      </c>
      <c r="G1366" s="58" t="s">
        <v>4376</v>
      </c>
      <c r="H1366" s="58" t="s">
        <v>1413</v>
      </c>
      <c r="I1366" s="64" t="s">
        <v>4377</v>
      </c>
      <c r="J1366" s="66"/>
      <c r="K1366" s="66"/>
      <c r="L1366" s="68"/>
      <c r="M1366" s="63" t="str">
        <f>HYPERLINK("http://nsgreg.nga.mil/genc/view?v=863559&amp;end_month=12&amp;end_day=31&amp;end_year=2016","Correlation")</f>
        <v>Correlation</v>
      </c>
    </row>
    <row r="1367" spans="1:13" x14ac:dyDescent="0.2">
      <c r="A1367" s="114"/>
      <c r="B1367" s="71" t="s">
        <v>4378</v>
      </c>
      <c r="C1367" s="71" t="s">
        <v>1413</v>
      </c>
      <c r="D1367" s="71" t="s">
        <v>4379</v>
      </c>
      <c r="E1367" s="73" t="b">
        <v>1</v>
      </c>
      <c r="F1367" s="81" t="s">
        <v>581</v>
      </c>
      <c r="G1367" s="71" t="s">
        <v>4378</v>
      </c>
      <c r="H1367" s="71" t="s">
        <v>1413</v>
      </c>
      <c r="I1367" s="74" t="s">
        <v>4379</v>
      </c>
      <c r="J1367" s="76"/>
      <c r="K1367" s="76"/>
      <c r="L1367" s="82"/>
      <c r="M1367" s="77" t="str">
        <f>HYPERLINK("http://nsgreg.nga.mil/genc/view?v=863560&amp;end_month=12&amp;end_day=31&amp;end_year=2016","Correlation")</f>
        <v>Correlation</v>
      </c>
    </row>
    <row r="1368" spans="1:13" x14ac:dyDescent="0.2">
      <c r="A1368" s="112" t="s">
        <v>585</v>
      </c>
      <c r="B1368" s="50" t="s">
        <v>4380</v>
      </c>
      <c r="C1368" s="50" t="s">
        <v>1681</v>
      </c>
      <c r="D1368" s="50" t="s">
        <v>4381</v>
      </c>
      <c r="E1368" s="52" t="b">
        <v>1</v>
      </c>
      <c r="F1368" s="78" t="s">
        <v>589</v>
      </c>
      <c r="G1368" s="50" t="s">
        <v>4380</v>
      </c>
      <c r="H1368" s="50" t="s">
        <v>1681</v>
      </c>
      <c r="I1368" s="53" t="s">
        <v>4381</v>
      </c>
      <c r="J1368" s="55"/>
      <c r="K1368" s="55"/>
      <c r="L1368" s="79"/>
      <c r="M1368" s="56" t="str">
        <f>HYPERLINK("http://nsgreg.nga.mil/genc/view?v=863815&amp;end_month=12&amp;end_day=31&amp;end_year=2016","Correlation")</f>
        <v>Correlation</v>
      </c>
    </row>
    <row r="1369" spans="1:13" x14ac:dyDescent="0.2">
      <c r="A1369" s="113"/>
      <c r="B1369" s="58" t="s">
        <v>4382</v>
      </c>
      <c r="C1369" s="58" t="s">
        <v>1728</v>
      </c>
      <c r="D1369" s="58" t="s">
        <v>4383</v>
      </c>
      <c r="E1369" s="60" t="b">
        <v>1</v>
      </c>
      <c r="F1369" s="80" t="s">
        <v>589</v>
      </c>
      <c r="G1369" s="58" t="s">
        <v>4382</v>
      </c>
      <c r="H1369" s="58" t="s">
        <v>2048</v>
      </c>
      <c r="I1369" s="64" t="s">
        <v>4383</v>
      </c>
      <c r="J1369" s="66"/>
      <c r="K1369" s="66"/>
      <c r="L1369" s="68"/>
      <c r="M1369" s="63" t="str">
        <f>HYPERLINK("http://nsgreg.nga.mil/genc/view?v=863818&amp;end_month=12&amp;end_day=31&amp;end_year=2016","Correlation")</f>
        <v>Correlation</v>
      </c>
    </row>
    <row r="1370" spans="1:13" x14ac:dyDescent="0.2">
      <c r="A1370" s="113"/>
      <c r="B1370" s="58" t="s">
        <v>4384</v>
      </c>
      <c r="C1370" s="58" t="s">
        <v>1816</v>
      </c>
      <c r="D1370" s="58" t="s">
        <v>4385</v>
      </c>
      <c r="E1370" s="60" t="b">
        <v>1</v>
      </c>
      <c r="F1370" s="61" t="s">
        <v>167</v>
      </c>
      <c r="G1370" s="61"/>
      <c r="H1370" s="61"/>
      <c r="I1370" s="61"/>
      <c r="J1370" s="61"/>
      <c r="K1370" s="61"/>
      <c r="L1370" s="62"/>
      <c r="M1370" s="63" t="str">
        <f>HYPERLINK("http://nsgreg.nga.mil/genc/view?v=863816&amp;end_month=12&amp;end_day=31&amp;end_year=2016","Correlation")</f>
        <v>Correlation</v>
      </c>
    </row>
    <row r="1371" spans="1:13" x14ac:dyDescent="0.2">
      <c r="A1371" s="113"/>
      <c r="B1371" s="58" t="s">
        <v>4386</v>
      </c>
      <c r="C1371" s="58" t="s">
        <v>1728</v>
      </c>
      <c r="D1371" s="58" t="s">
        <v>4387</v>
      </c>
      <c r="E1371" s="60" t="b">
        <v>1</v>
      </c>
      <c r="F1371" s="80" t="s">
        <v>589</v>
      </c>
      <c r="G1371" s="58" t="s">
        <v>4386</v>
      </c>
      <c r="H1371" s="58" t="s">
        <v>2048</v>
      </c>
      <c r="I1371" s="64" t="s">
        <v>4387</v>
      </c>
      <c r="J1371" s="66"/>
      <c r="K1371" s="66"/>
      <c r="L1371" s="68"/>
      <c r="M1371" s="63" t="str">
        <f>HYPERLINK("http://nsgreg.nga.mil/genc/view?v=863817&amp;end_month=12&amp;end_day=31&amp;end_year=2016","Correlation")</f>
        <v>Correlation</v>
      </c>
    </row>
    <row r="1372" spans="1:13" x14ac:dyDescent="0.2">
      <c r="A1372" s="113"/>
      <c r="B1372" s="58" t="s">
        <v>4388</v>
      </c>
      <c r="C1372" s="58" t="s">
        <v>1728</v>
      </c>
      <c r="D1372" s="58" t="s">
        <v>4389</v>
      </c>
      <c r="E1372" s="60" t="b">
        <v>1</v>
      </c>
      <c r="F1372" s="80" t="s">
        <v>589</v>
      </c>
      <c r="G1372" s="58" t="s">
        <v>4388</v>
      </c>
      <c r="H1372" s="58" t="s">
        <v>2048</v>
      </c>
      <c r="I1372" s="64" t="s">
        <v>4389</v>
      </c>
      <c r="J1372" s="66"/>
      <c r="K1372" s="66"/>
      <c r="L1372" s="68"/>
      <c r="M1372" s="63" t="str">
        <f>HYPERLINK("http://nsgreg.nga.mil/genc/view?v=863819&amp;end_month=12&amp;end_day=31&amp;end_year=2016","Correlation")</f>
        <v>Correlation</v>
      </c>
    </row>
    <row r="1373" spans="1:13" x14ac:dyDescent="0.2">
      <c r="A1373" s="113"/>
      <c r="B1373" s="58" t="s">
        <v>4390</v>
      </c>
      <c r="C1373" s="58" t="s">
        <v>1728</v>
      </c>
      <c r="D1373" s="58" t="s">
        <v>4391</v>
      </c>
      <c r="E1373" s="60" t="b">
        <v>1</v>
      </c>
      <c r="F1373" s="80" t="s">
        <v>589</v>
      </c>
      <c r="G1373" s="58" t="s">
        <v>4390</v>
      </c>
      <c r="H1373" s="58" t="s">
        <v>2048</v>
      </c>
      <c r="I1373" s="64" t="s">
        <v>4391</v>
      </c>
      <c r="J1373" s="66"/>
      <c r="K1373" s="66"/>
      <c r="L1373" s="68"/>
      <c r="M1373" s="63" t="str">
        <f>HYPERLINK("http://nsgreg.nga.mil/genc/view?v=863820&amp;end_month=12&amp;end_day=31&amp;end_year=2016","Correlation")</f>
        <v>Correlation</v>
      </c>
    </row>
    <row r="1374" spans="1:13" x14ac:dyDescent="0.2">
      <c r="A1374" s="114"/>
      <c r="B1374" s="71" t="s">
        <v>4392</v>
      </c>
      <c r="C1374" s="71" t="s">
        <v>1728</v>
      </c>
      <c r="D1374" s="71" t="s">
        <v>4393</v>
      </c>
      <c r="E1374" s="73" t="b">
        <v>1</v>
      </c>
      <c r="F1374" s="81" t="s">
        <v>589</v>
      </c>
      <c r="G1374" s="71" t="s">
        <v>4083</v>
      </c>
      <c r="H1374" s="71" t="s">
        <v>2048</v>
      </c>
      <c r="I1374" s="74" t="s">
        <v>4393</v>
      </c>
      <c r="J1374" s="76"/>
      <c r="K1374" s="76"/>
      <c r="L1374" s="82"/>
      <c r="M1374" s="77" t="str">
        <f>HYPERLINK("http://nsgreg.nga.mil/genc/view?v=863821&amp;end_month=12&amp;end_day=31&amp;end_year=2016","Correlation")</f>
        <v>Correlation</v>
      </c>
    </row>
    <row r="1375" spans="1:13" x14ac:dyDescent="0.2">
      <c r="A1375" s="112" t="s">
        <v>598</v>
      </c>
      <c r="B1375" s="50" t="s">
        <v>4394</v>
      </c>
      <c r="C1375" s="50" t="s">
        <v>1875</v>
      </c>
      <c r="D1375" s="50" t="s">
        <v>4395</v>
      </c>
      <c r="E1375" s="52" t="b">
        <v>1</v>
      </c>
      <c r="F1375" s="78" t="s">
        <v>598</v>
      </c>
      <c r="G1375" s="50" t="s">
        <v>4394</v>
      </c>
      <c r="H1375" s="50" t="s">
        <v>1875</v>
      </c>
      <c r="I1375" s="53" t="s">
        <v>4395</v>
      </c>
      <c r="J1375" s="55"/>
      <c r="K1375" s="55"/>
      <c r="L1375" s="79"/>
      <c r="M1375" s="56" t="str">
        <f>HYPERLINK("http://nsgreg.nga.mil/genc/view?v=863789&amp;end_month=12&amp;end_day=31&amp;end_year=2016","Correlation")</f>
        <v>Correlation</v>
      </c>
    </row>
    <row r="1376" spans="1:13" x14ac:dyDescent="0.2">
      <c r="A1376" s="113"/>
      <c r="B1376" s="58" t="s">
        <v>4396</v>
      </c>
      <c r="C1376" s="58" t="s">
        <v>1875</v>
      </c>
      <c r="D1376" s="58" t="s">
        <v>4397</v>
      </c>
      <c r="E1376" s="60" t="b">
        <v>1</v>
      </c>
      <c r="F1376" s="80" t="s">
        <v>598</v>
      </c>
      <c r="G1376" s="58" t="s">
        <v>4396</v>
      </c>
      <c r="H1376" s="58" t="s">
        <v>1875</v>
      </c>
      <c r="I1376" s="64" t="s">
        <v>4397</v>
      </c>
      <c r="J1376" s="66"/>
      <c r="K1376" s="66"/>
      <c r="L1376" s="68"/>
      <c r="M1376" s="63" t="str">
        <f>HYPERLINK("http://nsgreg.nga.mil/genc/view?v=863790&amp;end_month=12&amp;end_day=31&amp;end_year=2016","Correlation")</f>
        <v>Correlation</v>
      </c>
    </row>
    <row r="1377" spans="1:13" x14ac:dyDescent="0.2">
      <c r="A1377" s="113"/>
      <c r="B1377" s="58" t="s">
        <v>4398</v>
      </c>
      <c r="C1377" s="58" t="s">
        <v>1728</v>
      </c>
      <c r="D1377" s="58" t="s">
        <v>4399</v>
      </c>
      <c r="E1377" s="60" t="b">
        <v>1</v>
      </c>
      <c r="F1377" s="80" t="s">
        <v>598</v>
      </c>
      <c r="G1377" s="58" t="s">
        <v>4398</v>
      </c>
      <c r="H1377" s="58" t="s">
        <v>1728</v>
      </c>
      <c r="I1377" s="64" t="s">
        <v>4399</v>
      </c>
      <c r="J1377" s="66"/>
      <c r="K1377" s="66"/>
      <c r="L1377" s="68"/>
      <c r="M1377" s="63" t="str">
        <f>HYPERLINK("http://nsgreg.nga.mil/genc/view?v=863791&amp;end_month=12&amp;end_day=31&amp;end_year=2016","Correlation")</f>
        <v>Correlation</v>
      </c>
    </row>
    <row r="1378" spans="1:13" x14ac:dyDescent="0.2">
      <c r="A1378" s="113"/>
      <c r="B1378" s="58" t="s">
        <v>4400</v>
      </c>
      <c r="C1378" s="58" t="s">
        <v>1728</v>
      </c>
      <c r="D1378" s="58" t="s">
        <v>4401</v>
      </c>
      <c r="E1378" s="60" t="b">
        <v>1</v>
      </c>
      <c r="F1378" s="80" t="s">
        <v>598</v>
      </c>
      <c r="G1378" s="58" t="s">
        <v>4400</v>
      </c>
      <c r="H1378" s="58" t="s">
        <v>1728</v>
      </c>
      <c r="I1378" s="64" t="s">
        <v>4401</v>
      </c>
      <c r="J1378" s="66"/>
      <c r="K1378" s="66"/>
      <c r="L1378" s="68"/>
      <c r="M1378" s="63" t="str">
        <f>HYPERLINK("http://nsgreg.nga.mil/genc/view?v=863792&amp;end_month=12&amp;end_day=31&amp;end_year=2016","Correlation")</f>
        <v>Correlation</v>
      </c>
    </row>
    <row r="1379" spans="1:13" x14ac:dyDescent="0.2">
      <c r="A1379" s="113"/>
      <c r="B1379" s="58" t="s">
        <v>4402</v>
      </c>
      <c r="C1379" s="58" t="s">
        <v>1728</v>
      </c>
      <c r="D1379" s="58" t="s">
        <v>4403</v>
      </c>
      <c r="E1379" s="60" t="b">
        <v>1</v>
      </c>
      <c r="F1379" s="80" t="s">
        <v>598</v>
      </c>
      <c r="G1379" s="58" t="s">
        <v>4404</v>
      </c>
      <c r="H1379" s="58" t="s">
        <v>1728</v>
      </c>
      <c r="I1379" s="64" t="s">
        <v>4403</v>
      </c>
      <c r="J1379" s="66"/>
      <c r="K1379" s="66"/>
      <c r="L1379" s="68"/>
      <c r="M1379" s="63" t="str">
        <f>HYPERLINK("http://nsgreg.nga.mil/genc/view?v=863793&amp;end_month=12&amp;end_day=31&amp;end_year=2016","Correlation")</f>
        <v>Correlation</v>
      </c>
    </row>
    <row r="1380" spans="1:13" x14ac:dyDescent="0.2">
      <c r="A1380" s="113"/>
      <c r="B1380" s="58" t="s">
        <v>4405</v>
      </c>
      <c r="C1380" s="58" t="s">
        <v>1728</v>
      </c>
      <c r="D1380" s="58" t="s">
        <v>4406</v>
      </c>
      <c r="E1380" s="60" t="b">
        <v>1</v>
      </c>
      <c r="F1380" s="80" t="s">
        <v>598</v>
      </c>
      <c r="G1380" s="58" t="s">
        <v>4405</v>
      </c>
      <c r="H1380" s="58" t="s">
        <v>1728</v>
      </c>
      <c r="I1380" s="64" t="s">
        <v>4406</v>
      </c>
      <c r="J1380" s="66"/>
      <c r="K1380" s="66"/>
      <c r="L1380" s="68"/>
      <c r="M1380" s="63" t="str">
        <f>HYPERLINK("http://nsgreg.nga.mil/genc/view?v=863794&amp;end_month=12&amp;end_day=31&amp;end_year=2016","Correlation")</f>
        <v>Correlation</v>
      </c>
    </row>
    <row r="1381" spans="1:13" x14ac:dyDescent="0.2">
      <c r="A1381" s="113"/>
      <c r="B1381" s="58" t="s">
        <v>4407</v>
      </c>
      <c r="C1381" s="58" t="s">
        <v>1728</v>
      </c>
      <c r="D1381" s="58" t="s">
        <v>4408</v>
      </c>
      <c r="E1381" s="60" t="b">
        <v>1</v>
      </c>
      <c r="F1381" s="80" t="s">
        <v>598</v>
      </c>
      <c r="G1381" s="58" t="s">
        <v>4409</v>
      </c>
      <c r="H1381" s="58" t="s">
        <v>1728</v>
      </c>
      <c r="I1381" s="64" t="s">
        <v>4408</v>
      </c>
      <c r="J1381" s="66"/>
      <c r="K1381" s="66"/>
      <c r="L1381" s="68"/>
      <c r="M1381" s="63" t="str">
        <f>HYPERLINK("http://nsgreg.nga.mil/genc/view?v=863795&amp;end_month=12&amp;end_day=31&amp;end_year=2016","Correlation")</f>
        <v>Correlation</v>
      </c>
    </row>
    <row r="1382" spans="1:13" x14ac:dyDescent="0.2">
      <c r="A1382" s="113"/>
      <c r="B1382" s="58" t="s">
        <v>4410</v>
      </c>
      <c r="C1382" s="58" t="s">
        <v>1728</v>
      </c>
      <c r="D1382" s="58" t="s">
        <v>4411</v>
      </c>
      <c r="E1382" s="60" t="b">
        <v>1</v>
      </c>
      <c r="F1382" s="80" t="s">
        <v>598</v>
      </c>
      <c r="G1382" s="58" t="s">
        <v>4412</v>
      </c>
      <c r="H1382" s="58" t="s">
        <v>1728</v>
      </c>
      <c r="I1382" s="64" t="s">
        <v>4411</v>
      </c>
      <c r="J1382" s="66"/>
      <c r="K1382" s="66"/>
      <c r="L1382" s="68"/>
      <c r="M1382" s="63" t="str">
        <f>HYPERLINK("http://nsgreg.nga.mil/genc/view?v=863796&amp;end_month=12&amp;end_day=31&amp;end_year=2016","Correlation")</f>
        <v>Correlation</v>
      </c>
    </row>
    <row r="1383" spans="1:13" x14ac:dyDescent="0.2">
      <c r="A1383" s="113"/>
      <c r="B1383" s="58" t="s">
        <v>4413</v>
      </c>
      <c r="C1383" s="58" t="s">
        <v>1728</v>
      </c>
      <c r="D1383" s="58" t="s">
        <v>4414</v>
      </c>
      <c r="E1383" s="60" t="b">
        <v>1</v>
      </c>
      <c r="F1383" s="80" t="s">
        <v>598</v>
      </c>
      <c r="G1383" s="58" t="s">
        <v>4413</v>
      </c>
      <c r="H1383" s="58" t="s">
        <v>1728</v>
      </c>
      <c r="I1383" s="64" t="s">
        <v>4414</v>
      </c>
      <c r="J1383" s="66"/>
      <c r="K1383" s="66"/>
      <c r="L1383" s="68"/>
      <c r="M1383" s="63" t="str">
        <f>HYPERLINK("http://nsgreg.nga.mil/genc/view?v=863799&amp;end_month=12&amp;end_day=31&amp;end_year=2016","Correlation")</f>
        <v>Correlation</v>
      </c>
    </row>
    <row r="1384" spans="1:13" x14ac:dyDescent="0.2">
      <c r="A1384" s="113"/>
      <c r="B1384" s="58" t="s">
        <v>4415</v>
      </c>
      <c r="C1384" s="58" t="s">
        <v>1728</v>
      </c>
      <c r="D1384" s="58" t="s">
        <v>4416</v>
      </c>
      <c r="E1384" s="60" t="b">
        <v>1</v>
      </c>
      <c r="F1384" s="80" t="s">
        <v>598</v>
      </c>
      <c r="G1384" s="58" t="s">
        <v>4415</v>
      </c>
      <c r="H1384" s="58" t="s">
        <v>1728</v>
      </c>
      <c r="I1384" s="64" t="s">
        <v>4416</v>
      </c>
      <c r="J1384" s="66"/>
      <c r="K1384" s="66"/>
      <c r="L1384" s="68"/>
      <c r="M1384" s="63" t="str">
        <f>HYPERLINK("http://nsgreg.nga.mil/genc/view?v=863797&amp;end_month=12&amp;end_day=31&amp;end_year=2016","Correlation")</f>
        <v>Correlation</v>
      </c>
    </row>
    <row r="1385" spans="1:13" x14ac:dyDescent="0.2">
      <c r="A1385" s="113"/>
      <c r="B1385" s="58" t="s">
        <v>4417</v>
      </c>
      <c r="C1385" s="58" t="s">
        <v>1728</v>
      </c>
      <c r="D1385" s="58" t="s">
        <v>4418</v>
      </c>
      <c r="E1385" s="60" t="b">
        <v>1</v>
      </c>
      <c r="F1385" s="80" t="s">
        <v>598</v>
      </c>
      <c r="G1385" s="58" t="s">
        <v>4417</v>
      </c>
      <c r="H1385" s="58" t="s">
        <v>1728</v>
      </c>
      <c r="I1385" s="64" t="s">
        <v>4418</v>
      </c>
      <c r="J1385" s="66"/>
      <c r="K1385" s="66"/>
      <c r="L1385" s="68"/>
      <c r="M1385" s="63" t="str">
        <f>HYPERLINK("http://nsgreg.nga.mil/genc/view?v=863798&amp;end_month=12&amp;end_day=31&amp;end_year=2016","Correlation")</f>
        <v>Correlation</v>
      </c>
    </row>
    <row r="1386" spans="1:13" x14ac:dyDescent="0.2">
      <c r="A1386" s="114"/>
      <c r="B1386" s="71" t="s">
        <v>4419</v>
      </c>
      <c r="C1386" s="71" t="s">
        <v>1681</v>
      </c>
      <c r="D1386" s="71" t="s">
        <v>4420</v>
      </c>
      <c r="E1386" s="73" t="b">
        <v>1</v>
      </c>
      <c r="F1386" s="81" t="s">
        <v>598</v>
      </c>
      <c r="G1386" s="71" t="s">
        <v>4421</v>
      </c>
      <c r="H1386" s="71" t="s">
        <v>1681</v>
      </c>
      <c r="I1386" s="74" t="s">
        <v>4420</v>
      </c>
      <c r="J1386" s="76"/>
      <c r="K1386" s="76"/>
      <c r="L1386" s="82"/>
      <c r="M1386" s="77" t="str">
        <f>HYPERLINK("http://nsgreg.nga.mil/genc/view?v=863800&amp;end_month=12&amp;end_day=31&amp;end_year=2016","Correlation")</f>
        <v>Correlation</v>
      </c>
    </row>
    <row r="1387" spans="1:13" x14ac:dyDescent="0.2">
      <c r="A1387" s="112" t="s">
        <v>602</v>
      </c>
      <c r="B1387" s="50" t="s">
        <v>4422</v>
      </c>
      <c r="C1387" s="50" t="s">
        <v>1763</v>
      </c>
      <c r="D1387" s="50" t="s">
        <v>4423</v>
      </c>
      <c r="E1387" s="52" t="b">
        <v>1</v>
      </c>
      <c r="F1387" s="78" t="s">
        <v>602</v>
      </c>
      <c r="G1387" s="50" t="s">
        <v>4422</v>
      </c>
      <c r="H1387" s="50" t="s">
        <v>4424</v>
      </c>
      <c r="I1387" s="53" t="s">
        <v>4423</v>
      </c>
      <c r="J1387" s="55"/>
      <c r="K1387" s="55"/>
      <c r="L1387" s="79"/>
      <c r="M1387" s="56" t="str">
        <f>HYPERLINK("http://nsgreg.nga.mil/genc/view?v=863124&amp;end_month=12&amp;end_day=31&amp;end_year=2016","Correlation")</f>
        <v>Correlation</v>
      </c>
    </row>
    <row r="1388" spans="1:13" x14ac:dyDescent="0.2">
      <c r="A1388" s="113"/>
      <c r="B1388" s="58" t="s">
        <v>4425</v>
      </c>
      <c r="C1388" s="58" t="s">
        <v>1763</v>
      </c>
      <c r="D1388" s="58" t="s">
        <v>4426</v>
      </c>
      <c r="E1388" s="60" t="b">
        <v>1</v>
      </c>
      <c r="F1388" s="80" t="s">
        <v>602</v>
      </c>
      <c r="G1388" s="58" t="s">
        <v>4427</v>
      </c>
      <c r="H1388" s="58" t="s">
        <v>4424</v>
      </c>
      <c r="I1388" s="64" t="s">
        <v>4426</v>
      </c>
      <c r="J1388" s="66"/>
      <c r="K1388" s="66"/>
      <c r="L1388" s="68"/>
      <c r="M1388" s="63" t="str">
        <f>HYPERLINK("http://nsgreg.nga.mil/genc/view?v=863125&amp;end_month=12&amp;end_day=31&amp;end_year=2016","Correlation")</f>
        <v>Correlation</v>
      </c>
    </row>
    <row r="1389" spans="1:13" x14ac:dyDescent="0.2">
      <c r="A1389" s="113"/>
      <c r="B1389" s="58" t="s">
        <v>4428</v>
      </c>
      <c r="C1389" s="58" t="s">
        <v>1763</v>
      </c>
      <c r="D1389" s="58" t="s">
        <v>4429</v>
      </c>
      <c r="E1389" s="60" t="b">
        <v>1</v>
      </c>
      <c r="F1389" s="80" t="s">
        <v>602</v>
      </c>
      <c r="G1389" s="58" t="s">
        <v>4428</v>
      </c>
      <c r="H1389" s="58" t="s">
        <v>4424</v>
      </c>
      <c r="I1389" s="64" t="s">
        <v>4429</v>
      </c>
      <c r="J1389" s="66"/>
      <c r="K1389" s="66"/>
      <c r="L1389" s="68"/>
      <c r="M1389" s="63" t="str">
        <f>HYPERLINK("http://nsgreg.nga.mil/genc/view?v=863123&amp;end_month=12&amp;end_day=31&amp;end_year=2016","Correlation")</f>
        <v>Correlation</v>
      </c>
    </row>
    <row r="1390" spans="1:13" x14ac:dyDescent="0.2">
      <c r="A1390" s="113"/>
      <c r="B1390" s="58" t="s">
        <v>4430</v>
      </c>
      <c r="C1390" s="58" t="s">
        <v>1763</v>
      </c>
      <c r="D1390" s="58" t="s">
        <v>4431</v>
      </c>
      <c r="E1390" s="60" t="b">
        <v>1</v>
      </c>
      <c r="F1390" s="80" t="s">
        <v>602</v>
      </c>
      <c r="G1390" s="58" t="s">
        <v>4430</v>
      </c>
      <c r="H1390" s="58" t="s">
        <v>4424</v>
      </c>
      <c r="I1390" s="64" t="s">
        <v>4431</v>
      </c>
      <c r="J1390" s="66"/>
      <c r="K1390" s="66"/>
      <c r="L1390" s="68"/>
      <c r="M1390" s="63" t="str">
        <f>HYPERLINK("http://nsgreg.nga.mil/genc/view?v=863122&amp;end_month=12&amp;end_day=31&amp;end_year=2016","Correlation")</f>
        <v>Correlation</v>
      </c>
    </row>
    <row r="1391" spans="1:13" x14ac:dyDescent="0.2">
      <c r="A1391" s="113"/>
      <c r="B1391" s="58" t="s">
        <v>4432</v>
      </c>
      <c r="C1391" s="58" t="s">
        <v>1763</v>
      </c>
      <c r="D1391" s="58" t="s">
        <v>4433</v>
      </c>
      <c r="E1391" s="60" t="b">
        <v>1</v>
      </c>
      <c r="F1391" s="80" t="s">
        <v>602</v>
      </c>
      <c r="G1391" s="58" t="s">
        <v>4432</v>
      </c>
      <c r="H1391" s="58" t="s">
        <v>4424</v>
      </c>
      <c r="I1391" s="64" t="s">
        <v>4433</v>
      </c>
      <c r="J1391" s="66"/>
      <c r="K1391" s="66"/>
      <c r="L1391" s="68"/>
      <c r="M1391" s="63" t="str">
        <f>HYPERLINK("http://nsgreg.nga.mil/genc/view?v=863126&amp;end_month=12&amp;end_day=31&amp;end_year=2016","Correlation")</f>
        <v>Correlation</v>
      </c>
    </row>
    <row r="1392" spans="1:13" x14ac:dyDescent="0.2">
      <c r="A1392" s="113"/>
      <c r="B1392" s="58" t="s">
        <v>4434</v>
      </c>
      <c r="C1392" s="58" t="s">
        <v>1763</v>
      </c>
      <c r="D1392" s="58" t="s">
        <v>4435</v>
      </c>
      <c r="E1392" s="60" t="b">
        <v>1</v>
      </c>
      <c r="F1392" s="80" t="s">
        <v>602</v>
      </c>
      <c r="G1392" s="58" t="s">
        <v>4434</v>
      </c>
      <c r="H1392" s="58" t="s">
        <v>4424</v>
      </c>
      <c r="I1392" s="64" t="s">
        <v>4435</v>
      </c>
      <c r="J1392" s="66"/>
      <c r="K1392" s="66"/>
      <c r="L1392" s="68"/>
      <c r="M1392" s="63" t="str">
        <f>HYPERLINK("http://nsgreg.nga.mil/genc/view?v=863128&amp;end_month=12&amp;end_day=31&amp;end_year=2016","Correlation")</f>
        <v>Correlation</v>
      </c>
    </row>
    <row r="1393" spans="1:13" x14ac:dyDescent="0.2">
      <c r="A1393" s="113"/>
      <c r="B1393" s="58" t="s">
        <v>4436</v>
      </c>
      <c r="C1393" s="58" t="s">
        <v>1763</v>
      </c>
      <c r="D1393" s="58" t="s">
        <v>4437</v>
      </c>
      <c r="E1393" s="60" t="b">
        <v>1</v>
      </c>
      <c r="F1393" s="80" t="s">
        <v>602</v>
      </c>
      <c r="G1393" s="58" t="s">
        <v>4438</v>
      </c>
      <c r="H1393" s="58" t="s">
        <v>4424</v>
      </c>
      <c r="I1393" s="64" t="s">
        <v>4437</v>
      </c>
      <c r="J1393" s="66"/>
      <c r="K1393" s="66"/>
      <c r="L1393" s="68"/>
      <c r="M1393" s="63" t="str">
        <f>HYPERLINK("http://nsgreg.nga.mil/genc/view?v=863127&amp;end_month=12&amp;end_day=31&amp;end_year=2016","Correlation")</f>
        <v>Correlation</v>
      </c>
    </row>
    <row r="1394" spans="1:13" x14ac:dyDescent="0.2">
      <c r="A1394" s="113"/>
      <c r="B1394" s="58" t="s">
        <v>4439</v>
      </c>
      <c r="C1394" s="58" t="s">
        <v>1763</v>
      </c>
      <c r="D1394" s="58" t="s">
        <v>4440</v>
      </c>
      <c r="E1394" s="60" t="b">
        <v>1</v>
      </c>
      <c r="F1394" s="80" t="s">
        <v>602</v>
      </c>
      <c r="G1394" s="58" t="s">
        <v>4441</v>
      </c>
      <c r="H1394" s="58" t="s">
        <v>4424</v>
      </c>
      <c r="I1394" s="64" t="s">
        <v>4440</v>
      </c>
      <c r="J1394" s="66"/>
      <c r="K1394" s="66"/>
      <c r="L1394" s="68"/>
      <c r="M1394" s="63" t="str">
        <f>HYPERLINK("http://nsgreg.nga.mil/genc/view?v=863130&amp;end_month=12&amp;end_day=31&amp;end_year=2016","Correlation")</f>
        <v>Correlation</v>
      </c>
    </row>
    <row r="1395" spans="1:13" x14ac:dyDescent="0.2">
      <c r="A1395" s="113"/>
      <c r="B1395" s="58" t="s">
        <v>4442</v>
      </c>
      <c r="C1395" s="58" t="s">
        <v>1763</v>
      </c>
      <c r="D1395" s="58" t="s">
        <v>4443</v>
      </c>
      <c r="E1395" s="60" t="b">
        <v>1</v>
      </c>
      <c r="F1395" s="80" t="s">
        <v>602</v>
      </c>
      <c r="G1395" s="58" t="s">
        <v>4444</v>
      </c>
      <c r="H1395" s="58" t="s">
        <v>4424</v>
      </c>
      <c r="I1395" s="64" t="s">
        <v>4443</v>
      </c>
      <c r="J1395" s="66"/>
      <c r="K1395" s="66"/>
      <c r="L1395" s="68"/>
      <c r="M1395" s="63" t="str">
        <f>HYPERLINK("http://nsgreg.nga.mil/genc/view?v=863129&amp;end_month=12&amp;end_day=31&amp;end_year=2016","Correlation")</f>
        <v>Correlation</v>
      </c>
    </row>
    <row r="1396" spans="1:13" x14ac:dyDescent="0.2">
      <c r="A1396" s="113"/>
      <c r="B1396" s="58" t="s">
        <v>4445</v>
      </c>
      <c r="C1396" s="58" t="s">
        <v>1763</v>
      </c>
      <c r="D1396" s="58" t="s">
        <v>4446</v>
      </c>
      <c r="E1396" s="60" t="b">
        <v>1</v>
      </c>
      <c r="F1396" s="80" t="s">
        <v>602</v>
      </c>
      <c r="G1396" s="58" t="s">
        <v>4447</v>
      </c>
      <c r="H1396" s="58" t="s">
        <v>4424</v>
      </c>
      <c r="I1396" s="64" t="s">
        <v>4446</v>
      </c>
      <c r="J1396" s="66"/>
      <c r="K1396" s="66"/>
      <c r="L1396" s="68"/>
      <c r="M1396" s="63" t="str">
        <f>HYPERLINK("http://nsgreg.nga.mil/genc/view?v=863131&amp;end_month=12&amp;end_day=31&amp;end_year=2016","Correlation")</f>
        <v>Correlation</v>
      </c>
    </row>
    <row r="1397" spans="1:13" x14ac:dyDescent="0.2">
      <c r="A1397" s="113"/>
      <c r="B1397" s="58" t="s">
        <v>4448</v>
      </c>
      <c r="C1397" s="58" t="s">
        <v>1763</v>
      </c>
      <c r="D1397" s="58" t="s">
        <v>4449</v>
      </c>
      <c r="E1397" s="60" t="b">
        <v>1</v>
      </c>
      <c r="F1397" s="80" t="s">
        <v>602</v>
      </c>
      <c r="G1397" s="58" t="s">
        <v>4450</v>
      </c>
      <c r="H1397" s="58" t="s">
        <v>4424</v>
      </c>
      <c r="I1397" s="64" t="s">
        <v>4449</v>
      </c>
      <c r="J1397" s="66"/>
      <c r="K1397" s="66"/>
      <c r="L1397" s="68"/>
      <c r="M1397" s="63" t="str">
        <f>HYPERLINK("http://nsgreg.nga.mil/genc/view?v=863132&amp;end_month=12&amp;end_day=31&amp;end_year=2016","Correlation")</f>
        <v>Correlation</v>
      </c>
    </row>
    <row r="1398" spans="1:13" x14ac:dyDescent="0.2">
      <c r="A1398" s="113"/>
      <c r="B1398" s="58" t="s">
        <v>4451</v>
      </c>
      <c r="C1398" s="58" t="s">
        <v>1763</v>
      </c>
      <c r="D1398" s="58" t="s">
        <v>4452</v>
      </c>
      <c r="E1398" s="60" t="b">
        <v>1</v>
      </c>
      <c r="F1398" s="80" t="s">
        <v>602</v>
      </c>
      <c r="G1398" s="58" t="s">
        <v>4451</v>
      </c>
      <c r="H1398" s="58" t="s">
        <v>4424</v>
      </c>
      <c r="I1398" s="64" t="s">
        <v>4452</v>
      </c>
      <c r="J1398" s="66"/>
      <c r="K1398" s="66"/>
      <c r="L1398" s="68"/>
      <c r="M1398" s="63" t="str">
        <f>HYPERLINK("http://nsgreg.nga.mil/genc/view?v=863134&amp;end_month=12&amp;end_day=31&amp;end_year=2016","Correlation")</f>
        <v>Correlation</v>
      </c>
    </row>
    <row r="1399" spans="1:13" x14ac:dyDescent="0.2">
      <c r="A1399" s="113"/>
      <c r="B1399" s="58" t="s">
        <v>4453</v>
      </c>
      <c r="C1399" s="58" t="s">
        <v>1763</v>
      </c>
      <c r="D1399" s="58" t="s">
        <v>4454</v>
      </c>
      <c r="E1399" s="60" t="b">
        <v>1</v>
      </c>
      <c r="F1399" s="80" t="s">
        <v>602</v>
      </c>
      <c r="G1399" s="58" t="s">
        <v>4455</v>
      </c>
      <c r="H1399" s="58" t="s">
        <v>4424</v>
      </c>
      <c r="I1399" s="64" t="s">
        <v>4454</v>
      </c>
      <c r="J1399" s="66"/>
      <c r="K1399" s="66"/>
      <c r="L1399" s="68"/>
      <c r="M1399" s="63" t="str">
        <f>HYPERLINK("http://nsgreg.nga.mil/genc/view?v=863135&amp;end_month=12&amp;end_day=31&amp;end_year=2016","Correlation")</f>
        <v>Correlation</v>
      </c>
    </row>
    <row r="1400" spans="1:13" x14ac:dyDescent="0.2">
      <c r="A1400" s="113"/>
      <c r="B1400" s="58" t="s">
        <v>4456</v>
      </c>
      <c r="C1400" s="58" t="s">
        <v>1763</v>
      </c>
      <c r="D1400" s="58" t="s">
        <v>4457</v>
      </c>
      <c r="E1400" s="60" t="b">
        <v>1</v>
      </c>
      <c r="F1400" s="80" t="s">
        <v>602</v>
      </c>
      <c r="G1400" s="58" t="s">
        <v>4458</v>
      </c>
      <c r="H1400" s="58" t="s">
        <v>4424</v>
      </c>
      <c r="I1400" s="64" t="s">
        <v>4457</v>
      </c>
      <c r="J1400" s="66"/>
      <c r="K1400" s="66"/>
      <c r="L1400" s="68"/>
      <c r="M1400" s="63" t="str">
        <f>HYPERLINK("http://nsgreg.nga.mil/genc/view?v=863136&amp;end_month=12&amp;end_day=31&amp;end_year=2016","Correlation")</f>
        <v>Correlation</v>
      </c>
    </row>
    <row r="1401" spans="1:13" x14ac:dyDescent="0.2">
      <c r="A1401" s="113"/>
      <c r="B1401" s="58" t="s">
        <v>4459</v>
      </c>
      <c r="C1401" s="58" t="s">
        <v>1763</v>
      </c>
      <c r="D1401" s="58" t="s">
        <v>4460</v>
      </c>
      <c r="E1401" s="60" t="b">
        <v>1</v>
      </c>
      <c r="F1401" s="80" t="s">
        <v>602</v>
      </c>
      <c r="G1401" s="58" t="s">
        <v>4459</v>
      </c>
      <c r="H1401" s="58" t="s">
        <v>4424</v>
      </c>
      <c r="I1401" s="64" t="s">
        <v>4460</v>
      </c>
      <c r="J1401" s="66"/>
      <c r="K1401" s="66"/>
      <c r="L1401" s="68"/>
      <c r="M1401" s="63" t="str">
        <f>HYPERLINK("http://nsgreg.nga.mil/genc/view?v=863133&amp;end_month=12&amp;end_day=31&amp;end_year=2016","Correlation")</f>
        <v>Correlation</v>
      </c>
    </row>
    <row r="1402" spans="1:13" x14ac:dyDescent="0.2">
      <c r="A1402" s="114"/>
      <c r="B1402" s="71" t="s">
        <v>4461</v>
      </c>
      <c r="C1402" s="71" t="s">
        <v>1763</v>
      </c>
      <c r="D1402" s="71" t="s">
        <v>4462</v>
      </c>
      <c r="E1402" s="73" t="b">
        <v>1</v>
      </c>
      <c r="F1402" s="81" t="s">
        <v>602</v>
      </c>
      <c r="G1402" s="71" t="s">
        <v>4463</v>
      </c>
      <c r="H1402" s="71" t="s">
        <v>4424</v>
      </c>
      <c r="I1402" s="74" t="s">
        <v>4462</v>
      </c>
      <c r="J1402" s="76"/>
      <c r="K1402" s="76"/>
      <c r="L1402" s="82"/>
      <c r="M1402" s="77" t="str">
        <f>HYPERLINK("http://nsgreg.nga.mil/genc/view?v=863137&amp;end_month=12&amp;end_day=31&amp;end_year=2016","Correlation")</f>
        <v>Correlation</v>
      </c>
    </row>
    <row r="1403" spans="1:13" x14ac:dyDescent="0.2">
      <c r="A1403" s="112" t="s">
        <v>606</v>
      </c>
      <c r="B1403" s="50" t="s">
        <v>4464</v>
      </c>
      <c r="C1403" s="50" t="s">
        <v>1728</v>
      </c>
      <c r="D1403" s="50" t="s">
        <v>4465</v>
      </c>
      <c r="E1403" s="52" t="b">
        <v>1</v>
      </c>
      <c r="F1403" s="78" t="s">
        <v>606</v>
      </c>
      <c r="G1403" s="50" t="s">
        <v>4464</v>
      </c>
      <c r="H1403" s="50" t="s">
        <v>1728</v>
      </c>
      <c r="I1403" s="53" t="s">
        <v>4465</v>
      </c>
      <c r="J1403" s="55"/>
      <c r="K1403" s="55"/>
      <c r="L1403" s="79"/>
      <c r="M1403" s="56" t="str">
        <f>HYPERLINK("http://nsgreg.nga.mil/genc/view?v=863802&amp;end_month=12&amp;end_day=31&amp;end_year=2016","Correlation")</f>
        <v>Correlation</v>
      </c>
    </row>
    <row r="1404" spans="1:13" x14ac:dyDescent="0.2">
      <c r="A1404" s="113"/>
      <c r="B1404" s="58" t="s">
        <v>4466</v>
      </c>
      <c r="C1404" s="58" t="s">
        <v>1728</v>
      </c>
      <c r="D1404" s="58" t="s">
        <v>4467</v>
      </c>
      <c r="E1404" s="60" t="b">
        <v>1</v>
      </c>
      <c r="F1404" s="80" t="s">
        <v>606</v>
      </c>
      <c r="G1404" s="58" t="s">
        <v>4466</v>
      </c>
      <c r="H1404" s="58" t="s">
        <v>1728</v>
      </c>
      <c r="I1404" s="64" t="s">
        <v>4467</v>
      </c>
      <c r="J1404" s="66"/>
      <c r="K1404" s="66"/>
      <c r="L1404" s="68"/>
      <c r="M1404" s="63" t="str">
        <f>HYPERLINK("http://nsgreg.nga.mil/genc/view?v=863803&amp;end_month=12&amp;end_day=31&amp;end_year=2016","Correlation")</f>
        <v>Correlation</v>
      </c>
    </row>
    <row r="1405" spans="1:13" x14ac:dyDescent="0.2">
      <c r="A1405" s="113"/>
      <c r="B1405" s="58" t="s">
        <v>2411</v>
      </c>
      <c r="C1405" s="58" t="s">
        <v>1728</v>
      </c>
      <c r="D1405" s="58" t="s">
        <v>4468</v>
      </c>
      <c r="E1405" s="60" t="b">
        <v>1</v>
      </c>
      <c r="F1405" s="80" t="s">
        <v>606</v>
      </c>
      <c r="G1405" s="58" t="s">
        <v>2411</v>
      </c>
      <c r="H1405" s="58" t="s">
        <v>1728</v>
      </c>
      <c r="I1405" s="64" t="s">
        <v>4468</v>
      </c>
      <c r="J1405" s="66"/>
      <c r="K1405" s="66"/>
      <c r="L1405" s="68"/>
      <c r="M1405" s="63" t="str">
        <f>HYPERLINK("http://nsgreg.nga.mil/genc/view?v=863804&amp;end_month=12&amp;end_day=31&amp;end_year=2016","Correlation")</f>
        <v>Correlation</v>
      </c>
    </row>
    <row r="1406" spans="1:13" x14ac:dyDescent="0.2">
      <c r="A1406" s="113"/>
      <c r="B1406" s="58" t="s">
        <v>4055</v>
      </c>
      <c r="C1406" s="58" t="s">
        <v>1728</v>
      </c>
      <c r="D1406" s="58" t="s">
        <v>4469</v>
      </c>
      <c r="E1406" s="60" t="b">
        <v>1</v>
      </c>
      <c r="F1406" s="80" t="s">
        <v>606</v>
      </c>
      <c r="G1406" s="58" t="s">
        <v>4055</v>
      </c>
      <c r="H1406" s="58" t="s">
        <v>1728</v>
      </c>
      <c r="I1406" s="64" t="s">
        <v>4469</v>
      </c>
      <c r="J1406" s="66"/>
      <c r="K1406" s="66"/>
      <c r="L1406" s="68"/>
      <c r="M1406" s="63" t="str">
        <f>HYPERLINK("http://nsgreg.nga.mil/genc/view?v=863805&amp;end_month=12&amp;end_day=31&amp;end_year=2016","Correlation")</f>
        <v>Correlation</v>
      </c>
    </row>
    <row r="1407" spans="1:13" x14ac:dyDescent="0.2">
      <c r="A1407" s="113"/>
      <c r="B1407" s="58" t="s">
        <v>4470</v>
      </c>
      <c r="C1407" s="58" t="s">
        <v>1728</v>
      </c>
      <c r="D1407" s="58" t="s">
        <v>4471</v>
      </c>
      <c r="E1407" s="60" t="b">
        <v>1</v>
      </c>
      <c r="F1407" s="80" t="s">
        <v>606</v>
      </c>
      <c r="G1407" s="58" t="s">
        <v>4470</v>
      </c>
      <c r="H1407" s="58" t="s">
        <v>1728</v>
      </c>
      <c r="I1407" s="64" t="s">
        <v>4471</v>
      </c>
      <c r="J1407" s="66"/>
      <c r="K1407" s="66"/>
      <c r="L1407" s="68"/>
      <c r="M1407" s="63" t="str">
        <f>HYPERLINK("http://nsgreg.nga.mil/genc/view?v=863801&amp;end_month=12&amp;end_day=31&amp;end_year=2016","Correlation")</f>
        <v>Correlation</v>
      </c>
    </row>
    <row r="1408" spans="1:13" x14ac:dyDescent="0.2">
      <c r="A1408" s="113"/>
      <c r="B1408" s="58" t="s">
        <v>4071</v>
      </c>
      <c r="C1408" s="58" t="s">
        <v>1728</v>
      </c>
      <c r="D1408" s="58" t="s">
        <v>4472</v>
      </c>
      <c r="E1408" s="60" t="b">
        <v>1</v>
      </c>
      <c r="F1408" s="80" t="s">
        <v>606</v>
      </c>
      <c r="G1408" s="58" t="s">
        <v>4071</v>
      </c>
      <c r="H1408" s="58" t="s">
        <v>1728</v>
      </c>
      <c r="I1408" s="64" t="s">
        <v>4472</v>
      </c>
      <c r="J1408" s="66"/>
      <c r="K1408" s="66"/>
      <c r="L1408" s="68"/>
      <c r="M1408" s="63" t="str">
        <f>HYPERLINK("http://nsgreg.nga.mil/genc/view?v=863806&amp;end_month=12&amp;end_day=31&amp;end_year=2016","Correlation")</f>
        <v>Correlation</v>
      </c>
    </row>
    <row r="1409" spans="1:13" x14ac:dyDescent="0.2">
      <c r="A1409" s="113"/>
      <c r="B1409" s="58" t="s">
        <v>4473</v>
      </c>
      <c r="C1409" s="58" t="s">
        <v>1728</v>
      </c>
      <c r="D1409" s="58" t="s">
        <v>4474</v>
      </c>
      <c r="E1409" s="60" t="b">
        <v>1</v>
      </c>
      <c r="F1409" s="80" t="s">
        <v>606</v>
      </c>
      <c r="G1409" s="58" t="s">
        <v>4473</v>
      </c>
      <c r="H1409" s="58" t="s">
        <v>1728</v>
      </c>
      <c r="I1409" s="64" t="s">
        <v>4474</v>
      </c>
      <c r="J1409" s="66"/>
      <c r="K1409" s="66"/>
      <c r="L1409" s="68"/>
      <c r="M1409" s="63" t="str">
        <f>HYPERLINK("http://nsgreg.nga.mil/genc/view?v=863808&amp;end_month=12&amp;end_day=31&amp;end_year=2016","Correlation")</f>
        <v>Correlation</v>
      </c>
    </row>
    <row r="1410" spans="1:13" x14ac:dyDescent="0.2">
      <c r="A1410" s="113"/>
      <c r="B1410" s="58" t="s">
        <v>4475</v>
      </c>
      <c r="C1410" s="58" t="s">
        <v>1728</v>
      </c>
      <c r="D1410" s="58" t="s">
        <v>4476</v>
      </c>
      <c r="E1410" s="60" t="b">
        <v>1</v>
      </c>
      <c r="F1410" s="80" t="s">
        <v>606</v>
      </c>
      <c r="G1410" s="58" t="s">
        <v>4475</v>
      </c>
      <c r="H1410" s="58" t="s">
        <v>1728</v>
      </c>
      <c r="I1410" s="64" t="s">
        <v>4476</v>
      </c>
      <c r="J1410" s="66"/>
      <c r="K1410" s="66"/>
      <c r="L1410" s="68"/>
      <c r="M1410" s="63" t="str">
        <f>HYPERLINK("http://nsgreg.nga.mil/genc/view?v=863809&amp;end_month=12&amp;end_day=31&amp;end_year=2016","Correlation")</f>
        <v>Correlation</v>
      </c>
    </row>
    <row r="1411" spans="1:13" x14ac:dyDescent="0.2">
      <c r="A1411" s="113"/>
      <c r="B1411" s="58" t="s">
        <v>4477</v>
      </c>
      <c r="C1411" s="58" t="s">
        <v>1728</v>
      </c>
      <c r="D1411" s="58" t="s">
        <v>4478</v>
      </c>
      <c r="E1411" s="60" t="b">
        <v>1</v>
      </c>
      <c r="F1411" s="80" t="s">
        <v>606</v>
      </c>
      <c r="G1411" s="58" t="s">
        <v>4477</v>
      </c>
      <c r="H1411" s="58" t="s">
        <v>1728</v>
      </c>
      <c r="I1411" s="64" t="s">
        <v>4478</v>
      </c>
      <c r="J1411" s="66"/>
      <c r="K1411" s="66"/>
      <c r="L1411" s="68"/>
      <c r="M1411" s="63" t="str">
        <f>HYPERLINK("http://nsgreg.nga.mil/genc/view?v=863807&amp;end_month=12&amp;end_day=31&amp;end_year=2016","Correlation")</f>
        <v>Correlation</v>
      </c>
    </row>
    <row r="1412" spans="1:13" x14ac:dyDescent="0.2">
      <c r="A1412" s="114"/>
      <c r="B1412" s="71" t="s">
        <v>4083</v>
      </c>
      <c r="C1412" s="71" t="s">
        <v>1728</v>
      </c>
      <c r="D1412" s="71" t="s">
        <v>4479</v>
      </c>
      <c r="E1412" s="73" t="b">
        <v>1</v>
      </c>
      <c r="F1412" s="81" t="s">
        <v>606</v>
      </c>
      <c r="G1412" s="71" t="s">
        <v>4083</v>
      </c>
      <c r="H1412" s="71" t="s">
        <v>1728</v>
      </c>
      <c r="I1412" s="74" t="s">
        <v>4479</v>
      </c>
      <c r="J1412" s="76"/>
      <c r="K1412" s="76"/>
      <c r="L1412" s="82"/>
      <c r="M1412" s="77" t="str">
        <f>HYPERLINK("http://nsgreg.nga.mil/genc/view?v=863810&amp;end_month=12&amp;end_day=31&amp;end_year=2016","Correlation")</f>
        <v>Correlation</v>
      </c>
    </row>
    <row r="1413" spans="1:13" x14ac:dyDescent="0.2">
      <c r="A1413" s="112" t="s">
        <v>618</v>
      </c>
      <c r="B1413" s="50" t="s">
        <v>4480</v>
      </c>
      <c r="C1413" s="50" t="s">
        <v>4481</v>
      </c>
      <c r="D1413" s="50" t="s">
        <v>4482</v>
      </c>
      <c r="E1413" s="52" t="b">
        <v>1</v>
      </c>
      <c r="F1413" s="78" t="s">
        <v>618</v>
      </c>
      <c r="G1413" s="50" t="s">
        <v>4480</v>
      </c>
      <c r="H1413" s="50" t="s">
        <v>4483</v>
      </c>
      <c r="I1413" s="53" t="s">
        <v>4482</v>
      </c>
      <c r="J1413" s="55"/>
      <c r="K1413" s="55"/>
      <c r="L1413" s="79"/>
      <c r="M1413" s="56" t="str">
        <f>HYPERLINK("http://nsgreg.nga.mil/genc/view?v=863910&amp;end_month=12&amp;end_day=31&amp;end_year=2016","Correlation")</f>
        <v>Correlation</v>
      </c>
    </row>
    <row r="1414" spans="1:13" x14ac:dyDescent="0.2">
      <c r="A1414" s="113"/>
      <c r="B1414" s="58" t="s">
        <v>4484</v>
      </c>
      <c r="C1414" s="58" t="s">
        <v>1728</v>
      </c>
      <c r="D1414" s="58" t="s">
        <v>4485</v>
      </c>
      <c r="E1414" s="60" t="b">
        <v>1</v>
      </c>
      <c r="F1414" s="80" t="s">
        <v>618</v>
      </c>
      <c r="G1414" s="58" t="s">
        <v>4484</v>
      </c>
      <c r="H1414" s="58" t="s">
        <v>4486</v>
      </c>
      <c r="I1414" s="64" t="s">
        <v>4485</v>
      </c>
      <c r="J1414" s="66"/>
      <c r="K1414" s="66"/>
      <c r="L1414" s="68"/>
      <c r="M1414" s="63" t="str">
        <f>HYPERLINK("http://nsgreg.nga.mil/genc/view?v=863923&amp;end_month=12&amp;end_day=31&amp;end_year=2016","Correlation")</f>
        <v>Correlation</v>
      </c>
    </row>
    <row r="1415" spans="1:13" x14ac:dyDescent="0.2">
      <c r="A1415" s="113"/>
      <c r="B1415" s="58" t="s">
        <v>4487</v>
      </c>
      <c r="C1415" s="58" t="s">
        <v>1728</v>
      </c>
      <c r="D1415" s="58" t="s">
        <v>4488</v>
      </c>
      <c r="E1415" s="60" t="b">
        <v>1</v>
      </c>
      <c r="F1415" s="80" t="s">
        <v>618</v>
      </c>
      <c r="G1415" s="58" t="s">
        <v>4487</v>
      </c>
      <c r="H1415" s="58" t="s">
        <v>4486</v>
      </c>
      <c r="I1415" s="64" t="s">
        <v>4488</v>
      </c>
      <c r="J1415" s="66"/>
      <c r="K1415" s="66"/>
      <c r="L1415" s="68"/>
      <c r="M1415" s="63" t="str">
        <f>HYPERLINK("http://nsgreg.nga.mil/genc/view?v=863932&amp;end_month=12&amp;end_day=31&amp;end_year=2016","Correlation")</f>
        <v>Correlation</v>
      </c>
    </row>
    <row r="1416" spans="1:13" x14ac:dyDescent="0.2">
      <c r="A1416" s="113"/>
      <c r="B1416" s="58" t="s">
        <v>4489</v>
      </c>
      <c r="C1416" s="58" t="s">
        <v>1728</v>
      </c>
      <c r="D1416" s="58" t="s">
        <v>4490</v>
      </c>
      <c r="E1416" s="60" t="b">
        <v>1</v>
      </c>
      <c r="F1416" s="80" t="s">
        <v>618</v>
      </c>
      <c r="G1416" s="58" t="s">
        <v>4489</v>
      </c>
      <c r="H1416" s="58" t="s">
        <v>4486</v>
      </c>
      <c r="I1416" s="64" t="s">
        <v>4490</v>
      </c>
      <c r="J1416" s="66"/>
      <c r="K1416" s="66"/>
      <c r="L1416" s="68"/>
      <c r="M1416" s="63" t="str">
        <f>HYPERLINK("http://nsgreg.nga.mil/genc/view?v=863930&amp;end_month=12&amp;end_day=31&amp;end_year=2016","Correlation")</f>
        <v>Correlation</v>
      </c>
    </row>
    <row r="1417" spans="1:13" x14ac:dyDescent="0.2">
      <c r="A1417" s="113"/>
      <c r="B1417" s="58" t="s">
        <v>4491</v>
      </c>
      <c r="C1417" s="58" t="s">
        <v>1728</v>
      </c>
      <c r="D1417" s="58" t="s">
        <v>4492</v>
      </c>
      <c r="E1417" s="60" t="b">
        <v>1</v>
      </c>
      <c r="F1417" s="80" t="s">
        <v>618</v>
      </c>
      <c r="G1417" s="58" t="s">
        <v>4491</v>
      </c>
      <c r="H1417" s="58" t="s">
        <v>4486</v>
      </c>
      <c r="I1417" s="64" t="s">
        <v>4492</v>
      </c>
      <c r="J1417" s="66"/>
      <c r="K1417" s="66"/>
      <c r="L1417" s="68"/>
      <c r="M1417" s="63" t="str">
        <f>HYPERLINK("http://nsgreg.nga.mil/genc/view?v=863926&amp;end_month=12&amp;end_day=31&amp;end_year=2016","Correlation")</f>
        <v>Correlation</v>
      </c>
    </row>
    <row r="1418" spans="1:13" x14ac:dyDescent="0.2">
      <c r="A1418" s="113"/>
      <c r="B1418" s="58" t="s">
        <v>4493</v>
      </c>
      <c r="C1418" s="58" t="s">
        <v>1728</v>
      </c>
      <c r="D1418" s="58" t="s">
        <v>4494</v>
      </c>
      <c r="E1418" s="60" t="b">
        <v>1</v>
      </c>
      <c r="F1418" s="80" t="s">
        <v>618</v>
      </c>
      <c r="G1418" s="58" t="s">
        <v>4493</v>
      </c>
      <c r="H1418" s="58" t="s">
        <v>4486</v>
      </c>
      <c r="I1418" s="64" t="s">
        <v>4494</v>
      </c>
      <c r="J1418" s="66"/>
      <c r="K1418" s="66"/>
      <c r="L1418" s="68"/>
      <c r="M1418" s="63" t="str">
        <f>HYPERLINK("http://nsgreg.nga.mil/genc/view?v=863929&amp;end_month=12&amp;end_day=31&amp;end_year=2016","Correlation")</f>
        <v>Correlation</v>
      </c>
    </row>
    <row r="1419" spans="1:13" x14ac:dyDescent="0.2">
      <c r="A1419" s="113"/>
      <c r="B1419" s="58" t="s">
        <v>4495</v>
      </c>
      <c r="C1419" s="58" t="s">
        <v>1728</v>
      </c>
      <c r="D1419" s="58" t="s">
        <v>4496</v>
      </c>
      <c r="E1419" s="60" t="b">
        <v>1</v>
      </c>
      <c r="F1419" s="80" t="s">
        <v>618</v>
      </c>
      <c r="G1419" s="58" t="s">
        <v>4495</v>
      </c>
      <c r="H1419" s="58" t="s">
        <v>4486</v>
      </c>
      <c r="I1419" s="64" t="s">
        <v>4496</v>
      </c>
      <c r="J1419" s="66"/>
      <c r="K1419" s="66"/>
      <c r="L1419" s="68"/>
      <c r="M1419" s="63" t="str">
        <f>HYPERLINK("http://nsgreg.nga.mil/genc/view?v=863927&amp;end_month=12&amp;end_day=31&amp;end_year=2016","Correlation")</f>
        <v>Correlation</v>
      </c>
    </row>
    <row r="1420" spans="1:13" x14ac:dyDescent="0.2">
      <c r="A1420" s="113"/>
      <c r="B1420" s="58" t="s">
        <v>4497</v>
      </c>
      <c r="C1420" s="58" t="s">
        <v>1728</v>
      </c>
      <c r="D1420" s="58" t="s">
        <v>4498</v>
      </c>
      <c r="E1420" s="60" t="b">
        <v>1</v>
      </c>
      <c r="F1420" s="80" t="s">
        <v>618</v>
      </c>
      <c r="G1420" s="58" t="s">
        <v>4497</v>
      </c>
      <c r="H1420" s="58" t="s">
        <v>4486</v>
      </c>
      <c r="I1420" s="64" t="s">
        <v>4498</v>
      </c>
      <c r="J1420" s="66"/>
      <c r="K1420" s="66"/>
      <c r="L1420" s="68"/>
      <c r="M1420" s="63" t="str">
        <f>HYPERLINK("http://nsgreg.nga.mil/genc/view?v=863925&amp;end_month=12&amp;end_day=31&amp;end_year=2016","Correlation")</f>
        <v>Correlation</v>
      </c>
    </row>
    <row r="1421" spans="1:13" x14ac:dyDescent="0.2">
      <c r="A1421" s="113"/>
      <c r="B1421" s="58" t="s">
        <v>4499</v>
      </c>
      <c r="C1421" s="58" t="s">
        <v>1728</v>
      </c>
      <c r="D1421" s="58" t="s">
        <v>4500</v>
      </c>
      <c r="E1421" s="60" t="b">
        <v>1</v>
      </c>
      <c r="F1421" s="80" t="s">
        <v>618</v>
      </c>
      <c r="G1421" s="58" t="s">
        <v>4499</v>
      </c>
      <c r="H1421" s="58" t="s">
        <v>4486</v>
      </c>
      <c r="I1421" s="64" t="s">
        <v>4500</v>
      </c>
      <c r="J1421" s="66"/>
      <c r="K1421" s="66"/>
      <c r="L1421" s="68"/>
      <c r="M1421" s="63" t="str">
        <f>HYPERLINK("http://nsgreg.nga.mil/genc/view?v=863936&amp;end_month=12&amp;end_day=31&amp;end_year=2016","Correlation")</f>
        <v>Correlation</v>
      </c>
    </row>
    <row r="1422" spans="1:13" x14ac:dyDescent="0.2">
      <c r="A1422" s="113"/>
      <c r="B1422" s="58" t="s">
        <v>4501</v>
      </c>
      <c r="C1422" s="58" t="s">
        <v>1728</v>
      </c>
      <c r="D1422" s="58" t="s">
        <v>4502</v>
      </c>
      <c r="E1422" s="60" t="b">
        <v>1</v>
      </c>
      <c r="F1422" s="80" t="s">
        <v>618</v>
      </c>
      <c r="G1422" s="58" t="s">
        <v>4501</v>
      </c>
      <c r="H1422" s="58" t="s">
        <v>4486</v>
      </c>
      <c r="I1422" s="64" t="s">
        <v>4502</v>
      </c>
      <c r="J1422" s="66"/>
      <c r="K1422" s="66"/>
      <c r="L1422" s="68"/>
      <c r="M1422" s="63" t="str">
        <f>HYPERLINK("http://nsgreg.nga.mil/genc/view?v=863935&amp;end_month=12&amp;end_day=31&amp;end_year=2016","Correlation")</f>
        <v>Correlation</v>
      </c>
    </row>
    <row r="1423" spans="1:13" x14ac:dyDescent="0.2">
      <c r="A1423" s="113"/>
      <c r="B1423" s="58" t="s">
        <v>4503</v>
      </c>
      <c r="C1423" s="58" t="s">
        <v>1728</v>
      </c>
      <c r="D1423" s="58" t="s">
        <v>4504</v>
      </c>
      <c r="E1423" s="60" t="b">
        <v>1</v>
      </c>
      <c r="F1423" s="80" t="s">
        <v>618</v>
      </c>
      <c r="G1423" s="58" t="s">
        <v>4503</v>
      </c>
      <c r="H1423" s="58" t="s">
        <v>4486</v>
      </c>
      <c r="I1423" s="64" t="s">
        <v>4504</v>
      </c>
      <c r="J1423" s="66"/>
      <c r="K1423" s="66"/>
      <c r="L1423" s="68"/>
      <c r="M1423" s="63" t="str">
        <f>HYPERLINK("http://nsgreg.nga.mil/genc/view?v=863933&amp;end_month=12&amp;end_day=31&amp;end_year=2016","Correlation")</f>
        <v>Correlation</v>
      </c>
    </row>
    <row r="1424" spans="1:13" x14ac:dyDescent="0.2">
      <c r="A1424" s="113"/>
      <c r="B1424" s="58" t="s">
        <v>4505</v>
      </c>
      <c r="C1424" s="58" t="s">
        <v>1728</v>
      </c>
      <c r="D1424" s="58" t="s">
        <v>4506</v>
      </c>
      <c r="E1424" s="60" t="b">
        <v>1</v>
      </c>
      <c r="F1424" s="80" t="s">
        <v>618</v>
      </c>
      <c r="G1424" s="58" t="s">
        <v>4505</v>
      </c>
      <c r="H1424" s="58" t="s">
        <v>4486</v>
      </c>
      <c r="I1424" s="64" t="s">
        <v>4506</v>
      </c>
      <c r="J1424" s="66"/>
      <c r="K1424" s="66"/>
      <c r="L1424" s="68"/>
      <c r="M1424" s="63" t="str">
        <f>HYPERLINK("http://nsgreg.nga.mil/genc/view?v=863931&amp;end_month=12&amp;end_day=31&amp;end_year=2016","Correlation")</f>
        <v>Correlation</v>
      </c>
    </row>
    <row r="1425" spans="1:13" x14ac:dyDescent="0.2">
      <c r="A1425" s="113"/>
      <c r="B1425" s="58" t="s">
        <v>4507</v>
      </c>
      <c r="C1425" s="58" t="s">
        <v>1728</v>
      </c>
      <c r="D1425" s="58" t="s">
        <v>4508</v>
      </c>
      <c r="E1425" s="60" t="b">
        <v>1</v>
      </c>
      <c r="F1425" s="80" t="s">
        <v>618</v>
      </c>
      <c r="G1425" s="58" t="s">
        <v>4507</v>
      </c>
      <c r="H1425" s="58" t="s">
        <v>4486</v>
      </c>
      <c r="I1425" s="64" t="s">
        <v>4508</v>
      </c>
      <c r="J1425" s="66"/>
      <c r="K1425" s="66"/>
      <c r="L1425" s="68"/>
      <c r="M1425" s="63" t="str">
        <f>HYPERLINK("http://nsgreg.nga.mil/genc/view?v=863928&amp;end_month=12&amp;end_day=31&amp;end_year=2016","Correlation")</f>
        <v>Correlation</v>
      </c>
    </row>
    <row r="1426" spans="1:13" x14ac:dyDescent="0.2">
      <c r="A1426" s="114"/>
      <c r="B1426" s="71" t="s">
        <v>4509</v>
      </c>
      <c r="C1426" s="71" t="s">
        <v>1728</v>
      </c>
      <c r="D1426" s="71" t="s">
        <v>4510</v>
      </c>
      <c r="E1426" s="73" t="b">
        <v>1</v>
      </c>
      <c r="F1426" s="81" t="s">
        <v>618</v>
      </c>
      <c r="G1426" s="71" t="s">
        <v>4509</v>
      </c>
      <c r="H1426" s="71" t="s">
        <v>4486</v>
      </c>
      <c r="I1426" s="74" t="s">
        <v>4510</v>
      </c>
      <c r="J1426" s="76"/>
      <c r="K1426" s="76"/>
      <c r="L1426" s="82"/>
      <c r="M1426" s="77" t="str">
        <f>HYPERLINK("http://nsgreg.nga.mil/genc/view?v=863934&amp;end_month=12&amp;end_day=31&amp;end_year=2016","Correlation")</f>
        <v>Correlation</v>
      </c>
    </row>
    <row r="1427" spans="1:13" x14ac:dyDescent="0.2">
      <c r="A1427" s="112" t="s">
        <v>622</v>
      </c>
      <c r="B1427" s="50" t="s">
        <v>4511</v>
      </c>
      <c r="C1427" s="50" t="s">
        <v>1816</v>
      </c>
      <c r="D1427" s="50" t="s">
        <v>4512</v>
      </c>
      <c r="E1427" s="52" t="b">
        <v>1</v>
      </c>
      <c r="F1427" s="78" t="s">
        <v>622</v>
      </c>
      <c r="G1427" s="50" t="s">
        <v>4513</v>
      </c>
      <c r="H1427" s="50" t="s">
        <v>1816</v>
      </c>
      <c r="I1427" s="53" t="s">
        <v>4512</v>
      </c>
      <c r="J1427" s="55"/>
      <c r="K1427" s="55"/>
      <c r="L1427" s="79"/>
      <c r="M1427" s="56" t="str">
        <f>HYPERLINK("http://nsgreg.nga.mil/genc/view?v=863811&amp;end_month=12&amp;end_day=31&amp;end_year=2016","Correlation")</f>
        <v>Correlation</v>
      </c>
    </row>
    <row r="1428" spans="1:13" x14ac:dyDescent="0.2">
      <c r="A1428" s="113"/>
      <c r="B1428" s="58" t="s">
        <v>4514</v>
      </c>
      <c r="C1428" s="58" t="s">
        <v>1816</v>
      </c>
      <c r="D1428" s="58" t="s">
        <v>4515</v>
      </c>
      <c r="E1428" s="60" t="b">
        <v>1</v>
      </c>
      <c r="F1428" s="80" t="s">
        <v>622</v>
      </c>
      <c r="G1428" s="58" t="s">
        <v>4516</v>
      </c>
      <c r="H1428" s="58" t="s">
        <v>1816</v>
      </c>
      <c r="I1428" s="64" t="s">
        <v>4515</v>
      </c>
      <c r="J1428" s="66"/>
      <c r="K1428" s="66"/>
      <c r="L1428" s="68"/>
      <c r="M1428" s="63" t="str">
        <f>HYPERLINK("http://nsgreg.nga.mil/genc/view?v=863812&amp;end_month=12&amp;end_day=31&amp;end_year=2016","Correlation")</f>
        <v>Correlation</v>
      </c>
    </row>
    <row r="1429" spans="1:13" x14ac:dyDescent="0.2">
      <c r="A1429" s="113"/>
      <c r="B1429" s="58" t="s">
        <v>4517</v>
      </c>
      <c r="C1429" s="58" t="s">
        <v>1816</v>
      </c>
      <c r="D1429" s="58" t="s">
        <v>4518</v>
      </c>
      <c r="E1429" s="60" t="b">
        <v>1</v>
      </c>
      <c r="F1429" s="80" t="s">
        <v>622</v>
      </c>
      <c r="G1429" s="58" t="s">
        <v>4519</v>
      </c>
      <c r="H1429" s="58" t="s">
        <v>1816</v>
      </c>
      <c r="I1429" s="64" t="s">
        <v>4518</v>
      </c>
      <c r="J1429" s="66"/>
      <c r="K1429" s="66"/>
      <c r="L1429" s="68"/>
      <c r="M1429" s="63" t="str">
        <f>HYPERLINK("http://nsgreg.nga.mil/genc/view?v=863813&amp;end_month=12&amp;end_day=31&amp;end_year=2016","Correlation")</f>
        <v>Correlation</v>
      </c>
    </row>
    <row r="1430" spans="1:13" x14ac:dyDescent="0.2">
      <c r="A1430" s="114"/>
      <c r="B1430" s="71" t="s">
        <v>4520</v>
      </c>
      <c r="C1430" s="71" t="s">
        <v>1816</v>
      </c>
      <c r="D1430" s="71" t="s">
        <v>4521</v>
      </c>
      <c r="E1430" s="73" t="b">
        <v>1</v>
      </c>
      <c r="F1430" s="81" t="s">
        <v>622</v>
      </c>
      <c r="G1430" s="71" t="s">
        <v>4522</v>
      </c>
      <c r="H1430" s="71" t="s">
        <v>1816</v>
      </c>
      <c r="I1430" s="74" t="s">
        <v>4521</v>
      </c>
      <c r="J1430" s="76"/>
      <c r="K1430" s="76"/>
      <c r="L1430" s="82"/>
      <c r="M1430" s="77" t="str">
        <f>HYPERLINK("http://nsgreg.nga.mil/genc/view?v=863814&amp;end_month=12&amp;end_day=31&amp;end_year=2016","Correlation")</f>
        <v>Correlation</v>
      </c>
    </row>
    <row r="1431" spans="1:13" x14ac:dyDescent="0.2">
      <c r="A1431" s="112" t="s">
        <v>626</v>
      </c>
      <c r="B1431" s="50" t="s">
        <v>2213</v>
      </c>
      <c r="C1431" s="50" t="s">
        <v>1607</v>
      </c>
      <c r="D1431" s="50" t="s">
        <v>4523</v>
      </c>
      <c r="E1431" s="52" t="b">
        <v>1</v>
      </c>
      <c r="F1431" s="78" t="s">
        <v>626</v>
      </c>
      <c r="G1431" s="50" t="s">
        <v>2213</v>
      </c>
      <c r="H1431" s="50" t="s">
        <v>1607</v>
      </c>
      <c r="I1431" s="53" t="s">
        <v>4523</v>
      </c>
      <c r="J1431" s="55"/>
      <c r="K1431" s="55"/>
      <c r="L1431" s="79"/>
      <c r="M1431" s="56" t="str">
        <f>HYPERLINK("http://nsgreg.nga.mil/genc/view?v=863782&amp;end_month=12&amp;end_day=31&amp;end_year=2016","Correlation")</f>
        <v>Correlation</v>
      </c>
    </row>
    <row r="1432" spans="1:13" x14ac:dyDescent="0.2">
      <c r="A1432" s="113"/>
      <c r="B1432" s="58" t="s">
        <v>3736</v>
      </c>
      <c r="C1432" s="58" t="s">
        <v>1607</v>
      </c>
      <c r="D1432" s="58" t="s">
        <v>4524</v>
      </c>
      <c r="E1432" s="60" t="b">
        <v>1</v>
      </c>
      <c r="F1432" s="80" t="s">
        <v>626</v>
      </c>
      <c r="G1432" s="58" t="s">
        <v>3736</v>
      </c>
      <c r="H1432" s="58" t="s">
        <v>1607</v>
      </c>
      <c r="I1432" s="64" t="s">
        <v>4524</v>
      </c>
      <c r="J1432" s="66"/>
      <c r="K1432" s="66"/>
      <c r="L1432" s="68"/>
      <c r="M1432" s="63" t="str">
        <f>HYPERLINK("http://nsgreg.nga.mil/genc/view?v=863783&amp;end_month=12&amp;end_day=31&amp;end_year=2016","Correlation")</f>
        <v>Correlation</v>
      </c>
    </row>
    <row r="1433" spans="1:13" x14ac:dyDescent="0.2">
      <c r="A1433" s="113"/>
      <c r="B1433" s="58" t="s">
        <v>1663</v>
      </c>
      <c r="C1433" s="58" t="s">
        <v>1607</v>
      </c>
      <c r="D1433" s="58" t="s">
        <v>4525</v>
      </c>
      <c r="E1433" s="60" t="b">
        <v>1</v>
      </c>
      <c r="F1433" s="80" t="s">
        <v>626</v>
      </c>
      <c r="G1433" s="58" t="s">
        <v>1663</v>
      </c>
      <c r="H1433" s="58" t="s">
        <v>1607</v>
      </c>
      <c r="I1433" s="64" t="s">
        <v>4525</v>
      </c>
      <c r="J1433" s="66"/>
      <c r="K1433" s="66"/>
      <c r="L1433" s="68"/>
      <c r="M1433" s="63" t="str">
        <f>HYPERLINK("http://nsgreg.nga.mil/genc/view?v=863784&amp;end_month=12&amp;end_day=31&amp;end_year=2016","Correlation")</f>
        <v>Correlation</v>
      </c>
    </row>
    <row r="1434" spans="1:13" x14ac:dyDescent="0.2">
      <c r="A1434" s="113"/>
      <c r="B1434" s="58" t="s">
        <v>1665</v>
      </c>
      <c r="C1434" s="58" t="s">
        <v>1607</v>
      </c>
      <c r="D1434" s="58" t="s">
        <v>4526</v>
      </c>
      <c r="E1434" s="60" t="b">
        <v>1</v>
      </c>
      <c r="F1434" s="80" t="s">
        <v>626</v>
      </c>
      <c r="G1434" s="58" t="s">
        <v>1665</v>
      </c>
      <c r="H1434" s="58" t="s">
        <v>1607</v>
      </c>
      <c r="I1434" s="64" t="s">
        <v>4526</v>
      </c>
      <c r="J1434" s="66"/>
      <c r="K1434" s="66"/>
      <c r="L1434" s="68"/>
      <c r="M1434" s="63" t="str">
        <f>HYPERLINK("http://nsgreg.nga.mil/genc/view?v=863785&amp;end_month=12&amp;end_day=31&amp;end_year=2016","Correlation")</f>
        <v>Correlation</v>
      </c>
    </row>
    <row r="1435" spans="1:13" x14ac:dyDescent="0.2">
      <c r="A1435" s="113"/>
      <c r="B1435" s="58" t="s">
        <v>3743</v>
      </c>
      <c r="C1435" s="58" t="s">
        <v>1607</v>
      </c>
      <c r="D1435" s="58" t="s">
        <v>4527</v>
      </c>
      <c r="E1435" s="60" t="b">
        <v>1</v>
      </c>
      <c r="F1435" s="80" t="s">
        <v>626</v>
      </c>
      <c r="G1435" s="58" t="s">
        <v>3743</v>
      </c>
      <c r="H1435" s="58" t="s">
        <v>1607</v>
      </c>
      <c r="I1435" s="64" t="s">
        <v>4527</v>
      </c>
      <c r="J1435" s="66"/>
      <c r="K1435" s="66"/>
      <c r="L1435" s="68"/>
      <c r="M1435" s="63" t="str">
        <f>HYPERLINK("http://nsgreg.nga.mil/genc/view?v=863786&amp;end_month=12&amp;end_day=31&amp;end_year=2016","Correlation")</f>
        <v>Correlation</v>
      </c>
    </row>
    <row r="1436" spans="1:13" x14ac:dyDescent="0.2">
      <c r="A1436" s="113"/>
      <c r="B1436" s="58" t="s">
        <v>3745</v>
      </c>
      <c r="C1436" s="58" t="s">
        <v>1607</v>
      </c>
      <c r="D1436" s="58" t="s">
        <v>4528</v>
      </c>
      <c r="E1436" s="60" t="b">
        <v>1</v>
      </c>
      <c r="F1436" s="80" t="s">
        <v>626</v>
      </c>
      <c r="G1436" s="58" t="s">
        <v>3745</v>
      </c>
      <c r="H1436" s="58" t="s">
        <v>1607</v>
      </c>
      <c r="I1436" s="64" t="s">
        <v>4528</v>
      </c>
      <c r="J1436" s="66"/>
      <c r="K1436" s="66"/>
      <c r="L1436" s="68"/>
      <c r="M1436" s="63" t="str">
        <f>HYPERLINK("http://nsgreg.nga.mil/genc/view?v=863787&amp;end_month=12&amp;end_day=31&amp;end_year=2016","Correlation")</f>
        <v>Correlation</v>
      </c>
    </row>
    <row r="1437" spans="1:13" x14ac:dyDescent="0.2">
      <c r="A1437" s="114"/>
      <c r="B1437" s="71" t="s">
        <v>4529</v>
      </c>
      <c r="C1437" s="71" t="s">
        <v>1659</v>
      </c>
      <c r="D1437" s="71" t="s">
        <v>4530</v>
      </c>
      <c r="E1437" s="73" t="b">
        <v>1</v>
      </c>
      <c r="F1437" s="81" t="s">
        <v>626</v>
      </c>
      <c r="G1437" s="71" t="s">
        <v>4529</v>
      </c>
      <c r="H1437" s="71" t="s">
        <v>1659</v>
      </c>
      <c r="I1437" s="74" t="s">
        <v>4530</v>
      </c>
      <c r="J1437" s="76"/>
      <c r="K1437" s="76"/>
      <c r="L1437" s="82"/>
      <c r="M1437" s="77" t="str">
        <f>HYPERLINK("http://nsgreg.nga.mil/genc/view?v=863788&amp;end_month=12&amp;end_day=31&amp;end_year=2016","Correlation")</f>
        <v>Correlation</v>
      </c>
    </row>
    <row r="1438" spans="1:13" x14ac:dyDescent="0.2">
      <c r="A1438" s="112" t="s">
        <v>647</v>
      </c>
      <c r="B1438" s="50" t="s">
        <v>4531</v>
      </c>
      <c r="C1438" s="50" t="s">
        <v>2294</v>
      </c>
      <c r="D1438" s="50" t="s">
        <v>4532</v>
      </c>
      <c r="E1438" s="52" t="b">
        <v>1</v>
      </c>
      <c r="F1438" s="78" t="s">
        <v>647</v>
      </c>
      <c r="G1438" s="50" t="s">
        <v>4531</v>
      </c>
      <c r="H1438" s="50" t="s">
        <v>2294</v>
      </c>
      <c r="I1438" s="53" t="s">
        <v>4532</v>
      </c>
      <c r="J1438" s="55"/>
      <c r="K1438" s="55"/>
      <c r="L1438" s="79"/>
      <c r="M1438" s="56" t="str">
        <f>HYPERLINK("http://nsgreg.nga.mil/genc/view?v=863937&amp;end_month=12&amp;end_day=31&amp;end_year=2016","Correlation")</f>
        <v>Correlation</v>
      </c>
    </row>
    <row r="1439" spans="1:13" x14ac:dyDescent="0.2">
      <c r="A1439" s="113"/>
      <c r="B1439" s="58" t="s">
        <v>4533</v>
      </c>
      <c r="C1439" s="58" t="s">
        <v>2294</v>
      </c>
      <c r="D1439" s="58" t="s">
        <v>4534</v>
      </c>
      <c r="E1439" s="60" t="b">
        <v>1</v>
      </c>
      <c r="F1439" s="80" t="s">
        <v>647</v>
      </c>
      <c r="G1439" s="58" t="s">
        <v>4533</v>
      </c>
      <c r="H1439" s="58" t="s">
        <v>2294</v>
      </c>
      <c r="I1439" s="64" t="s">
        <v>4534</v>
      </c>
      <c r="J1439" s="66"/>
      <c r="K1439" s="66"/>
      <c r="L1439" s="68"/>
      <c r="M1439" s="63" t="str">
        <f>HYPERLINK("http://nsgreg.nga.mil/genc/view?v=863938&amp;end_month=12&amp;end_day=31&amp;end_year=2016","Correlation")</f>
        <v>Correlation</v>
      </c>
    </row>
    <row r="1440" spans="1:13" x14ac:dyDescent="0.2">
      <c r="A1440" s="113"/>
      <c r="B1440" s="58" t="s">
        <v>4535</v>
      </c>
      <c r="C1440" s="58" t="s">
        <v>2294</v>
      </c>
      <c r="D1440" s="58" t="s">
        <v>4536</v>
      </c>
      <c r="E1440" s="60" t="b">
        <v>1</v>
      </c>
      <c r="F1440" s="80" t="s">
        <v>647</v>
      </c>
      <c r="G1440" s="58" t="s">
        <v>4535</v>
      </c>
      <c r="H1440" s="58" t="s">
        <v>2294</v>
      </c>
      <c r="I1440" s="64" t="s">
        <v>4536</v>
      </c>
      <c r="J1440" s="66"/>
      <c r="K1440" s="66"/>
      <c r="L1440" s="68"/>
      <c r="M1440" s="63" t="str">
        <f>HYPERLINK("http://nsgreg.nga.mil/genc/view?v=863939&amp;end_month=12&amp;end_day=31&amp;end_year=2016","Correlation")</f>
        <v>Correlation</v>
      </c>
    </row>
    <row r="1441" spans="1:13" x14ac:dyDescent="0.2">
      <c r="A1441" s="113"/>
      <c r="B1441" s="58" t="s">
        <v>4537</v>
      </c>
      <c r="C1441" s="58" t="s">
        <v>2294</v>
      </c>
      <c r="D1441" s="58" t="s">
        <v>4538</v>
      </c>
      <c r="E1441" s="60" t="b">
        <v>1</v>
      </c>
      <c r="F1441" s="80" t="s">
        <v>647</v>
      </c>
      <c r="G1441" s="58" t="s">
        <v>4537</v>
      </c>
      <c r="H1441" s="58" t="s">
        <v>2294</v>
      </c>
      <c r="I1441" s="64" t="s">
        <v>4538</v>
      </c>
      <c r="J1441" s="66"/>
      <c r="K1441" s="66"/>
      <c r="L1441" s="68"/>
      <c r="M1441" s="63" t="str">
        <f>HYPERLINK("http://nsgreg.nga.mil/genc/view?v=863940&amp;end_month=12&amp;end_day=31&amp;end_year=2016","Correlation")</f>
        <v>Correlation</v>
      </c>
    </row>
    <row r="1442" spans="1:13" x14ac:dyDescent="0.2">
      <c r="A1442" s="113"/>
      <c r="B1442" s="58" t="s">
        <v>4539</v>
      </c>
      <c r="C1442" s="58" t="s">
        <v>2294</v>
      </c>
      <c r="D1442" s="58" t="s">
        <v>4540</v>
      </c>
      <c r="E1442" s="60" t="b">
        <v>1</v>
      </c>
      <c r="F1442" s="80" t="s">
        <v>647</v>
      </c>
      <c r="G1442" s="58" t="s">
        <v>4539</v>
      </c>
      <c r="H1442" s="58" t="s">
        <v>2294</v>
      </c>
      <c r="I1442" s="64" t="s">
        <v>4540</v>
      </c>
      <c r="J1442" s="66"/>
      <c r="K1442" s="66"/>
      <c r="L1442" s="68"/>
      <c r="M1442" s="63" t="str">
        <f>HYPERLINK("http://nsgreg.nga.mil/genc/view?v=863948&amp;end_month=12&amp;end_day=31&amp;end_year=2016","Correlation")</f>
        <v>Correlation</v>
      </c>
    </row>
    <row r="1443" spans="1:13" x14ac:dyDescent="0.2">
      <c r="A1443" s="113"/>
      <c r="B1443" s="58" t="s">
        <v>4541</v>
      </c>
      <c r="C1443" s="58" t="s">
        <v>2294</v>
      </c>
      <c r="D1443" s="58" t="s">
        <v>4542</v>
      </c>
      <c r="E1443" s="60" t="b">
        <v>1</v>
      </c>
      <c r="F1443" s="80" t="s">
        <v>647</v>
      </c>
      <c r="G1443" s="58" t="s">
        <v>4541</v>
      </c>
      <c r="H1443" s="58" t="s">
        <v>2294</v>
      </c>
      <c r="I1443" s="64" t="s">
        <v>4542</v>
      </c>
      <c r="J1443" s="66"/>
      <c r="K1443" s="66"/>
      <c r="L1443" s="68"/>
      <c r="M1443" s="63" t="str">
        <f>HYPERLINK("http://nsgreg.nga.mil/genc/view?v=863941&amp;end_month=12&amp;end_day=31&amp;end_year=2016","Correlation")</f>
        <v>Correlation</v>
      </c>
    </row>
    <row r="1444" spans="1:13" x14ac:dyDescent="0.2">
      <c r="A1444" s="113"/>
      <c r="B1444" s="58" t="s">
        <v>4543</v>
      </c>
      <c r="C1444" s="58" t="s">
        <v>2294</v>
      </c>
      <c r="D1444" s="58" t="s">
        <v>4544</v>
      </c>
      <c r="E1444" s="60" t="b">
        <v>1</v>
      </c>
      <c r="F1444" s="80" t="s">
        <v>647</v>
      </c>
      <c r="G1444" s="58" t="s">
        <v>4543</v>
      </c>
      <c r="H1444" s="58" t="s">
        <v>2294</v>
      </c>
      <c r="I1444" s="64" t="s">
        <v>4544</v>
      </c>
      <c r="J1444" s="66"/>
      <c r="K1444" s="66"/>
      <c r="L1444" s="68"/>
      <c r="M1444" s="63" t="str">
        <f>HYPERLINK("http://nsgreg.nga.mil/genc/view?v=863942&amp;end_month=12&amp;end_day=31&amp;end_year=2016","Correlation")</f>
        <v>Correlation</v>
      </c>
    </row>
    <row r="1445" spans="1:13" x14ac:dyDescent="0.2">
      <c r="A1445" s="113"/>
      <c r="B1445" s="58" t="s">
        <v>4545</v>
      </c>
      <c r="C1445" s="58" t="s">
        <v>2294</v>
      </c>
      <c r="D1445" s="58" t="s">
        <v>4546</v>
      </c>
      <c r="E1445" s="60" t="b">
        <v>1</v>
      </c>
      <c r="F1445" s="80" t="s">
        <v>647</v>
      </c>
      <c r="G1445" s="58" t="s">
        <v>4545</v>
      </c>
      <c r="H1445" s="58" t="s">
        <v>2294</v>
      </c>
      <c r="I1445" s="64" t="s">
        <v>4546</v>
      </c>
      <c r="J1445" s="66"/>
      <c r="K1445" s="66"/>
      <c r="L1445" s="68"/>
      <c r="M1445" s="63" t="str">
        <f>HYPERLINK("http://nsgreg.nga.mil/genc/view?v=863943&amp;end_month=12&amp;end_day=31&amp;end_year=2016","Correlation")</f>
        <v>Correlation</v>
      </c>
    </row>
    <row r="1446" spans="1:13" x14ac:dyDescent="0.2">
      <c r="A1446" s="113"/>
      <c r="B1446" s="58" t="s">
        <v>4547</v>
      </c>
      <c r="C1446" s="58" t="s">
        <v>2294</v>
      </c>
      <c r="D1446" s="58" t="s">
        <v>4548</v>
      </c>
      <c r="E1446" s="60" t="b">
        <v>1</v>
      </c>
      <c r="F1446" s="80" t="s">
        <v>647</v>
      </c>
      <c r="G1446" s="58" t="s">
        <v>4547</v>
      </c>
      <c r="H1446" s="58" t="s">
        <v>2294</v>
      </c>
      <c r="I1446" s="64" t="s">
        <v>4548</v>
      </c>
      <c r="J1446" s="66"/>
      <c r="K1446" s="66"/>
      <c r="L1446" s="68"/>
      <c r="M1446" s="63" t="str">
        <f>HYPERLINK("http://nsgreg.nga.mil/genc/view?v=863944&amp;end_month=12&amp;end_day=31&amp;end_year=2016","Correlation")</f>
        <v>Correlation</v>
      </c>
    </row>
    <row r="1447" spans="1:13" x14ac:dyDescent="0.2">
      <c r="A1447" s="113"/>
      <c r="B1447" s="58" t="s">
        <v>4549</v>
      </c>
      <c r="C1447" s="58" t="s">
        <v>2294</v>
      </c>
      <c r="D1447" s="58" t="s">
        <v>4550</v>
      </c>
      <c r="E1447" s="60" t="b">
        <v>1</v>
      </c>
      <c r="F1447" s="80" t="s">
        <v>647</v>
      </c>
      <c r="G1447" s="58" t="s">
        <v>4549</v>
      </c>
      <c r="H1447" s="58" t="s">
        <v>2294</v>
      </c>
      <c r="I1447" s="64" t="s">
        <v>4550</v>
      </c>
      <c r="J1447" s="66"/>
      <c r="K1447" s="66"/>
      <c r="L1447" s="68"/>
      <c r="M1447" s="63" t="str">
        <f>HYPERLINK("http://nsgreg.nga.mil/genc/view?v=863945&amp;end_month=12&amp;end_day=31&amp;end_year=2016","Correlation")</f>
        <v>Correlation</v>
      </c>
    </row>
    <row r="1448" spans="1:13" x14ac:dyDescent="0.2">
      <c r="A1448" s="113"/>
      <c r="B1448" s="58" t="s">
        <v>4551</v>
      </c>
      <c r="C1448" s="58" t="s">
        <v>2294</v>
      </c>
      <c r="D1448" s="58" t="s">
        <v>4552</v>
      </c>
      <c r="E1448" s="60" t="b">
        <v>1</v>
      </c>
      <c r="F1448" s="80" t="s">
        <v>647</v>
      </c>
      <c r="G1448" s="58" t="s">
        <v>4551</v>
      </c>
      <c r="H1448" s="58" t="s">
        <v>2294</v>
      </c>
      <c r="I1448" s="64" t="s">
        <v>4552</v>
      </c>
      <c r="J1448" s="66"/>
      <c r="K1448" s="66"/>
      <c r="L1448" s="68"/>
      <c r="M1448" s="63" t="str">
        <f>HYPERLINK("http://nsgreg.nga.mil/genc/view?v=863946&amp;end_month=12&amp;end_day=31&amp;end_year=2016","Correlation")</f>
        <v>Correlation</v>
      </c>
    </row>
    <row r="1449" spans="1:13" x14ac:dyDescent="0.2">
      <c r="A1449" s="113"/>
      <c r="B1449" s="58" t="s">
        <v>4553</v>
      </c>
      <c r="C1449" s="58" t="s">
        <v>2294</v>
      </c>
      <c r="D1449" s="58" t="s">
        <v>4554</v>
      </c>
      <c r="E1449" s="60" t="b">
        <v>1</v>
      </c>
      <c r="F1449" s="80" t="s">
        <v>647</v>
      </c>
      <c r="G1449" s="58" t="s">
        <v>4553</v>
      </c>
      <c r="H1449" s="58" t="s">
        <v>2294</v>
      </c>
      <c r="I1449" s="64" t="s">
        <v>4554</v>
      </c>
      <c r="J1449" s="66"/>
      <c r="K1449" s="66"/>
      <c r="L1449" s="68"/>
      <c r="M1449" s="63" t="str">
        <f>HYPERLINK("http://nsgreg.nga.mil/genc/view?v=863947&amp;end_month=12&amp;end_day=31&amp;end_year=2016","Correlation")</f>
        <v>Correlation</v>
      </c>
    </row>
    <row r="1450" spans="1:13" x14ac:dyDescent="0.2">
      <c r="A1450" s="113"/>
      <c r="B1450" s="58" t="s">
        <v>4555</v>
      </c>
      <c r="C1450" s="58" t="s">
        <v>2294</v>
      </c>
      <c r="D1450" s="58" t="s">
        <v>4556</v>
      </c>
      <c r="E1450" s="60" t="b">
        <v>1</v>
      </c>
      <c r="F1450" s="80" t="s">
        <v>647</v>
      </c>
      <c r="G1450" s="58" t="s">
        <v>4555</v>
      </c>
      <c r="H1450" s="58" t="s">
        <v>2294</v>
      </c>
      <c r="I1450" s="64" t="s">
        <v>4556</v>
      </c>
      <c r="J1450" s="66"/>
      <c r="K1450" s="66"/>
      <c r="L1450" s="68"/>
      <c r="M1450" s="63" t="str">
        <f>HYPERLINK("http://nsgreg.nga.mil/genc/view?v=863950&amp;end_month=12&amp;end_day=31&amp;end_year=2016","Correlation")</f>
        <v>Correlation</v>
      </c>
    </row>
    <row r="1451" spans="1:13" x14ac:dyDescent="0.2">
      <c r="A1451" s="113"/>
      <c r="B1451" s="58" t="s">
        <v>4557</v>
      </c>
      <c r="C1451" s="58" t="s">
        <v>2294</v>
      </c>
      <c r="D1451" s="58" t="s">
        <v>4558</v>
      </c>
      <c r="E1451" s="60" t="b">
        <v>1</v>
      </c>
      <c r="F1451" s="80" t="s">
        <v>647</v>
      </c>
      <c r="G1451" s="58" t="s">
        <v>4557</v>
      </c>
      <c r="H1451" s="58" t="s">
        <v>2294</v>
      </c>
      <c r="I1451" s="64" t="s">
        <v>4558</v>
      </c>
      <c r="J1451" s="66"/>
      <c r="K1451" s="66"/>
      <c r="L1451" s="68"/>
      <c r="M1451" s="63" t="str">
        <f>HYPERLINK("http://nsgreg.nga.mil/genc/view?v=863949&amp;end_month=12&amp;end_day=31&amp;end_year=2016","Correlation")</f>
        <v>Correlation</v>
      </c>
    </row>
    <row r="1452" spans="1:13" x14ac:dyDescent="0.2">
      <c r="A1452" s="113"/>
      <c r="B1452" s="58" t="s">
        <v>4559</v>
      </c>
      <c r="C1452" s="58" t="s">
        <v>2294</v>
      </c>
      <c r="D1452" s="58" t="s">
        <v>4560</v>
      </c>
      <c r="E1452" s="60" t="b">
        <v>1</v>
      </c>
      <c r="F1452" s="80" t="s">
        <v>647</v>
      </c>
      <c r="G1452" s="58" t="s">
        <v>4559</v>
      </c>
      <c r="H1452" s="58" t="s">
        <v>2294</v>
      </c>
      <c r="I1452" s="64" t="s">
        <v>4560</v>
      </c>
      <c r="J1452" s="66"/>
      <c r="K1452" s="66"/>
      <c r="L1452" s="68"/>
      <c r="M1452" s="63" t="str">
        <f>HYPERLINK("http://nsgreg.nga.mil/genc/view?v=863951&amp;end_month=12&amp;end_day=31&amp;end_year=2016","Correlation")</f>
        <v>Correlation</v>
      </c>
    </row>
    <row r="1453" spans="1:13" x14ac:dyDescent="0.2">
      <c r="A1453" s="113"/>
      <c r="B1453" s="58" t="s">
        <v>4561</v>
      </c>
      <c r="C1453" s="58" t="s">
        <v>2294</v>
      </c>
      <c r="D1453" s="58" t="s">
        <v>4562</v>
      </c>
      <c r="E1453" s="60" t="b">
        <v>1</v>
      </c>
      <c r="F1453" s="80" t="s">
        <v>647</v>
      </c>
      <c r="G1453" s="58" t="s">
        <v>4561</v>
      </c>
      <c r="H1453" s="58" t="s">
        <v>2294</v>
      </c>
      <c r="I1453" s="64" t="s">
        <v>4562</v>
      </c>
      <c r="J1453" s="66"/>
      <c r="K1453" s="66"/>
      <c r="L1453" s="68"/>
      <c r="M1453" s="63" t="str">
        <f>HYPERLINK("http://nsgreg.nga.mil/genc/view?v=863952&amp;end_month=12&amp;end_day=31&amp;end_year=2016","Correlation")</f>
        <v>Correlation</v>
      </c>
    </row>
    <row r="1454" spans="1:13" x14ac:dyDescent="0.2">
      <c r="A1454" s="113"/>
      <c r="B1454" s="58" t="s">
        <v>4563</v>
      </c>
      <c r="C1454" s="58" t="s">
        <v>2294</v>
      </c>
      <c r="D1454" s="58" t="s">
        <v>4564</v>
      </c>
      <c r="E1454" s="60" t="b">
        <v>1</v>
      </c>
      <c r="F1454" s="80" t="s">
        <v>647</v>
      </c>
      <c r="G1454" s="58" t="s">
        <v>4563</v>
      </c>
      <c r="H1454" s="58" t="s">
        <v>2294</v>
      </c>
      <c r="I1454" s="64" t="s">
        <v>4564</v>
      </c>
      <c r="J1454" s="66"/>
      <c r="K1454" s="66"/>
      <c r="L1454" s="68"/>
      <c r="M1454" s="63" t="str">
        <f>HYPERLINK("http://nsgreg.nga.mil/genc/view?v=863953&amp;end_month=12&amp;end_day=31&amp;end_year=2016","Correlation")</f>
        <v>Correlation</v>
      </c>
    </row>
    <row r="1455" spans="1:13" x14ac:dyDescent="0.2">
      <c r="A1455" s="113"/>
      <c r="B1455" s="58" t="s">
        <v>4565</v>
      </c>
      <c r="C1455" s="58" t="s">
        <v>2294</v>
      </c>
      <c r="D1455" s="58" t="s">
        <v>4566</v>
      </c>
      <c r="E1455" s="60" t="b">
        <v>1</v>
      </c>
      <c r="F1455" s="80" t="s">
        <v>647</v>
      </c>
      <c r="G1455" s="58" t="s">
        <v>4565</v>
      </c>
      <c r="H1455" s="58" t="s">
        <v>2294</v>
      </c>
      <c r="I1455" s="64" t="s">
        <v>4566</v>
      </c>
      <c r="J1455" s="66"/>
      <c r="K1455" s="66"/>
      <c r="L1455" s="68"/>
      <c r="M1455" s="63" t="str">
        <f>HYPERLINK("http://nsgreg.nga.mil/genc/view?v=863955&amp;end_month=12&amp;end_day=31&amp;end_year=2016","Correlation")</f>
        <v>Correlation</v>
      </c>
    </row>
    <row r="1456" spans="1:13" x14ac:dyDescent="0.2">
      <c r="A1456" s="113"/>
      <c r="B1456" s="58" t="s">
        <v>4567</v>
      </c>
      <c r="C1456" s="58" t="s">
        <v>2294</v>
      </c>
      <c r="D1456" s="58" t="s">
        <v>4568</v>
      </c>
      <c r="E1456" s="60" t="b">
        <v>1</v>
      </c>
      <c r="F1456" s="80" t="s">
        <v>647</v>
      </c>
      <c r="G1456" s="58" t="s">
        <v>4567</v>
      </c>
      <c r="H1456" s="58" t="s">
        <v>2294</v>
      </c>
      <c r="I1456" s="64" t="s">
        <v>4568</v>
      </c>
      <c r="J1456" s="66"/>
      <c r="K1456" s="66"/>
      <c r="L1456" s="68"/>
      <c r="M1456" s="63" t="str">
        <f>HYPERLINK("http://nsgreg.nga.mil/genc/view?v=863954&amp;end_month=12&amp;end_day=31&amp;end_year=2016","Correlation")</f>
        <v>Correlation</v>
      </c>
    </row>
    <row r="1457" spans="1:13" x14ac:dyDescent="0.2">
      <c r="A1457" s="113"/>
      <c r="B1457" s="58" t="s">
        <v>4569</v>
      </c>
      <c r="C1457" s="58" t="s">
        <v>2294</v>
      </c>
      <c r="D1457" s="58" t="s">
        <v>4570</v>
      </c>
      <c r="E1457" s="60" t="b">
        <v>1</v>
      </c>
      <c r="F1457" s="80" t="s">
        <v>647</v>
      </c>
      <c r="G1457" s="58" t="s">
        <v>4569</v>
      </c>
      <c r="H1457" s="58" t="s">
        <v>2294</v>
      </c>
      <c r="I1457" s="64" t="s">
        <v>4570</v>
      </c>
      <c r="J1457" s="66"/>
      <c r="K1457" s="66"/>
      <c r="L1457" s="68"/>
      <c r="M1457" s="63" t="str">
        <f>HYPERLINK("http://nsgreg.nga.mil/genc/view?v=863956&amp;end_month=12&amp;end_day=31&amp;end_year=2016","Correlation")</f>
        <v>Correlation</v>
      </c>
    </row>
    <row r="1458" spans="1:13" x14ac:dyDescent="0.2">
      <c r="A1458" s="113"/>
      <c r="B1458" s="58" t="s">
        <v>4571</v>
      </c>
      <c r="C1458" s="58" t="s">
        <v>2294</v>
      </c>
      <c r="D1458" s="58" t="s">
        <v>4572</v>
      </c>
      <c r="E1458" s="60" t="b">
        <v>1</v>
      </c>
      <c r="F1458" s="80" t="s">
        <v>647</v>
      </c>
      <c r="G1458" s="58" t="s">
        <v>4571</v>
      </c>
      <c r="H1458" s="58" t="s">
        <v>2294</v>
      </c>
      <c r="I1458" s="64" t="s">
        <v>4572</v>
      </c>
      <c r="J1458" s="66"/>
      <c r="K1458" s="66"/>
      <c r="L1458" s="68"/>
      <c r="M1458" s="63" t="str">
        <f>HYPERLINK("http://nsgreg.nga.mil/genc/view?v=863957&amp;end_month=12&amp;end_day=31&amp;end_year=2016","Correlation")</f>
        <v>Correlation</v>
      </c>
    </row>
    <row r="1459" spans="1:13" x14ac:dyDescent="0.2">
      <c r="A1459" s="114"/>
      <c r="B1459" s="71" t="s">
        <v>4573</v>
      </c>
      <c r="C1459" s="71" t="s">
        <v>2294</v>
      </c>
      <c r="D1459" s="71" t="s">
        <v>4574</v>
      </c>
      <c r="E1459" s="73" t="b">
        <v>1</v>
      </c>
      <c r="F1459" s="81" t="s">
        <v>647</v>
      </c>
      <c r="G1459" s="71" t="s">
        <v>4573</v>
      </c>
      <c r="H1459" s="71" t="s">
        <v>2294</v>
      </c>
      <c r="I1459" s="74" t="s">
        <v>4574</v>
      </c>
      <c r="J1459" s="76"/>
      <c r="K1459" s="76"/>
      <c r="L1459" s="82"/>
      <c r="M1459" s="77" t="str">
        <f>HYPERLINK("http://nsgreg.nga.mil/genc/view?v=863958&amp;end_month=12&amp;end_day=31&amp;end_year=2016","Correlation")</f>
        <v>Correlation</v>
      </c>
    </row>
    <row r="1460" spans="1:13" x14ac:dyDescent="0.2">
      <c r="A1460" s="112" t="s">
        <v>655</v>
      </c>
      <c r="B1460" s="50" t="s">
        <v>4575</v>
      </c>
      <c r="C1460" s="50" t="s">
        <v>2925</v>
      </c>
      <c r="D1460" s="50" t="s">
        <v>4576</v>
      </c>
      <c r="E1460" s="52" t="b">
        <v>1</v>
      </c>
      <c r="F1460" s="78" t="s">
        <v>655</v>
      </c>
      <c r="G1460" s="50" t="s">
        <v>4575</v>
      </c>
      <c r="H1460" s="50" t="s">
        <v>2925</v>
      </c>
      <c r="I1460" s="53" t="s">
        <v>4576</v>
      </c>
      <c r="J1460" s="55"/>
      <c r="K1460" s="55"/>
      <c r="L1460" s="79"/>
      <c r="M1460" s="56" t="str">
        <f>HYPERLINK("http://nsgreg.nga.mil/genc/view?v=863823&amp;end_month=12&amp;end_day=31&amp;end_year=2016","Correlation")</f>
        <v>Correlation</v>
      </c>
    </row>
    <row r="1461" spans="1:13" x14ac:dyDescent="0.2">
      <c r="A1461" s="113"/>
      <c r="B1461" s="58" t="s">
        <v>4577</v>
      </c>
      <c r="C1461" s="58" t="s">
        <v>2925</v>
      </c>
      <c r="D1461" s="58" t="s">
        <v>4578</v>
      </c>
      <c r="E1461" s="60" t="b">
        <v>1</v>
      </c>
      <c r="F1461" s="80" t="s">
        <v>655</v>
      </c>
      <c r="G1461" s="58" t="s">
        <v>4577</v>
      </c>
      <c r="H1461" s="58" t="s">
        <v>2925</v>
      </c>
      <c r="I1461" s="64" t="s">
        <v>4578</v>
      </c>
      <c r="J1461" s="66"/>
      <c r="K1461" s="66"/>
      <c r="L1461" s="68"/>
      <c r="M1461" s="63" t="str">
        <f>HYPERLINK("http://nsgreg.nga.mil/genc/view?v=863824&amp;end_month=12&amp;end_day=31&amp;end_year=2016","Correlation")</f>
        <v>Correlation</v>
      </c>
    </row>
    <row r="1462" spans="1:13" x14ac:dyDescent="0.2">
      <c r="A1462" s="113"/>
      <c r="B1462" s="58" t="s">
        <v>4579</v>
      </c>
      <c r="C1462" s="58" t="s">
        <v>4486</v>
      </c>
      <c r="D1462" s="58" t="s">
        <v>4580</v>
      </c>
      <c r="E1462" s="60" t="b">
        <v>1</v>
      </c>
      <c r="F1462" s="80" t="s">
        <v>655</v>
      </c>
      <c r="G1462" s="58" t="s">
        <v>4579</v>
      </c>
      <c r="H1462" s="58" t="s">
        <v>4486</v>
      </c>
      <c r="I1462" s="64" t="s">
        <v>4580</v>
      </c>
      <c r="J1462" s="66"/>
      <c r="K1462" s="66"/>
      <c r="L1462" s="68"/>
      <c r="M1462" s="63" t="str">
        <f>HYPERLINK("http://nsgreg.nga.mil/genc/view?v=863822&amp;end_month=12&amp;end_day=31&amp;end_year=2016","Correlation")</f>
        <v>Correlation</v>
      </c>
    </row>
    <row r="1463" spans="1:13" x14ac:dyDescent="0.2">
      <c r="A1463" s="113"/>
      <c r="B1463" s="58" t="s">
        <v>4579</v>
      </c>
      <c r="C1463" s="58" t="s">
        <v>2925</v>
      </c>
      <c r="D1463" s="58" t="s">
        <v>4581</v>
      </c>
      <c r="E1463" s="60" t="b">
        <v>1</v>
      </c>
      <c r="F1463" s="80" t="s">
        <v>655</v>
      </c>
      <c r="G1463" s="58" t="s">
        <v>4579</v>
      </c>
      <c r="H1463" s="58" t="s">
        <v>2925</v>
      </c>
      <c r="I1463" s="64" t="s">
        <v>4581</v>
      </c>
      <c r="J1463" s="66"/>
      <c r="K1463" s="66"/>
      <c r="L1463" s="68"/>
      <c r="M1463" s="63" t="str">
        <f>HYPERLINK("http://nsgreg.nga.mil/genc/view?v=863825&amp;end_month=12&amp;end_day=31&amp;end_year=2016","Correlation")</f>
        <v>Correlation</v>
      </c>
    </row>
    <row r="1464" spans="1:13" x14ac:dyDescent="0.2">
      <c r="A1464" s="113"/>
      <c r="B1464" s="58" t="s">
        <v>4582</v>
      </c>
      <c r="C1464" s="58" t="s">
        <v>2030</v>
      </c>
      <c r="D1464" s="58" t="s">
        <v>4583</v>
      </c>
      <c r="E1464" s="60" t="b">
        <v>1</v>
      </c>
      <c r="F1464" s="80" t="s">
        <v>655</v>
      </c>
      <c r="G1464" s="58" t="s">
        <v>4582</v>
      </c>
      <c r="H1464" s="58" t="s">
        <v>2030</v>
      </c>
      <c r="I1464" s="64" t="s">
        <v>4583</v>
      </c>
      <c r="J1464" s="66"/>
      <c r="K1464" s="66"/>
      <c r="L1464" s="68"/>
      <c r="M1464" s="63" t="str">
        <f>HYPERLINK("http://nsgreg.nga.mil/genc/view?v=863826&amp;end_month=12&amp;end_day=31&amp;end_year=2016","Correlation")</f>
        <v>Correlation</v>
      </c>
    </row>
    <row r="1465" spans="1:13" x14ac:dyDescent="0.2">
      <c r="A1465" s="113"/>
      <c r="B1465" s="58" t="s">
        <v>4584</v>
      </c>
      <c r="C1465" s="58" t="s">
        <v>2925</v>
      </c>
      <c r="D1465" s="58" t="s">
        <v>4585</v>
      </c>
      <c r="E1465" s="60" t="b">
        <v>1</v>
      </c>
      <c r="F1465" s="80" t="s">
        <v>655</v>
      </c>
      <c r="G1465" s="58" t="s">
        <v>4584</v>
      </c>
      <c r="H1465" s="58" t="s">
        <v>2925</v>
      </c>
      <c r="I1465" s="64" t="s">
        <v>4585</v>
      </c>
      <c r="J1465" s="66"/>
      <c r="K1465" s="66"/>
      <c r="L1465" s="68"/>
      <c r="M1465" s="63" t="str">
        <f>HYPERLINK("http://nsgreg.nga.mil/genc/view?v=863827&amp;end_month=12&amp;end_day=31&amp;end_year=2016","Correlation")</f>
        <v>Correlation</v>
      </c>
    </row>
    <row r="1466" spans="1:13" x14ac:dyDescent="0.2">
      <c r="A1466" s="113"/>
      <c r="B1466" s="58" t="s">
        <v>4586</v>
      </c>
      <c r="C1466" s="58" t="s">
        <v>2925</v>
      </c>
      <c r="D1466" s="58" t="s">
        <v>4587</v>
      </c>
      <c r="E1466" s="60" t="b">
        <v>1</v>
      </c>
      <c r="F1466" s="80" t="s">
        <v>655</v>
      </c>
      <c r="G1466" s="58" t="s">
        <v>4586</v>
      </c>
      <c r="H1466" s="58" t="s">
        <v>2925</v>
      </c>
      <c r="I1466" s="64" t="s">
        <v>4587</v>
      </c>
      <c r="J1466" s="66"/>
      <c r="K1466" s="66"/>
      <c r="L1466" s="68"/>
      <c r="M1466" s="63" t="str">
        <f>HYPERLINK("http://nsgreg.nga.mil/genc/view?v=863829&amp;end_month=12&amp;end_day=31&amp;end_year=2016","Correlation")</f>
        <v>Correlation</v>
      </c>
    </row>
    <row r="1467" spans="1:13" x14ac:dyDescent="0.2">
      <c r="A1467" s="113"/>
      <c r="B1467" s="58" t="s">
        <v>4588</v>
      </c>
      <c r="C1467" s="58" t="s">
        <v>2925</v>
      </c>
      <c r="D1467" s="58" t="s">
        <v>4589</v>
      </c>
      <c r="E1467" s="60" t="b">
        <v>1</v>
      </c>
      <c r="F1467" s="80" t="s">
        <v>655</v>
      </c>
      <c r="G1467" s="58" t="s">
        <v>4588</v>
      </c>
      <c r="H1467" s="58" t="s">
        <v>2925</v>
      </c>
      <c r="I1467" s="64" t="s">
        <v>4589</v>
      </c>
      <c r="J1467" s="66"/>
      <c r="K1467" s="66"/>
      <c r="L1467" s="68"/>
      <c r="M1467" s="63" t="str">
        <f>HYPERLINK("http://nsgreg.nga.mil/genc/view?v=863831&amp;end_month=12&amp;end_day=31&amp;end_year=2016","Correlation")</f>
        <v>Correlation</v>
      </c>
    </row>
    <row r="1468" spans="1:13" x14ac:dyDescent="0.2">
      <c r="A1468" s="113"/>
      <c r="B1468" s="58" t="s">
        <v>4590</v>
      </c>
      <c r="C1468" s="58" t="s">
        <v>2925</v>
      </c>
      <c r="D1468" s="58" t="s">
        <v>4591</v>
      </c>
      <c r="E1468" s="60" t="b">
        <v>1</v>
      </c>
      <c r="F1468" s="80" t="s">
        <v>655</v>
      </c>
      <c r="G1468" s="58" t="s">
        <v>4590</v>
      </c>
      <c r="H1468" s="58" t="s">
        <v>2925</v>
      </c>
      <c r="I1468" s="64" t="s">
        <v>4591</v>
      </c>
      <c r="J1468" s="66"/>
      <c r="K1468" s="66"/>
      <c r="L1468" s="68"/>
      <c r="M1468" s="63" t="str">
        <f>HYPERLINK("http://nsgreg.nga.mil/genc/view?v=863830&amp;end_month=12&amp;end_day=31&amp;end_year=2016","Correlation")</f>
        <v>Correlation</v>
      </c>
    </row>
    <row r="1469" spans="1:13" x14ac:dyDescent="0.2">
      <c r="A1469" s="113"/>
      <c r="B1469" s="58" t="s">
        <v>4592</v>
      </c>
      <c r="C1469" s="58" t="s">
        <v>2925</v>
      </c>
      <c r="D1469" s="58" t="s">
        <v>4593</v>
      </c>
      <c r="E1469" s="60" t="b">
        <v>1</v>
      </c>
      <c r="F1469" s="80" t="s">
        <v>655</v>
      </c>
      <c r="G1469" s="58" t="s">
        <v>4592</v>
      </c>
      <c r="H1469" s="58" t="s">
        <v>2925</v>
      </c>
      <c r="I1469" s="64" t="s">
        <v>4593</v>
      </c>
      <c r="J1469" s="66"/>
      <c r="K1469" s="66"/>
      <c r="L1469" s="68"/>
      <c r="M1469" s="63" t="str">
        <f>HYPERLINK("http://nsgreg.nga.mil/genc/view?v=863832&amp;end_month=12&amp;end_day=31&amp;end_year=2016","Correlation")</f>
        <v>Correlation</v>
      </c>
    </row>
    <row r="1470" spans="1:13" x14ac:dyDescent="0.2">
      <c r="A1470" s="113"/>
      <c r="B1470" s="58" t="s">
        <v>4594</v>
      </c>
      <c r="C1470" s="58" t="s">
        <v>4486</v>
      </c>
      <c r="D1470" s="58" t="s">
        <v>4595</v>
      </c>
      <c r="E1470" s="60" t="b">
        <v>1</v>
      </c>
      <c r="F1470" s="80" t="s">
        <v>655</v>
      </c>
      <c r="G1470" s="58" t="s">
        <v>4594</v>
      </c>
      <c r="H1470" s="58" t="s">
        <v>4486</v>
      </c>
      <c r="I1470" s="64" t="s">
        <v>4595</v>
      </c>
      <c r="J1470" s="66"/>
      <c r="K1470" s="66"/>
      <c r="L1470" s="68"/>
      <c r="M1470" s="63" t="str">
        <f>HYPERLINK("http://nsgreg.nga.mil/genc/view?v=863833&amp;end_month=12&amp;end_day=31&amp;end_year=2016","Correlation")</f>
        <v>Correlation</v>
      </c>
    </row>
    <row r="1471" spans="1:13" x14ac:dyDescent="0.2">
      <c r="A1471" s="113"/>
      <c r="B1471" s="58" t="s">
        <v>4594</v>
      </c>
      <c r="C1471" s="58" t="s">
        <v>2925</v>
      </c>
      <c r="D1471" s="58" t="s">
        <v>4596</v>
      </c>
      <c r="E1471" s="60" t="b">
        <v>1</v>
      </c>
      <c r="F1471" s="80" t="s">
        <v>655</v>
      </c>
      <c r="G1471" s="58" t="s">
        <v>4594</v>
      </c>
      <c r="H1471" s="58" t="s">
        <v>2925</v>
      </c>
      <c r="I1471" s="64" t="s">
        <v>4596</v>
      </c>
      <c r="J1471" s="66"/>
      <c r="K1471" s="66"/>
      <c r="L1471" s="68"/>
      <c r="M1471" s="63" t="str">
        <f>HYPERLINK("http://nsgreg.nga.mil/genc/view?v=863834&amp;end_month=12&amp;end_day=31&amp;end_year=2016","Correlation")</f>
        <v>Correlation</v>
      </c>
    </row>
    <row r="1472" spans="1:13" x14ac:dyDescent="0.2">
      <c r="A1472" s="113"/>
      <c r="B1472" s="58" t="s">
        <v>4597</v>
      </c>
      <c r="C1472" s="58" t="s">
        <v>2925</v>
      </c>
      <c r="D1472" s="58" t="s">
        <v>4598</v>
      </c>
      <c r="E1472" s="60" t="b">
        <v>1</v>
      </c>
      <c r="F1472" s="80" t="s">
        <v>655</v>
      </c>
      <c r="G1472" s="58" t="s">
        <v>4597</v>
      </c>
      <c r="H1472" s="58" t="s">
        <v>2925</v>
      </c>
      <c r="I1472" s="64" t="s">
        <v>4598</v>
      </c>
      <c r="J1472" s="66"/>
      <c r="K1472" s="66"/>
      <c r="L1472" s="68"/>
      <c r="M1472" s="63" t="str">
        <f>HYPERLINK("http://nsgreg.nga.mil/genc/view?v=863835&amp;end_month=12&amp;end_day=31&amp;end_year=2016","Correlation")</f>
        <v>Correlation</v>
      </c>
    </row>
    <row r="1473" spans="1:13" x14ac:dyDescent="0.2">
      <c r="A1473" s="113"/>
      <c r="B1473" s="58" t="s">
        <v>4599</v>
      </c>
      <c r="C1473" s="58" t="s">
        <v>2925</v>
      </c>
      <c r="D1473" s="58" t="s">
        <v>4600</v>
      </c>
      <c r="E1473" s="60" t="b">
        <v>1</v>
      </c>
      <c r="F1473" s="80" t="s">
        <v>655</v>
      </c>
      <c r="G1473" s="58" t="s">
        <v>4599</v>
      </c>
      <c r="H1473" s="58" t="s">
        <v>2925</v>
      </c>
      <c r="I1473" s="64" t="s">
        <v>4600</v>
      </c>
      <c r="J1473" s="66"/>
      <c r="K1473" s="66"/>
      <c r="L1473" s="68"/>
      <c r="M1473" s="63" t="str">
        <f>HYPERLINK("http://nsgreg.nga.mil/genc/view?v=863836&amp;end_month=12&amp;end_day=31&amp;end_year=2016","Correlation")</f>
        <v>Correlation</v>
      </c>
    </row>
    <row r="1474" spans="1:13" x14ac:dyDescent="0.2">
      <c r="A1474" s="113"/>
      <c r="B1474" s="58" t="s">
        <v>4601</v>
      </c>
      <c r="C1474" s="58" t="s">
        <v>2925</v>
      </c>
      <c r="D1474" s="58" t="s">
        <v>4602</v>
      </c>
      <c r="E1474" s="60" t="b">
        <v>1</v>
      </c>
      <c r="F1474" s="80" t="s">
        <v>655</v>
      </c>
      <c r="G1474" s="58" t="s">
        <v>4601</v>
      </c>
      <c r="H1474" s="58" t="s">
        <v>2925</v>
      </c>
      <c r="I1474" s="64" t="s">
        <v>4602</v>
      </c>
      <c r="J1474" s="66"/>
      <c r="K1474" s="66"/>
      <c r="L1474" s="68"/>
      <c r="M1474" s="63" t="str">
        <f>HYPERLINK("http://nsgreg.nga.mil/genc/view?v=863837&amp;end_month=12&amp;end_day=31&amp;end_year=2016","Correlation")</f>
        <v>Correlation</v>
      </c>
    </row>
    <row r="1475" spans="1:13" x14ac:dyDescent="0.2">
      <c r="A1475" s="113"/>
      <c r="B1475" s="58" t="s">
        <v>4603</v>
      </c>
      <c r="C1475" s="58" t="s">
        <v>2925</v>
      </c>
      <c r="D1475" s="58" t="s">
        <v>4604</v>
      </c>
      <c r="E1475" s="60" t="b">
        <v>1</v>
      </c>
      <c r="F1475" s="80" t="s">
        <v>655</v>
      </c>
      <c r="G1475" s="58" t="s">
        <v>4603</v>
      </c>
      <c r="H1475" s="58" t="s">
        <v>2925</v>
      </c>
      <c r="I1475" s="64" t="s">
        <v>4604</v>
      </c>
      <c r="J1475" s="66"/>
      <c r="K1475" s="66"/>
      <c r="L1475" s="68"/>
      <c r="M1475" s="63" t="str">
        <f>HYPERLINK("http://nsgreg.nga.mil/genc/view?v=863838&amp;end_month=12&amp;end_day=31&amp;end_year=2016","Correlation")</f>
        <v>Correlation</v>
      </c>
    </row>
    <row r="1476" spans="1:13" x14ac:dyDescent="0.2">
      <c r="A1476" s="113"/>
      <c r="B1476" s="58" t="s">
        <v>4605</v>
      </c>
      <c r="C1476" s="58" t="s">
        <v>4486</v>
      </c>
      <c r="D1476" s="58" t="s">
        <v>4606</v>
      </c>
      <c r="E1476" s="60" t="b">
        <v>1</v>
      </c>
      <c r="F1476" s="80" t="s">
        <v>655</v>
      </c>
      <c r="G1476" s="58" t="s">
        <v>4605</v>
      </c>
      <c r="H1476" s="58" t="s">
        <v>4486</v>
      </c>
      <c r="I1476" s="64" t="s">
        <v>4606</v>
      </c>
      <c r="J1476" s="66"/>
      <c r="K1476" s="66"/>
      <c r="L1476" s="68"/>
      <c r="M1476" s="63" t="str">
        <f>HYPERLINK("http://nsgreg.nga.mil/genc/view?v=863839&amp;end_month=12&amp;end_day=31&amp;end_year=2016","Correlation")</f>
        <v>Correlation</v>
      </c>
    </row>
    <row r="1477" spans="1:13" x14ac:dyDescent="0.2">
      <c r="A1477" s="113"/>
      <c r="B1477" s="58" t="s">
        <v>4605</v>
      </c>
      <c r="C1477" s="58" t="s">
        <v>2925</v>
      </c>
      <c r="D1477" s="58" t="s">
        <v>4607</v>
      </c>
      <c r="E1477" s="60" t="b">
        <v>1</v>
      </c>
      <c r="F1477" s="80" t="s">
        <v>655</v>
      </c>
      <c r="G1477" s="58" t="s">
        <v>4605</v>
      </c>
      <c r="H1477" s="58" t="s">
        <v>2925</v>
      </c>
      <c r="I1477" s="64" t="s">
        <v>4607</v>
      </c>
      <c r="J1477" s="66"/>
      <c r="K1477" s="66"/>
      <c r="L1477" s="68"/>
      <c r="M1477" s="63" t="str">
        <f>HYPERLINK("http://nsgreg.nga.mil/genc/view?v=863840&amp;end_month=12&amp;end_day=31&amp;end_year=2016","Correlation")</f>
        <v>Correlation</v>
      </c>
    </row>
    <row r="1478" spans="1:13" x14ac:dyDescent="0.2">
      <c r="A1478" s="113"/>
      <c r="B1478" s="58" t="s">
        <v>4608</v>
      </c>
      <c r="C1478" s="58" t="s">
        <v>2925</v>
      </c>
      <c r="D1478" s="58" t="s">
        <v>4609</v>
      </c>
      <c r="E1478" s="60" t="b">
        <v>1</v>
      </c>
      <c r="F1478" s="80" t="s">
        <v>655</v>
      </c>
      <c r="G1478" s="58" t="s">
        <v>4608</v>
      </c>
      <c r="H1478" s="58" t="s">
        <v>2925</v>
      </c>
      <c r="I1478" s="64" t="s">
        <v>4609</v>
      </c>
      <c r="J1478" s="66"/>
      <c r="K1478" s="66"/>
      <c r="L1478" s="68"/>
      <c r="M1478" s="63" t="str">
        <f>HYPERLINK("http://nsgreg.nga.mil/genc/view?v=863843&amp;end_month=12&amp;end_day=31&amp;end_year=2016","Correlation")</f>
        <v>Correlation</v>
      </c>
    </row>
    <row r="1479" spans="1:13" x14ac:dyDescent="0.2">
      <c r="A1479" s="113"/>
      <c r="B1479" s="58" t="s">
        <v>4610</v>
      </c>
      <c r="C1479" s="58" t="s">
        <v>4486</v>
      </c>
      <c r="D1479" s="58" t="s">
        <v>4611</v>
      </c>
      <c r="E1479" s="60" t="b">
        <v>1</v>
      </c>
      <c r="F1479" s="80" t="s">
        <v>655</v>
      </c>
      <c r="G1479" s="58" t="s">
        <v>4610</v>
      </c>
      <c r="H1479" s="58" t="s">
        <v>4486</v>
      </c>
      <c r="I1479" s="64" t="s">
        <v>4611</v>
      </c>
      <c r="J1479" s="66"/>
      <c r="K1479" s="66"/>
      <c r="L1479" s="68"/>
      <c r="M1479" s="63" t="str">
        <f>HYPERLINK("http://nsgreg.nga.mil/genc/view?v=863828&amp;end_month=12&amp;end_day=31&amp;end_year=2016","Correlation")</f>
        <v>Correlation</v>
      </c>
    </row>
    <row r="1480" spans="1:13" x14ac:dyDescent="0.2">
      <c r="A1480" s="113"/>
      <c r="B1480" s="58" t="s">
        <v>4610</v>
      </c>
      <c r="C1480" s="58" t="s">
        <v>2925</v>
      </c>
      <c r="D1480" s="58" t="s">
        <v>4612</v>
      </c>
      <c r="E1480" s="60" t="b">
        <v>1</v>
      </c>
      <c r="F1480" s="80" t="s">
        <v>655</v>
      </c>
      <c r="G1480" s="58" t="s">
        <v>4610</v>
      </c>
      <c r="H1480" s="58" t="s">
        <v>2925</v>
      </c>
      <c r="I1480" s="64" t="s">
        <v>4612</v>
      </c>
      <c r="J1480" s="66"/>
      <c r="K1480" s="66"/>
      <c r="L1480" s="68"/>
      <c r="M1480" s="63" t="str">
        <f>HYPERLINK("http://nsgreg.nga.mil/genc/view?v=863842&amp;end_month=12&amp;end_day=31&amp;end_year=2016","Correlation")</f>
        <v>Correlation</v>
      </c>
    </row>
    <row r="1481" spans="1:13" x14ac:dyDescent="0.2">
      <c r="A1481" s="113"/>
      <c r="B1481" s="58" t="s">
        <v>4613</v>
      </c>
      <c r="C1481" s="58" t="s">
        <v>2925</v>
      </c>
      <c r="D1481" s="58" t="s">
        <v>4614</v>
      </c>
      <c r="E1481" s="60" t="b">
        <v>1</v>
      </c>
      <c r="F1481" s="80" t="s">
        <v>655</v>
      </c>
      <c r="G1481" s="58" t="s">
        <v>4613</v>
      </c>
      <c r="H1481" s="58" t="s">
        <v>2925</v>
      </c>
      <c r="I1481" s="64" t="s">
        <v>4614</v>
      </c>
      <c r="J1481" s="66"/>
      <c r="K1481" s="66"/>
      <c r="L1481" s="68"/>
      <c r="M1481" s="63" t="str">
        <f>HYPERLINK("http://nsgreg.nga.mil/genc/view?v=863846&amp;end_month=12&amp;end_day=31&amp;end_year=2016","Correlation")</f>
        <v>Correlation</v>
      </c>
    </row>
    <row r="1482" spans="1:13" x14ac:dyDescent="0.2">
      <c r="A1482" s="113"/>
      <c r="B1482" s="58" t="s">
        <v>4615</v>
      </c>
      <c r="C1482" s="58" t="s">
        <v>2925</v>
      </c>
      <c r="D1482" s="58" t="s">
        <v>4616</v>
      </c>
      <c r="E1482" s="60" t="b">
        <v>1</v>
      </c>
      <c r="F1482" s="80" t="s">
        <v>655</v>
      </c>
      <c r="G1482" s="58" t="s">
        <v>4615</v>
      </c>
      <c r="H1482" s="58" t="s">
        <v>2925</v>
      </c>
      <c r="I1482" s="64" t="s">
        <v>4616</v>
      </c>
      <c r="J1482" s="66"/>
      <c r="K1482" s="66"/>
      <c r="L1482" s="68"/>
      <c r="M1482" s="63" t="str">
        <f>HYPERLINK("http://nsgreg.nga.mil/genc/view?v=863841&amp;end_month=12&amp;end_day=31&amp;end_year=2016","Correlation")</f>
        <v>Correlation</v>
      </c>
    </row>
    <row r="1483" spans="1:13" x14ac:dyDescent="0.2">
      <c r="A1483" s="113"/>
      <c r="B1483" s="58" t="s">
        <v>4617</v>
      </c>
      <c r="C1483" s="58" t="s">
        <v>2925</v>
      </c>
      <c r="D1483" s="58" t="s">
        <v>4618</v>
      </c>
      <c r="E1483" s="60" t="b">
        <v>1</v>
      </c>
      <c r="F1483" s="80" t="s">
        <v>655</v>
      </c>
      <c r="G1483" s="58" t="s">
        <v>4617</v>
      </c>
      <c r="H1483" s="58" t="s">
        <v>2925</v>
      </c>
      <c r="I1483" s="64" t="s">
        <v>4618</v>
      </c>
      <c r="J1483" s="66"/>
      <c r="K1483" s="66"/>
      <c r="L1483" s="68"/>
      <c r="M1483" s="63" t="str">
        <f>HYPERLINK("http://nsgreg.nga.mil/genc/view?v=863844&amp;end_month=12&amp;end_day=31&amp;end_year=2016","Correlation")</f>
        <v>Correlation</v>
      </c>
    </row>
    <row r="1484" spans="1:13" x14ac:dyDescent="0.2">
      <c r="A1484" s="113"/>
      <c r="B1484" s="58" t="s">
        <v>4619</v>
      </c>
      <c r="C1484" s="58" t="s">
        <v>2925</v>
      </c>
      <c r="D1484" s="58" t="s">
        <v>4620</v>
      </c>
      <c r="E1484" s="60" t="b">
        <v>1</v>
      </c>
      <c r="F1484" s="80" t="s">
        <v>655</v>
      </c>
      <c r="G1484" s="58" t="s">
        <v>4619</v>
      </c>
      <c r="H1484" s="58" t="s">
        <v>2925</v>
      </c>
      <c r="I1484" s="64" t="s">
        <v>4620</v>
      </c>
      <c r="J1484" s="66"/>
      <c r="K1484" s="66"/>
      <c r="L1484" s="68"/>
      <c r="M1484" s="63" t="str">
        <f>HYPERLINK("http://nsgreg.nga.mil/genc/view?v=863845&amp;end_month=12&amp;end_day=31&amp;end_year=2016","Correlation")</f>
        <v>Correlation</v>
      </c>
    </row>
    <row r="1485" spans="1:13" x14ac:dyDescent="0.2">
      <c r="A1485" s="113"/>
      <c r="B1485" s="58" t="s">
        <v>4621</v>
      </c>
      <c r="C1485" s="58" t="s">
        <v>4486</v>
      </c>
      <c r="D1485" s="58" t="s">
        <v>4622</v>
      </c>
      <c r="E1485" s="60" t="b">
        <v>1</v>
      </c>
      <c r="F1485" s="80" t="s">
        <v>655</v>
      </c>
      <c r="G1485" s="58" t="s">
        <v>4621</v>
      </c>
      <c r="H1485" s="58" t="s">
        <v>4486</v>
      </c>
      <c r="I1485" s="64" t="s">
        <v>4622</v>
      </c>
      <c r="J1485" s="66"/>
      <c r="K1485" s="66"/>
      <c r="L1485" s="68"/>
      <c r="M1485" s="63" t="str">
        <f>HYPERLINK("http://nsgreg.nga.mil/genc/view?v=863847&amp;end_month=12&amp;end_day=31&amp;end_year=2016","Correlation")</f>
        <v>Correlation</v>
      </c>
    </row>
    <row r="1486" spans="1:13" x14ac:dyDescent="0.2">
      <c r="A1486" s="113"/>
      <c r="B1486" s="58" t="s">
        <v>4621</v>
      </c>
      <c r="C1486" s="58" t="s">
        <v>2925</v>
      </c>
      <c r="D1486" s="58" t="s">
        <v>4623</v>
      </c>
      <c r="E1486" s="60" t="b">
        <v>1</v>
      </c>
      <c r="F1486" s="80" t="s">
        <v>655</v>
      </c>
      <c r="G1486" s="58" t="s">
        <v>4621</v>
      </c>
      <c r="H1486" s="58" t="s">
        <v>2925</v>
      </c>
      <c r="I1486" s="64" t="s">
        <v>4623</v>
      </c>
      <c r="J1486" s="66"/>
      <c r="K1486" s="66"/>
      <c r="L1486" s="68"/>
      <c r="M1486" s="63" t="str">
        <f>HYPERLINK("http://nsgreg.nga.mil/genc/view?v=863848&amp;end_month=12&amp;end_day=31&amp;end_year=2016","Correlation")</f>
        <v>Correlation</v>
      </c>
    </row>
    <row r="1487" spans="1:13" x14ac:dyDescent="0.2">
      <c r="A1487" s="113"/>
      <c r="B1487" s="58" t="s">
        <v>4624</v>
      </c>
      <c r="C1487" s="58" t="s">
        <v>2925</v>
      </c>
      <c r="D1487" s="58" t="s">
        <v>4625</v>
      </c>
      <c r="E1487" s="60" t="b">
        <v>1</v>
      </c>
      <c r="F1487" s="80" t="s">
        <v>655</v>
      </c>
      <c r="G1487" s="58" t="s">
        <v>4624</v>
      </c>
      <c r="H1487" s="58" t="s">
        <v>2925</v>
      </c>
      <c r="I1487" s="64" t="s">
        <v>4625</v>
      </c>
      <c r="J1487" s="66"/>
      <c r="K1487" s="66"/>
      <c r="L1487" s="68"/>
      <c r="M1487" s="63" t="str">
        <f>HYPERLINK("http://nsgreg.nga.mil/genc/view?v=863849&amp;end_month=12&amp;end_day=31&amp;end_year=2016","Correlation")</f>
        <v>Correlation</v>
      </c>
    </row>
    <row r="1488" spans="1:13" x14ac:dyDescent="0.2">
      <c r="A1488" s="113"/>
      <c r="B1488" s="58" t="s">
        <v>4626</v>
      </c>
      <c r="C1488" s="58" t="s">
        <v>2925</v>
      </c>
      <c r="D1488" s="58" t="s">
        <v>4627</v>
      </c>
      <c r="E1488" s="60" t="b">
        <v>1</v>
      </c>
      <c r="F1488" s="80" t="s">
        <v>655</v>
      </c>
      <c r="G1488" s="58" t="s">
        <v>4626</v>
      </c>
      <c r="H1488" s="58" t="s">
        <v>2925</v>
      </c>
      <c r="I1488" s="64" t="s">
        <v>4627</v>
      </c>
      <c r="J1488" s="66"/>
      <c r="K1488" s="66"/>
      <c r="L1488" s="68"/>
      <c r="M1488" s="63" t="str">
        <f>HYPERLINK("http://nsgreg.nga.mil/genc/view?v=863850&amp;end_month=12&amp;end_day=31&amp;end_year=2016","Correlation")</f>
        <v>Correlation</v>
      </c>
    </row>
    <row r="1489" spans="1:13" x14ac:dyDescent="0.2">
      <c r="A1489" s="113"/>
      <c r="B1489" s="58" t="s">
        <v>4628</v>
      </c>
      <c r="C1489" s="58" t="s">
        <v>2925</v>
      </c>
      <c r="D1489" s="58" t="s">
        <v>4629</v>
      </c>
      <c r="E1489" s="60" t="b">
        <v>1</v>
      </c>
      <c r="F1489" s="80" t="s">
        <v>655</v>
      </c>
      <c r="G1489" s="58" t="s">
        <v>4628</v>
      </c>
      <c r="H1489" s="58" t="s">
        <v>2925</v>
      </c>
      <c r="I1489" s="64" t="s">
        <v>4629</v>
      </c>
      <c r="J1489" s="66"/>
      <c r="K1489" s="66"/>
      <c r="L1489" s="68"/>
      <c r="M1489" s="63" t="str">
        <f>HYPERLINK("http://nsgreg.nga.mil/genc/view?v=863852&amp;end_month=12&amp;end_day=31&amp;end_year=2016","Correlation")</f>
        <v>Correlation</v>
      </c>
    </row>
    <row r="1490" spans="1:13" x14ac:dyDescent="0.2">
      <c r="A1490" s="113"/>
      <c r="B1490" s="58" t="s">
        <v>4630</v>
      </c>
      <c r="C1490" s="58" t="s">
        <v>2925</v>
      </c>
      <c r="D1490" s="58" t="s">
        <v>4631</v>
      </c>
      <c r="E1490" s="60" t="b">
        <v>1</v>
      </c>
      <c r="F1490" s="80" t="s">
        <v>655</v>
      </c>
      <c r="G1490" s="58" t="s">
        <v>4630</v>
      </c>
      <c r="H1490" s="58" t="s">
        <v>2925</v>
      </c>
      <c r="I1490" s="64" t="s">
        <v>4631</v>
      </c>
      <c r="J1490" s="66"/>
      <c r="K1490" s="66"/>
      <c r="L1490" s="68"/>
      <c r="M1490" s="63" t="str">
        <f>HYPERLINK("http://nsgreg.nga.mil/genc/view?v=863854&amp;end_month=12&amp;end_day=31&amp;end_year=2016","Correlation")</f>
        <v>Correlation</v>
      </c>
    </row>
    <row r="1491" spans="1:13" x14ac:dyDescent="0.2">
      <c r="A1491" s="113"/>
      <c r="B1491" s="58" t="s">
        <v>4632</v>
      </c>
      <c r="C1491" s="58" t="s">
        <v>4486</v>
      </c>
      <c r="D1491" s="58" t="s">
        <v>4633</v>
      </c>
      <c r="E1491" s="60" t="b">
        <v>1</v>
      </c>
      <c r="F1491" s="80" t="s">
        <v>655</v>
      </c>
      <c r="G1491" s="58" t="s">
        <v>4632</v>
      </c>
      <c r="H1491" s="58" t="s">
        <v>4486</v>
      </c>
      <c r="I1491" s="64" t="s">
        <v>4633</v>
      </c>
      <c r="J1491" s="66"/>
      <c r="K1491" s="66"/>
      <c r="L1491" s="68"/>
      <c r="M1491" s="63" t="str">
        <f>HYPERLINK("http://nsgreg.nga.mil/genc/view?v=863851&amp;end_month=12&amp;end_day=31&amp;end_year=2016","Correlation")</f>
        <v>Correlation</v>
      </c>
    </row>
    <row r="1492" spans="1:13" x14ac:dyDescent="0.2">
      <c r="A1492" s="113"/>
      <c r="B1492" s="58" t="s">
        <v>4632</v>
      </c>
      <c r="C1492" s="58" t="s">
        <v>2925</v>
      </c>
      <c r="D1492" s="58" t="s">
        <v>4634</v>
      </c>
      <c r="E1492" s="60" t="b">
        <v>1</v>
      </c>
      <c r="F1492" s="80" t="s">
        <v>655</v>
      </c>
      <c r="G1492" s="58" t="s">
        <v>4632</v>
      </c>
      <c r="H1492" s="58" t="s">
        <v>2925</v>
      </c>
      <c r="I1492" s="64" t="s">
        <v>4634</v>
      </c>
      <c r="J1492" s="66"/>
      <c r="K1492" s="66"/>
      <c r="L1492" s="68"/>
      <c r="M1492" s="63" t="str">
        <f>HYPERLINK("http://nsgreg.nga.mil/genc/view?v=863855&amp;end_month=12&amp;end_day=31&amp;end_year=2016","Correlation")</f>
        <v>Correlation</v>
      </c>
    </row>
    <row r="1493" spans="1:13" x14ac:dyDescent="0.2">
      <c r="A1493" s="113"/>
      <c r="B1493" s="58" t="s">
        <v>4635</v>
      </c>
      <c r="C1493" s="58" t="s">
        <v>2925</v>
      </c>
      <c r="D1493" s="58" t="s">
        <v>4636</v>
      </c>
      <c r="E1493" s="60" t="b">
        <v>1</v>
      </c>
      <c r="F1493" s="80" t="s">
        <v>655</v>
      </c>
      <c r="G1493" s="58" t="s">
        <v>4635</v>
      </c>
      <c r="H1493" s="58" t="s">
        <v>2925</v>
      </c>
      <c r="I1493" s="64" t="s">
        <v>4636</v>
      </c>
      <c r="J1493" s="66"/>
      <c r="K1493" s="66"/>
      <c r="L1493" s="68"/>
      <c r="M1493" s="63" t="str">
        <f>HYPERLINK("http://nsgreg.nga.mil/genc/view?v=863853&amp;end_month=12&amp;end_day=31&amp;end_year=2016","Correlation")</f>
        <v>Correlation</v>
      </c>
    </row>
    <row r="1494" spans="1:13" x14ac:dyDescent="0.2">
      <c r="A1494" s="113"/>
      <c r="B1494" s="58" t="s">
        <v>4637</v>
      </c>
      <c r="C1494" s="58" t="s">
        <v>4486</v>
      </c>
      <c r="D1494" s="58" t="s">
        <v>4638</v>
      </c>
      <c r="E1494" s="60" t="b">
        <v>1</v>
      </c>
      <c r="F1494" s="80" t="s">
        <v>655</v>
      </c>
      <c r="G1494" s="58" t="s">
        <v>4639</v>
      </c>
      <c r="H1494" s="58" t="s">
        <v>4486</v>
      </c>
      <c r="I1494" s="64" t="s">
        <v>4638</v>
      </c>
      <c r="J1494" s="66"/>
      <c r="K1494" s="66"/>
      <c r="L1494" s="68"/>
      <c r="M1494" s="63" t="str">
        <f>HYPERLINK("http://nsgreg.nga.mil/genc/view?v=863856&amp;end_month=12&amp;end_day=31&amp;end_year=2016","Correlation")</f>
        <v>Correlation</v>
      </c>
    </row>
    <row r="1495" spans="1:13" x14ac:dyDescent="0.2">
      <c r="A1495" s="113"/>
      <c r="B1495" s="58" t="s">
        <v>4637</v>
      </c>
      <c r="C1495" s="58" t="s">
        <v>2925</v>
      </c>
      <c r="D1495" s="58" t="s">
        <v>4640</v>
      </c>
      <c r="E1495" s="60" t="b">
        <v>1</v>
      </c>
      <c r="F1495" s="80" t="s">
        <v>655</v>
      </c>
      <c r="G1495" s="58" t="s">
        <v>4639</v>
      </c>
      <c r="H1495" s="58" t="s">
        <v>2925</v>
      </c>
      <c r="I1495" s="64" t="s">
        <v>4640</v>
      </c>
      <c r="J1495" s="66"/>
      <c r="K1495" s="66"/>
      <c r="L1495" s="68"/>
      <c r="M1495" s="63" t="str">
        <f>HYPERLINK("http://nsgreg.nga.mil/genc/view?v=863857&amp;end_month=12&amp;end_day=31&amp;end_year=2016","Correlation")</f>
        <v>Correlation</v>
      </c>
    </row>
    <row r="1496" spans="1:13" x14ac:dyDescent="0.2">
      <c r="A1496" s="113"/>
      <c r="B1496" s="58" t="s">
        <v>4641</v>
      </c>
      <c r="C1496" s="58" t="s">
        <v>2925</v>
      </c>
      <c r="D1496" s="58" t="s">
        <v>4642</v>
      </c>
      <c r="E1496" s="60" t="b">
        <v>1</v>
      </c>
      <c r="F1496" s="80" t="s">
        <v>655</v>
      </c>
      <c r="G1496" s="58" t="s">
        <v>4641</v>
      </c>
      <c r="H1496" s="58" t="s">
        <v>2925</v>
      </c>
      <c r="I1496" s="64" t="s">
        <v>4642</v>
      </c>
      <c r="J1496" s="66"/>
      <c r="K1496" s="66"/>
      <c r="L1496" s="68"/>
      <c r="M1496" s="63" t="str">
        <f>HYPERLINK("http://nsgreg.nga.mil/genc/view?v=863858&amp;end_month=12&amp;end_day=31&amp;end_year=2016","Correlation")</f>
        <v>Correlation</v>
      </c>
    </row>
    <row r="1497" spans="1:13" x14ac:dyDescent="0.2">
      <c r="A1497" s="113"/>
      <c r="B1497" s="58" t="s">
        <v>4643</v>
      </c>
      <c r="C1497" s="58" t="s">
        <v>2925</v>
      </c>
      <c r="D1497" s="58" t="s">
        <v>4644</v>
      </c>
      <c r="E1497" s="60" t="b">
        <v>1</v>
      </c>
      <c r="F1497" s="80" t="s">
        <v>655</v>
      </c>
      <c r="G1497" s="58" t="s">
        <v>4643</v>
      </c>
      <c r="H1497" s="58" t="s">
        <v>2925</v>
      </c>
      <c r="I1497" s="64" t="s">
        <v>4644</v>
      </c>
      <c r="J1497" s="66"/>
      <c r="K1497" s="66"/>
      <c r="L1497" s="68"/>
      <c r="M1497" s="63" t="str">
        <f>HYPERLINK("http://nsgreg.nga.mil/genc/view?v=863859&amp;end_month=12&amp;end_day=31&amp;end_year=2016","Correlation")</f>
        <v>Correlation</v>
      </c>
    </row>
    <row r="1498" spans="1:13" x14ac:dyDescent="0.2">
      <c r="A1498" s="113"/>
      <c r="B1498" s="58" t="s">
        <v>4645</v>
      </c>
      <c r="C1498" s="58" t="s">
        <v>2925</v>
      </c>
      <c r="D1498" s="58" t="s">
        <v>4646</v>
      </c>
      <c r="E1498" s="60" t="b">
        <v>1</v>
      </c>
      <c r="F1498" s="80" t="s">
        <v>655</v>
      </c>
      <c r="G1498" s="58" t="s">
        <v>4645</v>
      </c>
      <c r="H1498" s="58" t="s">
        <v>2925</v>
      </c>
      <c r="I1498" s="64" t="s">
        <v>4646</v>
      </c>
      <c r="J1498" s="66"/>
      <c r="K1498" s="66"/>
      <c r="L1498" s="68"/>
      <c r="M1498" s="63" t="str">
        <f>HYPERLINK("http://nsgreg.nga.mil/genc/view?v=863860&amp;end_month=12&amp;end_day=31&amp;end_year=2016","Correlation")</f>
        <v>Correlation</v>
      </c>
    </row>
    <row r="1499" spans="1:13" x14ac:dyDescent="0.2">
      <c r="A1499" s="113"/>
      <c r="B1499" s="58" t="s">
        <v>4647</v>
      </c>
      <c r="C1499" s="58" t="s">
        <v>2925</v>
      </c>
      <c r="D1499" s="58" t="s">
        <v>4648</v>
      </c>
      <c r="E1499" s="60" t="b">
        <v>1</v>
      </c>
      <c r="F1499" s="80" t="s">
        <v>655</v>
      </c>
      <c r="G1499" s="58" t="s">
        <v>4647</v>
      </c>
      <c r="H1499" s="58" t="s">
        <v>2925</v>
      </c>
      <c r="I1499" s="64" t="s">
        <v>4648</v>
      </c>
      <c r="J1499" s="66"/>
      <c r="K1499" s="66"/>
      <c r="L1499" s="68"/>
      <c r="M1499" s="63" t="str">
        <f>HYPERLINK("http://nsgreg.nga.mil/genc/view?v=863861&amp;end_month=12&amp;end_day=31&amp;end_year=2016","Correlation")</f>
        <v>Correlation</v>
      </c>
    </row>
    <row r="1500" spans="1:13" x14ac:dyDescent="0.2">
      <c r="A1500" s="114"/>
      <c r="B1500" s="71" t="s">
        <v>4649</v>
      </c>
      <c r="C1500" s="71" t="s">
        <v>2925</v>
      </c>
      <c r="D1500" s="71" t="s">
        <v>4650</v>
      </c>
      <c r="E1500" s="73" t="b">
        <v>1</v>
      </c>
      <c r="F1500" s="81" t="s">
        <v>655</v>
      </c>
      <c r="G1500" s="71" t="s">
        <v>4649</v>
      </c>
      <c r="H1500" s="71" t="s">
        <v>2925</v>
      </c>
      <c r="I1500" s="74" t="s">
        <v>4650</v>
      </c>
      <c r="J1500" s="76"/>
      <c r="K1500" s="76"/>
      <c r="L1500" s="82"/>
      <c r="M1500" s="77" t="str">
        <f>HYPERLINK("http://nsgreg.nga.mil/genc/view?v=863862&amp;end_month=12&amp;end_day=31&amp;end_year=2016","Correlation")</f>
        <v>Correlation</v>
      </c>
    </row>
    <row r="1501" spans="1:13" x14ac:dyDescent="0.2">
      <c r="A1501" s="112" t="s">
        <v>659</v>
      </c>
      <c r="B1501" s="50" t="s">
        <v>4651</v>
      </c>
      <c r="C1501" s="50" t="s">
        <v>1728</v>
      </c>
      <c r="D1501" s="50" t="s">
        <v>4652</v>
      </c>
      <c r="E1501" s="52" t="b">
        <v>1</v>
      </c>
      <c r="F1501" s="78" t="s">
        <v>659</v>
      </c>
      <c r="G1501" s="50" t="s">
        <v>4651</v>
      </c>
      <c r="H1501" s="50" t="s">
        <v>1728</v>
      </c>
      <c r="I1501" s="53" t="s">
        <v>4652</v>
      </c>
      <c r="J1501" s="55"/>
      <c r="K1501" s="55"/>
      <c r="L1501" s="79"/>
      <c r="M1501" s="56" t="str">
        <f>HYPERLINK("http://nsgreg.nga.mil/genc/view?v=863959&amp;end_month=12&amp;end_day=31&amp;end_year=2016","Correlation")</f>
        <v>Correlation</v>
      </c>
    </row>
    <row r="1502" spans="1:13" x14ac:dyDescent="0.2">
      <c r="A1502" s="113"/>
      <c r="B1502" s="58" t="s">
        <v>4653</v>
      </c>
      <c r="C1502" s="58" t="s">
        <v>1728</v>
      </c>
      <c r="D1502" s="58" t="s">
        <v>4654</v>
      </c>
      <c r="E1502" s="60" t="b">
        <v>1</v>
      </c>
      <c r="F1502" s="80" t="s">
        <v>659</v>
      </c>
      <c r="G1502" s="58" t="s">
        <v>4653</v>
      </c>
      <c r="H1502" s="58" t="s">
        <v>1728</v>
      </c>
      <c r="I1502" s="64" t="s">
        <v>4654</v>
      </c>
      <c r="J1502" s="66"/>
      <c r="K1502" s="66"/>
      <c r="L1502" s="68"/>
      <c r="M1502" s="63" t="str">
        <f>HYPERLINK("http://nsgreg.nga.mil/genc/view?v=863961&amp;end_month=12&amp;end_day=31&amp;end_year=2016","Correlation")</f>
        <v>Correlation</v>
      </c>
    </row>
    <row r="1503" spans="1:13" x14ac:dyDescent="0.2">
      <c r="A1503" s="113"/>
      <c r="B1503" s="58" t="s">
        <v>4655</v>
      </c>
      <c r="C1503" s="58" t="s">
        <v>4656</v>
      </c>
      <c r="D1503" s="58" t="s">
        <v>4657</v>
      </c>
      <c r="E1503" s="60" t="b">
        <v>1</v>
      </c>
      <c r="F1503" s="80" t="s">
        <v>659</v>
      </c>
      <c r="G1503" s="58" t="s">
        <v>4655</v>
      </c>
      <c r="H1503" s="58" t="s">
        <v>4656</v>
      </c>
      <c r="I1503" s="64" t="s">
        <v>4657</v>
      </c>
      <c r="J1503" s="66"/>
      <c r="K1503" s="66"/>
      <c r="L1503" s="68"/>
      <c r="M1503" s="63" t="str">
        <f>HYPERLINK("http://nsgreg.nga.mil/genc/view?v=863962&amp;end_month=12&amp;end_day=31&amp;end_year=2016","Correlation")</f>
        <v>Correlation</v>
      </c>
    </row>
    <row r="1504" spans="1:13" x14ac:dyDescent="0.2">
      <c r="A1504" s="113"/>
      <c r="B1504" s="58" t="s">
        <v>4658</v>
      </c>
      <c r="C1504" s="58" t="s">
        <v>1728</v>
      </c>
      <c r="D1504" s="58" t="s">
        <v>4659</v>
      </c>
      <c r="E1504" s="60" t="b">
        <v>1</v>
      </c>
      <c r="F1504" s="80" t="s">
        <v>659</v>
      </c>
      <c r="G1504" s="58" t="s">
        <v>4660</v>
      </c>
      <c r="H1504" s="58" t="s">
        <v>1728</v>
      </c>
      <c r="I1504" s="64" t="s">
        <v>4659</v>
      </c>
      <c r="J1504" s="66"/>
      <c r="K1504" s="66"/>
      <c r="L1504" s="68"/>
      <c r="M1504" s="63" t="str">
        <f>HYPERLINK("http://nsgreg.nga.mil/genc/view?v=863960&amp;end_month=12&amp;end_day=31&amp;end_year=2016","Correlation")</f>
        <v>Correlation</v>
      </c>
    </row>
    <row r="1505" spans="1:13" x14ac:dyDescent="0.2">
      <c r="A1505" s="113"/>
      <c r="B1505" s="58" t="s">
        <v>4661</v>
      </c>
      <c r="C1505" s="58" t="s">
        <v>1728</v>
      </c>
      <c r="D1505" s="58" t="s">
        <v>4662</v>
      </c>
      <c r="E1505" s="60" t="b">
        <v>1</v>
      </c>
      <c r="F1505" s="80" t="s">
        <v>659</v>
      </c>
      <c r="G1505" s="58" t="s">
        <v>4661</v>
      </c>
      <c r="H1505" s="58" t="s">
        <v>1728</v>
      </c>
      <c r="I1505" s="64" t="s">
        <v>4662</v>
      </c>
      <c r="J1505" s="66"/>
      <c r="K1505" s="66"/>
      <c r="L1505" s="68"/>
      <c r="M1505" s="63" t="str">
        <f>HYPERLINK("http://nsgreg.nga.mil/genc/view?v=863963&amp;end_month=12&amp;end_day=31&amp;end_year=2016","Correlation")</f>
        <v>Correlation</v>
      </c>
    </row>
    <row r="1506" spans="1:13" x14ac:dyDescent="0.2">
      <c r="A1506" s="113"/>
      <c r="B1506" s="58" t="s">
        <v>4663</v>
      </c>
      <c r="C1506" s="58" t="s">
        <v>1728</v>
      </c>
      <c r="D1506" s="58" t="s">
        <v>4664</v>
      </c>
      <c r="E1506" s="60" t="b">
        <v>1</v>
      </c>
      <c r="F1506" s="80" t="s">
        <v>659</v>
      </c>
      <c r="G1506" s="58" t="s">
        <v>4663</v>
      </c>
      <c r="H1506" s="58" t="s">
        <v>1728</v>
      </c>
      <c r="I1506" s="64" t="s">
        <v>4664</v>
      </c>
      <c r="J1506" s="66"/>
      <c r="K1506" s="66"/>
      <c r="L1506" s="68"/>
      <c r="M1506" s="63" t="str">
        <f>HYPERLINK("http://nsgreg.nga.mil/genc/view?v=863964&amp;end_month=12&amp;end_day=31&amp;end_year=2016","Correlation")</f>
        <v>Correlation</v>
      </c>
    </row>
    <row r="1507" spans="1:13" x14ac:dyDescent="0.2">
      <c r="A1507" s="113"/>
      <c r="B1507" s="58" t="s">
        <v>4665</v>
      </c>
      <c r="C1507" s="58" t="s">
        <v>1413</v>
      </c>
      <c r="D1507" s="58" t="s">
        <v>4666</v>
      </c>
      <c r="E1507" s="60" t="b">
        <v>1</v>
      </c>
      <c r="F1507" s="80" t="s">
        <v>659</v>
      </c>
      <c r="G1507" s="58" t="s">
        <v>4665</v>
      </c>
      <c r="H1507" s="58" t="s">
        <v>1413</v>
      </c>
      <c r="I1507" s="64" t="s">
        <v>4666</v>
      </c>
      <c r="J1507" s="66"/>
      <c r="K1507" s="66"/>
      <c r="L1507" s="68"/>
      <c r="M1507" s="63" t="str">
        <f>HYPERLINK("http://nsgreg.nga.mil/genc/view?v=863965&amp;end_month=12&amp;end_day=31&amp;end_year=2016","Correlation")</f>
        <v>Correlation</v>
      </c>
    </row>
    <row r="1508" spans="1:13" x14ac:dyDescent="0.2">
      <c r="A1508" s="113"/>
      <c r="B1508" s="58" t="s">
        <v>4667</v>
      </c>
      <c r="C1508" s="58" t="s">
        <v>1413</v>
      </c>
      <c r="D1508" s="58" t="s">
        <v>4668</v>
      </c>
      <c r="E1508" s="60" t="b">
        <v>1</v>
      </c>
      <c r="F1508" s="80" t="s">
        <v>659</v>
      </c>
      <c r="G1508" s="58" t="s">
        <v>4667</v>
      </c>
      <c r="H1508" s="58" t="s">
        <v>1413</v>
      </c>
      <c r="I1508" s="64" t="s">
        <v>4668</v>
      </c>
      <c r="J1508" s="66"/>
      <c r="K1508" s="66"/>
      <c r="L1508" s="68"/>
      <c r="M1508" s="63" t="str">
        <f>HYPERLINK("http://nsgreg.nga.mil/genc/view?v=863966&amp;end_month=12&amp;end_day=31&amp;end_year=2016","Correlation")</f>
        <v>Correlation</v>
      </c>
    </row>
    <row r="1509" spans="1:13" x14ac:dyDescent="0.2">
      <c r="A1509" s="113"/>
      <c r="B1509" s="58" t="s">
        <v>4669</v>
      </c>
      <c r="C1509" s="58" t="s">
        <v>1728</v>
      </c>
      <c r="D1509" s="58" t="s">
        <v>4670</v>
      </c>
      <c r="E1509" s="60" t="b">
        <v>1</v>
      </c>
      <c r="F1509" s="80" t="s">
        <v>659</v>
      </c>
      <c r="G1509" s="58" t="s">
        <v>4669</v>
      </c>
      <c r="H1509" s="58" t="s">
        <v>1728</v>
      </c>
      <c r="I1509" s="64" t="s">
        <v>4670</v>
      </c>
      <c r="J1509" s="66"/>
      <c r="K1509" s="66"/>
      <c r="L1509" s="68"/>
      <c r="M1509" s="63" t="str">
        <f>HYPERLINK("http://nsgreg.nga.mil/genc/view?v=863967&amp;end_month=12&amp;end_day=31&amp;end_year=2016","Correlation")</f>
        <v>Correlation</v>
      </c>
    </row>
    <row r="1510" spans="1:13" x14ac:dyDescent="0.2">
      <c r="A1510" s="113"/>
      <c r="B1510" s="58" t="s">
        <v>4671</v>
      </c>
      <c r="C1510" s="58" t="s">
        <v>1728</v>
      </c>
      <c r="D1510" s="58" t="s">
        <v>4672</v>
      </c>
      <c r="E1510" s="60" t="b">
        <v>1</v>
      </c>
      <c r="F1510" s="80" t="s">
        <v>659</v>
      </c>
      <c r="G1510" s="58" t="s">
        <v>4671</v>
      </c>
      <c r="H1510" s="58" t="s">
        <v>1728</v>
      </c>
      <c r="I1510" s="64" t="s">
        <v>4672</v>
      </c>
      <c r="J1510" s="66"/>
      <c r="K1510" s="66"/>
      <c r="L1510" s="68"/>
      <c r="M1510" s="63" t="str">
        <f>HYPERLINK("http://nsgreg.nga.mil/genc/view?v=863968&amp;end_month=12&amp;end_day=31&amp;end_year=2016","Correlation")</f>
        <v>Correlation</v>
      </c>
    </row>
    <row r="1511" spans="1:13" x14ac:dyDescent="0.2">
      <c r="A1511" s="113"/>
      <c r="B1511" s="58" t="s">
        <v>4673</v>
      </c>
      <c r="C1511" s="58" t="s">
        <v>1413</v>
      </c>
      <c r="D1511" s="58" t="s">
        <v>4674</v>
      </c>
      <c r="E1511" s="60" t="b">
        <v>1</v>
      </c>
      <c r="F1511" s="80" t="s">
        <v>659</v>
      </c>
      <c r="G1511" s="58" t="s">
        <v>4673</v>
      </c>
      <c r="H1511" s="58" t="s">
        <v>1413</v>
      </c>
      <c r="I1511" s="64" t="s">
        <v>4674</v>
      </c>
      <c r="J1511" s="66"/>
      <c r="K1511" s="66"/>
      <c r="L1511" s="68"/>
      <c r="M1511" s="63" t="str">
        <f>HYPERLINK("http://nsgreg.nga.mil/genc/view?v=863969&amp;end_month=12&amp;end_day=31&amp;end_year=2016","Correlation")</f>
        <v>Correlation</v>
      </c>
    </row>
    <row r="1512" spans="1:13" x14ac:dyDescent="0.2">
      <c r="A1512" s="114"/>
      <c r="B1512" s="71" t="s">
        <v>4675</v>
      </c>
      <c r="C1512" s="71" t="s">
        <v>1728</v>
      </c>
      <c r="D1512" s="71" t="s">
        <v>4676</v>
      </c>
      <c r="E1512" s="73" t="b">
        <v>1</v>
      </c>
      <c r="F1512" s="81" t="s">
        <v>659</v>
      </c>
      <c r="G1512" s="71" t="s">
        <v>4675</v>
      </c>
      <c r="H1512" s="71" t="s">
        <v>1728</v>
      </c>
      <c r="I1512" s="74" t="s">
        <v>4676</v>
      </c>
      <c r="J1512" s="76"/>
      <c r="K1512" s="76"/>
      <c r="L1512" s="82"/>
      <c r="M1512" s="77" t="str">
        <f>HYPERLINK("http://nsgreg.nga.mil/genc/view?v=863970&amp;end_month=12&amp;end_day=31&amp;end_year=2016","Correlation")</f>
        <v>Correlation</v>
      </c>
    </row>
    <row r="1513" spans="1:13" x14ac:dyDescent="0.2">
      <c r="A1513" s="112" t="s">
        <v>663</v>
      </c>
      <c r="B1513" s="50" t="s">
        <v>4677</v>
      </c>
      <c r="C1513" s="50" t="s">
        <v>1728</v>
      </c>
      <c r="D1513" s="50" t="s">
        <v>4678</v>
      </c>
      <c r="E1513" s="52" t="b">
        <v>1</v>
      </c>
      <c r="F1513" s="78" t="s">
        <v>663</v>
      </c>
      <c r="G1513" s="50" t="s">
        <v>4677</v>
      </c>
      <c r="H1513" s="50" t="s">
        <v>1728</v>
      </c>
      <c r="I1513" s="53" t="s">
        <v>4678</v>
      </c>
      <c r="J1513" s="55"/>
      <c r="K1513" s="55"/>
      <c r="L1513" s="79"/>
      <c r="M1513" s="56" t="str">
        <f>HYPERLINK("http://nsgreg.nga.mil/genc/view?v=863971&amp;end_month=12&amp;end_day=31&amp;end_year=2016","Correlation")</f>
        <v>Correlation</v>
      </c>
    </row>
    <row r="1514" spans="1:13" x14ac:dyDescent="0.2">
      <c r="A1514" s="113"/>
      <c r="B1514" s="58" t="s">
        <v>4679</v>
      </c>
      <c r="C1514" s="58" t="s">
        <v>1728</v>
      </c>
      <c r="D1514" s="58" t="s">
        <v>4680</v>
      </c>
      <c r="E1514" s="60" t="b">
        <v>1</v>
      </c>
      <c r="F1514" s="80" t="s">
        <v>663</v>
      </c>
      <c r="G1514" s="58" t="s">
        <v>4679</v>
      </c>
      <c r="H1514" s="58" t="s">
        <v>1728</v>
      </c>
      <c r="I1514" s="64" t="s">
        <v>4680</v>
      </c>
      <c r="J1514" s="66"/>
      <c r="K1514" s="66"/>
      <c r="L1514" s="68"/>
      <c r="M1514" s="63" t="str">
        <f>HYPERLINK("http://nsgreg.nga.mil/genc/view?v=863972&amp;end_month=12&amp;end_day=31&amp;end_year=2016","Correlation")</f>
        <v>Correlation</v>
      </c>
    </row>
    <row r="1515" spans="1:13" x14ac:dyDescent="0.2">
      <c r="A1515" s="113"/>
      <c r="B1515" s="58" t="s">
        <v>4681</v>
      </c>
      <c r="C1515" s="58" t="s">
        <v>1728</v>
      </c>
      <c r="D1515" s="58" t="s">
        <v>4682</v>
      </c>
      <c r="E1515" s="60" t="b">
        <v>1</v>
      </c>
      <c r="F1515" s="80" t="s">
        <v>663</v>
      </c>
      <c r="G1515" s="58" t="s">
        <v>4681</v>
      </c>
      <c r="H1515" s="58" t="s">
        <v>1728</v>
      </c>
      <c r="I1515" s="64" t="s">
        <v>4682</v>
      </c>
      <c r="J1515" s="66"/>
      <c r="K1515" s="66"/>
      <c r="L1515" s="68"/>
      <c r="M1515" s="63" t="str">
        <f>HYPERLINK("http://nsgreg.nga.mil/genc/view?v=863973&amp;end_month=12&amp;end_day=31&amp;end_year=2016","Correlation")</f>
        <v>Correlation</v>
      </c>
    </row>
    <row r="1516" spans="1:13" x14ac:dyDescent="0.2">
      <c r="A1516" s="113"/>
      <c r="B1516" s="58" t="s">
        <v>4683</v>
      </c>
      <c r="C1516" s="58" t="s">
        <v>1728</v>
      </c>
      <c r="D1516" s="58" t="s">
        <v>4684</v>
      </c>
      <c r="E1516" s="60" t="b">
        <v>1</v>
      </c>
      <c r="F1516" s="80" t="s">
        <v>663</v>
      </c>
      <c r="G1516" s="58" t="s">
        <v>4683</v>
      </c>
      <c r="H1516" s="58" t="s">
        <v>1728</v>
      </c>
      <c r="I1516" s="64" t="s">
        <v>4684</v>
      </c>
      <c r="J1516" s="66"/>
      <c r="K1516" s="66"/>
      <c r="L1516" s="68"/>
      <c r="M1516" s="63" t="str">
        <f>HYPERLINK("http://nsgreg.nga.mil/genc/view?v=863974&amp;end_month=12&amp;end_day=31&amp;end_year=2016","Correlation")</f>
        <v>Correlation</v>
      </c>
    </row>
    <row r="1517" spans="1:13" x14ac:dyDescent="0.2">
      <c r="A1517" s="113"/>
      <c r="B1517" s="58" t="s">
        <v>4685</v>
      </c>
      <c r="C1517" s="58" t="s">
        <v>1728</v>
      </c>
      <c r="D1517" s="58" t="s">
        <v>4686</v>
      </c>
      <c r="E1517" s="60" t="b">
        <v>1</v>
      </c>
      <c r="F1517" s="80" t="s">
        <v>663</v>
      </c>
      <c r="G1517" s="58" t="s">
        <v>4685</v>
      </c>
      <c r="H1517" s="58" t="s">
        <v>1728</v>
      </c>
      <c r="I1517" s="64" t="s">
        <v>4686</v>
      </c>
      <c r="J1517" s="66"/>
      <c r="K1517" s="66"/>
      <c r="L1517" s="68"/>
      <c r="M1517" s="63" t="str">
        <f>HYPERLINK("http://nsgreg.nga.mil/genc/view?v=863975&amp;end_month=12&amp;end_day=31&amp;end_year=2016","Correlation")</f>
        <v>Correlation</v>
      </c>
    </row>
    <row r="1518" spans="1:13" x14ac:dyDescent="0.2">
      <c r="A1518" s="113"/>
      <c r="B1518" s="58" t="s">
        <v>4687</v>
      </c>
      <c r="C1518" s="58" t="s">
        <v>1728</v>
      </c>
      <c r="D1518" s="58" t="s">
        <v>4688</v>
      </c>
      <c r="E1518" s="60" t="b">
        <v>1</v>
      </c>
      <c r="F1518" s="80" t="s">
        <v>663</v>
      </c>
      <c r="G1518" s="58" t="s">
        <v>4687</v>
      </c>
      <c r="H1518" s="58" t="s">
        <v>1728</v>
      </c>
      <c r="I1518" s="64" t="s">
        <v>4688</v>
      </c>
      <c r="J1518" s="66"/>
      <c r="K1518" s="66"/>
      <c r="L1518" s="68"/>
      <c r="M1518" s="63" t="str">
        <f>HYPERLINK("http://nsgreg.nga.mil/genc/view?v=863976&amp;end_month=12&amp;end_day=31&amp;end_year=2016","Correlation")</f>
        <v>Correlation</v>
      </c>
    </row>
    <row r="1519" spans="1:13" x14ac:dyDescent="0.2">
      <c r="A1519" s="113"/>
      <c r="B1519" s="58" t="s">
        <v>4689</v>
      </c>
      <c r="C1519" s="58" t="s">
        <v>1728</v>
      </c>
      <c r="D1519" s="58" t="s">
        <v>4690</v>
      </c>
      <c r="E1519" s="60" t="b">
        <v>1</v>
      </c>
      <c r="F1519" s="80" t="s">
        <v>663</v>
      </c>
      <c r="G1519" s="58" t="s">
        <v>4689</v>
      </c>
      <c r="H1519" s="58" t="s">
        <v>1728</v>
      </c>
      <c r="I1519" s="64" t="s">
        <v>4690</v>
      </c>
      <c r="J1519" s="66"/>
      <c r="K1519" s="66"/>
      <c r="L1519" s="68"/>
      <c r="M1519" s="63" t="str">
        <f>HYPERLINK("http://nsgreg.nga.mil/genc/view?v=863977&amp;end_month=12&amp;end_day=31&amp;end_year=2016","Correlation")</f>
        <v>Correlation</v>
      </c>
    </row>
    <row r="1520" spans="1:13" x14ac:dyDescent="0.2">
      <c r="A1520" s="113"/>
      <c r="B1520" s="58" t="s">
        <v>4691</v>
      </c>
      <c r="C1520" s="58" t="s">
        <v>1728</v>
      </c>
      <c r="D1520" s="58" t="s">
        <v>4692</v>
      </c>
      <c r="E1520" s="60" t="b">
        <v>1</v>
      </c>
      <c r="F1520" s="80" t="s">
        <v>663</v>
      </c>
      <c r="G1520" s="58" t="s">
        <v>4691</v>
      </c>
      <c r="H1520" s="58" t="s">
        <v>1728</v>
      </c>
      <c r="I1520" s="64" t="s">
        <v>4692</v>
      </c>
      <c r="J1520" s="66"/>
      <c r="K1520" s="66"/>
      <c r="L1520" s="68"/>
      <c r="M1520" s="63" t="str">
        <f>HYPERLINK("http://nsgreg.nga.mil/genc/view?v=863978&amp;end_month=12&amp;end_day=31&amp;end_year=2016","Correlation")</f>
        <v>Correlation</v>
      </c>
    </row>
    <row r="1521" spans="1:13" x14ac:dyDescent="0.2">
      <c r="A1521" s="113"/>
      <c r="B1521" s="58" t="s">
        <v>4693</v>
      </c>
      <c r="C1521" s="58" t="s">
        <v>1728</v>
      </c>
      <c r="D1521" s="58" t="s">
        <v>4694</v>
      </c>
      <c r="E1521" s="60" t="b">
        <v>1</v>
      </c>
      <c r="F1521" s="80" t="s">
        <v>663</v>
      </c>
      <c r="G1521" s="58" t="s">
        <v>4693</v>
      </c>
      <c r="H1521" s="58" t="s">
        <v>1728</v>
      </c>
      <c r="I1521" s="64" t="s">
        <v>4694</v>
      </c>
      <c r="J1521" s="66"/>
      <c r="K1521" s="66"/>
      <c r="L1521" s="68"/>
      <c r="M1521" s="63" t="str">
        <f>HYPERLINK("http://nsgreg.nga.mil/genc/view?v=863979&amp;end_month=12&amp;end_day=31&amp;end_year=2016","Correlation")</f>
        <v>Correlation</v>
      </c>
    </row>
    <row r="1522" spans="1:13" x14ac:dyDescent="0.2">
      <c r="A1522" s="114"/>
      <c r="B1522" s="71" t="s">
        <v>4695</v>
      </c>
      <c r="C1522" s="71" t="s">
        <v>1728</v>
      </c>
      <c r="D1522" s="71" t="s">
        <v>4696</v>
      </c>
      <c r="E1522" s="73" t="b">
        <v>1</v>
      </c>
      <c r="F1522" s="81" t="s">
        <v>663</v>
      </c>
      <c r="G1522" s="71" t="s">
        <v>4695</v>
      </c>
      <c r="H1522" s="71" t="s">
        <v>1728</v>
      </c>
      <c r="I1522" s="74" t="s">
        <v>4696</v>
      </c>
      <c r="J1522" s="76"/>
      <c r="K1522" s="76"/>
      <c r="L1522" s="82"/>
      <c r="M1522" s="77" t="str">
        <f>HYPERLINK("http://nsgreg.nga.mil/genc/view?v=863980&amp;end_month=12&amp;end_day=31&amp;end_year=2016","Correlation")</f>
        <v>Correlation</v>
      </c>
    </row>
    <row r="1523" spans="1:13" x14ac:dyDescent="0.2">
      <c r="A1523" s="112" t="s">
        <v>667</v>
      </c>
      <c r="B1523" s="50" t="s">
        <v>4697</v>
      </c>
      <c r="C1523" s="50" t="s">
        <v>2294</v>
      </c>
      <c r="D1523" s="50" t="s">
        <v>4698</v>
      </c>
      <c r="E1523" s="52" t="b">
        <v>1</v>
      </c>
      <c r="F1523" s="78" t="s">
        <v>667</v>
      </c>
      <c r="G1523" s="50" t="s">
        <v>4697</v>
      </c>
      <c r="H1523" s="50" t="s">
        <v>2294</v>
      </c>
      <c r="I1523" s="53" t="s">
        <v>4698</v>
      </c>
      <c r="J1523" s="55"/>
      <c r="K1523" s="55"/>
      <c r="L1523" s="79"/>
      <c r="M1523" s="56" t="str">
        <f>HYPERLINK("http://nsgreg.nga.mil/genc/view?v=864020&amp;end_month=12&amp;end_day=31&amp;end_year=2016","Correlation")</f>
        <v>Correlation</v>
      </c>
    </row>
    <row r="1524" spans="1:13" x14ac:dyDescent="0.2">
      <c r="A1524" s="113"/>
      <c r="B1524" s="58" t="s">
        <v>2583</v>
      </c>
      <c r="C1524" s="58" t="s">
        <v>2294</v>
      </c>
      <c r="D1524" s="58" t="s">
        <v>4699</v>
      </c>
      <c r="E1524" s="60" t="b">
        <v>1</v>
      </c>
      <c r="F1524" s="80" t="s">
        <v>667</v>
      </c>
      <c r="G1524" s="58" t="s">
        <v>2583</v>
      </c>
      <c r="H1524" s="58" t="s">
        <v>2294</v>
      </c>
      <c r="I1524" s="64" t="s">
        <v>4699</v>
      </c>
      <c r="J1524" s="66"/>
      <c r="K1524" s="66"/>
      <c r="L1524" s="68"/>
      <c r="M1524" s="63" t="str">
        <f>HYPERLINK("http://nsgreg.nga.mil/genc/view?v=864021&amp;end_month=12&amp;end_day=31&amp;end_year=2016","Correlation")</f>
        <v>Correlation</v>
      </c>
    </row>
    <row r="1525" spans="1:13" x14ac:dyDescent="0.2">
      <c r="A1525" s="113"/>
      <c r="B1525" s="58" t="s">
        <v>4700</v>
      </c>
      <c r="C1525" s="58" t="s">
        <v>2294</v>
      </c>
      <c r="D1525" s="58" t="s">
        <v>4701</v>
      </c>
      <c r="E1525" s="60" t="b">
        <v>1</v>
      </c>
      <c r="F1525" s="80" t="s">
        <v>667</v>
      </c>
      <c r="G1525" s="58" t="s">
        <v>4702</v>
      </c>
      <c r="H1525" s="58" t="s">
        <v>2294</v>
      </c>
      <c r="I1525" s="64" t="s">
        <v>4701</v>
      </c>
      <c r="J1525" s="66"/>
      <c r="K1525" s="66"/>
      <c r="L1525" s="68"/>
      <c r="M1525" s="63" t="str">
        <f>HYPERLINK("http://nsgreg.nga.mil/genc/view?v=864022&amp;end_month=12&amp;end_day=31&amp;end_year=2016","Correlation")</f>
        <v>Correlation</v>
      </c>
    </row>
    <row r="1526" spans="1:13" x14ac:dyDescent="0.2">
      <c r="A1526" s="113"/>
      <c r="B1526" s="58" t="s">
        <v>4703</v>
      </c>
      <c r="C1526" s="58" t="s">
        <v>2294</v>
      </c>
      <c r="D1526" s="58" t="s">
        <v>4704</v>
      </c>
      <c r="E1526" s="60" t="b">
        <v>1</v>
      </c>
      <c r="F1526" s="80" t="s">
        <v>667</v>
      </c>
      <c r="G1526" s="58" t="s">
        <v>4703</v>
      </c>
      <c r="H1526" s="58" t="s">
        <v>2294</v>
      </c>
      <c r="I1526" s="64" t="s">
        <v>4704</v>
      </c>
      <c r="J1526" s="66"/>
      <c r="K1526" s="66"/>
      <c r="L1526" s="68"/>
      <c r="M1526" s="63" t="str">
        <f>HYPERLINK("http://nsgreg.nga.mil/genc/view?v=864025&amp;end_month=12&amp;end_day=31&amp;end_year=2016","Correlation")</f>
        <v>Correlation</v>
      </c>
    </row>
    <row r="1527" spans="1:13" x14ac:dyDescent="0.2">
      <c r="A1527" s="113"/>
      <c r="B1527" s="58" t="s">
        <v>2637</v>
      </c>
      <c r="C1527" s="58" t="s">
        <v>2294</v>
      </c>
      <c r="D1527" s="58" t="s">
        <v>4705</v>
      </c>
      <c r="E1527" s="60" t="b">
        <v>1</v>
      </c>
      <c r="F1527" s="80" t="s">
        <v>667</v>
      </c>
      <c r="G1527" s="58" t="s">
        <v>2637</v>
      </c>
      <c r="H1527" s="58" t="s">
        <v>2294</v>
      </c>
      <c r="I1527" s="64" t="s">
        <v>4705</v>
      </c>
      <c r="J1527" s="66"/>
      <c r="K1527" s="66"/>
      <c r="L1527" s="68"/>
      <c r="M1527" s="63" t="str">
        <f>HYPERLINK("http://nsgreg.nga.mil/genc/view?v=864023&amp;end_month=12&amp;end_day=31&amp;end_year=2016","Correlation")</f>
        <v>Correlation</v>
      </c>
    </row>
    <row r="1528" spans="1:13" x14ac:dyDescent="0.2">
      <c r="A1528" s="113"/>
      <c r="B1528" s="58" t="s">
        <v>4706</v>
      </c>
      <c r="C1528" s="58" t="s">
        <v>2294</v>
      </c>
      <c r="D1528" s="58" t="s">
        <v>4707</v>
      </c>
      <c r="E1528" s="60" t="b">
        <v>1</v>
      </c>
      <c r="F1528" s="80" t="s">
        <v>667</v>
      </c>
      <c r="G1528" s="58" t="s">
        <v>4706</v>
      </c>
      <c r="H1528" s="58" t="s">
        <v>2294</v>
      </c>
      <c r="I1528" s="64" t="s">
        <v>4707</v>
      </c>
      <c r="J1528" s="66"/>
      <c r="K1528" s="66"/>
      <c r="L1528" s="68"/>
      <c r="M1528" s="63" t="str">
        <f>HYPERLINK("http://nsgreg.nga.mil/genc/view?v=864024&amp;end_month=12&amp;end_day=31&amp;end_year=2016","Correlation")</f>
        <v>Correlation</v>
      </c>
    </row>
    <row r="1529" spans="1:13" x14ac:dyDescent="0.2">
      <c r="A1529" s="113"/>
      <c r="B1529" s="58" t="s">
        <v>4708</v>
      </c>
      <c r="C1529" s="58" t="s">
        <v>2294</v>
      </c>
      <c r="D1529" s="58" t="s">
        <v>4709</v>
      </c>
      <c r="E1529" s="60" t="b">
        <v>1</v>
      </c>
      <c r="F1529" s="80" t="s">
        <v>667</v>
      </c>
      <c r="G1529" s="58" t="s">
        <v>4708</v>
      </c>
      <c r="H1529" s="58" t="s">
        <v>2294</v>
      </c>
      <c r="I1529" s="64" t="s">
        <v>4709</v>
      </c>
      <c r="J1529" s="66"/>
      <c r="K1529" s="66"/>
      <c r="L1529" s="68"/>
      <c r="M1529" s="63" t="str">
        <f>HYPERLINK("http://nsgreg.nga.mil/genc/view?v=864026&amp;end_month=12&amp;end_day=31&amp;end_year=2016","Correlation")</f>
        <v>Correlation</v>
      </c>
    </row>
    <row r="1530" spans="1:13" x14ac:dyDescent="0.2">
      <c r="A1530" s="113"/>
      <c r="B1530" s="58" t="s">
        <v>2889</v>
      </c>
      <c r="C1530" s="58" t="s">
        <v>2294</v>
      </c>
      <c r="D1530" s="58" t="s">
        <v>4710</v>
      </c>
      <c r="E1530" s="60" t="b">
        <v>1</v>
      </c>
      <c r="F1530" s="80" t="s">
        <v>667</v>
      </c>
      <c r="G1530" s="58" t="s">
        <v>2889</v>
      </c>
      <c r="H1530" s="58" t="s">
        <v>2294</v>
      </c>
      <c r="I1530" s="64" t="s">
        <v>4710</v>
      </c>
      <c r="J1530" s="66"/>
      <c r="K1530" s="66"/>
      <c r="L1530" s="68"/>
      <c r="M1530" s="63" t="str">
        <f>HYPERLINK("http://nsgreg.nga.mil/genc/view?v=864027&amp;end_month=12&amp;end_day=31&amp;end_year=2016","Correlation")</f>
        <v>Correlation</v>
      </c>
    </row>
    <row r="1531" spans="1:13" x14ac:dyDescent="0.2">
      <c r="A1531" s="113"/>
      <c r="B1531" s="58" t="s">
        <v>2894</v>
      </c>
      <c r="C1531" s="58" t="s">
        <v>2294</v>
      </c>
      <c r="D1531" s="58" t="s">
        <v>4711</v>
      </c>
      <c r="E1531" s="60" t="b">
        <v>1</v>
      </c>
      <c r="F1531" s="80" t="s">
        <v>667</v>
      </c>
      <c r="G1531" s="58" t="s">
        <v>2894</v>
      </c>
      <c r="H1531" s="58" t="s">
        <v>2294</v>
      </c>
      <c r="I1531" s="64" t="s">
        <v>4711</v>
      </c>
      <c r="J1531" s="66"/>
      <c r="K1531" s="66"/>
      <c r="L1531" s="68"/>
      <c r="M1531" s="63" t="str">
        <f>HYPERLINK("http://nsgreg.nga.mil/genc/view?v=864028&amp;end_month=12&amp;end_day=31&amp;end_year=2016","Correlation")</f>
        <v>Correlation</v>
      </c>
    </row>
    <row r="1532" spans="1:13" x14ac:dyDescent="0.2">
      <c r="A1532" s="114"/>
      <c r="B1532" s="71" t="s">
        <v>4712</v>
      </c>
      <c r="C1532" s="71" t="s">
        <v>2294</v>
      </c>
      <c r="D1532" s="71" t="s">
        <v>4713</v>
      </c>
      <c r="E1532" s="73" t="b">
        <v>1</v>
      </c>
      <c r="F1532" s="81" t="s">
        <v>667</v>
      </c>
      <c r="G1532" s="71" t="s">
        <v>4712</v>
      </c>
      <c r="H1532" s="71" t="s">
        <v>2294</v>
      </c>
      <c r="I1532" s="74" t="s">
        <v>4713</v>
      </c>
      <c r="J1532" s="76"/>
      <c r="K1532" s="76"/>
      <c r="L1532" s="82"/>
      <c r="M1532" s="77" t="str">
        <f>HYPERLINK("http://nsgreg.nga.mil/genc/view?v=864029&amp;end_month=12&amp;end_day=31&amp;end_year=2016","Correlation")</f>
        <v>Correlation</v>
      </c>
    </row>
    <row r="1533" spans="1:13" x14ac:dyDescent="0.2">
      <c r="A1533" s="112" t="s">
        <v>675</v>
      </c>
      <c r="B1533" s="50" t="s">
        <v>4714</v>
      </c>
      <c r="C1533" s="50" t="s">
        <v>2294</v>
      </c>
      <c r="D1533" s="50" t="s">
        <v>4715</v>
      </c>
      <c r="E1533" s="52" t="b">
        <v>1</v>
      </c>
      <c r="F1533" s="78" t="s">
        <v>675</v>
      </c>
      <c r="G1533" s="50" t="s">
        <v>4714</v>
      </c>
      <c r="H1533" s="50" t="s">
        <v>2294</v>
      </c>
      <c r="I1533" s="53" t="s">
        <v>4715</v>
      </c>
      <c r="J1533" s="55"/>
      <c r="K1533" s="55"/>
      <c r="L1533" s="79"/>
      <c r="M1533" s="56" t="str">
        <f>HYPERLINK("http://nsgreg.nga.mil/genc/view?v=863981&amp;end_month=12&amp;end_day=31&amp;end_year=2016","Correlation")</f>
        <v>Correlation</v>
      </c>
    </row>
    <row r="1534" spans="1:13" x14ac:dyDescent="0.2">
      <c r="A1534" s="113"/>
      <c r="B1534" s="58" t="s">
        <v>4716</v>
      </c>
      <c r="C1534" s="58" t="s">
        <v>2294</v>
      </c>
      <c r="D1534" s="58" t="s">
        <v>4717</v>
      </c>
      <c r="E1534" s="60" t="b">
        <v>1</v>
      </c>
      <c r="F1534" s="80" t="s">
        <v>675</v>
      </c>
      <c r="G1534" s="58" t="s">
        <v>4716</v>
      </c>
      <c r="H1534" s="58" t="s">
        <v>2294</v>
      </c>
      <c r="I1534" s="64" t="s">
        <v>4717</v>
      </c>
      <c r="J1534" s="66"/>
      <c r="K1534" s="66"/>
      <c r="L1534" s="68"/>
      <c r="M1534" s="63" t="str">
        <f>HYPERLINK("http://nsgreg.nga.mil/genc/view?v=863982&amp;end_month=12&amp;end_day=31&amp;end_year=2016","Correlation")</f>
        <v>Correlation</v>
      </c>
    </row>
    <row r="1535" spans="1:13" x14ac:dyDescent="0.2">
      <c r="A1535" s="113"/>
      <c r="B1535" s="58" t="s">
        <v>4718</v>
      </c>
      <c r="C1535" s="58" t="s">
        <v>2294</v>
      </c>
      <c r="D1535" s="58" t="s">
        <v>4719</v>
      </c>
      <c r="E1535" s="60" t="b">
        <v>1</v>
      </c>
      <c r="F1535" s="80" t="s">
        <v>675</v>
      </c>
      <c r="G1535" s="58" t="s">
        <v>4718</v>
      </c>
      <c r="H1535" s="58" t="s">
        <v>2294</v>
      </c>
      <c r="I1535" s="64" t="s">
        <v>4719</v>
      </c>
      <c r="J1535" s="66"/>
      <c r="K1535" s="66"/>
      <c r="L1535" s="68"/>
      <c r="M1535" s="63" t="str">
        <f>HYPERLINK("http://nsgreg.nga.mil/genc/view?v=863983&amp;end_month=12&amp;end_day=31&amp;end_year=2016","Correlation")</f>
        <v>Correlation</v>
      </c>
    </row>
    <row r="1536" spans="1:13" x14ac:dyDescent="0.2">
      <c r="A1536" s="113"/>
      <c r="B1536" s="58" t="s">
        <v>4720</v>
      </c>
      <c r="C1536" s="58" t="s">
        <v>2294</v>
      </c>
      <c r="D1536" s="58" t="s">
        <v>4721</v>
      </c>
      <c r="E1536" s="60" t="b">
        <v>1</v>
      </c>
      <c r="F1536" s="80" t="s">
        <v>675</v>
      </c>
      <c r="G1536" s="58" t="s">
        <v>4720</v>
      </c>
      <c r="H1536" s="58" t="s">
        <v>2294</v>
      </c>
      <c r="I1536" s="64" t="s">
        <v>4721</v>
      </c>
      <c r="J1536" s="66"/>
      <c r="K1536" s="66"/>
      <c r="L1536" s="68"/>
      <c r="M1536" s="63" t="str">
        <f>HYPERLINK("http://nsgreg.nga.mil/genc/view?v=863984&amp;end_month=12&amp;end_day=31&amp;end_year=2016","Correlation")</f>
        <v>Correlation</v>
      </c>
    </row>
    <row r="1537" spans="1:13" x14ac:dyDescent="0.2">
      <c r="A1537" s="113"/>
      <c r="B1537" s="58" t="s">
        <v>4722</v>
      </c>
      <c r="C1537" s="58" t="s">
        <v>2294</v>
      </c>
      <c r="D1537" s="58" t="s">
        <v>4723</v>
      </c>
      <c r="E1537" s="60" t="b">
        <v>1</v>
      </c>
      <c r="F1537" s="80" t="s">
        <v>675</v>
      </c>
      <c r="G1537" s="58" t="s">
        <v>4722</v>
      </c>
      <c r="H1537" s="58" t="s">
        <v>2294</v>
      </c>
      <c r="I1537" s="64" t="s">
        <v>4723</v>
      </c>
      <c r="J1537" s="66"/>
      <c r="K1537" s="66"/>
      <c r="L1537" s="68"/>
      <c r="M1537" s="63" t="str">
        <f>HYPERLINK("http://nsgreg.nga.mil/genc/view?v=863985&amp;end_month=12&amp;end_day=31&amp;end_year=2016","Correlation")</f>
        <v>Correlation</v>
      </c>
    </row>
    <row r="1538" spans="1:13" x14ac:dyDescent="0.2">
      <c r="A1538" s="113"/>
      <c r="B1538" s="58" t="s">
        <v>4724</v>
      </c>
      <c r="C1538" s="58" t="s">
        <v>2294</v>
      </c>
      <c r="D1538" s="58" t="s">
        <v>4725</v>
      </c>
      <c r="E1538" s="60" t="b">
        <v>1</v>
      </c>
      <c r="F1538" s="80" t="s">
        <v>675</v>
      </c>
      <c r="G1538" s="58" t="s">
        <v>4724</v>
      </c>
      <c r="H1538" s="58" t="s">
        <v>2294</v>
      </c>
      <c r="I1538" s="64" t="s">
        <v>4725</v>
      </c>
      <c r="J1538" s="66"/>
      <c r="K1538" s="66"/>
      <c r="L1538" s="68"/>
      <c r="M1538" s="63" t="str">
        <f>HYPERLINK("http://nsgreg.nga.mil/genc/view?v=863986&amp;end_month=12&amp;end_day=31&amp;end_year=2016","Correlation")</f>
        <v>Correlation</v>
      </c>
    </row>
    <row r="1539" spans="1:13" x14ac:dyDescent="0.2">
      <c r="A1539" s="113"/>
      <c r="B1539" s="58" t="s">
        <v>4726</v>
      </c>
      <c r="C1539" s="58" t="s">
        <v>2294</v>
      </c>
      <c r="D1539" s="58" t="s">
        <v>4727</v>
      </c>
      <c r="E1539" s="60" t="b">
        <v>1</v>
      </c>
      <c r="F1539" s="80" t="s">
        <v>675</v>
      </c>
      <c r="G1539" s="58" t="s">
        <v>4726</v>
      </c>
      <c r="H1539" s="58" t="s">
        <v>2294</v>
      </c>
      <c r="I1539" s="64" t="s">
        <v>4727</v>
      </c>
      <c r="J1539" s="66"/>
      <c r="K1539" s="66"/>
      <c r="L1539" s="68"/>
      <c r="M1539" s="63" t="str">
        <f>HYPERLINK("http://nsgreg.nga.mil/genc/view?v=863987&amp;end_month=12&amp;end_day=31&amp;end_year=2016","Correlation")</f>
        <v>Correlation</v>
      </c>
    </row>
    <row r="1540" spans="1:13" x14ac:dyDescent="0.2">
      <c r="A1540" s="113"/>
      <c r="B1540" s="58" t="s">
        <v>4728</v>
      </c>
      <c r="C1540" s="58" t="s">
        <v>2294</v>
      </c>
      <c r="D1540" s="58" t="s">
        <v>4729</v>
      </c>
      <c r="E1540" s="60" t="b">
        <v>1</v>
      </c>
      <c r="F1540" s="80" t="s">
        <v>675</v>
      </c>
      <c r="G1540" s="58" t="s">
        <v>4728</v>
      </c>
      <c r="H1540" s="58" t="s">
        <v>2294</v>
      </c>
      <c r="I1540" s="64" t="s">
        <v>4729</v>
      </c>
      <c r="J1540" s="66"/>
      <c r="K1540" s="66"/>
      <c r="L1540" s="68"/>
      <c r="M1540" s="63" t="str">
        <f>HYPERLINK("http://nsgreg.nga.mil/genc/view?v=863988&amp;end_month=12&amp;end_day=31&amp;end_year=2016","Correlation")</f>
        <v>Correlation</v>
      </c>
    </row>
    <row r="1541" spans="1:13" x14ac:dyDescent="0.2">
      <c r="A1541" s="113"/>
      <c r="B1541" s="58" t="s">
        <v>4730</v>
      </c>
      <c r="C1541" s="58" t="s">
        <v>2294</v>
      </c>
      <c r="D1541" s="58" t="s">
        <v>4731</v>
      </c>
      <c r="E1541" s="60" t="b">
        <v>1</v>
      </c>
      <c r="F1541" s="80" t="s">
        <v>675</v>
      </c>
      <c r="G1541" s="58" t="s">
        <v>4730</v>
      </c>
      <c r="H1541" s="58" t="s">
        <v>2294</v>
      </c>
      <c r="I1541" s="64" t="s">
        <v>4731</v>
      </c>
      <c r="J1541" s="66"/>
      <c r="K1541" s="66"/>
      <c r="L1541" s="68"/>
      <c r="M1541" s="63" t="str">
        <f>HYPERLINK("http://nsgreg.nga.mil/genc/view?v=863989&amp;end_month=12&amp;end_day=31&amp;end_year=2016","Correlation")</f>
        <v>Correlation</v>
      </c>
    </row>
    <row r="1542" spans="1:13" x14ac:dyDescent="0.2">
      <c r="A1542" s="113"/>
      <c r="B1542" s="58" t="s">
        <v>4732</v>
      </c>
      <c r="C1542" s="58" t="s">
        <v>2294</v>
      </c>
      <c r="D1542" s="58" t="s">
        <v>4733</v>
      </c>
      <c r="E1542" s="60" t="b">
        <v>1</v>
      </c>
      <c r="F1542" s="80" t="s">
        <v>675</v>
      </c>
      <c r="G1542" s="58" t="s">
        <v>4732</v>
      </c>
      <c r="H1542" s="58" t="s">
        <v>2294</v>
      </c>
      <c r="I1542" s="64" t="s">
        <v>4733</v>
      </c>
      <c r="J1542" s="66"/>
      <c r="K1542" s="66"/>
      <c r="L1542" s="68"/>
      <c r="M1542" s="63" t="str">
        <f>HYPERLINK("http://nsgreg.nga.mil/genc/view?v=863991&amp;end_month=12&amp;end_day=31&amp;end_year=2016","Correlation")</f>
        <v>Correlation</v>
      </c>
    </row>
    <row r="1543" spans="1:13" x14ac:dyDescent="0.2">
      <c r="A1543" s="113"/>
      <c r="B1543" s="58" t="s">
        <v>4734</v>
      </c>
      <c r="C1543" s="58" t="s">
        <v>2294</v>
      </c>
      <c r="D1543" s="58" t="s">
        <v>4735</v>
      </c>
      <c r="E1543" s="60" t="b">
        <v>1</v>
      </c>
      <c r="F1543" s="80" t="s">
        <v>675</v>
      </c>
      <c r="G1543" s="58" t="s">
        <v>4734</v>
      </c>
      <c r="H1543" s="58" t="s">
        <v>2294</v>
      </c>
      <c r="I1543" s="64" t="s">
        <v>4735</v>
      </c>
      <c r="J1543" s="66"/>
      <c r="K1543" s="66"/>
      <c r="L1543" s="68"/>
      <c r="M1543" s="63" t="str">
        <f>HYPERLINK("http://nsgreg.nga.mil/genc/view?v=863990&amp;end_month=12&amp;end_day=31&amp;end_year=2016","Correlation")</f>
        <v>Correlation</v>
      </c>
    </row>
    <row r="1544" spans="1:13" x14ac:dyDescent="0.2">
      <c r="A1544" s="113"/>
      <c r="B1544" s="58" t="s">
        <v>2385</v>
      </c>
      <c r="C1544" s="58" t="s">
        <v>2294</v>
      </c>
      <c r="D1544" s="58" t="s">
        <v>4736</v>
      </c>
      <c r="E1544" s="60" t="b">
        <v>1</v>
      </c>
      <c r="F1544" s="80" t="s">
        <v>675</v>
      </c>
      <c r="G1544" s="58" t="s">
        <v>2385</v>
      </c>
      <c r="H1544" s="58" t="s">
        <v>2294</v>
      </c>
      <c r="I1544" s="64" t="s">
        <v>4736</v>
      </c>
      <c r="J1544" s="66"/>
      <c r="K1544" s="66"/>
      <c r="L1544" s="68"/>
      <c r="M1544" s="63" t="str">
        <f>HYPERLINK("http://nsgreg.nga.mil/genc/view?v=863993&amp;end_month=12&amp;end_day=31&amp;end_year=2016","Correlation")</f>
        <v>Correlation</v>
      </c>
    </row>
    <row r="1545" spans="1:13" x14ac:dyDescent="0.2">
      <c r="A1545" s="113"/>
      <c r="B1545" s="58" t="s">
        <v>4737</v>
      </c>
      <c r="C1545" s="58" t="s">
        <v>2294</v>
      </c>
      <c r="D1545" s="58" t="s">
        <v>4738</v>
      </c>
      <c r="E1545" s="60" t="b">
        <v>1</v>
      </c>
      <c r="F1545" s="80" t="s">
        <v>675</v>
      </c>
      <c r="G1545" s="58" t="s">
        <v>4737</v>
      </c>
      <c r="H1545" s="58" t="s">
        <v>2294</v>
      </c>
      <c r="I1545" s="64" t="s">
        <v>4738</v>
      </c>
      <c r="J1545" s="66"/>
      <c r="K1545" s="66"/>
      <c r="L1545" s="68"/>
      <c r="M1545" s="63" t="str">
        <f>HYPERLINK("http://nsgreg.nga.mil/genc/view?v=863992&amp;end_month=12&amp;end_day=31&amp;end_year=2016","Correlation")</f>
        <v>Correlation</v>
      </c>
    </row>
    <row r="1546" spans="1:13" x14ac:dyDescent="0.2">
      <c r="A1546" s="113"/>
      <c r="B1546" s="58" t="s">
        <v>4739</v>
      </c>
      <c r="C1546" s="58" t="s">
        <v>2294</v>
      </c>
      <c r="D1546" s="58" t="s">
        <v>4740</v>
      </c>
      <c r="E1546" s="60" t="b">
        <v>1</v>
      </c>
      <c r="F1546" s="80" t="s">
        <v>675</v>
      </c>
      <c r="G1546" s="58" t="s">
        <v>4739</v>
      </c>
      <c r="H1546" s="58" t="s">
        <v>2294</v>
      </c>
      <c r="I1546" s="64" t="s">
        <v>4740</v>
      </c>
      <c r="J1546" s="66"/>
      <c r="K1546" s="66"/>
      <c r="L1546" s="68"/>
      <c r="M1546" s="63" t="str">
        <f>HYPERLINK("http://nsgreg.nga.mil/genc/view?v=863994&amp;end_month=12&amp;end_day=31&amp;end_year=2016","Correlation")</f>
        <v>Correlation</v>
      </c>
    </row>
    <row r="1547" spans="1:13" x14ac:dyDescent="0.2">
      <c r="A1547" s="113"/>
      <c r="B1547" s="58" t="s">
        <v>4741</v>
      </c>
      <c r="C1547" s="58" t="s">
        <v>2294</v>
      </c>
      <c r="D1547" s="58" t="s">
        <v>4742</v>
      </c>
      <c r="E1547" s="60" t="b">
        <v>1</v>
      </c>
      <c r="F1547" s="80" t="s">
        <v>675</v>
      </c>
      <c r="G1547" s="58" t="s">
        <v>4741</v>
      </c>
      <c r="H1547" s="58" t="s">
        <v>2294</v>
      </c>
      <c r="I1547" s="64" t="s">
        <v>4742</v>
      </c>
      <c r="J1547" s="66"/>
      <c r="K1547" s="66"/>
      <c r="L1547" s="68"/>
      <c r="M1547" s="63" t="str">
        <f>HYPERLINK("http://nsgreg.nga.mil/genc/view?v=863995&amp;end_month=12&amp;end_day=31&amp;end_year=2016","Correlation")</f>
        <v>Correlation</v>
      </c>
    </row>
    <row r="1548" spans="1:13" x14ac:dyDescent="0.2">
      <c r="A1548" s="113"/>
      <c r="B1548" s="58" t="s">
        <v>4743</v>
      </c>
      <c r="C1548" s="58" t="s">
        <v>2294</v>
      </c>
      <c r="D1548" s="58" t="s">
        <v>4744</v>
      </c>
      <c r="E1548" s="60" t="b">
        <v>1</v>
      </c>
      <c r="F1548" s="80" t="s">
        <v>675</v>
      </c>
      <c r="G1548" s="58" t="s">
        <v>4743</v>
      </c>
      <c r="H1548" s="58" t="s">
        <v>2294</v>
      </c>
      <c r="I1548" s="64" t="s">
        <v>4744</v>
      </c>
      <c r="J1548" s="66"/>
      <c r="K1548" s="66"/>
      <c r="L1548" s="68"/>
      <c r="M1548" s="63" t="str">
        <f>HYPERLINK("http://nsgreg.nga.mil/genc/view?v=863996&amp;end_month=12&amp;end_day=31&amp;end_year=2016","Correlation")</f>
        <v>Correlation</v>
      </c>
    </row>
    <row r="1549" spans="1:13" x14ac:dyDescent="0.2">
      <c r="A1549" s="113"/>
      <c r="B1549" s="58" t="s">
        <v>4745</v>
      </c>
      <c r="C1549" s="58" t="s">
        <v>2294</v>
      </c>
      <c r="D1549" s="58" t="s">
        <v>4746</v>
      </c>
      <c r="E1549" s="60" t="b">
        <v>1</v>
      </c>
      <c r="F1549" s="80" t="s">
        <v>675</v>
      </c>
      <c r="G1549" s="58" t="s">
        <v>4745</v>
      </c>
      <c r="H1549" s="58" t="s">
        <v>2294</v>
      </c>
      <c r="I1549" s="64" t="s">
        <v>4746</v>
      </c>
      <c r="J1549" s="66"/>
      <c r="K1549" s="66"/>
      <c r="L1549" s="68"/>
      <c r="M1549" s="63" t="str">
        <f>HYPERLINK("http://nsgreg.nga.mil/genc/view?v=863997&amp;end_month=12&amp;end_day=31&amp;end_year=2016","Correlation")</f>
        <v>Correlation</v>
      </c>
    </row>
    <row r="1550" spans="1:13" x14ac:dyDescent="0.2">
      <c r="A1550" s="114"/>
      <c r="B1550" s="71" t="s">
        <v>4747</v>
      </c>
      <c r="C1550" s="71" t="s">
        <v>2294</v>
      </c>
      <c r="D1550" s="71" t="s">
        <v>4748</v>
      </c>
      <c r="E1550" s="73" t="b">
        <v>1</v>
      </c>
      <c r="F1550" s="81" t="s">
        <v>675</v>
      </c>
      <c r="G1550" s="71" t="s">
        <v>4747</v>
      </c>
      <c r="H1550" s="71" t="s">
        <v>2294</v>
      </c>
      <c r="I1550" s="74" t="s">
        <v>4748</v>
      </c>
      <c r="J1550" s="76"/>
      <c r="K1550" s="76"/>
      <c r="L1550" s="82"/>
      <c r="M1550" s="77" t="str">
        <f>HYPERLINK("http://nsgreg.nga.mil/genc/view?v=863998&amp;end_month=12&amp;end_day=31&amp;end_year=2016","Correlation")</f>
        <v>Correlation</v>
      </c>
    </row>
    <row r="1551" spans="1:13" x14ac:dyDescent="0.2">
      <c r="A1551" s="112" t="s">
        <v>691</v>
      </c>
      <c r="B1551" s="50" t="s">
        <v>4749</v>
      </c>
      <c r="C1551" s="50" t="s">
        <v>1483</v>
      </c>
      <c r="D1551" s="50" t="s">
        <v>4750</v>
      </c>
      <c r="E1551" s="52" t="b">
        <v>1</v>
      </c>
      <c r="F1551" s="78" t="s">
        <v>691</v>
      </c>
      <c r="G1551" s="50" t="s">
        <v>4749</v>
      </c>
      <c r="H1551" s="50" t="s">
        <v>1483</v>
      </c>
      <c r="I1551" s="53" t="s">
        <v>4750</v>
      </c>
      <c r="J1551" s="55"/>
      <c r="K1551" s="55"/>
      <c r="L1551" s="79"/>
      <c r="M1551" s="56" t="str">
        <f>HYPERLINK("http://nsgreg.nga.mil/genc/view?v=864033&amp;end_month=12&amp;end_day=31&amp;end_year=2016","Correlation")</f>
        <v>Correlation</v>
      </c>
    </row>
    <row r="1552" spans="1:13" x14ac:dyDescent="0.2">
      <c r="A1552" s="113"/>
      <c r="B1552" s="58" t="s">
        <v>4751</v>
      </c>
      <c r="C1552" s="58" t="s">
        <v>1483</v>
      </c>
      <c r="D1552" s="58" t="s">
        <v>4752</v>
      </c>
      <c r="E1552" s="60" t="b">
        <v>1</v>
      </c>
      <c r="F1552" s="80" t="s">
        <v>691</v>
      </c>
      <c r="G1552" s="58" t="s">
        <v>4751</v>
      </c>
      <c r="H1552" s="58" t="s">
        <v>1483</v>
      </c>
      <c r="I1552" s="64" t="s">
        <v>4752</v>
      </c>
      <c r="J1552" s="66"/>
      <c r="K1552" s="66"/>
      <c r="L1552" s="68"/>
      <c r="M1552" s="63" t="str">
        <f>HYPERLINK("http://nsgreg.nga.mil/genc/view?v=864030&amp;end_month=12&amp;end_day=31&amp;end_year=2016","Correlation")</f>
        <v>Correlation</v>
      </c>
    </row>
    <row r="1553" spans="1:13" x14ac:dyDescent="0.2">
      <c r="A1553" s="113"/>
      <c r="B1553" s="58" t="s">
        <v>4753</v>
      </c>
      <c r="C1553" s="58" t="s">
        <v>1483</v>
      </c>
      <c r="D1553" s="58" t="s">
        <v>4754</v>
      </c>
      <c r="E1553" s="60" t="b">
        <v>1</v>
      </c>
      <c r="F1553" s="80" t="s">
        <v>691</v>
      </c>
      <c r="G1553" s="58" t="s">
        <v>4753</v>
      </c>
      <c r="H1553" s="58" t="s">
        <v>1483</v>
      </c>
      <c r="I1553" s="64" t="s">
        <v>4754</v>
      </c>
      <c r="J1553" s="66"/>
      <c r="K1553" s="66"/>
      <c r="L1553" s="68"/>
      <c r="M1553" s="63" t="str">
        <f>HYPERLINK("http://nsgreg.nga.mil/genc/view?v=864032&amp;end_month=12&amp;end_day=31&amp;end_year=2016","Correlation")</f>
        <v>Correlation</v>
      </c>
    </row>
    <row r="1554" spans="1:13" x14ac:dyDescent="0.2">
      <c r="A1554" s="113"/>
      <c r="B1554" s="58" t="s">
        <v>4755</v>
      </c>
      <c r="C1554" s="58" t="s">
        <v>4756</v>
      </c>
      <c r="D1554" s="58" t="s">
        <v>4757</v>
      </c>
      <c r="E1554" s="60" t="b">
        <v>1</v>
      </c>
      <c r="F1554" s="80" t="s">
        <v>691</v>
      </c>
      <c r="G1554" s="58" t="s">
        <v>4755</v>
      </c>
      <c r="H1554" s="58" t="s">
        <v>4758</v>
      </c>
      <c r="I1554" s="64" t="s">
        <v>4757</v>
      </c>
      <c r="J1554" s="66"/>
      <c r="K1554" s="66"/>
      <c r="L1554" s="68"/>
      <c r="M1554" s="63" t="str">
        <f>HYPERLINK("http://nsgreg.nga.mil/genc/view?v=864031&amp;end_month=12&amp;end_day=31&amp;end_year=2016","Correlation")</f>
        <v>Correlation</v>
      </c>
    </row>
    <row r="1555" spans="1:13" x14ac:dyDescent="0.2">
      <c r="A1555" s="113"/>
      <c r="B1555" s="58" t="s">
        <v>4759</v>
      </c>
      <c r="C1555" s="58" t="s">
        <v>1483</v>
      </c>
      <c r="D1555" s="58" t="s">
        <v>4760</v>
      </c>
      <c r="E1555" s="60" t="b">
        <v>1</v>
      </c>
      <c r="F1555" s="80" t="s">
        <v>691</v>
      </c>
      <c r="G1555" s="58" t="s">
        <v>4759</v>
      </c>
      <c r="H1555" s="58" t="s">
        <v>1483</v>
      </c>
      <c r="I1555" s="64" t="s">
        <v>4760</v>
      </c>
      <c r="J1555" s="66"/>
      <c r="K1555" s="66"/>
      <c r="L1555" s="68"/>
      <c r="M1555" s="63" t="str">
        <f>HYPERLINK("http://nsgreg.nga.mil/genc/view?v=864035&amp;end_month=12&amp;end_day=31&amp;end_year=2016","Correlation")</f>
        <v>Correlation</v>
      </c>
    </row>
    <row r="1556" spans="1:13" x14ac:dyDescent="0.2">
      <c r="A1556" s="113"/>
      <c r="B1556" s="58" t="s">
        <v>4761</v>
      </c>
      <c r="C1556" s="58" t="s">
        <v>3577</v>
      </c>
      <c r="D1556" s="58" t="s">
        <v>4762</v>
      </c>
      <c r="E1556" s="60" t="b">
        <v>1</v>
      </c>
      <c r="F1556" s="80" t="s">
        <v>691</v>
      </c>
      <c r="G1556" s="58" t="s">
        <v>4761</v>
      </c>
      <c r="H1556" s="58" t="s">
        <v>3577</v>
      </c>
      <c r="I1556" s="64" t="s">
        <v>4762</v>
      </c>
      <c r="J1556" s="66"/>
      <c r="K1556" s="66"/>
      <c r="L1556" s="68"/>
      <c r="M1556" s="63" t="str">
        <f>HYPERLINK("http://nsgreg.nga.mil/genc/view?v=864034&amp;end_month=12&amp;end_day=31&amp;end_year=2016","Correlation")</f>
        <v>Correlation</v>
      </c>
    </row>
    <row r="1557" spans="1:13" x14ac:dyDescent="0.2">
      <c r="A1557" s="113"/>
      <c r="B1557" s="58" t="s">
        <v>4763</v>
      </c>
      <c r="C1557" s="58" t="s">
        <v>1483</v>
      </c>
      <c r="D1557" s="58" t="s">
        <v>4764</v>
      </c>
      <c r="E1557" s="60" t="b">
        <v>1</v>
      </c>
      <c r="F1557" s="80" t="s">
        <v>691</v>
      </c>
      <c r="G1557" s="58" t="s">
        <v>4763</v>
      </c>
      <c r="H1557" s="58" t="s">
        <v>1483</v>
      </c>
      <c r="I1557" s="64" t="s">
        <v>4764</v>
      </c>
      <c r="J1557" s="66"/>
      <c r="K1557" s="66"/>
      <c r="L1557" s="68"/>
      <c r="M1557" s="63" t="str">
        <f>HYPERLINK("http://nsgreg.nga.mil/genc/view?v=864036&amp;end_month=12&amp;end_day=31&amp;end_year=2016","Correlation")</f>
        <v>Correlation</v>
      </c>
    </row>
    <row r="1558" spans="1:13" x14ac:dyDescent="0.2">
      <c r="A1558" s="113"/>
      <c r="B1558" s="58" t="s">
        <v>4765</v>
      </c>
      <c r="C1558" s="58" t="s">
        <v>4756</v>
      </c>
      <c r="D1558" s="58" t="s">
        <v>4766</v>
      </c>
      <c r="E1558" s="60" t="b">
        <v>1</v>
      </c>
      <c r="F1558" s="80" t="s">
        <v>691</v>
      </c>
      <c r="G1558" s="58" t="s">
        <v>4765</v>
      </c>
      <c r="H1558" s="58" t="s">
        <v>4758</v>
      </c>
      <c r="I1558" s="64" t="s">
        <v>4766</v>
      </c>
      <c r="J1558" s="66"/>
      <c r="K1558" s="66"/>
      <c r="L1558" s="68"/>
      <c r="M1558" s="63" t="str">
        <f>HYPERLINK("http://nsgreg.nga.mil/genc/view?v=864037&amp;end_month=12&amp;end_day=31&amp;end_year=2016","Correlation")</f>
        <v>Correlation</v>
      </c>
    </row>
    <row r="1559" spans="1:13" x14ac:dyDescent="0.2">
      <c r="A1559" s="113"/>
      <c r="B1559" s="58" t="s">
        <v>4767</v>
      </c>
      <c r="C1559" s="58" t="s">
        <v>4756</v>
      </c>
      <c r="D1559" s="58" t="s">
        <v>4768</v>
      </c>
      <c r="E1559" s="60" t="b">
        <v>1</v>
      </c>
      <c r="F1559" s="80" t="s">
        <v>691</v>
      </c>
      <c r="G1559" s="58" t="s">
        <v>4767</v>
      </c>
      <c r="H1559" s="58" t="s">
        <v>4758</v>
      </c>
      <c r="I1559" s="64" t="s">
        <v>4768</v>
      </c>
      <c r="J1559" s="66"/>
      <c r="K1559" s="66"/>
      <c r="L1559" s="68"/>
      <c r="M1559" s="63" t="str">
        <f>HYPERLINK("http://nsgreg.nga.mil/genc/view?v=864038&amp;end_month=12&amp;end_day=31&amp;end_year=2016","Correlation")</f>
        <v>Correlation</v>
      </c>
    </row>
    <row r="1560" spans="1:13" x14ac:dyDescent="0.2">
      <c r="A1560" s="113"/>
      <c r="B1560" s="58" t="s">
        <v>4769</v>
      </c>
      <c r="C1560" s="58" t="s">
        <v>4756</v>
      </c>
      <c r="D1560" s="58" t="s">
        <v>4770</v>
      </c>
      <c r="E1560" s="60" t="b">
        <v>1</v>
      </c>
      <c r="F1560" s="80" t="s">
        <v>691</v>
      </c>
      <c r="G1560" s="58" t="s">
        <v>4769</v>
      </c>
      <c r="H1560" s="58" t="s">
        <v>4758</v>
      </c>
      <c r="I1560" s="64" t="s">
        <v>4770</v>
      </c>
      <c r="J1560" s="66"/>
      <c r="K1560" s="66"/>
      <c r="L1560" s="68"/>
      <c r="M1560" s="63" t="str">
        <f>HYPERLINK("http://nsgreg.nga.mil/genc/view?v=864039&amp;end_month=12&amp;end_day=31&amp;end_year=2016","Correlation")</f>
        <v>Correlation</v>
      </c>
    </row>
    <row r="1561" spans="1:13" x14ac:dyDescent="0.2">
      <c r="A1561" s="113"/>
      <c r="B1561" s="58" t="s">
        <v>4771</v>
      </c>
      <c r="C1561" s="58" t="s">
        <v>4756</v>
      </c>
      <c r="D1561" s="58" t="s">
        <v>4772</v>
      </c>
      <c r="E1561" s="60" t="b">
        <v>1</v>
      </c>
      <c r="F1561" s="80" t="s">
        <v>691</v>
      </c>
      <c r="G1561" s="58" t="s">
        <v>4771</v>
      </c>
      <c r="H1561" s="58" t="s">
        <v>4758</v>
      </c>
      <c r="I1561" s="64" t="s">
        <v>4772</v>
      </c>
      <c r="J1561" s="66"/>
      <c r="K1561" s="66"/>
      <c r="L1561" s="68"/>
      <c r="M1561" s="63" t="str">
        <f>HYPERLINK("http://nsgreg.nga.mil/genc/view?v=864040&amp;end_month=12&amp;end_day=31&amp;end_year=2016","Correlation")</f>
        <v>Correlation</v>
      </c>
    </row>
    <row r="1562" spans="1:13" x14ac:dyDescent="0.2">
      <c r="A1562" s="113"/>
      <c r="B1562" s="58" t="s">
        <v>4773</v>
      </c>
      <c r="C1562" s="58" t="s">
        <v>1483</v>
      </c>
      <c r="D1562" s="58" t="s">
        <v>4774</v>
      </c>
      <c r="E1562" s="60" t="b">
        <v>1</v>
      </c>
      <c r="F1562" s="80" t="s">
        <v>691</v>
      </c>
      <c r="G1562" s="58" t="s">
        <v>4773</v>
      </c>
      <c r="H1562" s="58" t="s">
        <v>1483</v>
      </c>
      <c r="I1562" s="64" t="s">
        <v>4774</v>
      </c>
      <c r="J1562" s="66"/>
      <c r="K1562" s="66"/>
      <c r="L1562" s="68"/>
      <c r="M1562" s="63" t="str">
        <f>HYPERLINK("http://nsgreg.nga.mil/genc/view?v=864041&amp;end_month=12&amp;end_day=31&amp;end_year=2016","Correlation")</f>
        <v>Correlation</v>
      </c>
    </row>
    <row r="1563" spans="1:13" x14ac:dyDescent="0.2">
      <c r="A1563" s="113"/>
      <c r="B1563" s="58" t="s">
        <v>4775</v>
      </c>
      <c r="C1563" s="58" t="s">
        <v>4756</v>
      </c>
      <c r="D1563" s="58" t="s">
        <v>4776</v>
      </c>
      <c r="E1563" s="60" t="b">
        <v>1</v>
      </c>
      <c r="F1563" s="80" t="s">
        <v>691</v>
      </c>
      <c r="G1563" s="58" t="s">
        <v>4775</v>
      </c>
      <c r="H1563" s="58" t="s">
        <v>4758</v>
      </c>
      <c r="I1563" s="64" t="s">
        <v>4776</v>
      </c>
      <c r="J1563" s="66"/>
      <c r="K1563" s="66"/>
      <c r="L1563" s="68"/>
      <c r="M1563" s="63" t="str">
        <f>HYPERLINK("http://nsgreg.nga.mil/genc/view?v=864043&amp;end_month=12&amp;end_day=31&amp;end_year=2016","Correlation")</f>
        <v>Correlation</v>
      </c>
    </row>
    <row r="1564" spans="1:13" x14ac:dyDescent="0.2">
      <c r="A1564" s="113"/>
      <c r="B1564" s="58" t="s">
        <v>4777</v>
      </c>
      <c r="C1564" s="58" t="s">
        <v>1483</v>
      </c>
      <c r="D1564" s="58" t="s">
        <v>4778</v>
      </c>
      <c r="E1564" s="60" t="b">
        <v>1</v>
      </c>
      <c r="F1564" s="80" t="s">
        <v>691</v>
      </c>
      <c r="G1564" s="58" t="s">
        <v>4777</v>
      </c>
      <c r="H1564" s="58" t="s">
        <v>1483</v>
      </c>
      <c r="I1564" s="64" t="s">
        <v>4778</v>
      </c>
      <c r="J1564" s="66"/>
      <c r="K1564" s="66"/>
      <c r="L1564" s="68"/>
      <c r="M1564" s="63" t="str">
        <f>HYPERLINK("http://nsgreg.nga.mil/genc/view?v=864042&amp;end_month=12&amp;end_day=31&amp;end_year=2016","Correlation")</f>
        <v>Correlation</v>
      </c>
    </row>
    <row r="1565" spans="1:13" x14ac:dyDescent="0.2">
      <c r="A1565" s="113"/>
      <c r="B1565" s="58" t="s">
        <v>4779</v>
      </c>
      <c r="C1565" s="58" t="s">
        <v>1483</v>
      </c>
      <c r="D1565" s="58" t="s">
        <v>4780</v>
      </c>
      <c r="E1565" s="60" t="b">
        <v>1</v>
      </c>
      <c r="F1565" s="80" t="s">
        <v>691</v>
      </c>
      <c r="G1565" s="58" t="s">
        <v>4779</v>
      </c>
      <c r="H1565" s="58" t="s">
        <v>1483</v>
      </c>
      <c r="I1565" s="64" t="s">
        <v>4780</v>
      </c>
      <c r="J1565" s="66"/>
      <c r="K1565" s="66"/>
      <c r="L1565" s="68"/>
      <c r="M1565" s="63" t="str">
        <f>HYPERLINK("http://nsgreg.nga.mil/genc/view?v=864044&amp;end_month=12&amp;end_day=31&amp;end_year=2016","Correlation")</f>
        <v>Correlation</v>
      </c>
    </row>
    <row r="1566" spans="1:13" x14ac:dyDescent="0.2">
      <c r="A1566" s="113"/>
      <c r="B1566" s="58" t="s">
        <v>4781</v>
      </c>
      <c r="C1566" s="58" t="s">
        <v>1483</v>
      </c>
      <c r="D1566" s="58" t="s">
        <v>4782</v>
      </c>
      <c r="E1566" s="60" t="b">
        <v>1</v>
      </c>
      <c r="F1566" s="80" t="s">
        <v>691</v>
      </c>
      <c r="G1566" s="58" t="s">
        <v>4781</v>
      </c>
      <c r="H1566" s="58" t="s">
        <v>1483</v>
      </c>
      <c r="I1566" s="64" t="s">
        <v>4782</v>
      </c>
      <c r="J1566" s="66"/>
      <c r="K1566" s="66"/>
      <c r="L1566" s="68"/>
      <c r="M1566" s="63" t="str">
        <f>HYPERLINK("http://nsgreg.nga.mil/genc/view?v=864045&amp;end_month=12&amp;end_day=31&amp;end_year=2016","Correlation")</f>
        <v>Correlation</v>
      </c>
    </row>
    <row r="1567" spans="1:13" x14ac:dyDescent="0.2">
      <c r="A1567" s="113"/>
      <c r="B1567" s="58" t="s">
        <v>4783</v>
      </c>
      <c r="C1567" s="58" t="s">
        <v>4756</v>
      </c>
      <c r="D1567" s="58" t="s">
        <v>4784</v>
      </c>
      <c r="E1567" s="60" t="b">
        <v>1</v>
      </c>
      <c r="F1567" s="80" t="s">
        <v>691</v>
      </c>
      <c r="G1567" s="58" t="s">
        <v>4783</v>
      </c>
      <c r="H1567" s="58" t="s">
        <v>4758</v>
      </c>
      <c r="I1567" s="64" t="s">
        <v>4784</v>
      </c>
      <c r="J1567" s="66"/>
      <c r="K1567" s="66"/>
      <c r="L1567" s="68"/>
      <c r="M1567" s="63" t="str">
        <f>HYPERLINK("http://nsgreg.nga.mil/genc/view?v=864046&amp;end_month=12&amp;end_day=31&amp;end_year=2016","Correlation")</f>
        <v>Correlation</v>
      </c>
    </row>
    <row r="1568" spans="1:13" x14ac:dyDescent="0.2">
      <c r="A1568" s="113"/>
      <c r="B1568" s="58" t="s">
        <v>4785</v>
      </c>
      <c r="C1568" s="58" t="s">
        <v>1483</v>
      </c>
      <c r="D1568" s="58" t="s">
        <v>4786</v>
      </c>
      <c r="E1568" s="60" t="b">
        <v>1</v>
      </c>
      <c r="F1568" s="80" t="s">
        <v>691</v>
      </c>
      <c r="G1568" s="58" t="s">
        <v>4785</v>
      </c>
      <c r="H1568" s="58" t="s">
        <v>1483</v>
      </c>
      <c r="I1568" s="64" t="s">
        <v>4786</v>
      </c>
      <c r="J1568" s="66"/>
      <c r="K1568" s="66"/>
      <c r="L1568" s="68"/>
      <c r="M1568" s="63" t="str">
        <f>HYPERLINK("http://nsgreg.nga.mil/genc/view?v=864047&amp;end_month=12&amp;end_day=31&amp;end_year=2016","Correlation")</f>
        <v>Correlation</v>
      </c>
    </row>
    <row r="1569" spans="1:13" x14ac:dyDescent="0.2">
      <c r="A1569" s="113"/>
      <c r="B1569" s="58" t="s">
        <v>4787</v>
      </c>
      <c r="C1569" s="58" t="s">
        <v>4756</v>
      </c>
      <c r="D1569" s="58" t="s">
        <v>4788</v>
      </c>
      <c r="E1569" s="60" t="b">
        <v>1</v>
      </c>
      <c r="F1569" s="80" t="s">
        <v>691</v>
      </c>
      <c r="G1569" s="58" t="s">
        <v>4787</v>
      </c>
      <c r="H1569" s="58" t="s">
        <v>4758</v>
      </c>
      <c r="I1569" s="64" t="s">
        <v>4788</v>
      </c>
      <c r="J1569" s="66"/>
      <c r="K1569" s="66"/>
      <c r="L1569" s="68"/>
      <c r="M1569" s="63" t="str">
        <f>HYPERLINK("http://nsgreg.nga.mil/genc/view?v=864050&amp;end_month=12&amp;end_day=31&amp;end_year=2016","Correlation")</f>
        <v>Correlation</v>
      </c>
    </row>
    <row r="1570" spans="1:13" x14ac:dyDescent="0.2">
      <c r="A1570" s="113"/>
      <c r="B1570" s="58" t="s">
        <v>4789</v>
      </c>
      <c r="C1570" s="58" t="s">
        <v>4756</v>
      </c>
      <c r="D1570" s="58" t="s">
        <v>4790</v>
      </c>
      <c r="E1570" s="60" t="b">
        <v>1</v>
      </c>
      <c r="F1570" s="80" t="s">
        <v>691</v>
      </c>
      <c r="G1570" s="58" t="s">
        <v>4789</v>
      </c>
      <c r="H1570" s="58" t="s">
        <v>4758</v>
      </c>
      <c r="I1570" s="64" t="s">
        <v>4790</v>
      </c>
      <c r="J1570" s="66"/>
      <c r="K1570" s="66"/>
      <c r="L1570" s="68"/>
      <c r="M1570" s="63" t="str">
        <f>HYPERLINK("http://nsgreg.nga.mil/genc/view?v=864049&amp;end_month=12&amp;end_day=31&amp;end_year=2016","Correlation")</f>
        <v>Correlation</v>
      </c>
    </row>
    <row r="1571" spans="1:13" x14ac:dyDescent="0.2">
      <c r="A1571" s="113"/>
      <c r="B1571" s="58" t="s">
        <v>4791</v>
      </c>
      <c r="C1571" s="58" t="s">
        <v>1483</v>
      </c>
      <c r="D1571" s="58" t="s">
        <v>4792</v>
      </c>
      <c r="E1571" s="60" t="b">
        <v>1</v>
      </c>
      <c r="F1571" s="80" t="s">
        <v>691</v>
      </c>
      <c r="G1571" s="58" t="s">
        <v>4791</v>
      </c>
      <c r="H1571" s="58" t="s">
        <v>1483</v>
      </c>
      <c r="I1571" s="64" t="s">
        <v>4792</v>
      </c>
      <c r="J1571" s="66"/>
      <c r="K1571" s="66"/>
      <c r="L1571" s="68"/>
      <c r="M1571" s="63" t="str">
        <f>HYPERLINK("http://nsgreg.nga.mil/genc/view?v=864048&amp;end_month=12&amp;end_day=31&amp;end_year=2016","Correlation")</f>
        <v>Correlation</v>
      </c>
    </row>
    <row r="1572" spans="1:13" x14ac:dyDescent="0.2">
      <c r="A1572" s="113"/>
      <c r="B1572" s="58" t="s">
        <v>4793</v>
      </c>
      <c r="C1572" s="58" t="s">
        <v>4756</v>
      </c>
      <c r="D1572" s="58" t="s">
        <v>4794</v>
      </c>
      <c r="E1572" s="60" t="b">
        <v>1</v>
      </c>
      <c r="F1572" s="80" t="s">
        <v>691</v>
      </c>
      <c r="G1572" s="58" t="s">
        <v>4793</v>
      </c>
      <c r="H1572" s="58" t="s">
        <v>4758</v>
      </c>
      <c r="I1572" s="64" t="s">
        <v>4794</v>
      </c>
      <c r="J1572" s="66"/>
      <c r="K1572" s="66"/>
      <c r="L1572" s="68"/>
      <c r="M1572" s="63" t="str">
        <f>HYPERLINK("http://nsgreg.nga.mil/genc/view?v=864051&amp;end_month=12&amp;end_day=31&amp;end_year=2016","Correlation")</f>
        <v>Correlation</v>
      </c>
    </row>
    <row r="1573" spans="1:13" x14ac:dyDescent="0.2">
      <c r="A1573" s="113"/>
      <c r="B1573" s="58" t="s">
        <v>4795</v>
      </c>
      <c r="C1573" s="58" t="s">
        <v>4756</v>
      </c>
      <c r="D1573" s="58" t="s">
        <v>4796</v>
      </c>
      <c r="E1573" s="60" t="b">
        <v>1</v>
      </c>
      <c r="F1573" s="80" t="s">
        <v>691</v>
      </c>
      <c r="G1573" s="58" t="s">
        <v>4795</v>
      </c>
      <c r="H1573" s="58" t="s">
        <v>4758</v>
      </c>
      <c r="I1573" s="64" t="s">
        <v>4796</v>
      </c>
      <c r="J1573" s="66"/>
      <c r="K1573" s="66"/>
      <c r="L1573" s="68"/>
      <c r="M1573" s="63" t="str">
        <f>HYPERLINK("http://nsgreg.nga.mil/genc/view?v=864052&amp;end_month=12&amp;end_day=31&amp;end_year=2016","Correlation")</f>
        <v>Correlation</v>
      </c>
    </row>
    <row r="1574" spans="1:13" x14ac:dyDescent="0.2">
      <c r="A1574" s="113"/>
      <c r="B1574" s="58" t="s">
        <v>4797</v>
      </c>
      <c r="C1574" s="58" t="s">
        <v>1483</v>
      </c>
      <c r="D1574" s="58" t="s">
        <v>4798</v>
      </c>
      <c r="E1574" s="60" t="b">
        <v>1</v>
      </c>
      <c r="F1574" s="80" t="s">
        <v>691</v>
      </c>
      <c r="G1574" s="58" t="s">
        <v>4797</v>
      </c>
      <c r="H1574" s="58" t="s">
        <v>1483</v>
      </c>
      <c r="I1574" s="64" t="s">
        <v>4798</v>
      </c>
      <c r="J1574" s="66"/>
      <c r="K1574" s="66"/>
      <c r="L1574" s="68"/>
      <c r="M1574" s="63" t="str">
        <f>HYPERLINK("http://nsgreg.nga.mil/genc/view?v=864053&amp;end_month=12&amp;end_day=31&amp;end_year=2016","Correlation")</f>
        <v>Correlation</v>
      </c>
    </row>
    <row r="1575" spans="1:13" x14ac:dyDescent="0.2">
      <c r="A1575" s="113"/>
      <c r="B1575" s="58" t="s">
        <v>4799</v>
      </c>
      <c r="C1575" s="58" t="s">
        <v>4756</v>
      </c>
      <c r="D1575" s="58" t="s">
        <v>4800</v>
      </c>
      <c r="E1575" s="60" t="b">
        <v>1</v>
      </c>
      <c r="F1575" s="80" t="s">
        <v>691</v>
      </c>
      <c r="G1575" s="58" t="s">
        <v>4799</v>
      </c>
      <c r="H1575" s="58" t="s">
        <v>4758</v>
      </c>
      <c r="I1575" s="64" t="s">
        <v>4800</v>
      </c>
      <c r="J1575" s="66"/>
      <c r="K1575" s="66"/>
      <c r="L1575" s="68"/>
      <c r="M1575" s="63" t="str">
        <f>HYPERLINK("http://nsgreg.nga.mil/genc/view?v=864054&amp;end_month=12&amp;end_day=31&amp;end_year=2016","Correlation")</f>
        <v>Correlation</v>
      </c>
    </row>
    <row r="1576" spans="1:13" x14ac:dyDescent="0.2">
      <c r="A1576" s="113"/>
      <c r="B1576" s="58" t="s">
        <v>4801</v>
      </c>
      <c r="C1576" s="58" t="s">
        <v>4756</v>
      </c>
      <c r="D1576" s="58" t="s">
        <v>4802</v>
      </c>
      <c r="E1576" s="60" t="b">
        <v>1</v>
      </c>
      <c r="F1576" s="80" t="s">
        <v>691</v>
      </c>
      <c r="G1576" s="58" t="s">
        <v>4801</v>
      </c>
      <c r="H1576" s="58" t="s">
        <v>4758</v>
      </c>
      <c r="I1576" s="64" t="s">
        <v>4802</v>
      </c>
      <c r="J1576" s="66"/>
      <c r="K1576" s="66"/>
      <c r="L1576" s="68"/>
      <c r="M1576" s="63" t="str">
        <f>HYPERLINK("http://nsgreg.nga.mil/genc/view?v=864056&amp;end_month=12&amp;end_day=31&amp;end_year=2016","Correlation")</f>
        <v>Correlation</v>
      </c>
    </row>
    <row r="1577" spans="1:13" x14ac:dyDescent="0.2">
      <c r="A1577" s="113"/>
      <c r="B1577" s="58" t="s">
        <v>4803</v>
      </c>
      <c r="C1577" s="58" t="s">
        <v>1483</v>
      </c>
      <c r="D1577" s="58" t="s">
        <v>4804</v>
      </c>
      <c r="E1577" s="60" t="b">
        <v>1</v>
      </c>
      <c r="F1577" s="80" t="s">
        <v>691</v>
      </c>
      <c r="G1577" s="58" t="s">
        <v>4803</v>
      </c>
      <c r="H1577" s="58" t="s">
        <v>1483</v>
      </c>
      <c r="I1577" s="64" t="s">
        <v>4804</v>
      </c>
      <c r="J1577" s="66"/>
      <c r="K1577" s="66"/>
      <c r="L1577" s="68"/>
      <c r="M1577" s="63" t="str">
        <f>HYPERLINK("http://nsgreg.nga.mil/genc/view?v=864055&amp;end_month=12&amp;end_day=31&amp;end_year=2016","Correlation")</f>
        <v>Correlation</v>
      </c>
    </row>
    <row r="1578" spans="1:13" x14ac:dyDescent="0.2">
      <c r="A1578" s="113"/>
      <c r="B1578" s="58" t="s">
        <v>4805</v>
      </c>
      <c r="C1578" s="58" t="s">
        <v>4756</v>
      </c>
      <c r="D1578" s="58" t="s">
        <v>4806</v>
      </c>
      <c r="E1578" s="60" t="b">
        <v>1</v>
      </c>
      <c r="F1578" s="80" t="s">
        <v>691</v>
      </c>
      <c r="G1578" s="58" t="s">
        <v>4805</v>
      </c>
      <c r="H1578" s="58" t="s">
        <v>4758</v>
      </c>
      <c r="I1578" s="64" t="s">
        <v>4806</v>
      </c>
      <c r="J1578" s="66"/>
      <c r="K1578" s="66"/>
      <c r="L1578" s="68"/>
      <c r="M1578" s="63" t="str">
        <f>HYPERLINK("http://nsgreg.nga.mil/genc/view?v=864064&amp;end_month=12&amp;end_day=31&amp;end_year=2016","Correlation")</f>
        <v>Correlation</v>
      </c>
    </row>
    <row r="1579" spans="1:13" x14ac:dyDescent="0.2">
      <c r="A1579" s="113"/>
      <c r="B1579" s="58" t="s">
        <v>4807</v>
      </c>
      <c r="C1579" s="58" t="s">
        <v>1483</v>
      </c>
      <c r="D1579" s="58" t="s">
        <v>4808</v>
      </c>
      <c r="E1579" s="60" t="b">
        <v>1</v>
      </c>
      <c r="F1579" s="80" t="s">
        <v>691</v>
      </c>
      <c r="G1579" s="58" t="s">
        <v>4807</v>
      </c>
      <c r="H1579" s="58" t="s">
        <v>1483</v>
      </c>
      <c r="I1579" s="64" t="s">
        <v>4808</v>
      </c>
      <c r="J1579" s="66"/>
      <c r="K1579" s="66"/>
      <c r="L1579" s="68"/>
      <c r="M1579" s="63" t="str">
        <f>HYPERLINK("http://nsgreg.nga.mil/genc/view?v=864062&amp;end_month=12&amp;end_day=31&amp;end_year=2016","Correlation")</f>
        <v>Correlation</v>
      </c>
    </row>
    <row r="1580" spans="1:13" x14ac:dyDescent="0.2">
      <c r="A1580" s="113"/>
      <c r="B1580" s="58" t="s">
        <v>4809</v>
      </c>
      <c r="C1580" s="58" t="s">
        <v>4756</v>
      </c>
      <c r="D1580" s="58" t="s">
        <v>4810</v>
      </c>
      <c r="E1580" s="60" t="b">
        <v>1</v>
      </c>
      <c r="F1580" s="80" t="s">
        <v>691</v>
      </c>
      <c r="G1580" s="58" t="s">
        <v>4809</v>
      </c>
      <c r="H1580" s="58" t="s">
        <v>4758</v>
      </c>
      <c r="I1580" s="64" t="s">
        <v>4810</v>
      </c>
      <c r="J1580" s="66"/>
      <c r="K1580" s="66"/>
      <c r="L1580" s="68"/>
      <c r="M1580" s="63" t="str">
        <f>HYPERLINK("http://nsgreg.nga.mil/genc/view?v=864061&amp;end_month=12&amp;end_day=31&amp;end_year=2016","Correlation")</f>
        <v>Correlation</v>
      </c>
    </row>
    <row r="1581" spans="1:13" x14ac:dyDescent="0.2">
      <c r="A1581" s="113"/>
      <c r="B1581" s="58" t="s">
        <v>4811</v>
      </c>
      <c r="C1581" s="58" t="s">
        <v>1483</v>
      </c>
      <c r="D1581" s="58" t="s">
        <v>4812</v>
      </c>
      <c r="E1581" s="60" t="b">
        <v>1</v>
      </c>
      <c r="F1581" s="80" t="s">
        <v>691</v>
      </c>
      <c r="G1581" s="58" t="s">
        <v>4811</v>
      </c>
      <c r="H1581" s="58" t="s">
        <v>1483</v>
      </c>
      <c r="I1581" s="64" t="s">
        <v>4812</v>
      </c>
      <c r="J1581" s="66"/>
      <c r="K1581" s="66"/>
      <c r="L1581" s="68"/>
      <c r="M1581" s="63" t="str">
        <f>HYPERLINK("http://nsgreg.nga.mil/genc/view?v=864065&amp;end_month=12&amp;end_day=31&amp;end_year=2016","Correlation")</f>
        <v>Correlation</v>
      </c>
    </row>
    <row r="1582" spans="1:13" x14ac:dyDescent="0.2">
      <c r="A1582" s="113"/>
      <c r="B1582" s="58" t="s">
        <v>4813</v>
      </c>
      <c r="C1582" s="58" t="s">
        <v>4756</v>
      </c>
      <c r="D1582" s="58" t="s">
        <v>4814</v>
      </c>
      <c r="E1582" s="60" t="b">
        <v>1</v>
      </c>
      <c r="F1582" s="80" t="s">
        <v>691</v>
      </c>
      <c r="G1582" s="58" t="s">
        <v>4813</v>
      </c>
      <c r="H1582" s="58" t="s">
        <v>4758</v>
      </c>
      <c r="I1582" s="64" t="s">
        <v>4814</v>
      </c>
      <c r="J1582" s="66"/>
      <c r="K1582" s="66"/>
      <c r="L1582" s="68"/>
      <c r="M1582" s="63" t="str">
        <f>HYPERLINK("http://nsgreg.nga.mil/genc/view?v=864057&amp;end_month=12&amp;end_day=31&amp;end_year=2016","Correlation")</f>
        <v>Correlation</v>
      </c>
    </row>
    <row r="1583" spans="1:13" x14ac:dyDescent="0.2">
      <c r="A1583" s="113"/>
      <c r="B1583" s="58" t="s">
        <v>4815</v>
      </c>
      <c r="C1583" s="58" t="s">
        <v>4756</v>
      </c>
      <c r="D1583" s="58" t="s">
        <v>4816</v>
      </c>
      <c r="E1583" s="60" t="b">
        <v>1</v>
      </c>
      <c r="F1583" s="80" t="s">
        <v>691</v>
      </c>
      <c r="G1583" s="58" t="s">
        <v>4815</v>
      </c>
      <c r="H1583" s="58" t="s">
        <v>4758</v>
      </c>
      <c r="I1583" s="64" t="s">
        <v>4816</v>
      </c>
      <c r="J1583" s="66"/>
      <c r="K1583" s="66"/>
      <c r="L1583" s="68"/>
      <c r="M1583" s="63" t="str">
        <f>HYPERLINK("http://nsgreg.nga.mil/genc/view?v=864058&amp;end_month=12&amp;end_day=31&amp;end_year=2016","Correlation")</f>
        <v>Correlation</v>
      </c>
    </row>
    <row r="1584" spans="1:13" x14ac:dyDescent="0.2">
      <c r="A1584" s="113"/>
      <c r="B1584" s="58" t="s">
        <v>4817</v>
      </c>
      <c r="C1584" s="58" t="s">
        <v>4756</v>
      </c>
      <c r="D1584" s="58" t="s">
        <v>4818</v>
      </c>
      <c r="E1584" s="60" t="b">
        <v>1</v>
      </c>
      <c r="F1584" s="80" t="s">
        <v>691</v>
      </c>
      <c r="G1584" s="58" t="s">
        <v>4817</v>
      </c>
      <c r="H1584" s="58" t="s">
        <v>4758</v>
      </c>
      <c r="I1584" s="64" t="s">
        <v>4818</v>
      </c>
      <c r="J1584" s="66"/>
      <c r="K1584" s="66"/>
      <c r="L1584" s="68"/>
      <c r="M1584" s="63" t="str">
        <f>HYPERLINK("http://nsgreg.nga.mil/genc/view?v=864063&amp;end_month=12&amp;end_day=31&amp;end_year=2016","Correlation")</f>
        <v>Correlation</v>
      </c>
    </row>
    <row r="1585" spans="1:13" x14ac:dyDescent="0.2">
      <c r="A1585" s="113"/>
      <c r="B1585" s="58" t="s">
        <v>4819</v>
      </c>
      <c r="C1585" s="58" t="s">
        <v>4756</v>
      </c>
      <c r="D1585" s="58" t="s">
        <v>4820</v>
      </c>
      <c r="E1585" s="60" t="b">
        <v>1</v>
      </c>
      <c r="F1585" s="80" t="s">
        <v>691</v>
      </c>
      <c r="G1585" s="58" t="s">
        <v>4819</v>
      </c>
      <c r="H1585" s="58" t="s">
        <v>4758</v>
      </c>
      <c r="I1585" s="64" t="s">
        <v>4820</v>
      </c>
      <c r="J1585" s="66"/>
      <c r="K1585" s="66"/>
      <c r="L1585" s="68"/>
      <c r="M1585" s="63" t="str">
        <f>HYPERLINK("http://nsgreg.nga.mil/genc/view?v=864060&amp;end_month=12&amp;end_day=31&amp;end_year=2016","Correlation")</f>
        <v>Correlation</v>
      </c>
    </row>
    <row r="1586" spans="1:13" x14ac:dyDescent="0.2">
      <c r="A1586" s="113"/>
      <c r="B1586" s="58" t="s">
        <v>4821</v>
      </c>
      <c r="C1586" s="58" t="s">
        <v>4756</v>
      </c>
      <c r="D1586" s="58" t="s">
        <v>4822</v>
      </c>
      <c r="E1586" s="60" t="b">
        <v>1</v>
      </c>
      <c r="F1586" s="80" t="s">
        <v>691</v>
      </c>
      <c r="G1586" s="58" t="s">
        <v>4821</v>
      </c>
      <c r="H1586" s="58" t="s">
        <v>4758</v>
      </c>
      <c r="I1586" s="64" t="s">
        <v>4822</v>
      </c>
      <c r="J1586" s="66"/>
      <c r="K1586" s="66"/>
      <c r="L1586" s="68"/>
      <c r="M1586" s="63" t="str">
        <f>HYPERLINK("http://nsgreg.nga.mil/genc/view?v=864059&amp;end_month=12&amp;end_day=31&amp;end_year=2016","Correlation")</f>
        <v>Correlation</v>
      </c>
    </row>
    <row r="1587" spans="1:13" x14ac:dyDescent="0.2">
      <c r="A1587" s="113"/>
      <c r="B1587" s="58" t="s">
        <v>4823</v>
      </c>
      <c r="C1587" s="58" t="s">
        <v>4756</v>
      </c>
      <c r="D1587" s="58" t="s">
        <v>4824</v>
      </c>
      <c r="E1587" s="60" t="b">
        <v>1</v>
      </c>
      <c r="F1587" s="80" t="s">
        <v>691</v>
      </c>
      <c r="G1587" s="58" t="s">
        <v>4823</v>
      </c>
      <c r="H1587" s="58" t="s">
        <v>4758</v>
      </c>
      <c r="I1587" s="64" t="s">
        <v>4824</v>
      </c>
      <c r="J1587" s="66"/>
      <c r="K1587" s="66"/>
      <c r="L1587" s="68"/>
      <c r="M1587" s="63" t="str">
        <f>HYPERLINK("http://nsgreg.nga.mil/genc/view?v=864066&amp;end_month=12&amp;end_day=31&amp;end_year=2016","Correlation")</f>
        <v>Correlation</v>
      </c>
    </row>
    <row r="1588" spans="1:13" x14ac:dyDescent="0.2">
      <c r="A1588" s="113"/>
      <c r="B1588" s="58" t="s">
        <v>4825</v>
      </c>
      <c r="C1588" s="58" t="s">
        <v>1483</v>
      </c>
      <c r="D1588" s="58" t="s">
        <v>4826</v>
      </c>
      <c r="E1588" s="60" t="b">
        <v>1</v>
      </c>
      <c r="F1588" s="80" t="s">
        <v>691</v>
      </c>
      <c r="G1588" s="58" t="s">
        <v>4825</v>
      </c>
      <c r="H1588" s="58" t="s">
        <v>1483</v>
      </c>
      <c r="I1588" s="64" t="s">
        <v>4826</v>
      </c>
      <c r="J1588" s="66"/>
      <c r="K1588" s="66"/>
      <c r="L1588" s="68"/>
      <c r="M1588" s="63" t="str">
        <f>HYPERLINK("http://nsgreg.nga.mil/genc/view?v=864067&amp;end_month=12&amp;end_day=31&amp;end_year=2016","Correlation")</f>
        <v>Correlation</v>
      </c>
    </row>
    <row r="1589" spans="1:13" x14ac:dyDescent="0.2">
      <c r="A1589" s="113"/>
      <c r="B1589" s="58" t="s">
        <v>4827</v>
      </c>
      <c r="C1589" s="58" t="s">
        <v>1483</v>
      </c>
      <c r="D1589" s="58" t="s">
        <v>4828</v>
      </c>
      <c r="E1589" s="60" t="b">
        <v>1</v>
      </c>
      <c r="F1589" s="80" t="s">
        <v>691</v>
      </c>
      <c r="G1589" s="58" t="s">
        <v>4827</v>
      </c>
      <c r="H1589" s="58" t="s">
        <v>1483</v>
      </c>
      <c r="I1589" s="64" t="s">
        <v>4828</v>
      </c>
      <c r="J1589" s="66"/>
      <c r="K1589" s="66"/>
      <c r="L1589" s="68"/>
      <c r="M1589" s="63" t="str">
        <f>HYPERLINK("http://nsgreg.nga.mil/genc/view?v=864068&amp;end_month=12&amp;end_day=31&amp;end_year=2016","Correlation")</f>
        <v>Correlation</v>
      </c>
    </row>
    <row r="1590" spans="1:13" x14ac:dyDescent="0.2">
      <c r="A1590" s="113"/>
      <c r="B1590" s="58" t="s">
        <v>4829</v>
      </c>
      <c r="C1590" s="58" t="s">
        <v>1483</v>
      </c>
      <c r="D1590" s="58" t="s">
        <v>4830</v>
      </c>
      <c r="E1590" s="60" t="b">
        <v>1</v>
      </c>
      <c r="F1590" s="80" t="s">
        <v>691</v>
      </c>
      <c r="G1590" s="58" t="s">
        <v>4829</v>
      </c>
      <c r="H1590" s="58" t="s">
        <v>1483</v>
      </c>
      <c r="I1590" s="64" t="s">
        <v>4830</v>
      </c>
      <c r="J1590" s="66"/>
      <c r="K1590" s="66"/>
      <c r="L1590" s="68"/>
      <c r="M1590" s="63" t="str">
        <f>HYPERLINK("http://nsgreg.nga.mil/genc/view?v=864069&amp;end_month=12&amp;end_day=31&amp;end_year=2016","Correlation")</f>
        <v>Correlation</v>
      </c>
    </row>
    <row r="1591" spans="1:13" x14ac:dyDescent="0.2">
      <c r="A1591" s="113"/>
      <c r="B1591" s="58" t="s">
        <v>4829</v>
      </c>
      <c r="C1591" s="58" t="s">
        <v>4756</v>
      </c>
      <c r="D1591" s="58" t="s">
        <v>4831</v>
      </c>
      <c r="E1591" s="60" t="b">
        <v>1</v>
      </c>
      <c r="F1591" s="80" t="s">
        <v>691</v>
      </c>
      <c r="G1591" s="58" t="s">
        <v>4829</v>
      </c>
      <c r="H1591" s="58" t="s">
        <v>4758</v>
      </c>
      <c r="I1591" s="64" t="s">
        <v>4831</v>
      </c>
      <c r="J1591" s="66"/>
      <c r="K1591" s="66"/>
      <c r="L1591" s="68"/>
      <c r="M1591" s="63" t="str">
        <f>HYPERLINK("http://nsgreg.nga.mil/genc/view?v=864070&amp;end_month=12&amp;end_day=31&amp;end_year=2016","Correlation")</f>
        <v>Correlation</v>
      </c>
    </row>
    <row r="1592" spans="1:13" x14ac:dyDescent="0.2">
      <c r="A1592" s="113"/>
      <c r="B1592" s="58" t="s">
        <v>4832</v>
      </c>
      <c r="C1592" s="58" t="s">
        <v>1483</v>
      </c>
      <c r="D1592" s="58" t="s">
        <v>4833</v>
      </c>
      <c r="E1592" s="60" t="b">
        <v>1</v>
      </c>
      <c r="F1592" s="80" t="s">
        <v>691</v>
      </c>
      <c r="G1592" s="58" t="s">
        <v>4832</v>
      </c>
      <c r="H1592" s="58" t="s">
        <v>1483</v>
      </c>
      <c r="I1592" s="64" t="s">
        <v>4833</v>
      </c>
      <c r="J1592" s="66"/>
      <c r="K1592" s="66"/>
      <c r="L1592" s="68"/>
      <c r="M1592" s="63" t="str">
        <f>HYPERLINK("http://nsgreg.nga.mil/genc/view?v=864071&amp;end_month=12&amp;end_day=31&amp;end_year=2016","Correlation")</f>
        <v>Correlation</v>
      </c>
    </row>
    <row r="1593" spans="1:13" x14ac:dyDescent="0.2">
      <c r="A1593" s="114"/>
      <c r="B1593" s="71" t="s">
        <v>4834</v>
      </c>
      <c r="C1593" s="71" t="s">
        <v>4756</v>
      </c>
      <c r="D1593" s="71" t="s">
        <v>4835</v>
      </c>
      <c r="E1593" s="73" t="b">
        <v>1</v>
      </c>
      <c r="F1593" s="81" t="s">
        <v>691</v>
      </c>
      <c r="G1593" s="71" t="s">
        <v>4834</v>
      </c>
      <c r="H1593" s="71" t="s">
        <v>4758</v>
      </c>
      <c r="I1593" s="74" t="s">
        <v>4835</v>
      </c>
      <c r="J1593" s="76"/>
      <c r="K1593" s="76"/>
      <c r="L1593" s="82"/>
      <c r="M1593" s="77" t="str">
        <f>HYPERLINK("http://nsgreg.nga.mil/genc/view?v=864072&amp;end_month=12&amp;end_day=31&amp;end_year=2016","Correlation")</f>
        <v>Correlation</v>
      </c>
    </row>
    <row r="1594" spans="1:13" x14ac:dyDescent="0.2">
      <c r="A1594" s="112" t="s">
        <v>695</v>
      </c>
      <c r="B1594" s="50" t="s">
        <v>4836</v>
      </c>
      <c r="C1594" s="50" t="s">
        <v>1728</v>
      </c>
      <c r="D1594" s="50" t="s">
        <v>4837</v>
      </c>
      <c r="E1594" s="52" t="b">
        <v>1</v>
      </c>
      <c r="F1594" s="78" t="s">
        <v>695</v>
      </c>
      <c r="G1594" s="50" t="s">
        <v>4836</v>
      </c>
      <c r="H1594" s="50" t="s">
        <v>1728</v>
      </c>
      <c r="I1594" s="53" t="s">
        <v>4837</v>
      </c>
      <c r="J1594" s="55"/>
      <c r="K1594" s="55"/>
      <c r="L1594" s="79"/>
      <c r="M1594" s="56" t="str">
        <f>HYPERLINK("http://nsgreg.nga.mil/genc/view?v=864246&amp;end_month=12&amp;end_day=31&amp;end_year=2016","Correlation")</f>
        <v>Correlation</v>
      </c>
    </row>
    <row r="1595" spans="1:13" x14ac:dyDescent="0.2">
      <c r="A1595" s="113"/>
      <c r="B1595" s="58" t="s">
        <v>4838</v>
      </c>
      <c r="C1595" s="58" t="s">
        <v>1728</v>
      </c>
      <c r="D1595" s="58" t="s">
        <v>4839</v>
      </c>
      <c r="E1595" s="60" t="b">
        <v>1</v>
      </c>
      <c r="F1595" s="80" t="s">
        <v>695</v>
      </c>
      <c r="G1595" s="58" t="s">
        <v>4840</v>
      </c>
      <c r="H1595" s="58" t="s">
        <v>1728</v>
      </c>
      <c r="I1595" s="64" t="s">
        <v>4839</v>
      </c>
      <c r="J1595" s="66"/>
      <c r="K1595" s="66"/>
      <c r="L1595" s="68"/>
      <c r="M1595" s="63" t="str">
        <f>HYPERLINK("http://nsgreg.nga.mil/genc/view?v=864240&amp;end_month=12&amp;end_day=31&amp;end_year=2016","Correlation")</f>
        <v>Correlation</v>
      </c>
    </row>
    <row r="1596" spans="1:13" x14ac:dyDescent="0.2">
      <c r="A1596" s="113"/>
      <c r="B1596" s="58" t="s">
        <v>4841</v>
      </c>
      <c r="C1596" s="58" t="s">
        <v>1728</v>
      </c>
      <c r="D1596" s="58" t="s">
        <v>4842</v>
      </c>
      <c r="E1596" s="60" t="b">
        <v>1</v>
      </c>
      <c r="F1596" s="80" t="s">
        <v>695</v>
      </c>
      <c r="G1596" s="58" t="s">
        <v>4843</v>
      </c>
      <c r="H1596" s="58" t="s">
        <v>1728</v>
      </c>
      <c r="I1596" s="64" t="s">
        <v>4842</v>
      </c>
      <c r="J1596" s="66"/>
      <c r="K1596" s="66"/>
      <c r="L1596" s="68"/>
      <c r="M1596" s="63" t="str">
        <f>HYPERLINK("http://nsgreg.nga.mil/genc/view?v=864245&amp;end_month=12&amp;end_day=31&amp;end_year=2016","Correlation")</f>
        <v>Correlation</v>
      </c>
    </row>
    <row r="1597" spans="1:13" x14ac:dyDescent="0.2">
      <c r="A1597" s="113"/>
      <c r="B1597" s="58" t="s">
        <v>4844</v>
      </c>
      <c r="C1597" s="58" t="s">
        <v>1728</v>
      </c>
      <c r="D1597" s="58" t="s">
        <v>4845</v>
      </c>
      <c r="E1597" s="60" t="b">
        <v>1</v>
      </c>
      <c r="F1597" s="80" t="s">
        <v>695</v>
      </c>
      <c r="G1597" s="58" t="s">
        <v>4846</v>
      </c>
      <c r="H1597" s="58" t="s">
        <v>1728</v>
      </c>
      <c r="I1597" s="64" t="s">
        <v>4845</v>
      </c>
      <c r="J1597" s="66"/>
      <c r="K1597" s="66"/>
      <c r="L1597" s="68"/>
      <c r="M1597" s="63" t="str">
        <f>HYPERLINK("http://nsgreg.nga.mil/genc/view?v=864244&amp;end_month=12&amp;end_day=31&amp;end_year=2016","Correlation")</f>
        <v>Correlation</v>
      </c>
    </row>
    <row r="1598" spans="1:13" x14ac:dyDescent="0.2">
      <c r="A1598" s="113"/>
      <c r="B1598" s="58" t="s">
        <v>4847</v>
      </c>
      <c r="C1598" s="58" t="s">
        <v>1728</v>
      </c>
      <c r="D1598" s="58" t="s">
        <v>4848</v>
      </c>
      <c r="E1598" s="60" t="b">
        <v>1</v>
      </c>
      <c r="F1598" s="80" t="s">
        <v>695</v>
      </c>
      <c r="G1598" s="58" t="s">
        <v>4847</v>
      </c>
      <c r="H1598" s="58" t="s">
        <v>1728</v>
      </c>
      <c r="I1598" s="64" t="s">
        <v>4848</v>
      </c>
      <c r="J1598" s="66"/>
      <c r="K1598" s="66"/>
      <c r="L1598" s="68"/>
      <c r="M1598" s="63" t="str">
        <f>HYPERLINK("http://nsgreg.nga.mil/genc/view?v=864247&amp;end_month=12&amp;end_day=31&amp;end_year=2016","Correlation")</f>
        <v>Correlation</v>
      </c>
    </row>
    <row r="1599" spans="1:13" x14ac:dyDescent="0.2">
      <c r="A1599" s="113"/>
      <c r="B1599" s="58" t="s">
        <v>4849</v>
      </c>
      <c r="C1599" s="58" t="s">
        <v>1728</v>
      </c>
      <c r="D1599" s="58" t="s">
        <v>4850</v>
      </c>
      <c r="E1599" s="60" t="b">
        <v>1</v>
      </c>
      <c r="F1599" s="80" t="s">
        <v>695</v>
      </c>
      <c r="G1599" s="58" t="s">
        <v>4849</v>
      </c>
      <c r="H1599" s="58" t="s">
        <v>1728</v>
      </c>
      <c r="I1599" s="64" t="s">
        <v>4850</v>
      </c>
      <c r="J1599" s="66"/>
      <c r="K1599" s="66"/>
      <c r="L1599" s="68"/>
      <c r="M1599" s="63" t="str">
        <f>HYPERLINK("http://nsgreg.nga.mil/genc/view?v=864241&amp;end_month=12&amp;end_day=31&amp;end_year=2016","Correlation")</f>
        <v>Correlation</v>
      </c>
    </row>
    <row r="1600" spans="1:13" x14ac:dyDescent="0.2">
      <c r="A1600" s="113"/>
      <c r="B1600" s="58" t="s">
        <v>4851</v>
      </c>
      <c r="C1600" s="58" t="s">
        <v>1728</v>
      </c>
      <c r="D1600" s="58" t="s">
        <v>4852</v>
      </c>
      <c r="E1600" s="60" t="b">
        <v>1</v>
      </c>
      <c r="F1600" s="80" t="s">
        <v>695</v>
      </c>
      <c r="G1600" s="58" t="s">
        <v>4851</v>
      </c>
      <c r="H1600" s="58" t="s">
        <v>1728</v>
      </c>
      <c r="I1600" s="64" t="s">
        <v>4852</v>
      </c>
      <c r="J1600" s="66"/>
      <c r="K1600" s="66"/>
      <c r="L1600" s="68"/>
      <c r="M1600" s="63" t="str">
        <f>HYPERLINK("http://nsgreg.nga.mil/genc/view?v=864243&amp;end_month=12&amp;end_day=31&amp;end_year=2016","Correlation")</f>
        <v>Correlation</v>
      </c>
    </row>
    <row r="1601" spans="1:13" x14ac:dyDescent="0.2">
      <c r="A1601" s="114"/>
      <c r="B1601" s="71" t="s">
        <v>4853</v>
      </c>
      <c r="C1601" s="71" t="s">
        <v>1728</v>
      </c>
      <c r="D1601" s="71" t="s">
        <v>4854</v>
      </c>
      <c r="E1601" s="73" t="b">
        <v>1</v>
      </c>
      <c r="F1601" s="81" t="s">
        <v>695</v>
      </c>
      <c r="G1601" s="71" t="s">
        <v>4853</v>
      </c>
      <c r="H1601" s="71" t="s">
        <v>1728</v>
      </c>
      <c r="I1601" s="74" t="s">
        <v>4854</v>
      </c>
      <c r="J1601" s="76"/>
      <c r="K1601" s="76"/>
      <c r="L1601" s="82"/>
      <c r="M1601" s="77" t="str">
        <f>HYPERLINK("http://nsgreg.nga.mil/genc/view?v=864242&amp;end_month=12&amp;end_day=31&amp;end_year=2016","Correlation")</f>
        <v>Correlation</v>
      </c>
    </row>
    <row r="1602" spans="1:13" x14ac:dyDescent="0.2">
      <c r="A1602" s="112" t="s">
        <v>699</v>
      </c>
      <c r="B1602" s="50" t="s">
        <v>4855</v>
      </c>
      <c r="C1602" s="50" t="s">
        <v>2706</v>
      </c>
      <c r="D1602" s="50" t="s">
        <v>4856</v>
      </c>
      <c r="E1602" s="52" t="b">
        <v>1</v>
      </c>
      <c r="F1602" s="78" t="s">
        <v>699</v>
      </c>
      <c r="G1602" s="50" t="s">
        <v>4855</v>
      </c>
      <c r="H1602" s="50" t="s">
        <v>2706</v>
      </c>
      <c r="I1602" s="53" t="s">
        <v>4856</v>
      </c>
      <c r="J1602" s="55"/>
      <c r="K1602" s="55"/>
      <c r="L1602" s="79"/>
      <c r="M1602" s="56" t="str">
        <f>HYPERLINK("http://nsgreg.nga.mil/genc/view?v=864155&amp;end_month=12&amp;end_day=31&amp;end_year=2016","Correlation")</f>
        <v>Correlation</v>
      </c>
    </row>
    <row r="1603" spans="1:13" x14ac:dyDescent="0.2">
      <c r="A1603" s="113"/>
      <c r="B1603" s="58" t="s">
        <v>4857</v>
      </c>
      <c r="C1603" s="58" t="s">
        <v>1763</v>
      </c>
      <c r="D1603" s="58" t="s">
        <v>4858</v>
      </c>
      <c r="E1603" s="60" t="b">
        <v>1</v>
      </c>
      <c r="F1603" s="80" t="s">
        <v>699</v>
      </c>
      <c r="G1603" s="58" t="s">
        <v>4857</v>
      </c>
      <c r="H1603" s="58" t="s">
        <v>1763</v>
      </c>
      <c r="I1603" s="64" t="s">
        <v>4858</v>
      </c>
      <c r="J1603" s="66"/>
      <c r="K1603" s="66"/>
      <c r="L1603" s="68"/>
      <c r="M1603" s="63" t="str">
        <f>HYPERLINK("http://nsgreg.nga.mil/genc/view?v=864156&amp;end_month=12&amp;end_day=31&amp;end_year=2016","Correlation")</f>
        <v>Correlation</v>
      </c>
    </row>
    <row r="1604" spans="1:13" x14ac:dyDescent="0.2">
      <c r="A1604" s="113"/>
      <c r="B1604" s="58" t="s">
        <v>4859</v>
      </c>
      <c r="C1604" s="58" t="s">
        <v>1763</v>
      </c>
      <c r="D1604" s="58" t="s">
        <v>4860</v>
      </c>
      <c r="E1604" s="60" t="b">
        <v>1</v>
      </c>
      <c r="F1604" s="80" t="s">
        <v>699</v>
      </c>
      <c r="G1604" s="58" t="s">
        <v>4861</v>
      </c>
      <c r="H1604" s="58" t="s">
        <v>1763</v>
      </c>
      <c r="I1604" s="64" t="s">
        <v>4860</v>
      </c>
      <c r="J1604" s="66"/>
      <c r="K1604" s="66"/>
      <c r="L1604" s="68"/>
      <c r="M1604" s="63" t="str">
        <f>HYPERLINK("http://nsgreg.nga.mil/genc/view?v=864157&amp;end_month=12&amp;end_day=31&amp;end_year=2016","Correlation")</f>
        <v>Correlation</v>
      </c>
    </row>
    <row r="1605" spans="1:13" x14ac:dyDescent="0.2">
      <c r="A1605" s="113"/>
      <c r="B1605" s="58" t="s">
        <v>4862</v>
      </c>
      <c r="C1605" s="58" t="s">
        <v>1763</v>
      </c>
      <c r="D1605" s="58" t="s">
        <v>4863</v>
      </c>
      <c r="E1605" s="60" t="b">
        <v>1</v>
      </c>
      <c r="F1605" s="80" t="s">
        <v>699</v>
      </c>
      <c r="G1605" s="58" t="s">
        <v>4862</v>
      </c>
      <c r="H1605" s="58" t="s">
        <v>1763</v>
      </c>
      <c r="I1605" s="64" t="s">
        <v>4863</v>
      </c>
      <c r="J1605" s="66"/>
      <c r="K1605" s="66"/>
      <c r="L1605" s="68"/>
      <c r="M1605" s="63" t="str">
        <f>HYPERLINK("http://nsgreg.nga.mil/genc/view?v=864158&amp;end_month=12&amp;end_day=31&amp;end_year=2016","Correlation")</f>
        <v>Correlation</v>
      </c>
    </row>
    <row r="1606" spans="1:13" x14ac:dyDescent="0.2">
      <c r="A1606" s="113"/>
      <c r="B1606" s="58" t="s">
        <v>4864</v>
      </c>
      <c r="C1606" s="58" t="s">
        <v>1763</v>
      </c>
      <c r="D1606" s="58" t="s">
        <v>4865</v>
      </c>
      <c r="E1606" s="60" t="b">
        <v>1</v>
      </c>
      <c r="F1606" s="80" t="s">
        <v>699</v>
      </c>
      <c r="G1606" s="58" t="s">
        <v>4866</v>
      </c>
      <c r="H1606" s="58" t="s">
        <v>1763</v>
      </c>
      <c r="I1606" s="64" t="s">
        <v>4865</v>
      </c>
      <c r="J1606" s="66"/>
      <c r="K1606" s="66"/>
      <c r="L1606" s="68"/>
      <c r="M1606" s="63" t="str">
        <f>HYPERLINK("http://nsgreg.nga.mil/genc/view?v=864159&amp;end_month=12&amp;end_day=31&amp;end_year=2016","Correlation")</f>
        <v>Correlation</v>
      </c>
    </row>
    <row r="1607" spans="1:13" x14ac:dyDescent="0.2">
      <c r="A1607" s="113"/>
      <c r="B1607" s="58" t="s">
        <v>4867</v>
      </c>
      <c r="C1607" s="58" t="s">
        <v>2706</v>
      </c>
      <c r="D1607" s="58" t="s">
        <v>4868</v>
      </c>
      <c r="E1607" s="60" t="b">
        <v>1</v>
      </c>
      <c r="F1607" s="80" t="s">
        <v>699</v>
      </c>
      <c r="G1607" s="58" t="s">
        <v>4869</v>
      </c>
      <c r="H1607" s="58" t="s">
        <v>2706</v>
      </c>
      <c r="I1607" s="64" t="s">
        <v>4868</v>
      </c>
      <c r="J1607" s="66"/>
      <c r="K1607" s="66"/>
      <c r="L1607" s="68"/>
      <c r="M1607" s="63" t="str">
        <f>HYPERLINK("http://nsgreg.nga.mil/genc/view?v=864160&amp;end_month=12&amp;end_day=31&amp;end_year=2016","Correlation")</f>
        <v>Correlation</v>
      </c>
    </row>
    <row r="1608" spans="1:13" x14ac:dyDescent="0.2">
      <c r="A1608" s="113"/>
      <c r="B1608" s="58" t="s">
        <v>4870</v>
      </c>
      <c r="C1608" s="58" t="s">
        <v>1763</v>
      </c>
      <c r="D1608" s="58" t="s">
        <v>4871</v>
      </c>
      <c r="E1608" s="60" t="b">
        <v>1</v>
      </c>
      <c r="F1608" s="80" t="s">
        <v>699</v>
      </c>
      <c r="G1608" s="58" t="s">
        <v>4872</v>
      </c>
      <c r="H1608" s="58" t="s">
        <v>1763</v>
      </c>
      <c r="I1608" s="64" t="s">
        <v>4871</v>
      </c>
      <c r="J1608" s="66"/>
      <c r="K1608" s="66"/>
      <c r="L1608" s="68"/>
      <c r="M1608" s="63" t="str">
        <f>HYPERLINK("http://nsgreg.nga.mil/genc/view?v=864161&amp;end_month=12&amp;end_day=31&amp;end_year=2016","Correlation")</f>
        <v>Correlation</v>
      </c>
    </row>
    <row r="1609" spans="1:13" x14ac:dyDescent="0.2">
      <c r="A1609" s="113"/>
      <c r="B1609" s="58" t="s">
        <v>4873</v>
      </c>
      <c r="C1609" s="58" t="s">
        <v>2706</v>
      </c>
      <c r="D1609" s="58" t="s">
        <v>4874</v>
      </c>
      <c r="E1609" s="60" t="b">
        <v>1</v>
      </c>
      <c r="F1609" s="80" t="s">
        <v>699</v>
      </c>
      <c r="G1609" s="58" t="s">
        <v>4875</v>
      </c>
      <c r="H1609" s="58" t="s">
        <v>2706</v>
      </c>
      <c r="I1609" s="64" t="s">
        <v>4874</v>
      </c>
      <c r="J1609" s="66"/>
      <c r="K1609" s="66"/>
      <c r="L1609" s="68"/>
      <c r="M1609" s="63" t="str">
        <f>HYPERLINK("http://nsgreg.nga.mil/genc/view?v=864164&amp;end_month=12&amp;end_day=31&amp;end_year=2016","Correlation")</f>
        <v>Correlation</v>
      </c>
    </row>
    <row r="1610" spans="1:13" x14ac:dyDescent="0.2">
      <c r="A1610" s="113"/>
      <c r="B1610" s="58" t="s">
        <v>4876</v>
      </c>
      <c r="C1610" s="58" t="s">
        <v>2706</v>
      </c>
      <c r="D1610" s="58" t="s">
        <v>4877</v>
      </c>
      <c r="E1610" s="60" t="b">
        <v>1</v>
      </c>
      <c r="F1610" s="80" t="s">
        <v>699</v>
      </c>
      <c r="G1610" s="58" t="s">
        <v>4878</v>
      </c>
      <c r="H1610" s="58" t="s">
        <v>2706</v>
      </c>
      <c r="I1610" s="64" t="s">
        <v>4877</v>
      </c>
      <c r="J1610" s="66"/>
      <c r="K1610" s="66"/>
      <c r="L1610" s="68"/>
      <c r="M1610" s="63" t="str">
        <f>HYPERLINK("http://nsgreg.nga.mil/genc/view?v=864162&amp;end_month=12&amp;end_day=31&amp;end_year=2016","Correlation")</f>
        <v>Correlation</v>
      </c>
    </row>
    <row r="1611" spans="1:13" x14ac:dyDescent="0.2">
      <c r="A1611" s="113"/>
      <c r="B1611" s="58" t="s">
        <v>4879</v>
      </c>
      <c r="C1611" s="58" t="s">
        <v>4880</v>
      </c>
      <c r="D1611" s="58" t="s">
        <v>4881</v>
      </c>
      <c r="E1611" s="60" t="b">
        <v>1</v>
      </c>
      <c r="F1611" s="80" t="s">
        <v>699</v>
      </c>
      <c r="G1611" s="58" t="s">
        <v>4879</v>
      </c>
      <c r="H1611" s="58" t="s">
        <v>2706</v>
      </c>
      <c r="I1611" s="64" t="s">
        <v>4881</v>
      </c>
      <c r="J1611" s="66"/>
      <c r="K1611" s="66"/>
      <c r="L1611" s="68"/>
      <c r="M1611" s="63" t="str">
        <f>HYPERLINK("http://nsgreg.nga.mil/genc/view?v=864163&amp;end_month=12&amp;end_day=31&amp;end_year=2016","Correlation")</f>
        <v>Correlation</v>
      </c>
    </row>
    <row r="1612" spans="1:13" x14ac:dyDescent="0.2">
      <c r="A1612" s="113"/>
      <c r="B1612" s="58" t="s">
        <v>4882</v>
      </c>
      <c r="C1612" s="58" t="s">
        <v>1763</v>
      </c>
      <c r="D1612" s="58" t="s">
        <v>4883</v>
      </c>
      <c r="E1612" s="60" t="b">
        <v>1</v>
      </c>
      <c r="F1612" s="80" t="s">
        <v>699</v>
      </c>
      <c r="G1612" s="58" t="s">
        <v>4882</v>
      </c>
      <c r="H1612" s="58" t="s">
        <v>1763</v>
      </c>
      <c r="I1612" s="64" t="s">
        <v>4883</v>
      </c>
      <c r="J1612" s="66"/>
      <c r="K1612" s="66"/>
      <c r="L1612" s="68"/>
      <c r="M1612" s="63" t="str">
        <f>HYPERLINK("http://nsgreg.nga.mil/genc/view?v=864165&amp;end_month=12&amp;end_day=31&amp;end_year=2016","Correlation")</f>
        <v>Correlation</v>
      </c>
    </row>
    <row r="1613" spans="1:13" x14ac:dyDescent="0.2">
      <c r="A1613" s="113"/>
      <c r="B1613" s="58" t="s">
        <v>4884</v>
      </c>
      <c r="C1613" s="58" t="s">
        <v>1763</v>
      </c>
      <c r="D1613" s="58" t="s">
        <v>4885</v>
      </c>
      <c r="E1613" s="60" t="b">
        <v>1</v>
      </c>
      <c r="F1613" s="80" t="s">
        <v>699</v>
      </c>
      <c r="G1613" s="58" t="s">
        <v>4886</v>
      </c>
      <c r="H1613" s="58" t="s">
        <v>1763</v>
      </c>
      <c r="I1613" s="64" t="s">
        <v>4885</v>
      </c>
      <c r="J1613" s="66"/>
      <c r="K1613" s="66"/>
      <c r="L1613" s="68"/>
      <c r="M1613" s="63" t="str">
        <f>HYPERLINK("http://nsgreg.nga.mil/genc/view?v=864166&amp;end_month=12&amp;end_day=31&amp;end_year=2016","Correlation")</f>
        <v>Correlation</v>
      </c>
    </row>
    <row r="1614" spans="1:13" x14ac:dyDescent="0.2">
      <c r="A1614" s="113"/>
      <c r="B1614" s="58" t="s">
        <v>4887</v>
      </c>
      <c r="C1614" s="58" t="s">
        <v>1763</v>
      </c>
      <c r="D1614" s="58" t="s">
        <v>4888</v>
      </c>
      <c r="E1614" s="60" t="b">
        <v>1</v>
      </c>
      <c r="F1614" s="80" t="s">
        <v>699</v>
      </c>
      <c r="G1614" s="58" t="s">
        <v>4889</v>
      </c>
      <c r="H1614" s="58" t="s">
        <v>1763</v>
      </c>
      <c r="I1614" s="64" t="s">
        <v>4888</v>
      </c>
      <c r="J1614" s="66"/>
      <c r="K1614" s="66"/>
      <c r="L1614" s="68"/>
      <c r="M1614" s="63" t="str">
        <f>HYPERLINK("http://nsgreg.nga.mil/genc/view?v=864168&amp;end_month=12&amp;end_day=31&amp;end_year=2016","Correlation")</f>
        <v>Correlation</v>
      </c>
    </row>
    <row r="1615" spans="1:13" x14ac:dyDescent="0.2">
      <c r="A1615" s="113"/>
      <c r="B1615" s="58" t="s">
        <v>4890</v>
      </c>
      <c r="C1615" s="58" t="s">
        <v>1763</v>
      </c>
      <c r="D1615" s="58" t="s">
        <v>4891</v>
      </c>
      <c r="E1615" s="60" t="b">
        <v>1</v>
      </c>
      <c r="F1615" s="80" t="s">
        <v>699</v>
      </c>
      <c r="G1615" s="58" t="s">
        <v>4892</v>
      </c>
      <c r="H1615" s="58" t="s">
        <v>1763</v>
      </c>
      <c r="I1615" s="64" t="s">
        <v>4891</v>
      </c>
      <c r="J1615" s="66"/>
      <c r="K1615" s="66"/>
      <c r="L1615" s="68"/>
      <c r="M1615" s="63" t="str">
        <f>HYPERLINK("http://nsgreg.nga.mil/genc/view?v=864167&amp;end_month=12&amp;end_day=31&amp;end_year=2016","Correlation")</f>
        <v>Correlation</v>
      </c>
    </row>
    <row r="1616" spans="1:13" x14ac:dyDescent="0.2">
      <c r="A1616" s="113"/>
      <c r="B1616" s="58" t="s">
        <v>4893</v>
      </c>
      <c r="C1616" s="58" t="s">
        <v>1763</v>
      </c>
      <c r="D1616" s="58" t="s">
        <v>4894</v>
      </c>
      <c r="E1616" s="60" t="b">
        <v>1</v>
      </c>
      <c r="F1616" s="80" t="s">
        <v>699</v>
      </c>
      <c r="G1616" s="58" t="s">
        <v>4895</v>
      </c>
      <c r="H1616" s="58" t="s">
        <v>1763</v>
      </c>
      <c r="I1616" s="64" t="s">
        <v>4894</v>
      </c>
      <c r="J1616" s="66"/>
      <c r="K1616" s="66"/>
      <c r="L1616" s="68"/>
      <c r="M1616" s="63" t="str">
        <f>HYPERLINK("http://nsgreg.nga.mil/genc/view?v=864170&amp;end_month=12&amp;end_day=31&amp;end_year=2016","Correlation")</f>
        <v>Correlation</v>
      </c>
    </row>
    <row r="1617" spans="1:13" x14ac:dyDescent="0.2">
      <c r="A1617" s="113"/>
      <c r="B1617" s="58" t="s">
        <v>4896</v>
      </c>
      <c r="C1617" s="58" t="s">
        <v>1763</v>
      </c>
      <c r="D1617" s="58" t="s">
        <v>4897</v>
      </c>
      <c r="E1617" s="60" t="b">
        <v>1</v>
      </c>
      <c r="F1617" s="80" t="s">
        <v>699</v>
      </c>
      <c r="G1617" s="58" t="s">
        <v>4896</v>
      </c>
      <c r="H1617" s="58" t="s">
        <v>1763</v>
      </c>
      <c r="I1617" s="64" t="s">
        <v>4897</v>
      </c>
      <c r="J1617" s="66"/>
      <c r="K1617" s="66"/>
      <c r="L1617" s="68"/>
      <c r="M1617" s="63" t="str">
        <f>HYPERLINK("http://nsgreg.nga.mil/genc/view?v=864169&amp;end_month=12&amp;end_day=31&amp;end_year=2016","Correlation")</f>
        <v>Correlation</v>
      </c>
    </row>
    <row r="1618" spans="1:13" x14ac:dyDescent="0.2">
      <c r="A1618" s="113"/>
      <c r="B1618" s="58" t="s">
        <v>4898</v>
      </c>
      <c r="C1618" s="58" t="s">
        <v>1763</v>
      </c>
      <c r="D1618" s="58" t="s">
        <v>4899</v>
      </c>
      <c r="E1618" s="60" t="b">
        <v>1</v>
      </c>
      <c r="F1618" s="80" t="s">
        <v>699</v>
      </c>
      <c r="G1618" s="58" t="s">
        <v>4900</v>
      </c>
      <c r="H1618" s="58" t="s">
        <v>1763</v>
      </c>
      <c r="I1618" s="64" t="s">
        <v>4899</v>
      </c>
      <c r="J1618" s="66"/>
      <c r="K1618" s="66"/>
      <c r="L1618" s="68"/>
      <c r="M1618" s="63" t="str">
        <f>HYPERLINK("http://nsgreg.nga.mil/genc/view?v=864171&amp;end_month=12&amp;end_day=31&amp;end_year=2016","Correlation")</f>
        <v>Correlation</v>
      </c>
    </row>
    <row r="1619" spans="1:13" x14ac:dyDescent="0.2">
      <c r="A1619" s="113"/>
      <c r="B1619" s="58" t="s">
        <v>4901</v>
      </c>
      <c r="C1619" s="58" t="s">
        <v>1763</v>
      </c>
      <c r="D1619" s="58" t="s">
        <v>4902</v>
      </c>
      <c r="E1619" s="60" t="b">
        <v>1</v>
      </c>
      <c r="F1619" s="80" t="s">
        <v>699</v>
      </c>
      <c r="G1619" s="58" t="s">
        <v>4901</v>
      </c>
      <c r="H1619" s="58" t="s">
        <v>1763</v>
      </c>
      <c r="I1619" s="64" t="s">
        <v>4902</v>
      </c>
      <c r="J1619" s="66"/>
      <c r="K1619" s="66"/>
      <c r="L1619" s="68"/>
      <c r="M1619" s="63" t="str">
        <f>HYPERLINK("http://nsgreg.nga.mil/genc/view?v=864172&amp;end_month=12&amp;end_day=31&amp;end_year=2016","Correlation")</f>
        <v>Correlation</v>
      </c>
    </row>
    <row r="1620" spans="1:13" x14ac:dyDescent="0.2">
      <c r="A1620" s="113"/>
      <c r="B1620" s="58" t="s">
        <v>4903</v>
      </c>
      <c r="C1620" s="58" t="s">
        <v>2706</v>
      </c>
      <c r="D1620" s="58" t="s">
        <v>4904</v>
      </c>
      <c r="E1620" s="60" t="b">
        <v>1</v>
      </c>
      <c r="F1620" s="80" t="s">
        <v>699</v>
      </c>
      <c r="G1620" s="58" t="s">
        <v>4903</v>
      </c>
      <c r="H1620" s="58" t="s">
        <v>2706</v>
      </c>
      <c r="I1620" s="64" t="s">
        <v>4904</v>
      </c>
      <c r="J1620" s="66"/>
      <c r="K1620" s="66"/>
      <c r="L1620" s="68"/>
      <c r="M1620" s="63" t="str">
        <f>HYPERLINK("http://nsgreg.nga.mil/genc/view?v=864173&amp;end_month=12&amp;end_day=31&amp;end_year=2016","Correlation")</f>
        <v>Correlation</v>
      </c>
    </row>
    <row r="1621" spans="1:13" x14ac:dyDescent="0.2">
      <c r="A1621" s="113"/>
      <c r="B1621" s="58" t="s">
        <v>4905</v>
      </c>
      <c r="C1621" s="58" t="s">
        <v>1763</v>
      </c>
      <c r="D1621" s="58" t="s">
        <v>4906</v>
      </c>
      <c r="E1621" s="60" t="b">
        <v>1</v>
      </c>
      <c r="F1621" s="80" t="s">
        <v>699</v>
      </c>
      <c r="G1621" s="58" t="s">
        <v>4905</v>
      </c>
      <c r="H1621" s="58" t="s">
        <v>1763</v>
      </c>
      <c r="I1621" s="64" t="s">
        <v>4906</v>
      </c>
      <c r="J1621" s="66"/>
      <c r="K1621" s="66"/>
      <c r="L1621" s="68"/>
      <c r="M1621" s="63" t="str">
        <f>HYPERLINK("http://nsgreg.nga.mil/genc/view?v=864177&amp;end_month=12&amp;end_day=31&amp;end_year=2016","Correlation")</f>
        <v>Correlation</v>
      </c>
    </row>
    <row r="1622" spans="1:13" x14ac:dyDescent="0.2">
      <c r="A1622" s="113"/>
      <c r="B1622" s="58" t="s">
        <v>4907</v>
      </c>
      <c r="C1622" s="58" t="s">
        <v>1763</v>
      </c>
      <c r="D1622" s="58" t="s">
        <v>4908</v>
      </c>
      <c r="E1622" s="60" t="b">
        <v>1</v>
      </c>
      <c r="F1622" s="80" t="s">
        <v>699</v>
      </c>
      <c r="G1622" s="58" t="s">
        <v>4909</v>
      </c>
      <c r="H1622" s="58" t="s">
        <v>1763</v>
      </c>
      <c r="I1622" s="64" t="s">
        <v>4908</v>
      </c>
      <c r="J1622" s="66"/>
      <c r="K1622" s="66"/>
      <c r="L1622" s="68"/>
      <c r="M1622" s="63" t="str">
        <f>HYPERLINK("http://nsgreg.nga.mil/genc/view?v=864174&amp;end_month=12&amp;end_day=31&amp;end_year=2016","Correlation")</f>
        <v>Correlation</v>
      </c>
    </row>
    <row r="1623" spans="1:13" x14ac:dyDescent="0.2">
      <c r="A1623" s="113"/>
      <c r="B1623" s="58" t="s">
        <v>4910</v>
      </c>
      <c r="C1623" s="58" t="s">
        <v>1763</v>
      </c>
      <c r="D1623" s="58" t="s">
        <v>4911</v>
      </c>
      <c r="E1623" s="60" t="b">
        <v>1</v>
      </c>
      <c r="F1623" s="80" t="s">
        <v>699</v>
      </c>
      <c r="G1623" s="58" t="s">
        <v>4910</v>
      </c>
      <c r="H1623" s="58" t="s">
        <v>1763</v>
      </c>
      <c r="I1623" s="64" t="s">
        <v>4911</v>
      </c>
      <c r="J1623" s="66"/>
      <c r="K1623" s="66"/>
      <c r="L1623" s="68"/>
      <c r="M1623" s="63" t="str">
        <f>HYPERLINK("http://nsgreg.nga.mil/genc/view?v=864176&amp;end_month=12&amp;end_day=31&amp;end_year=2016","Correlation")</f>
        <v>Correlation</v>
      </c>
    </row>
    <row r="1624" spans="1:13" x14ac:dyDescent="0.2">
      <c r="A1624" s="113"/>
      <c r="B1624" s="58" t="s">
        <v>4912</v>
      </c>
      <c r="C1624" s="58" t="s">
        <v>1763</v>
      </c>
      <c r="D1624" s="58" t="s">
        <v>4913</v>
      </c>
      <c r="E1624" s="60" t="b">
        <v>1</v>
      </c>
      <c r="F1624" s="80" t="s">
        <v>699</v>
      </c>
      <c r="G1624" s="58" t="s">
        <v>4914</v>
      </c>
      <c r="H1624" s="58" t="s">
        <v>1763</v>
      </c>
      <c r="I1624" s="64" t="s">
        <v>4913</v>
      </c>
      <c r="J1624" s="66"/>
      <c r="K1624" s="66"/>
      <c r="L1624" s="68"/>
      <c r="M1624" s="63" t="str">
        <f>HYPERLINK("http://nsgreg.nga.mil/genc/view?v=864175&amp;end_month=12&amp;end_day=31&amp;end_year=2016","Correlation")</f>
        <v>Correlation</v>
      </c>
    </row>
    <row r="1625" spans="1:13" x14ac:dyDescent="0.2">
      <c r="A1625" s="113"/>
      <c r="B1625" s="58" t="s">
        <v>4915</v>
      </c>
      <c r="C1625" s="58" t="s">
        <v>2706</v>
      </c>
      <c r="D1625" s="58" t="s">
        <v>4916</v>
      </c>
      <c r="E1625" s="60" t="b">
        <v>1</v>
      </c>
      <c r="F1625" s="80" t="s">
        <v>699</v>
      </c>
      <c r="G1625" s="58" t="s">
        <v>4915</v>
      </c>
      <c r="H1625" s="58" t="s">
        <v>1763</v>
      </c>
      <c r="I1625" s="64" t="s">
        <v>4916</v>
      </c>
      <c r="J1625" s="66"/>
      <c r="K1625" s="66"/>
      <c r="L1625" s="68"/>
      <c r="M1625" s="63" t="str">
        <f>HYPERLINK("http://nsgreg.nga.mil/genc/view?v=864178&amp;end_month=12&amp;end_day=31&amp;end_year=2016","Correlation")</f>
        <v>Correlation</v>
      </c>
    </row>
    <row r="1626" spans="1:13" x14ac:dyDescent="0.2">
      <c r="A1626" s="113"/>
      <c r="B1626" s="58" t="s">
        <v>4917</v>
      </c>
      <c r="C1626" s="58" t="s">
        <v>1763</v>
      </c>
      <c r="D1626" s="58" t="s">
        <v>4918</v>
      </c>
      <c r="E1626" s="60" t="b">
        <v>1</v>
      </c>
      <c r="F1626" s="80" t="s">
        <v>699</v>
      </c>
      <c r="G1626" s="58" t="s">
        <v>4919</v>
      </c>
      <c r="H1626" s="58" t="s">
        <v>1763</v>
      </c>
      <c r="I1626" s="64" t="s">
        <v>4918</v>
      </c>
      <c r="J1626" s="66"/>
      <c r="K1626" s="66"/>
      <c r="L1626" s="68"/>
      <c r="M1626" s="63" t="str">
        <f>HYPERLINK("http://nsgreg.nga.mil/genc/view?v=864179&amp;end_month=12&amp;end_day=31&amp;end_year=2016","Correlation")</f>
        <v>Correlation</v>
      </c>
    </row>
    <row r="1627" spans="1:13" x14ac:dyDescent="0.2">
      <c r="A1627" s="113"/>
      <c r="B1627" s="58" t="s">
        <v>4920</v>
      </c>
      <c r="C1627" s="58" t="s">
        <v>1763</v>
      </c>
      <c r="D1627" s="58" t="s">
        <v>4921</v>
      </c>
      <c r="E1627" s="60" t="b">
        <v>1</v>
      </c>
      <c r="F1627" s="80" t="s">
        <v>699</v>
      </c>
      <c r="G1627" s="58" t="s">
        <v>4920</v>
      </c>
      <c r="H1627" s="58" t="s">
        <v>1763</v>
      </c>
      <c r="I1627" s="64" t="s">
        <v>4921</v>
      </c>
      <c r="J1627" s="66"/>
      <c r="K1627" s="66"/>
      <c r="L1627" s="68"/>
      <c r="M1627" s="63" t="str">
        <f>HYPERLINK("http://nsgreg.nga.mil/genc/view?v=864180&amp;end_month=12&amp;end_day=31&amp;end_year=2016","Correlation")</f>
        <v>Correlation</v>
      </c>
    </row>
    <row r="1628" spans="1:13" x14ac:dyDescent="0.2">
      <c r="A1628" s="113"/>
      <c r="B1628" s="58" t="s">
        <v>4922</v>
      </c>
      <c r="C1628" s="58" t="s">
        <v>2706</v>
      </c>
      <c r="D1628" s="58" t="s">
        <v>4923</v>
      </c>
      <c r="E1628" s="60" t="b">
        <v>1</v>
      </c>
      <c r="F1628" s="80" t="s">
        <v>699</v>
      </c>
      <c r="G1628" s="58" t="s">
        <v>4922</v>
      </c>
      <c r="H1628" s="58" t="s">
        <v>2706</v>
      </c>
      <c r="I1628" s="64" t="s">
        <v>4923</v>
      </c>
      <c r="J1628" s="66"/>
      <c r="K1628" s="66"/>
      <c r="L1628" s="68"/>
      <c r="M1628" s="63" t="str">
        <f>HYPERLINK("http://nsgreg.nga.mil/genc/view?v=864182&amp;end_month=12&amp;end_day=31&amp;end_year=2016","Correlation")</f>
        <v>Correlation</v>
      </c>
    </row>
    <row r="1629" spans="1:13" x14ac:dyDescent="0.2">
      <c r="A1629" s="113"/>
      <c r="B1629" s="58" t="s">
        <v>4924</v>
      </c>
      <c r="C1629" s="58" t="s">
        <v>1763</v>
      </c>
      <c r="D1629" s="58" t="s">
        <v>4925</v>
      </c>
      <c r="E1629" s="60" t="b">
        <v>1</v>
      </c>
      <c r="F1629" s="80" t="s">
        <v>699</v>
      </c>
      <c r="G1629" s="58" t="s">
        <v>4924</v>
      </c>
      <c r="H1629" s="58" t="s">
        <v>1763</v>
      </c>
      <c r="I1629" s="64" t="s">
        <v>4925</v>
      </c>
      <c r="J1629" s="66"/>
      <c r="K1629" s="66"/>
      <c r="L1629" s="68"/>
      <c r="M1629" s="63" t="str">
        <f>HYPERLINK("http://nsgreg.nga.mil/genc/view?v=864181&amp;end_month=12&amp;end_day=31&amp;end_year=2016","Correlation")</f>
        <v>Correlation</v>
      </c>
    </row>
    <row r="1630" spans="1:13" x14ac:dyDescent="0.2">
      <c r="A1630" s="113"/>
      <c r="B1630" s="58" t="s">
        <v>4926</v>
      </c>
      <c r="C1630" s="58" t="s">
        <v>1763</v>
      </c>
      <c r="D1630" s="58" t="s">
        <v>4927</v>
      </c>
      <c r="E1630" s="60" t="b">
        <v>1</v>
      </c>
      <c r="F1630" s="80" t="s">
        <v>699</v>
      </c>
      <c r="G1630" s="58" t="s">
        <v>4928</v>
      </c>
      <c r="H1630" s="58" t="s">
        <v>1763</v>
      </c>
      <c r="I1630" s="64" t="s">
        <v>4927</v>
      </c>
      <c r="J1630" s="66"/>
      <c r="K1630" s="66"/>
      <c r="L1630" s="68"/>
      <c r="M1630" s="63" t="str">
        <f>HYPERLINK("http://nsgreg.nga.mil/genc/view?v=864183&amp;end_month=12&amp;end_day=31&amp;end_year=2016","Correlation")</f>
        <v>Correlation</v>
      </c>
    </row>
    <row r="1631" spans="1:13" x14ac:dyDescent="0.2">
      <c r="A1631" s="113"/>
      <c r="B1631" s="58" t="s">
        <v>4929</v>
      </c>
      <c r="C1631" s="58" t="s">
        <v>1763</v>
      </c>
      <c r="D1631" s="58" t="s">
        <v>4930</v>
      </c>
      <c r="E1631" s="60" t="b">
        <v>1</v>
      </c>
      <c r="F1631" s="80" t="s">
        <v>699</v>
      </c>
      <c r="G1631" s="58" t="s">
        <v>4929</v>
      </c>
      <c r="H1631" s="58" t="s">
        <v>1763</v>
      </c>
      <c r="I1631" s="64" t="s">
        <v>4930</v>
      </c>
      <c r="J1631" s="66"/>
      <c r="K1631" s="66"/>
      <c r="L1631" s="68"/>
      <c r="M1631" s="63" t="str">
        <f>HYPERLINK("http://nsgreg.nga.mil/genc/view?v=864184&amp;end_month=12&amp;end_day=31&amp;end_year=2016","Correlation")</f>
        <v>Correlation</v>
      </c>
    </row>
    <row r="1632" spans="1:13" x14ac:dyDescent="0.2">
      <c r="A1632" s="113"/>
      <c r="B1632" s="58" t="s">
        <v>4931</v>
      </c>
      <c r="C1632" s="58" t="s">
        <v>1763</v>
      </c>
      <c r="D1632" s="58" t="s">
        <v>4932</v>
      </c>
      <c r="E1632" s="60" t="b">
        <v>1</v>
      </c>
      <c r="F1632" s="80" t="s">
        <v>699</v>
      </c>
      <c r="G1632" s="58" t="s">
        <v>4933</v>
      </c>
      <c r="H1632" s="58" t="s">
        <v>1763</v>
      </c>
      <c r="I1632" s="64" t="s">
        <v>4932</v>
      </c>
      <c r="J1632" s="66"/>
      <c r="K1632" s="66"/>
      <c r="L1632" s="68"/>
      <c r="M1632" s="63" t="str">
        <f>HYPERLINK("http://nsgreg.nga.mil/genc/view?v=864186&amp;end_month=12&amp;end_day=31&amp;end_year=2016","Correlation")</f>
        <v>Correlation</v>
      </c>
    </row>
    <row r="1633" spans="1:13" x14ac:dyDescent="0.2">
      <c r="A1633" s="113"/>
      <c r="B1633" s="58" t="s">
        <v>4934</v>
      </c>
      <c r="C1633" s="58" t="s">
        <v>1763</v>
      </c>
      <c r="D1633" s="58" t="s">
        <v>4935</v>
      </c>
      <c r="E1633" s="60" t="b">
        <v>1</v>
      </c>
      <c r="F1633" s="80" t="s">
        <v>699</v>
      </c>
      <c r="G1633" s="58" t="s">
        <v>4934</v>
      </c>
      <c r="H1633" s="58" t="s">
        <v>1763</v>
      </c>
      <c r="I1633" s="64" t="s">
        <v>4935</v>
      </c>
      <c r="J1633" s="66"/>
      <c r="K1633" s="66"/>
      <c r="L1633" s="68"/>
      <c r="M1633" s="63" t="str">
        <f>HYPERLINK("http://nsgreg.nga.mil/genc/view?v=864185&amp;end_month=12&amp;end_day=31&amp;end_year=2016","Correlation")</f>
        <v>Correlation</v>
      </c>
    </row>
    <row r="1634" spans="1:13" x14ac:dyDescent="0.2">
      <c r="A1634" s="113"/>
      <c r="B1634" s="58" t="s">
        <v>4936</v>
      </c>
      <c r="C1634" s="58" t="s">
        <v>1763</v>
      </c>
      <c r="D1634" s="58" t="s">
        <v>4937</v>
      </c>
      <c r="E1634" s="60" t="b">
        <v>1</v>
      </c>
      <c r="F1634" s="80" t="s">
        <v>699</v>
      </c>
      <c r="G1634" s="58" t="s">
        <v>4936</v>
      </c>
      <c r="H1634" s="58" t="s">
        <v>1763</v>
      </c>
      <c r="I1634" s="64" t="s">
        <v>4937</v>
      </c>
      <c r="J1634" s="66"/>
      <c r="K1634" s="66"/>
      <c r="L1634" s="68"/>
      <c r="M1634" s="63" t="str">
        <f>HYPERLINK("http://nsgreg.nga.mil/genc/view?v=864187&amp;end_month=12&amp;end_day=31&amp;end_year=2016","Correlation")</f>
        <v>Correlation</v>
      </c>
    </row>
    <row r="1635" spans="1:13" x14ac:dyDescent="0.2">
      <c r="A1635" s="113"/>
      <c r="B1635" s="58" t="s">
        <v>4938</v>
      </c>
      <c r="C1635" s="58" t="s">
        <v>1763</v>
      </c>
      <c r="D1635" s="58" t="s">
        <v>4939</v>
      </c>
      <c r="E1635" s="60" t="b">
        <v>1</v>
      </c>
      <c r="F1635" s="80" t="s">
        <v>699</v>
      </c>
      <c r="G1635" s="58" t="s">
        <v>4938</v>
      </c>
      <c r="H1635" s="58" t="s">
        <v>1763</v>
      </c>
      <c r="I1635" s="64" t="s">
        <v>4939</v>
      </c>
      <c r="J1635" s="66"/>
      <c r="K1635" s="66"/>
      <c r="L1635" s="68"/>
      <c r="M1635" s="63" t="str">
        <f>HYPERLINK("http://nsgreg.nga.mil/genc/view?v=864189&amp;end_month=12&amp;end_day=31&amp;end_year=2016","Correlation")</f>
        <v>Correlation</v>
      </c>
    </row>
    <row r="1636" spans="1:13" x14ac:dyDescent="0.2">
      <c r="A1636" s="113"/>
      <c r="B1636" s="58" t="s">
        <v>4940</v>
      </c>
      <c r="C1636" s="58" t="s">
        <v>1763</v>
      </c>
      <c r="D1636" s="58" t="s">
        <v>4941</v>
      </c>
      <c r="E1636" s="60" t="b">
        <v>1</v>
      </c>
      <c r="F1636" s="80" t="s">
        <v>699</v>
      </c>
      <c r="G1636" s="58" t="s">
        <v>4940</v>
      </c>
      <c r="H1636" s="58" t="s">
        <v>1763</v>
      </c>
      <c r="I1636" s="64" t="s">
        <v>4941</v>
      </c>
      <c r="J1636" s="66"/>
      <c r="K1636" s="66"/>
      <c r="L1636" s="68"/>
      <c r="M1636" s="63" t="str">
        <f>HYPERLINK("http://nsgreg.nga.mil/genc/view?v=864188&amp;end_month=12&amp;end_day=31&amp;end_year=2016","Correlation")</f>
        <v>Correlation</v>
      </c>
    </row>
    <row r="1637" spans="1:13" x14ac:dyDescent="0.2">
      <c r="A1637" s="114"/>
      <c r="B1637" s="71" t="s">
        <v>4942</v>
      </c>
      <c r="C1637" s="71" t="s">
        <v>1763</v>
      </c>
      <c r="D1637" s="71" t="s">
        <v>4943</v>
      </c>
      <c r="E1637" s="73" t="b">
        <v>1</v>
      </c>
      <c r="F1637" s="81" t="s">
        <v>699</v>
      </c>
      <c r="G1637" s="71" t="s">
        <v>4942</v>
      </c>
      <c r="H1637" s="71" t="s">
        <v>1763</v>
      </c>
      <c r="I1637" s="74" t="s">
        <v>4943</v>
      </c>
      <c r="J1637" s="76"/>
      <c r="K1637" s="76"/>
      <c r="L1637" s="82"/>
      <c r="M1637" s="77" t="str">
        <f>HYPERLINK("http://nsgreg.nga.mil/genc/view?v=864190&amp;end_month=12&amp;end_day=31&amp;end_year=2016","Correlation")</f>
        <v>Correlation</v>
      </c>
    </row>
    <row r="1638" spans="1:13" x14ac:dyDescent="0.2">
      <c r="A1638" s="112" t="s">
        <v>703</v>
      </c>
      <c r="B1638" s="50" t="s">
        <v>4944</v>
      </c>
      <c r="C1638" s="50" t="s">
        <v>4945</v>
      </c>
      <c r="D1638" s="50" t="s">
        <v>4946</v>
      </c>
      <c r="E1638" s="52" t="b">
        <v>1</v>
      </c>
      <c r="F1638" s="78" t="s">
        <v>703</v>
      </c>
      <c r="G1638" s="50" t="s">
        <v>4944</v>
      </c>
      <c r="H1638" s="50" t="s">
        <v>4947</v>
      </c>
      <c r="I1638" s="53" t="s">
        <v>4946</v>
      </c>
      <c r="J1638" s="55"/>
      <c r="K1638" s="55"/>
      <c r="L1638" s="79"/>
      <c r="M1638" s="56" t="str">
        <f>HYPERLINK("http://nsgreg.nga.mil/genc/view?v=864073&amp;end_month=12&amp;end_day=31&amp;end_year=2016","Correlation")</f>
        <v>Correlation</v>
      </c>
    </row>
    <row r="1639" spans="1:13" x14ac:dyDescent="0.2">
      <c r="A1639" s="113"/>
      <c r="B1639" s="58" t="s">
        <v>4948</v>
      </c>
      <c r="C1639" s="58" t="s">
        <v>1413</v>
      </c>
      <c r="D1639" s="58" t="s">
        <v>4949</v>
      </c>
      <c r="E1639" s="60" t="b">
        <v>1</v>
      </c>
      <c r="F1639" s="80" t="s">
        <v>703</v>
      </c>
      <c r="G1639" s="58" t="s">
        <v>4948</v>
      </c>
      <c r="H1639" s="58" t="s">
        <v>1413</v>
      </c>
      <c r="I1639" s="64" t="s">
        <v>4949</v>
      </c>
      <c r="J1639" s="66"/>
      <c r="K1639" s="66"/>
      <c r="L1639" s="68"/>
      <c r="M1639" s="63" t="str">
        <f>HYPERLINK("http://nsgreg.nga.mil/genc/view?v=864074&amp;end_month=12&amp;end_day=31&amp;end_year=2016","Correlation")</f>
        <v>Correlation</v>
      </c>
    </row>
    <row r="1640" spans="1:13" x14ac:dyDescent="0.2">
      <c r="A1640" s="113"/>
      <c r="B1640" s="58" t="s">
        <v>4950</v>
      </c>
      <c r="C1640" s="58" t="s">
        <v>1413</v>
      </c>
      <c r="D1640" s="58" t="s">
        <v>4951</v>
      </c>
      <c r="E1640" s="60" t="b">
        <v>1</v>
      </c>
      <c r="F1640" s="80" t="s">
        <v>703</v>
      </c>
      <c r="G1640" s="58" t="s">
        <v>4950</v>
      </c>
      <c r="H1640" s="58" t="s">
        <v>1413</v>
      </c>
      <c r="I1640" s="64" t="s">
        <v>4951</v>
      </c>
      <c r="J1640" s="66"/>
      <c r="K1640" s="66"/>
      <c r="L1640" s="68"/>
      <c r="M1640" s="63" t="str">
        <f>HYPERLINK("http://nsgreg.nga.mil/genc/view?v=864077&amp;end_month=12&amp;end_day=31&amp;end_year=2016","Correlation")</f>
        <v>Correlation</v>
      </c>
    </row>
    <row r="1641" spans="1:13" x14ac:dyDescent="0.2">
      <c r="A1641" s="113"/>
      <c r="B1641" s="58" t="s">
        <v>4952</v>
      </c>
      <c r="C1641" s="58" t="s">
        <v>1413</v>
      </c>
      <c r="D1641" s="58" t="s">
        <v>4953</v>
      </c>
      <c r="E1641" s="60" t="b">
        <v>1</v>
      </c>
      <c r="F1641" s="80" t="s">
        <v>703</v>
      </c>
      <c r="G1641" s="58" t="s">
        <v>4952</v>
      </c>
      <c r="H1641" s="58" t="s">
        <v>1413</v>
      </c>
      <c r="I1641" s="64" t="s">
        <v>4953</v>
      </c>
      <c r="J1641" s="66"/>
      <c r="K1641" s="66"/>
      <c r="L1641" s="68"/>
      <c r="M1641" s="63" t="str">
        <f>HYPERLINK("http://nsgreg.nga.mil/genc/view?v=864076&amp;end_month=12&amp;end_day=31&amp;end_year=2016","Correlation")</f>
        <v>Correlation</v>
      </c>
    </row>
    <row r="1642" spans="1:13" x14ac:dyDescent="0.2">
      <c r="A1642" s="113"/>
      <c r="B1642" s="58" t="s">
        <v>4954</v>
      </c>
      <c r="C1642" s="58" t="s">
        <v>1413</v>
      </c>
      <c r="D1642" s="58" t="s">
        <v>4955</v>
      </c>
      <c r="E1642" s="60" t="b">
        <v>1</v>
      </c>
      <c r="F1642" s="80" t="s">
        <v>703</v>
      </c>
      <c r="G1642" s="58" t="s">
        <v>4954</v>
      </c>
      <c r="H1642" s="58" t="s">
        <v>1413</v>
      </c>
      <c r="I1642" s="64" t="s">
        <v>4955</v>
      </c>
      <c r="J1642" s="66"/>
      <c r="K1642" s="66"/>
      <c r="L1642" s="68"/>
      <c r="M1642" s="63" t="str">
        <f>HYPERLINK("http://nsgreg.nga.mil/genc/view?v=864078&amp;end_month=12&amp;end_day=31&amp;end_year=2016","Correlation")</f>
        <v>Correlation</v>
      </c>
    </row>
    <row r="1643" spans="1:13" x14ac:dyDescent="0.2">
      <c r="A1643" s="113"/>
      <c r="B1643" s="58" t="s">
        <v>4956</v>
      </c>
      <c r="C1643" s="58" t="s">
        <v>4957</v>
      </c>
      <c r="D1643" s="58" t="s">
        <v>4958</v>
      </c>
      <c r="E1643" s="60" t="b">
        <v>1</v>
      </c>
      <c r="F1643" s="80" t="s">
        <v>703</v>
      </c>
      <c r="G1643" s="58" t="s">
        <v>4959</v>
      </c>
      <c r="H1643" s="58" t="s">
        <v>4957</v>
      </c>
      <c r="I1643" s="64" t="s">
        <v>4958</v>
      </c>
      <c r="J1643" s="66"/>
      <c r="K1643" s="66"/>
      <c r="L1643" s="68"/>
      <c r="M1643" s="63" t="str">
        <f>HYPERLINK("http://nsgreg.nga.mil/genc/view?v=864082&amp;end_month=12&amp;end_day=31&amp;end_year=2016","Correlation")</f>
        <v>Correlation</v>
      </c>
    </row>
    <row r="1644" spans="1:13" x14ac:dyDescent="0.2">
      <c r="A1644" s="113"/>
      <c r="B1644" s="58" t="s">
        <v>4960</v>
      </c>
      <c r="C1644" s="58" t="s">
        <v>1413</v>
      </c>
      <c r="D1644" s="58" t="s">
        <v>4961</v>
      </c>
      <c r="E1644" s="60" t="b">
        <v>1</v>
      </c>
      <c r="F1644" s="80" t="s">
        <v>703</v>
      </c>
      <c r="G1644" s="58" t="s">
        <v>4960</v>
      </c>
      <c r="H1644" s="58" t="s">
        <v>1413</v>
      </c>
      <c r="I1644" s="64" t="s">
        <v>4961</v>
      </c>
      <c r="J1644" s="66"/>
      <c r="K1644" s="66"/>
      <c r="L1644" s="68"/>
      <c r="M1644" s="63" t="str">
        <f>HYPERLINK("http://nsgreg.nga.mil/genc/view?v=864079&amp;end_month=12&amp;end_day=31&amp;end_year=2016","Correlation")</f>
        <v>Correlation</v>
      </c>
    </row>
    <row r="1645" spans="1:13" x14ac:dyDescent="0.2">
      <c r="A1645" s="113"/>
      <c r="B1645" s="58" t="s">
        <v>4962</v>
      </c>
      <c r="C1645" s="58" t="s">
        <v>4963</v>
      </c>
      <c r="D1645" s="58" t="s">
        <v>4964</v>
      </c>
      <c r="E1645" s="60" t="b">
        <v>1</v>
      </c>
      <c r="F1645" s="80" t="s">
        <v>703</v>
      </c>
      <c r="G1645" s="58" t="s">
        <v>4962</v>
      </c>
      <c r="H1645" s="58" t="s">
        <v>4963</v>
      </c>
      <c r="I1645" s="64" t="s">
        <v>4964</v>
      </c>
      <c r="J1645" s="66"/>
      <c r="K1645" s="66"/>
      <c r="L1645" s="68"/>
      <c r="M1645" s="63" t="str">
        <f>HYPERLINK("http://nsgreg.nga.mil/genc/view?v=864084&amp;end_month=12&amp;end_day=31&amp;end_year=2016","Correlation")</f>
        <v>Correlation</v>
      </c>
    </row>
    <row r="1646" spans="1:13" x14ac:dyDescent="0.2">
      <c r="A1646" s="113"/>
      <c r="B1646" s="58" t="s">
        <v>4965</v>
      </c>
      <c r="C1646" s="58" t="s">
        <v>1413</v>
      </c>
      <c r="D1646" s="58" t="s">
        <v>4966</v>
      </c>
      <c r="E1646" s="60" t="b">
        <v>1</v>
      </c>
      <c r="F1646" s="80" t="s">
        <v>703</v>
      </c>
      <c r="G1646" s="58" t="s">
        <v>4965</v>
      </c>
      <c r="H1646" s="58" t="s">
        <v>1413</v>
      </c>
      <c r="I1646" s="64" t="s">
        <v>4966</v>
      </c>
      <c r="J1646" s="66"/>
      <c r="K1646" s="66"/>
      <c r="L1646" s="68"/>
      <c r="M1646" s="63" t="str">
        <f>HYPERLINK("http://nsgreg.nga.mil/genc/view?v=864080&amp;end_month=12&amp;end_day=31&amp;end_year=2016","Correlation")</f>
        <v>Correlation</v>
      </c>
    </row>
    <row r="1647" spans="1:13" x14ac:dyDescent="0.2">
      <c r="A1647" s="113"/>
      <c r="B1647" s="58" t="s">
        <v>4967</v>
      </c>
      <c r="C1647" s="58" t="s">
        <v>1413</v>
      </c>
      <c r="D1647" s="58" t="s">
        <v>4968</v>
      </c>
      <c r="E1647" s="60" t="b">
        <v>1</v>
      </c>
      <c r="F1647" s="80" t="s">
        <v>703</v>
      </c>
      <c r="G1647" s="58" t="s">
        <v>4967</v>
      </c>
      <c r="H1647" s="58" t="s">
        <v>1413</v>
      </c>
      <c r="I1647" s="64" t="s">
        <v>4968</v>
      </c>
      <c r="J1647" s="66"/>
      <c r="K1647" s="66"/>
      <c r="L1647" s="68"/>
      <c r="M1647" s="63" t="str">
        <f>HYPERLINK("http://nsgreg.nga.mil/genc/view?v=864083&amp;end_month=12&amp;end_day=31&amp;end_year=2016","Correlation")</f>
        <v>Correlation</v>
      </c>
    </row>
    <row r="1648" spans="1:13" x14ac:dyDescent="0.2">
      <c r="A1648" s="113"/>
      <c r="B1648" s="58" t="s">
        <v>4969</v>
      </c>
      <c r="C1648" s="58" t="s">
        <v>1413</v>
      </c>
      <c r="D1648" s="58" t="s">
        <v>4970</v>
      </c>
      <c r="E1648" s="60" t="b">
        <v>1</v>
      </c>
      <c r="F1648" s="80" t="s">
        <v>703</v>
      </c>
      <c r="G1648" s="58" t="s">
        <v>4969</v>
      </c>
      <c r="H1648" s="58" t="s">
        <v>1413</v>
      </c>
      <c r="I1648" s="64" t="s">
        <v>4970</v>
      </c>
      <c r="J1648" s="66"/>
      <c r="K1648" s="66"/>
      <c r="L1648" s="68"/>
      <c r="M1648" s="63" t="str">
        <f>HYPERLINK("http://nsgreg.nga.mil/genc/view?v=864081&amp;end_month=12&amp;end_day=31&amp;end_year=2016","Correlation")</f>
        <v>Correlation</v>
      </c>
    </row>
    <row r="1649" spans="1:13" x14ac:dyDescent="0.2">
      <c r="A1649" s="113"/>
      <c r="B1649" s="58" t="s">
        <v>4971</v>
      </c>
      <c r="C1649" s="58" t="s">
        <v>4963</v>
      </c>
      <c r="D1649" s="58" t="s">
        <v>4972</v>
      </c>
      <c r="E1649" s="60" t="b">
        <v>1</v>
      </c>
      <c r="F1649" s="80" t="s">
        <v>703</v>
      </c>
      <c r="G1649" s="58" t="s">
        <v>4971</v>
      </c>
      <c r="H1649" s="58" t="s">
        <v>4963</v>
      </c>
      <c r="I1649" s="64" t="s">
        <v>4972</v>
      </c>
      <c r="J1649" s="66"/>
      <c r="K1649" s="66"/>
      <c r="L1649" s="68"/>
      <c r="M1649" s="63" t="str">
        <f>HYPERLINK("http://nsgreg.nga.mil/genc/view?v=864085&amp;end_month=12&amp;end_day=31&amp;end_year=2016","Correlation")</f>
        <v>Correlation</v>
      </c>
    </row>
    <row r="1650" spans="1:13" x14ac:dyDescent="0.2">
      <c r="A1650" s="113"/>
      <c r="B1650" s="58" t="s">
        <v>4973</v>
      </c>
      <c r="C1650" s="58" t="s">
        <v>1413</v>
      </c>
      <c r="D1650" s="58" t="s">
        <v>4974</v>
      </c>
      <c r="E1650" s="60" t="b">
        <v>1</v>
      </c>
      <c r="F1650" s="80" t="s">
        <v>703</v>
      </c>
      <c r="G1650" s="58" t="s">
        <v>4973</v>
      </c>
      <c r="H1650" s="58" t="s">
        <v>1413</v>
      </c>
      <c r="I1650" s="64" t="s">
        <v>4974</v>
      </c>
      <c r="J1650" s="66"/>
      <c r="K1650" s="66"/>
      <c r="L1650" s="68"/>
      <c r="M1650" s="63" t="str">
        <f>HYPERLINK("http://nsgreg.nga.mil/genc/view?v=864086&amp;end_month=12&amp;end_day=31&amp;end_year=2016","Correlation")</f>
        <v>Correlation</v>
      </c>
    </row>
    <row r="1651" spans="1:13" x14ac:dyDescent="0.2">
      <c r="A1651" s="113"/>
      <c r="B1651" s="58" t="s">
        <v>4975</v>
      </c>
      <c r="C1651" s="58" t="s">
        <v>1413</v>
      </c>
      <c r="D1651" s="58" t="s">
        <v>4976</v>
      </c>
      <c r="E1651" s="60" t="b">
        <v>1</v>
      </c>
      <c r="F1651" s="80" t="s">
        <v>703</v>
      </c>
      <c r="G1651" s="58" t="s">
        <v>4975</v>
      </c>
      <c r="H1651" s="58" t="s">
        <v>1413</v>
      </c>
      <c r="I1651" s="64" t="s">
        <v>4976</v>
      </c>
      <c r="J1651" s="66"/>
      <c r="K1651" s="66"/>
      <c r="L1651" s="68"/>
      <c r="M1651" s="63" t="str">
        <f>HYPERLINK("http://nsgreg.nga.mil/genc/view?v=864089&amp;end_month=12&amp;end_day=31&amp;end_year=2016","Correlation")</f>
        <v>Correlation</v>
      </c>
    </row>
    <row r="1652" spans="1:13" x14ac:dyDescent="0.2">
      <c r="A1652" s="113"/>
      <c r="B1652" s="58" t="s">
        <v>4977</v>
      </c>
      <c r="C1652" s="58" t="s">
        <v>1413</v>
      </c>
      <c r="D1652" s="58" t="s">
        <v>4978</v>
      </c>
      <c r="E1652" s="60" t="b">
        <v>1</v>
      </c>
      <c r="F1652" s="80" t="s">
        <v>703</v>
      </c>
      <c r="G1652" s="58" t="s">
        <v>4977</v>
      </c>
      <c r="H1652" s="58" t="s">
        <v>1413</v>
      </c>
      <c r="I1652" s="64" t="s">
        <v>4978</v>
      </c>
      <c r="J1652" s="66"/>
      <c r="K1652" s="66"/>
      <c r="L1652" s="68"/>
      <c r="M1652" s="63" t="str">
        <f>HYPERLINK("http://nsgreg.nga.mil/genc/view?v=864090&amp;end_month=12&amp;end_day=31&amp;end_year=2016","Correlation")</f>
        <v>Correlation</v>
      </c>
    </row>
    <row r="1653" spans="1:13" x14ac:dyDescent="0.2">
      <c r="A1653" s="113"/>
      <c r="B1653" s="58" t="s">
        <v>4979</v>
      </c>
      <c r="C1653" s="58" t="s">
        <v>1413</v>
      </c>
      <c r="D1653" s="58" t="s">
        <v>4980</v>
      </c>
      <c r="E1653" s="60" t="b">
        <v>1</v>
      </c>
      <c r="F1653" s="80" t="s">
        <v>703</v>
      </c>
      <c r="G1653" s="58" t="s">
        <v>4979</v>
      </c>
      <c r="H1653" s="58" t="s">
        <v>1413</v>
      </c>
      <c r="I1653" s="64" t="s">
        <v>4980</v>
      </c>
      <c r="J1653" s="66"/>
      <c r="K1653" s="66"/>
      <c r="L1653" s="68"/>
      <c r="M1653" s="63" t="str">
        <f>HYPERLINK("http://nsgreg.nga.mil/genc/view?v=864087&amp;end_month=12&amp;end_day=31&amp;end_year=2016","Correlation")</f>
        <v>Correlation</v>
      </c>
    </row>
    <row r="1654" spans="1:13" x14ac:dyDescent="0.2">
      <c r="A1654" s="113"/>
      <c r="B1654" s="58" t="s">
        <v>4981</v>
      </c>
      <c r="C1654" s="58" t="s">
        <v>1413</v>
      </c>
      <c r="D1654" s="58" t="s">
        <v>4982</v>
      </c>
      <c r="E1654" s="60" t="b">
        <v>1</v>
      </c>
      <c r="F1654" s="80" t="s">
        <v>703</v>
      </c>
      <c r="G1654" s="58" t="s">
        <v>4981</v>
      </c>
      <c r="H1654" s="58" t="s">
        <v>1413</v>
      </c>
      <c r="I1654" s="64" t="s">
        <v>4982</v>
      </c>
      <c r="J1654" s="66"/>
      <c r="K1654" s="66"/>
      <c r="L1654" s="68"/>
      <c r="M1654" s="63" t="str">
        <f>HYPERLINK("http://nsgreg.nga.mil/genc/view?v=864091&amp;end_month=12&amp;end_day=31&amp;end_year=2016","Correlation")</f>
        <v>Correlation</v>
      </c>
    </row>
    <row r="1655" spans="1:13" x14ac:dyDescent="0.2">
      <c r="A1655" s="113"/>
      <c r="B1655" s="58" t="s">
        <v>4983</v>
      </c>
      <c r="C1655" s="58" t="s">
        <v>1413</v>
      </c>
      <c r="D1655" s="58" t="s">
        <v>4984</v>
      </c>
      <c r="E1655" s="60" t="b">
        <v>1</v>
      </c>
      <c r="F1655" s="80" t="s">
        <v>703</v>
      </c>
      <c r="G1655" s="58" t="s">
        <v>4983</v>
      </c>
      <c r="H1655" s="58" t="s">
        <v>1413</v>
      </c>
      <c r="I1655" s="64" t="s">
        <v>4984</v>
      </c>
      <c r="J1655" s="66"/>
      <c r="K1655" s="66"/>
      <c r="L1655" s="68"/>
      <c r="M1655" s="63" t="str">
        <f>HYPERLINK("http://nsgreg.nga.mil/genc/view?v=864075&amp;end_month=12&amp;end_day=31&amp;end_year=2016","Correlation")</f>
        <v>Correlation</v>
      </c>
    </row>
    <row r="1656" spans="1:13" x14ac:dyDescent="0.2">
      <c r="A1656" s="113"/>
      <c r="B1656" s="58" t="s">
        <v>4985</v>
      </c>
      <c r="C1656" s="58" t="s">
        <v>1413</v>
      </c>
      <c r="D1656" s="58" t="s">
        <v>4986</v>
      </c>
      <c r="E1656" s="60" t="b">
        <v>1</v>
      </c>
      <c r="F1656" s="80" t="s">
        <v>703</v>
      </c>
      <c r="G1656" s="58" t="s">
        <v>4985</v>
      </c>
      <c r="H1656" s="58" t="s">
        <v>1413</v>
      </c>
      <c r="I1656" s="64" t="s">
        <v>4986</v>
      </c>
      <c r="J1656" s="66"/>
      <c r="K1656" s="66"/>
      <c r="L1656" s="68"/>
      <c r="M1656" s="63" t="str">
        <f>HYPERLINK("http://nsgreg.nga.mil/genc/view?v=864088&amp;end_month=12&amp;end_day=31&amp;end_year=2016","Correlation")</f>
        <v>Correlation</v>
      </c>
    </row>
    <row r="1657" spans="1:13" x14ac:dyDescent="0.2">
      <c r="A1657" s="113"/>
      <c r="B1657" s="58" t="s">
        <v>4987</v>
      </c>
      <c r="C1657" s="58" t="s">
        <v>1413</v>
      </c>
      <c r="D1657" s="58" t="s">
        <v>4988</v>
      </c>
      <c r="E1657" s="60" t="b">
        <v>1</v>
      </c>
      <c r="F1657" s="80" t="s">
        <v>703</v>
      </c>
      <c r="G1657" s="58" t="s">
        <v>4987</v>
      </c>
      <c r="H1657" s="58" t="s">
        <v>1413</v>
      </c>
      <c r="I1657" s="64" t="s">
        <v>4988</v>
      </c>
      <c r="J1657" s="66"/>
      <c r="K1657" s="66"/>
      <c r="L1657" s="68"/>
      <c r="M1657" s="63" t="str">
        <f>HYPERLINK("http://nsgreg.nga.mil/genc/view?v=864092&amp;end_month=12&amp;end_day=31&amp;end_year=2016","Correlation")</f>
        <v>Correlation</v>
      </c>
    </row>
    <row r="1658" spans="1:13" x14ac:dyDescent="0.2">
      <c r="A1658" s="113"/>
      <c r="B1658" s="58" t="s">
        <v>4989</v>
      </c>
      <c r="C1658" s="58" t="s">
        <v>4963</v>
      </c>
      <c r="D1658" s="58" t="s">
        <v>4990</v>
      </c>
      <c r="E1658" s="60" t="b">
        <v>1</v>
      </c>
      <c r="F1658" s="80" t="s">
        <v>703</v>
      </c>
      <c r="G1658" s="58" t="s">
        <v>4989</v>
      </c>
      <c r="H1658" s="58" t="s">
        <v>4963</v>
      </c>
      <c r="I1658" s="64" t="s">
        <v>4990</v>
      </c>
      <c r="J1658" s="66"/>
      <c r="K1658" s="66"/>
      <c r="L1658" s="68"/>
      <c r="M1658" s="63" t="str">
        <f>HYPERLINK("http://nsgreg.nga.mil/genc/view?v=864094&amp;end_month=12&amp;end_day=31&amp;end_year=2016","Correlation")</f>
        <v>Correlation</v>
      </c>
    </row>
    <row r="1659" spans="1:13" x14ac:dyDescent="0.2">
      <c r="A1659" s="113"/>
      <c r="B1659" s="58" t="s">
        <v>4989</v>
      </c>
      <c r="C1659" s="58" t="s">
        <v>1413</v>
      </c>
      <c r="D1659" s="58" t="s">
        <v>4991</v>
      </c>
      <c r="E1659" s="60" t="b">
        <v>1</v>
      </c>
      <c r="F1659" s="80" t="s">
        <v>703</v>
      </c>
      <c r="G1659" s="58" t="s">
        <v>4989</v>
      </c>
      <c r="H1659" s="58" t="s">
        <v>1413</v>
      </c>
      <c r="I1659" s="64" t="s">
        <v>4991</v>
      </c>
      <c r="J1659" s="66"/>
      <c r="K1659" s="66"/>
      <c r="L1659" s="68"/>
      <c r="M1659" s="63" t="str">
        <f>HYPERLINK("http://nsgreg.nga.mil/genc/view?v=864093&amp;end_month=12&amp;end_day=31&amp;end_year=2016","Correlation")</f>
        <v>Correlation</v>
      </c>
    </row>
    <row r="1660" spans="1:13" x14ac:dyDescent="0.2">
      <c r="A1660" s="113"/>
      <c r="B1660" s="58" t="s">
        <v>4992</v>
      </c>
      <c r="C1660" s="58" t="s">
        <v>1413</v>
      </c>
      <c r="D1660" s="58" t="s">
        <v>4993</v>
      </c>
      <c r="E1660" s="60" t="b">
        <v>1</v>
      </c>
      <c r="F1660" s="80" t="s">
        <v>703</v>
      </c>
      <c r="G1660" s="58" t="s">
        <v>4992</v>
      </c>
      <c r="H1660" s="58" t="s">
        <v>1413</v>
      </c>
      <c r="I1660" s="64" t="s">
        <v>4993</v>
      </c>
      <c r="J1660" s="66"/>
      <c r="K1660" s="66"/>
      <c r="L1660" s="68"/>
      <c r="M1660" s="63" t="str">
        <f>HYPERLINK("http://nsgreg.nga.mil/genc/view?v=864095&amp;end_month=12&amp;end_day=31&amp;end_year=2016","Correlation")</f>
        <v>Correlation</v>
      </c>
    </row>
    <row r="1661" spans="1:13" x14ac:dyDescent="0.2">
      <c r="A1661" s="113"/>
      <c r="B1661" s="58" t="s">
        <v>4994</v>
      </c>
      <c r="C1661" s="58" t="s">
        <v>4963</v>
      </c>
      <c r="D1661" s="58" t="s">
        <v>4995</v>
      </c>
      <c r="E1661" s="60" t="b">
        <v>1</v>
      </c>
      <c r="F1661" s="80" t="s">
        <v>703</v>
      </c>
      <c r="G1661" s="58" t="s">
        <v>4994</v>
      </c>
      <c r="H1661" s="58" t="s">
        <v>4963</v>
      </c>
      <c r="I1661" s="64" t="s">
        <v>4995</v>
      </c>
      <c r="J1661" s="66"/>
      <c r="K1661" s="66"/>
      <c r="L1661" s="68"/>
      <c r="M1661" s="63" t="str">
        <f>HYPERLINK("http://nsgreg.nga.mil/genc/view?v=864098&amp;end_month=12&amp;end_day=31&amp;end_year=2016","Correlation")</f>
        <v>Correlation</v>
      </c>
    </row>
    <row r="1662" spans="1:13" x14ac:dyDescent="0.2">
      <c r="A1662" s="113"/>
      <c r="B1662" s="58" t="s">
        <v>4996</v>
      </c>
      <c r="C1662" s="58" t="s">
        <v>1413</v>
      </c>
      <c r="D1662" s="58" t="s">
        <v>4997</v>
      </c>
      <c r="E1662" s="60" t="b">
        <v>1</v>
      </c>
      <c r="F1662" s="80" t="s">
        <v>703</v>
      </c>
      <c r="G1662" s="58" t="s">
        <v>4996</v>
      </c>
      <c r="H1662" s="58" t="s">
        <v>1413</v>
      </c>
      <c r="I1662" s="64" t="s">
        <v>4997</v>
      </c>
      <c r="J1662" s="66"/>
      <c r="K1662" s="66"/>
      <c r="L1662" s="68"/>
      <c r="M1662" s="63" t="str">
        <f>HYPERLINK("http://nsgreg.nga.mil/genc/view?v=864096&amp;end_month=12&amp;end_day=31&amp;end_year=2016","Correlation")</f>
        <v>Correlation</v>
      </c>
    </row>
    <row r="1663" spans="1:13" x14ac:dyDescent="0.2">
      <c r="A1663" s="113"/>
      <c r="B1663" s="58" t="s">
        <v>4998</v>
      </c>
      <c r="C1663" s="58" t="s">
        <v>1413</v>
      </c>
      <c r="D1663" s="58" t="s">
        <v>4999</v>
      </c>
      <c r="E1663" s="60" t="b">
        <v>1</v>
      </c>
      <c r="F1663" s="80" t="s">
        <v>703</v>
      </c>
      <c r="G1663" s="58" t="s">
        <v>4998</v>
      </c>
      <c r="H1663" s="58" t="s">
        <v>1413</v>
      </c>
      <c r="I1663" s="64" t="s">
        <v>4999</v>
      </c>
      <c r="J1663" s="66"/>
      <c r="K1663" s="66"/>
      <c r="L1663" s="68"/>
      <c r="M1663" s="63" t="str">
        <f>HYPERLINK("http://nsgreg.nga.mil/genc/view?v=864097&amp;end_month=12&amp;end_day=31&amp;end_year=2016","Correlation")</f>
        <v>Correlation</v>
      </c>
    </row>
    <row r="1664" spans="1:13" x14ac:dyDescent="0.2">
      <c r="A1664" s="113"/>
      <c r="B1664" s="58" t="s">
        <v>5000</v>
      </c>
      <c r="C1664" s="58" t="s">
        <v>4963</v>
      </c>
      <c r="D1664" s="58" t="s">
        <v>5001</v>
      </c>
      <c r="E1664" s="60" t="b">
        <v>1</v>
      </c>
      <c r="F1664" s="80" t="s">
        <v>703</v>
      </c>
      <c r="G1664" s="58" t="s">
        <v>5000</v>
      </c>
      <c r="H1664" s="58" t="s">
        <v>4963</v>
      </c>
      <c r="I1664" s="64" t="s">
        <v>5001</v>
      </c>
      <c r="J1664" s="66"/>
      <c r="K1664" s="66"/>
      <c r="L1664" s="68"/>
      <c r="M1664" s="63" t="str">
        <f>HYPERLINK("http://nsgreg.nga.mil/genc/view?v=864101&amp;end_month=12&amp;end_day=31&amp;end_year=2016","Correlation")</f>
        <v>Correlation</v>
      </c>
    </row>
    <row r="1665" spans="1:13" x14ac:dyDescent="0.2">
      <c r="A1665" s="113"/>
      <c r="B1665" s="58" t="s">
        <v>5000</v>
      </c>
      <c r="C1665" s="58" t="s">
        <v>1413</v>
      </c>
      <c r="D1665" s="58" t="s">
        <v>5002</v>
      </c>
      <c r="E1665" s="60" t="b">
        <v>1</v>
      </c>
      <c r="F1665" s="80" t="s">
        <v>703</v>
      </c>
      <c r="G1665" s="58" t="s">
        <v>5000</v>
      </c>
      <c r="H1665" s="58" t="s">
        <v>1413</v>
      </c>
      <c r="I1665" s="64" t="s">
        <v>5002</v>
      </c>
      <c r="J1665" s="66"/>
      <c r="K1665" s="66"/>
      <c r="L1665" s="68"/>
      <c r="M1665" s="63" t="str">
        <f>HYPERLINK("http://nsgreg.nga.mil/genc/view?v=864099&amp;end_month=12&amp;end_day=31&amp;end_year=2016","Correlation")</f>
        <v>Correlation</v>
      </c>
    </row>
    <row r="1666" spans="1:13" x14ac:dyDescent="0.2">
      <c r="A1666" s="113"/>
      <c r="B1666" s="58" t="s">
        <v>5003</v>
      </c>
      <c r="C1666" s="58" t="s">
        <v>1413</v>
      </c>
      <c r="D1666" s="58" t="s">
        <v>5004</v>
      </c>
      <c r="E1666" s="60" t="b">
        <v>1</v>
      </c>
      <c r="F1666" s="80" t="s">
        <v>703</v>
      </c>
      <c r="G1666" s="58" t="s">
        <v>5003</v>
      </c>
      <c r="H1666" s="58" t="s">
        <v>1413</v>
      </c>
      <c r="I1666" s="64" t="s">
        <v>5004</v>
      </c>
      <c r="J1666" s="66"/>
      <c r="K1666" s="66"/>
      <c r="L1666" s="68"/>
      <c r="M1666" s="63" t="str">
        <f>HYPERLINK("http://nsgreg.nga.mil/genc/view?v=864100&amp;end_month=12&amp;end_day=31&amp;end_year=2016","Correlation")</f>
        <v>Correlation</v>
      </c>
    </row>
    <row r="1667" spans="1:13" x14ac:dyDescent="0.2">
      <c r="A1667" s="113"/>
      <c r="B1667" s="58" t="s">
        <v>5005</v>
      </c>
      <c r="C1667" s="58" t="s">
        <v>1413</v>
      </c>
      <c r="D1667" s="58" t="s">
        <v>5006</v>
      </c>
      <c r="E1667" s="60" t="b">
        <v>1</v>
      </c>
      <c r="F1667" s="80" t="s">
        <v>703</v>
      </c>
      <c r="G1667" s="58" t="s">
        <v>5005</v>
      </c>
      <c r="H1667" s="58" t="s">
        <v>1413</v>
      </c>
      <c r="I1667" s="64" t="s">
        <v>5006</v>
      </c>
      <c r="J1667" s="66"/>
      <c r="K1667" s="66"/>
      <c r="L1667" s="68"/>
      <c r="M1667" s="63" t="str">
        <f>HYPERLINK("http://nsgreg.nga.mil/genc/view?v=864102&amp;end_month=12&amp;end_day=31&amp;end_year=2016","Correlation")</f>
        <v>Correlation</v>
      </c>
    </row>
    <row r="1668" spans="1:13" x14ac:dyDescent="0.2">
      <c r="A1668" s="113"/>
      <c r="B1668" s="58" t="s">
        <v>5007</v>
      </c>
      <c r="C1668" s="58" t="s">
        <v>4963</v>
      </c>
      <c r="D1668" s="58" t="s">
        <v>5008</v>
      </c>
      <c r="E1668" s="60" t="b">
        <v>1</v>
      </c>
      <c r="F1668" s="80" t="s">
        <v>703</v>
      </c>
      <c r="G1668" s="58" t="s">
        <v>5007</v>
      </c>
      <c r="H1668" s="58" t="s">
        <v>4963</v>
      </c>
      <c r="I1668" s="64" t="s">
        <v>5008</v>
      </c>
      <c r="J1668" s="66"/>
      <c r="K1668" s="66"/>
      <c r="L1668" s="68"/>
      <c r="M1668" s="63" t="str">
        <f>HYPERLINK("http://nsgreg.nga.mil/genc/view?v=864106&amp;end_month=12&amp;end_day=31&amp;end_year=2016","Correlation")</f>
        <v>Correlation</v>
      </c>
    </row>
    <row r="1669" spans="1:13" x14ac:dyDescent="0.2">
      <c r="A1669" s="113"/>
      <c r="B1669" s="58" t="s">
        <v>5009</v>
      </c>
      <c r="C1669" s="58" t="s">
        <v>1413</v>
      </c>
      <c r="D1669" s="58" t="s">
        <v>5010</v>
      </c>
      <c r="E1669" s="60" t="b">
        <v>1</v>
      </c>
      <c r="F1669" s="80" t="s">
        <v>703</v>
      </c>
      <c r="G1669" s="58" t="s">
        <v>5009</v>
      </c>
      <c r="H1669" s="58" t="s">
        <v>1413</v>
      </c>
      <c r="I1669" s="64" t="s">
        <v>5010</v>
      </c>
      <c r="J1669" s="66"/>
      <c r="K1669" s="66"/>
      <c r="L1669" s="68"/>
      <c r="M1669" s="63" t="str">
        <f>HYPERLINK("http://nsgreg.nga.mil/genc/view?v=864109&amp;end_month=12&amp;end_day=31&amp;end_year=2016","Correlation")</f>
        <v>Correlation</v>
      </c>
    </row>
    <row r="1670" spans="1:13" x14ac:dyDescent="0.2">
      <c r="A1670" s="113"/>
      <c r="B1670" s="58" t="s">
        <v>5011</v>
      </c>
      <c r="C1670" s="58" t="s">
        <v>1413</v>
      </c>
      <c r="D1670" s="58" t="s">
        <v>5012</v>
      </c>
      <c r="E1670" s="60" t="b">
        <v>1</v>
      </c>
      <c r="F1670" s="80" t="s">
        <v>703</v>
      </c>
      <c r="G1670" s="58" t="s">
        <v>5011</v>
      </c>
      <c r="H1670" s="58" t="s">
        <v>1413</v>
      </c>
      <c r="I1670" s="64" t="s">
        <v>5012</v>
      </c>
      <c r="J1670" s="66"/>
      <c r="K1670" s="66"/>
      <c r="L1670" s="68"/>
      <c r="M1670" s="63" t="str">
        <f>HYPERLINK("http://nsgreg.nga.mil/genc/view?v=864108&amp;end_month=12&amp;end_day=31&amp;end_year=2016","Correlation")</f>
        <v>Correlation</v>
      </c>
    </row>
    <row r="1671" spans="1:13" x14ac:dyDescent="0.2">
      <c r="A1671" s="113"/>
      <c r="B1671" s="58" t="s">
        <v>5013</v>
      </c>
      <c r="C1671" s="58" t="s">
        <v>1413</v>
      </c>
      <c r="D1671" s="58" t="s">
        <v>5014</v>
      </c>
      <c r="E1671" s="60" t="b">
        <v>1</v>
      </c>
      <c r="F1671" s="80" t="s">
        <v>703</v>
      </c>
      <c r="G1671" s="58" t="s">
        <v>5013</v>
      </c>
      <c r="H1671" s="58" t="s">
        <v>1413</v>
      </c>
      <c r="I1671" s="64" t="s">
        <v>5014</v>
      </c>
      <c r="J1671" s="66"/>
      <c r="K1671" s="66"/>
      <c r="L1671" s="68"/>
      <c r="M1671" s="63" t="str">
        <f>HYPERLINK("http://nsgreg.nga.mil/genc/view?v=864111&amp;end_month=12&amp;end_day=31&amp;end_year=2016","Correlation")</f>
        <v>Correlation</v>
      </c>
    </row>
    <row r="1672" spans="1:13" x14ac:dyDescent="0.2">
      <c r="A1672" s="113"/>
      <c r="B1672" s="58" t="s">
        <v>5015</v>
      </c>
      <c r="C1672" s="58" t="s">
        <v>1413</v>
      </c>
      <c r="D1672" s="58" t="s">
        <v>5016</v>
      </c>
      <c r="E1672" s="60" t="b">
        <v>1</v>
      </c>
      <c r="F1672" s="80" t="s">
        <v>703</v>
      </c>
      <c r="G1672" s="58" t="s">
        <v>5015</v>
      </c>
      <c r="H1672" s="58" t="s">
        <v>1413</v>
      </c>
      <c r="I1672" s="64" t="s">
        <v>5016</v>
      </c>
      <c r="J1672" s="66"/>
      <c r="K1672" s="66"/>
      <c r="L1672" s="68"/>
      <c r="M1672" s="63" t="str">
        <f>HYPERLINK("http://nsgreg.nga.mil/genc/view?v=864105&amp;end_month=12&amp;end_day=31&amp;end_year=2016","Correlation")</f>
        <v>Correlation</v>
      </c>
    </row>
    <row r="1673" spans="1:13" x14ac:dyDescent="0.2">
      <c r="A1673" s="113"/>
      <c r="B1673" s="58" t="s">
        <v>5017</v>
      </c>
      <c r="C1673" s="58" t="s">
        <v>1413</v>
      </c>
      <c r="D1673" s="58" t="s">
        <v>5018</v>
      </c>
      <c r="E1673" s="60" t="b">
        <v>1</v>
      </c>
      <c r="F1673" s="80" t="s">
        <v>703</v>
      </c>
      <c r="G1673" s="58" t="s">
        <v>5017</v>
      </c>
      <c r="H1673" s="58" t="s">
        <v>1413</v>
      </c>
      <c r="I1673" s="64" t="s">
        <v>5018</v>
      </c>
      <c r="J1673" s="66"/>
      <c r="K1673" s="66"/>
      <c r="L1673" s="68"/>
      <c r="M1673" s="63" t="str">
        <f>HYPERLINK("http://nsgreg.nga.mil/genc/view?v=864103&amp;end_month=12&amp;end_day=31&amp;end_year=2016","Correlation")</f>
        <v>Correlation</v>
      </c>
    </row>
    <row r="1674" spans="1:13" x14ac:dyDescent="0.2">
      <c r="A1674" s="113"/>
      <c r="B1674" s="58" t="s">
        <v>5019</v>
      </c>
      <c r="C1674" s="58" t="s">
        <v>4963</v>
      </c>
      <c r="D1674" s="58" t="s">
        <v>5020</v>
      </c>
      <c r="E1674" s="60" t="b">
        <v>1</v>
      </c>
      <c r="F1674" s="80" t="s">
        <v>703</v>
      </c>
      <c r="G1674" s="58" t="s">
        <v>5019</v>
      </c>
      <c r="H1674" s="58" t="s">
        <v>4963</v>
      </c>
      <c r="I1674" s="64" t="s">
        <v>5020</v>
      </c>
      <c r="J1674" s="66"/>
      <c r="K1674" s="66"/>
      <c r="L1674" s="68"/>
      <c r="M1674" s="63" t="str">
        <f>HYPERLINK("http://nsgreg.nga.mil/genc/view?v=864107&amp;end_month=12&amp;end_day=31&amp;end_year=2016","Correlation")</f>
        <v>Correlation</v>
      </c>
    </row>
    <row r="1675" spans="1:13" x14ac:dyDescent="0.2">
      <c r="A1675" s="113"/>
      <c r="B1675" s="58" t="s">
        <v>5021</v>
      </c>
      <c r="C1675" s="58" t="s">
        <v>1413</v>
      </c>
      <c r="D1675" s="58" t="s">
        <v>5022</v>
      </c>
      <c r="E1675" s="60" t="b">
        <v>1</v>
      </c>
      <c r="F1675" s="80" t="s">
        <v>703</v>
      </c>
      <c r="G1675" s="58" t="s">
        <v>5021</v>
      </c>
      <c r="H1675" s="58" t="s">
        <v>1413</v>
      </c>
      <c r="I1675" s="64" t="s">
        <v>5022</v>
      </c>
      <c r="J1675" s="66"/>
      <c r="K1675" s="66"/>
      <c r="L1675" s="68"/>
      <c r="M1675" s="63" t="str">
        <f>HYPERLINK("http://nsgreg.nga.mil/genc/view?v=864104&amp;end_month=12&amp;end_day=31&amp;end_year=2016","Correlation")</f>
        <v>Correlation</v>
      </c>
    </row>
    <row r="1676" spans="1:13" x14ac:dyDescent="0.2">
      <c r="A1676" s="113"/>
      <c r="B1676" s="58" t="s">
        <v>5023</v>
      </c>
      <c r="C1676" s="58" t="s">
        <v>1413</v>
      </c>
      <c r="D1676" s="58" t="s">
        <v>5024</v>
      </c>
      <c r="E1676" s="60" t="b">
        <v>1</v>
      </c>
      <c r="F1676" s="80" t="s">
        <v>703</v>
      </c>
      <c r="G1676" s="58" t="s">
        <v>5023</v>
      </c>
      <c r="H1676" s="58" t="s">
        <v>1413</v>
      </c>
      <c r="I1676" s="64" t="s">
        <v>5024</v>
      </c>
      <c r="J1676" s="66"/>
      <c r="K1676" s="66"/>
      <c r="L1676" s="68"/>
      <c r="M1676" s="63" t="str">
        <f>HYPERLINK("http://nsgreg.nga.mil/genc/view?v=864110&amp;end_month=12&amp;end_day=31&amp;end_year=2016","Correlation")</f>
        <v>Correlation</v>
      </c>
    </row>
    <row r="1677" spans="1:13" x14ac:dyDescent="0.2">
      <c r="A1677" s="113"/>
      <c r="B1677" s="58" t="s">
        <v>5025</v>
      </c>
      <c r="C1677" s="58" t="s">
        <v>1413</v>
      </c>
      <c r="D1677" s="58" t="s">
        <v>5026</v>
      </c>
      <c r="E1677" s="60" t="b">
        <v>1</v>
      </c>
      <c r="F1677" s="80" t="s">
        <v>703</v>
      </c>
      <c r="G1677" s="58" t="s">
        <v>5025</v>
      </c>
      <c r="H1677" s="58" t="s">
        <v>1413</v>
      </c>
      <c r="I1677" s="64" t="s">
        <v>5026</v>
      </c>
      <c r="J1677" s="66"/>
      <c r="K1677" s="66"/>
      <c r="L1677" s="68"/>
      <c r="M1677" s="63" t="str">
        <f>HYPERLINK("http://nsgreg.nga.mil/genc/view?v=864112&amp;end_month=12&amp;end_day=31&amp;end_year=2016","Correlation")</f>
        <v>Correlation</v>
      </c>
    </row>
    <row r="1678" spans="1:13" x14ac:dyDescent="0.2">
      <c r="A1678" s="114"/>
      <c r="B1678" s="71" t="s">
        <v>5027</v>
      </c>
      <c r="C1678" s="71" t="s">
        <v>4945</v>
      </c>
      <c r="D1678" s="71" t="s">
        <v>5028</v>
      </c>
      <c r="E1678" s="73" t="b">
        <v>1</v>
      </c>
      <c r="F1678" s="81" t="s">
        <v>703</v>
      </c>
      <c r="G1678" s="71" t="s">
        <v>5027</v>
      </c>
      <c r="H1678" s="71" t="s">
        <v>4945</v>
      </c>
      <c r="I1678" s="74" t="s">
        <v>5028</v>
      </c>
      <c r="J1678" s="76"/>
      <c r="K1678" s="76"/>
      <c r="L1678" s="82"/>
      <c r="M1678" s="77" t="str">
        <f>HYPERLINK("http://nsgreg.nga.mil/genc/view?v=864113&amp;end_month=12&amp;end_day=31&amp;end_year=2016","Correlation")</f>
        <v>Correlation</v>
      </c>
    </row>
    <row r="1679" spans="1:13" x14ac:dyDescent="0.2">
      <c r="A1679" s="112" t="s">
        <v>707</v>
      </c>
      <c r="B1679" s="50" t="s">
        <v>5029</v>
      </c>
      <c r="C1679" s="50" t="s">
        <v>1413</v>
      </c>
      <c r="D1679" s="50" t="s">
        <v>5030</v>
      </c>
      <c r="E1679" s="52" t="b">
        <v>1</v>
      </c>
      <c r="F1679" s="78" t="s">
        <v>5031</v>
      </c>
      <c r="G1679" s="50" t="s">
        <v>5029</v>
      </c>
      <c r="H1679" s="50" t="s">
        <v>1413</v>
      </c>
      <c r="I1679" s="53" t="s">
        <v>5030</v>
      </c>
      <c r="J1679" s="55"/>
      <c r="K1679" s="55"/>
      <c r="L1679" s="79"/>
      <c r="M1679" s="56" t="str">
        <f>HYPERLINK("http://nsgreg.nga.mil/genc/view?v=864239&amp;end_month=12&amp;end_day=31&amp;end_year=2016","Correlation")</f>
        <v>Correlation</v>
      </c>
    </row>
    <row r="1680" spans="1:13" x14ac:dyDescent="0.2">
      <c r="A1680" s="113"/>
      <c r="B1680" s="58" t="s">
        <v>5032</v>
      </c>
      <c r="C1680" s="58" t="s">
        <v>1413</v>
      </c>
      <c r="D1680" s="58" t="s">
        <v>5033</v>
      </c>
      <c r="E1680" s="60" t="b">
        <v>1</v>
      </c>
      <c r="F1680" s="80" t="s">
        <v>5031</v>
      </c>
      <c r="G1680" s="58" t="s">
        <v>5032</v>
      </c>
      <c r="H1680" s="58" t="s">
        <v>1413</v>
      </c>
      <c r="I1680" s="64" t="s">
        <v>5033</v>
      </c>
      <c r="J1680" s="66"/>
      <c r="K1680" s="66"/>
      <c r="L1680" s="68"/>
      <c r="M1680" s="63" t="str">
        <f>HYPERLINK("http://nsgreg.nga.mil/genc/view?v=864211&amp;end_month=12&amp;end_day=31&amp;end_year=2016","Correlation")</f>
        <v>Correlation</v>
      </c>
    </row>
    <row r="1681" spans="1:13" x14ac:dyDescent="0.2">
      <c r="A1681" s="113"/>
      <c r="B1681" s="58" t="s">
        <v>5034</v>
      </c>
      <c r="C1681" s="58" t="s">
        <v>1413</v>
      </c>
      <c r="D1681" s="58" t="s">
        <v>5035</v>
      </c>
      <c r="E1681" s="60" t="b">
        <v>1</v>
      </c>
      <c r="F1681" s="80" t="s">
        <v>5031</v>
      </c>
      <c r="G1681" s="58" t="s">
        <v>5034</v>
      </c>
      <c r="H1681" s="58" t="s">
        <v>1413</v>
      </c>
      <c r="I1681" s="64" t="s">
        <v>5035</v>
      </c>
      <c r="J1681" s="66"/>
      <c r="K1681" s="66"/>
      <c r="L1681" s="68"/>
      <c r="M1681" s="63" t="str">
        <f>HYPERLINK("http://nsgreg.nga.mil/genc/view?v=864210&amp;end_month=12&amp;end_day=31&amp;end_year=2016","Correlation")</f>
        <v>Correlation</v>
      </c>
    </row>
    <row r="1682" spans="1:13" x14ac:dyDescent="0.2">
      <c r="A1682" s="113"/>
      <c r="B1682" s="58" t="s">
        <v>5036</v>
      </c>
      <c r="C1682" s="58" t="s">
        <v>1413</v>
      </c>
      <c r="D1682" s="58" t="s">
        <v>5037</v>
      </c>
      <c r="E1682" s="60" t="b">
        <v>1</v>
      </c>
      <c r="F1682" s="80" t="s">
        <v>5031</v>
      </c>
      <c r="G1682" s="58" t="s">
        <v>5036</v>
      </c>
      <c r="H1682" s="58" t="s">
        <v>1413</v>
      </c>
      <c r="I1682" s="64" t="s">
        <v>5037</v>
      </c>
      <c r="J1682" s="66"/>
      <c r="K1682" s="66"/>
      <c r="L1682" s="68"/>
      <c r="M1682" s="63" t="str">
        <f>HYPERLINK("http://nsgreg.nga.mil/genc/view?v=864209&amp;end_month=12&amp;end_day=31&amp;end_year=2016","Correlation")</f>
        <v>Correlation</v>
      </c>
    </row>
    <row r="1683" spans="1:13" x14ac:dyDescent="0.2">
      <c r="A1683" s="113"/>
      <c r="B1683" s="58" t="s">
        <v>5038</v>
      </c>
      <c r="C1683" s="58" t="s">
        <v>1413</v>
      </c>
      <c r="D1683" s="58" t="s">
        <v>5039</v>
      </c>
      <c r="E1683" s="60" t="b">
        <v>1</v>
      </c>
      <c r="F1683" s="80" t="s">
        <v>5031</v>
      </c>
      <c r="G1683" s="58" t="s">
        <v>5038</v>
      </c>
      <c r="H1683" s="58" t="s">
        <v>1413</v>
      </c>
      <c r="I1683" s="64" t="s">
        <v>5039</v>
      </c>
      <c r="J1683" s="66"/>
      <c r="K1683" s="66"/>
      <c r="L1683" s="68"/>
      <c r="M1683" s="63" t="str">
        <f>HYPERLINK("http://nsgreg.nga.mil/genc/view?v=864214&amp;end_month=12&amp;end_day=31&amp;end_year=2016","Correlation")</f>
        <v>Correlation</v>
      </c>
    </row>
    <row r="1684" spans="1:13" x14ac:dyDescent="0.2">
      <c r="A1684" s="113"/>
      <c r="B1684" s="58" t="s">
        <v>5040</v>
      </c>
      <c r="C1684" s="58" t="s">
        <v>1413</v>
      </c>
      <c r="D1684" s="58" t="s">
        <v>5041</v>
      </c>
      <c r="E1684" s="60" t="b">
        <v>1</v>
      </c>
      <c r="F1684" s="80" t="s">
        <v>5031</v>
      </c>
      <c r="G1684" s="58" t="s">
        <v>5040</v>
      </c>
      <c r="H1684" s="58" t="s">
        <v>1413</v>
      </c>
      <c r="I1684" s="64" t="s">
        <v>5041</v>
      </c>
      <c r="J1684" s="66"/>
      <c r="K1684" s="66"/>
      <c r="L1684" s="68"/>
      <c r="M1684" s="63" t="str">
        <f>HYPERLINK("http://nsgreg.nga.mil/genc/view?v=864216&amp;end_month=12&amp;end_day=31&amp;end_year=2016","Correlation")</f>
        <v>Correlation</v>
      </c>
    </row>
    <row r="1685" spans="1:13" x14ac:dyDescent="0.2">
      <c r="A1685" s="113"/>
      <c r="B1685" s="58" t="s">
        <v>5042</v>
      </c>
      <c r="C1685" s="58" t="s">
        <v>1413</v>
      </c>
      <c r="D1685" s="58" t="s">
        <v>5043</v>
      </c>
      <c r="E1685" s="60" t="b">
        <v>1</v>
      </c>
      <c r="F1685" s="80" t="s">
        <v>5031</v>
      </c>
      <c r="G1685" s="58" t="s">
        <v>5042</v>
      </c>
      <c r="H1685" s="58" t="s">
        <v>1413</v>
      </c>
      <c r="I1685" s="64" t="s">
        <v>5043</v>
      </c>
      <c r="J1685" s="66"/>
      <c r="K1685" s="66"/>
      <c r="L1685" s="68"/>
      <c r="M1685" s="63" t="str">
        <f>HYPERLINK("http://nsgreg.nga.mil/genc/view?v=864212&amp;end_month=12&amp;end_day=31&amp;end_year=2016","Correlation")</f>
        <v>Correlation</v>
      </c>
    </row>
    <row r="1686" spans="1:13" x14ac:dyDescent="0.2">
      <c r="A1686" s="113"/>
      <c r="B1686" s="58" t="s">
        <v>5044</v>
      </c>
      <c r="C1686" s="58" t="s">
        <v>1413</v>
      </c>
      <c r="D1686" s="58" t="s">
        <v>5045</v>
      </c>
      <c r="E1686" s="60" t="b">
        <v>1</v>
      </c>
      <c r="F1686" s="80" t="s">
        <v>5031</v>
      </c>
      <c r="G1686" s="58" t="s">
        <v>5044</v>
      </c>
      <c r="H1686" s="58" t="s">
        <v>1413</v>
      </c>
      <c r="I1686" s="64" t="s">
        <v>5045</v>
      </c>
      <c r="J1686" s="66"/>
      <c r="K1686" s="66"/>
      <c r="L1686" s="68"/>
      <c r="M1686" s="63" t="str">
        <f>HYPERLINK("http://nsgreg.nga.mil/genc/view?v=864221&amp;end_month=12&amp;end_day=31&amp;end_year=2016","Correlation")</f>
        <v>Correlation</v>
      </c>
    </row>
    <row r="1687" spans="1:13" x14ac:dyDescent="0.2">
      <c r="A1687" s="113"/>
      <c r="B1687" s="58" t="s">
        <v>5046</v>
      </c>
      <c r="C1687" s="58" t="s">
        <v>1413</v>
      </c>
      <c r="D1687" s="58" t="s">
        <v>5047</v>
      </c>
      <c r="E1687" s="60" t="b">
        <v>1</v>
      </c>
      <c r="F1687" s="80" t="s">
        <v>5031</v>
      </c>
      <c r="G1687" s="58" t="s">
        <v>5046</v>
      </c>
      <c r="H1687" s="58" t="s">
        <v>1413</v>
      </c>
      <c r="I1687" s="64" t="s">
        <v>5047</v>
      </c>
      <c r="J1687" s="66"/>
      <c r="K1687" s="66"/>
      <c r="L1687" s="68"/>
      <c r="M1687" s="63" t="str">
        <f>HYPERLINK("http://nsgreg.nga.mil/genc/view?v=864226&amp;end_month=12&amp;end_day=31&amp;end_year=2016","Correlation")</f>
        <v>Correlation</v>
      </c>
    </row>
    <row r="1688" spans="1:13" x14ac:dyDescent="0.2">
      <c r="A1688" s="113"/>
      <c r="B1688" s="58" t="s">
        <v>5048</v>
      </c>
      <c r="C1688" s="58" t="s">
        <v>1413</v>
      </c>
      <c r="D1688" s="58" t="s">
        <v>5049</v>
      </c>
      <c r="E1688" s="60" t="b">
        <v>1</v>
      </c>
      <c r="F1688" s="80" t="s">
        <v>5031</v>
      </c>
      <c r="G1688" s="58" t="s">
        <v>5048</v>
      </c>
      <c r="H1688" s="58" t="s">
        <v>1413</v>
      </c>
      <c r="I1688" s="64" t="s">
        <v>5049</v>
      </c>
      <c r="J1688" s="66"/>
      <c r="K1688" s="66"/>
      <c r="L1688" s="68"/>
      <c r="M1688" s="63" t="str">
        <f>HYPERLINK("http://nsgreg.nga.mil/genc/view?v=864234&amp;end_month=12&amp;end_day=31&amp;end_year=2016","Correlation")</f>
        <v>Correlation</v>
      </c>
    </row>
    <row r="1689" spans="1:13" x14ac:dyDescent="0.2">
      <c r="A1689" s="113"/>
      <c r="B1689" s="58" t="s">
        <v>5050</v>
      </c>
      <c r="C1689" s="58" t="s">
        <v>1413</v>
      </c>
      <c r="D1689" s="58" t="s">
        <v>5051</v>
      </c>
      <c r="E1689" s="60" t="b">
        <v>1</v>
      </c>
      <c r="F1689" s="80" t="s">
        <v>5031</v>
      </c>
      <c r="G1689" s="58" t="s">
        <v>5050</v>
      </c>
      <c r="H1689" s="58" t="s">
        <v>1413</v>
      </c>
      <c r="I1689" s="64" t="s">
        <v>5051</v>
      </c>
      <c r="J1689" s="66"/>
      <c r="K1689" s="66"/>
      <c r="L1689" s="68"/>
      <c r="M1689" s="63" t="str">
        <f>HYPERLINK("http://nsgreg.nga.mil/genc/view?v=864231&amp;end_month=12&amp;end_day=31&amp;end_year=2016","Correlation")</f>
        <v>Correlation</v>
      </c>
    </row>
    <row r="1690" spans="1:13" x14ac:dyDescent="0.2">
      <c r="A1690" s="113"/>
      <c r="B1690" s="58" t="s">
        <v>5052</v>
      </c>
      <c r="C1690" s="58" t="s">
        <v>1413</v>
      </c>
      <c r="D1690" s="58" t="s">
        <v>5053</v>
      </c>
      <c r="E1690" s="60" t="b">
        <v>1</v>
      </c>
      <c r="F1690" s="80" t="s">
        <v>5031</v>
      </c>
      <c r="G1690" s="58" t="s">
        <v>5052</v>
      </c>
      <c r="H1690" s="58" t="s">
        <v>1413</v>
      </c>
      <c r="I1690" s="64" t="s">
        <v>5053</v>
      </c>
      <c r="J1690" s="66"/>
      <c r="K1690" s="66"/>
      <c r="L1690" s="68"/>
      <c r="M1690" s="63" t="str">
        <f>HYPERLINK("http://nsgreg.nga.mil/genc/view?v=864230&amp;end_month=12&amp;end_day=31&amp;end_year=2016","Correlation")</f>
        <v>Correlation</v>
      </c>
    </row>
    <row r="1691" spans="1:13" x14ac:dyDescent="0.2">
      <c r="A1691" s="113"/>
      <c r="B1691" s="58" t="s">
        <v>5054</v>
      </c>
      <c r="C1691" s="58" t="s">
        <v>1413</v>
      </c>
      <c r="D1691" s="58" t="s">
        <v>5055</v>
      </c>
      <c r="E1691" s="60" t="b">
        <v>1</v>
      </c>
      <c r="F1691" s="80" t="s">
        <v>5031</v>
      </c>
      <c r="G1691" s="58" t="s">
        <v>5054</v>
      </c>
      <c r="H1691" s="58" t="s">
        <v>1413</v>
      </c>
      <c r="I1691" s="64" t="s">
        <v>5055</v>
      </c>
      <c r="J1691" s="66"/>
      <c r="K1691" s="66"/>
      <c r="L1691" s="68"/>
      <c r="M1691" s="63" t="str">
        <f>HYPERLINK("http://nsgreg.nga.mil/genc/view?v=864213&amp;end_month=12&amp;end_day=31&amp;end_year=2016","Correlation")</f>
        <v>Correlation</v>
      </c>
    </row>
    <row r="1692" spans="1:13" x14ac:dyDescent="0.2">
      <c r="A1692" s="113"/>
      <c r="B1692" s="58" t="s">
        <v>5056</v>
      </c>
      <c r="C1692" s="58" t="s">
        <v>1413</v>
      </c>
      <c r="D1692" s="58" t="s">
        <v>5057</v>
      </c>
      <c r="E1692" s="60" t="b">
        <v>1</v>
      </c>
      <c r="F1692" s="80" t="s">
        <v>5031</v>
      </c>
      <c r="G1692" s="58" t="s">
        <v>5056</v>
      </c>
      <c r="H1692" s="58" t="s">
        <v>1413</v>
      </c>
      <c r="I1692" s="64" t="s">
        <v>5057</v>
      </c>
      <c r="J1692" s="66"/>
      <c r="K1692" s="66"/>
      <c r="L1692" s="68"/>
      <c r="M1692" s="63" t="str">
        <f>HYPERLINK("http://nsgreg.nga.mil/genc/view?v=864222&amp;end_month=12&amp;end_day=31&amp;end_year=2016","Correlation")</f>
        <v>Correlation</v>
      </c>
    </row>
    <row r="1693" spans="1:13" x14ac:dyDescent="0.2">
      <c r="A1693" s="113"/>
      <c r="B1693" s="58" t="s">
        <v>5058</v>
      </c>
      <c r="C1693" s="58" t="s">
        <v>1413</v>
      </c>
      <c r="D1693" s="58" t="s">
        <v>5059</v>
      </c>
      <c r="E1693" s="60" t="b">
        <v>1</v>
      </c>
      <c r="F1693" s="80" t="s">
        <v>5031</v>
      </c>
      <c r="G1693" s="58" t="s">
        <v>5058</v>
      </c>
      <c r="H1693" s="58" t="s">
        <v>1413</v>
      </c>
      <c r="I1693" s="64" t="s">
        <v>5059</v>
      </c>
      <c r="J1693" s="66"/>
      <c r="K1693" s="66"/>
      <c r="L1693" s="68"/>
      <c r="M1693" s="63" t="str">
        <f>HYPERLINK("http://nsgreg.nga.mil/genc/view?v=864224&amp;end_month=12&amp;end_day=31&amp;end_year=2016","Correlation")</f>
        <v>Correlation</v>
      </c>
    </row>
    <row r="1694" spans="1:13" x14ac:dyDescent="0.2">
      <c r="A1694" s="113"/>
      <c r="B1694" s="58" t="s">
        <v>5060</v>
      </c>
      <c r="C1694" s="58" t="s">
        <v>1413</v>
      </c>
      <c r="D1694" s="58" t="s">
        <v>5061</v>
      </c>
      <c r="E1694" s="60" t="b">
        <v>1</v>
      </c>
      <c r="F1694" s="80" t="s">
        <v>5031</v>
      </c>
      <c r="G1694" s="58" t="s">
        <v>5060</v>
      </c>
      <c r="H1694" s="58" t="s">
        <v>1413</v>
      </c>
      <c r="I1694" s="64" t="s">
        <v>5061</v>
      </c>
      <c r="J1694" s="66"/>
      <c r="K1694" s="66"/>
      <c r="L1694" s="68"/>
      <c r="M1694" s="63" t="str">
        <f>HYPERLINK("http://nsgreg.nga.mil/genc/view?v=864236&amp;end_month=12&amp;end_day=31&amp;end_year=2016","Correlation")</f>
        <v>Correlation</v>
      </c>
    </row>
    <row r="1695" spans="1:13" x14ac:dyDescent="0.2">
      <c r="A1695" s="113"/>
      <c r="B1695" s="58" t="s">
        <v>5062</v>
      </c>
      <c r="C1695" s="58" t="s">
        <v>1413</v>
      </c>
      <c r="D1695" s="58" t="s">
        <v>5063</v>
      </c>
      <c r="E1695" s="60" t="b">
        <v>1</v>
      </c>
      <c r="F1695" s="80" t="s">
        <v>5031</v>
      </c>
      <c r="G1695" s="58" t="s">
        <v>5062</v>
      </c>
      <c r="H1695" s="58" t="s">
        <v>1413</v>
      </c>
      <c r="I1695" s="64" t="s">
        <v>5063</v>
      </c>
      <c r="J1695" s="66"/>
      <c r="K1695" s="66"/>
      <c r="L1695" s="68"/>
      <c r="M1695" s="63" t="str">
        <f>HYPERLINK("http://nsgreg.nga.mil/genc/view?v=864237&amp;end_month=12&amp;end_day=31&amp;end_year=2016","Correlation")</f>
        <v>Correlation</v>
      </c>
    </row>
    <row r="1696" spans="1:13" x14ac:dyDescent="0.2">
      <c r="A1696" s="113"/>
      <c r="B1696" s="58" t="s">
        <v>5064</v>
      </c>
      <c r="C1696" s="58" t="s">
        <v>1413</v>
      </c>
      <c r="D1696" s="58" t="s">
        <v>5065</v>
      </c>
      <c r="E1696" s="60" t="b">
        <v>1</v>
      </c>
      <c r="F1696" s="80" t="s">
        <v>5031</v>
      </c>
      <c r="G1696" s="58" t="s">
        <v>5064</v>
      </c>
      <c r="H1696" s="58" t="s">
        <v>1413</v>
      </c>
      <c r="I1696" s="64" t="s">
        <v>5065</v>
      </c>
      <c r="J1696" s="66"/>
      <c r="K1696" s="66"/>
      <c r="L1696" s="68"/>
      <c r="M1696" s="63" t="str">
        <f>HYPERLINK("http://nsgreg.nga.mil/genc/view?v=864238&amp;end_month=12&amp;end_day=31&amp;end_year=2016","Correlation")</f>
        <v>Correlation</v>
      </c>
    </row>
    <row r="1697" spans="1:13" x14ac:dyDescent="0.2">
      <c r="A1697" s="113"/>
      <c r="B1697" s="58" t="s">
        <v>5066</v>
      </c>
      <c r="C1697" s="58" t="s">
        <v>1413</v>
      </c>
      <c r="D1697" s="58" t="s">
        <v>5067</v>
      </c>
      <c r="E1697" s="60" t="b">
        <v>1</v>
      </c>
      <c r="F1697" s="80" t="s">
        <v>5031</v>
      </c>
      <c r="G1697" s="58" t="s">
        <v>5066</v>
      </c>
      <c r="H1697" s="58" t="s">
        <v>1413</v>
      </c>
      <c r="I1697" s="64" t="s">
        <v>5067</v>
      </c>
      <c r="J1697" s="66"/>
      <c r="K1697" s="66"/>
      <c r="L1697" s="68"/>
      <c r="M1697" s="63" t="str">
        <f>HYPERLINK("http://nsgreg.nga.mil/genc/view?v=864217&amp;end_month=12&amp;end_day=31&amp;end_year=2016","Correlation")</f>
        <v>Correlation</v>
      </c>
    </row>
    <row r="1698" spans="1:13" x14ac:dyDescent="0.2">
      <c r="A1698" s="113"/>
      <c r="B1698" s="58" t="s">
        <v>5068</v>
      </c>
      <c r="C1698" s="58" t="s">
        <v>1413</v>
      </c>
      <c r="D1698" s="58" t="s">
        <v>5069</v>
      </c>
      <c r="E1698" s="60" t="b">
        <v>1</v>
      </c>
      <c r="F1698" s="80" t="s">
        <v>5031</v>
      </c>
      <c r="G1698" s="58" t="s">
        <v>5068</v>
      </c>
      <c r="H1698" s="58" t="s">
        <v>1413</v>
      </c>
      <c r="I1698" s="64" t="s">
        <v>5069</v>
      </c>
      <c r="J1698" s="66"/>
      <c r="K1698" s="66"/>
      <c r="L1698" s="68"/>
      <c r="M1698" s="63" t="str">
        <f>HYPERLINK("http://nsgreg.nga.mil/genc/view?v=864225&amp;end_month=12&amp;end_day=31&amp;end_year=2016","Correlation")</f>
        <v>Correlation</v>
      </c>
    </row>
    <row r="1699" spans="1:13" x14ac:dyDescent="0.2">
      <c r="A1699" s="113"/>
      <c r="B1699" s="58" t="s">
        <v>5070</v>
      </c>
      <c r="C1699" s="58" t="s">
        <v>1413</v>
      </c>
      <c r="D1699" s="58" t="s">
        <v>5071</v>
      </c>
      <c r="E1699" s="60" t="b">
        <v>1</v>
      </c>
      <c r="F1699" s="80" t="s">
        <v>5031</v>
      </c>
      <c r="G1699" s="58" t="s">
        <v>5070</v>
      </c>
      <c r="H1699" s="58" t="s">
        <v>1413</v>
      </c>
      <c r="I1699" s="64" t="s">
        <v>5071</v>
      </c>
      <c r="J1699" s="66"/>
      <c r="K1699" s="66"/>
      <c r="L1699" s="68"/>
      <c r="M1699" s="63" t="str">
        <f>HYPERLINK("http://nsgreg.nga.mil/genc/view?v=864223&amp;end_month=12&amp;end_day=31&amp;end_year=2016","Correlation")</f>
        <v>Correlation</v>
      </c>
    </row>
    <row r="1700" spans="1:13" x14ac:dyDescent="0.2">
      <c r="A1700" s="113"/>
      <c r="B1700" s="58" t="s">
        <v>5072</v>
      </c>
      <c r="C1700" s="58" t="s">
        <v>1413</v>
      </c>
      <c r="D1700" s="58" t="s">
        <v>5073</v>
      </c>
      <c r="E1700" s="60" t="b">
        <v>1</v>
      </c>
      <c r="F1700" s="80" t="s">
        <v>5031</v>
      </c>
      <c r="G1700" s="58" t="s">
        <v>5072</v>
      </c>
      <c r="H1700" s="58" t="s">
        <v>1413</v>
      </c>
      <c r="I1700" s="64" t="s">
        <v>5073</v>
      </c>
      <c r="J1700" s="66"/>
      <c r="K1700" s="66"/>
      <c r="L1700" s="68"/>
      <c r="M1700" s="63" t="str">
        <f>HYPERLINK("http://nsgreg.nga.mil/genc/view?v=864227&amp;end_month=12&amp;end_day=31&amp;end_year=2016","Correlation")</f>
        <v>Correlation</v>
      </c>
    </row>
    <row r="1701" spans="1:13" x14ac:dyDescent="0.2">
      <c r="A1701" s="113"/>
      <c r="B1701" s="58" t="s">
        <v>5074</v>
      </c>
      <c r="C1701" s="58" t="s">
        <v>1413</v>
      </c>
      <c r="D1701" s="58" t="s">
        <v>5075</v>
      </c>
      <c r="E1701" s="60" t="b">
        <v>1</v>
      </c>
      <c r="F1701" s="80" t="s">
        <v>5031</v>
      </c>
      <c r="G1701" s="58" t="s">
        <v>5074</v>
      </c>
      <c r="H1701" s="58" t="s">
        <v>1413</v>
      </c>
      <c r="I1701" s="64" t="s">
        <v>5075</v>
      </c>
      <c r="J1701" s="66"/>
      <c r="K1701" s="66"/>
      <c r="L1701" s="68"/>
      <c r="M1701" s="63" t="str">
        <f>HYPERLINK("http://nsgreg.nga.mil/genc/view?v=864229&amp;end_month=12&amp;end_day=31&amp;end_year=2016","Correlation")</f>
        <v>Correlation</v>
      </c>
    </row>
    <row r="1702" spans="1:13" x14ac:dyDescent="0.2">
      <c r="A1702" s="113"/>
      <c r="B1702" s="58" t="s">
        <v>5076</v>
      </c>
      <c r="C1702" s="58" t="s">
        <v>1413</v>
      </c>
      <c r="D1702" s="58" t="s">
        <v>5077</v>
      </c>
      <c r="E1702" s="60" t="b">
        <v>1</v>
      </c>
      <c r="F1702" s="80" t="s">
        <v>5031</v>
      </c>
      <c r="G1702" s="58" t="s">
        <v>5076</v>
      </c>
      <c r="H1702" s="58" t="s">
        <v>1413</v>
      </c>
      <c r="I1702" s="64" t="s">
        <v>5077</v>
      </c>
      <c r="J1702" s="66"/>
      <c r="K1702" s="66"/>
      <c r="L1702" s="68"/>
      <c r="M1702" s="63" t="str">
        <f>HYPERLINK("http://nsgreg.nga.mil/genc/view?v=864228&amp;end_month=12&amp;end_day=31&amp;end_year=2016","Correlation")</f>
        <v>Correlation</v>
      </c>
    </row>
    <row r="1703" spans="1:13" x14ac:dyDescent="0.2">
      <c r="A1703" s="113"/>
      <c r="B1703" s="58" t="s">
        <v>5078</v>
      </c>
      <c r="C1703" s="58" t="s">
        <v>1413</v>
      </c>
      <c r="D1703" s="58" t="s">
        <v>5079</v>
      </c>
      <c r="E1703" s="60" t="b">
        <v>1</v>
      </c>
      <c r="F1703" s="80" t="s">
        <v>5031</v>
      </c>
      <c r="G1703" s="58" t="s">
        <v>5078</v>
      </c>
      <c r="H1703" s="58" t="s">
        <v>1413</v>
      </c>
      <c r="I1703" s="64" t="s">
        <v>5079</v>
      </c>
      <c r="J1703" s="66"/>
      <c r="K1703" s="66"/>
      <c r="L1703" s="68"/>
      <c r="M1703" s="63" t="str">
        <f>HYPERLINK("http://nsgreg.nga.mil/genc/view?v=864235&amp;end_month=12&amp;end_day=31&amp;end_year=2016","Correlation")</f>
        <v>Correlation</v>
      </c>
    </row>
    <row r="1704" spans="1:13" x14ac:dyDescent="0.2">
      <c r="A1704" s="113"/>
      <c r="B1704" s="58" t="s">
        <v>5080</v>
      </c>
      <c r="C1704" s="58" t="s">
        <v>1413</v>
      </c>
      <c r="D1704" s="58" t="s">
        <v>5081</v>
      </c>
      <c r="E1704" s="60" t="b">
        <v>1</v>
      </c>
      <c r="F1704" s="80" t="s">
        <v>5031</v>
      </c>
      <c r="G1704" s="58" t="s">
        <v>5080</v>
      </c>
      <c r="H1704" s="58" t="s">
        <v>1413</v>
      </c>
      <c r="I1704" s="64" t="s">
        <v>5081</v>
      </c>
      <c r="J1704" s="66"/>
      <c r="K1704" s="66"/>
      <c r="L1704" s="68"/>
      <c r="M1704" s="63" t="str">
        <f>HYPERLINK("http://nsgreg.nga.mil/genc/view?v=864233&amp;end_month=12&amp;end_day=31&amp;end_year=2016","Correlation")</f>
        <v>Correlation</v>
      </c>
    </row>
    <row r="1705" spans="1:13" x14ac:dyDescent="0.2">
      <c r="A1705" s="113"/>
      <c r="B1705" s="58" t="s">
        <v>5082</v>
      </c>
      <c r="C1705" s="58" t="s">
        <v>1413</v>
      </c>
      <c r="D1705" s="58" t="s">
        <v>5083</v>
      </c>
      <c r="E1705" s="60" t="b">
        <v>1</v>
      </c>
      <c r="F1705" s="80" t="s">
        <v>5031</v>
      </c>
      <c r="G1705" s="58" t="s">
        <v>5082</v>
      </c>
      <c r="H1705" s="58" t="s">
        <v>1413</v>
      </c>
      <c r="I1705" s="64" t="s">
        <v>5083</v>
      </c>
      <c r="J1705" s="66"/>
      <c r="K1705" s="66"/>
      <c r="L1705" s="68"/>
      <c r="M1705" s="63" t="str">
        <f>HYPERLINK("http://nsgreg.nga.mil/genc/view?v=864219&amp;end_month=12&amp;end_day=31&amp;end_year=2016","Correlation")</f>
        <v>Correlation</v>
      </c>
    </row>
    <row r="1706" spans="1:13" x14ac:dyDescent="0.2">
      <c r="A1706" s="113"/>
      <c r="B1706" s="58" t="s">
        <v>5084</v>
      </c>
      <c r="C1706" s="58" t="s">
        <v>1413</v>
      </c>
      <c r="D1706" s="58" t="s">
        <v>5085</v>
      </c>
      <c r="E1706" s="60" t="b">
        <v>1</v>
      </c>
      <c r="F1706" s="80" t="s">
        <v>5031</v>
      </c>
      <c r="G1706" s="58" t="s">
        <v>5084</v>
      </c>
      <c r="H1706" s="58" t="s">
        <v>1413</v>
      </c>
      <c r="I1706" s="64" t="s">
        <v>5085</v>
      </c>
      <c r="J1706" s="66"/>
      <c r="K1706" s="66"/>
      <c r="L1706" s="68"/>
      <c r="M1706" s="63" t="str">
        <f>HYPERLINK("http://nsgreg.nga.mil/genc/view?v=864220&amp;end_month=12&amp;end_day=31&amp;end_year=2016","Correlation")</f>
        <v>Correlation</v>
      </c>
    </row>
    <row r="1707" spans="1:13" x14ac:dyDescent="0.2">
      <c r="A1707" s="113"/>
      <c r="B1707" s="58" t="s">
        <v>5086</v>
      </c>
      <c r="C1707" s="58" t="s">
        <v>1413</v>
      </c>
      <c r="D1707" s="58" t="s">
        <v>5087</v>
      </c>
      <c r="E1707" s="60" t="b">
        <v>1</v>
      </c>
      <c r="F1707" s="80" t="s">
        <v>5031</v>
      </c>
      <c r="G1707" s="58" t="s">
        <v>5086</v>
      </c>
      <c r="H1707" s="58" t="s">
        <v>1413</v>
      </c>
      <c r="I1707" s="64" t="s">
        <v>5087</v>
      </c>
      <c r="J1707" s="66"/>
      <c r="K1707" s="66"/>
      <c r="L1707" s="68"/>
      <c r="M1707" s="63" t="str">
        <f>HYPERLINK("http://nsgreg.nga.mil/genc/view?v=864215&amp;end_month=12&amp;end_day=31&amp;end_year=2016","Correlation")</f>
        <v>Correlation</v>
      </c>
    </row>
    <row r="1708" spans="1:13" x14ac:dyDescent="0.2">
      <c r="A1708" s="113"/>
      <c r="B1708" s="58" t="s">
        <v>5088</v>
      </c>
      <c r="C1708" s="58" t="s">
        <v>1413</v>
      </c>
      <c r="D1708" s="58" t="s">
        <v>5089</v>
      </c>
      <c r="E1708" s="60" t="b">
        <v>1</v>
      </c>
      <c r="F1708" s="80" t="s">
        <v>5031</v>
      </c>
      <c r="G1708" s="58" t="s">
        <v>5088</v>
      </c>
      <c r="H1708" s="58" t="s">
        <v>1413</v>
      </c>
      <c r="I1708" s="64" t="s">
        <v>5089</v>
      </c>
      <c r="J1708" s="66"/>
      <c r="K1708" s="66"/>
      <c r="L1708" s="68"/>
      <c r="M1708" s="63" t="str">
        <f>HYPERLINK("http://nsgreg.nga.mil/genc/view?v=864232&amp;end_month=12&amp;end_day=31&amp;end_year=2016","Correlation")</f>
        <v>Correlation</v>
      </c>
    </row>
    <row r="1709" spans="1:13" x14ac:dyDescent="0.2">
      <c r="A1709" s="114"/>
      <c r="B1709" s="71" t="s">
        <v>5090</v>
      </c>
      <c r="C1709" s="71" t="s">
        <v>1413</v>
      </c>
      <c r="D1709" s="71" t="s">
        <v>5091</v>
      </c>
      <c r="E1709" s="73" t="b">
        <v>1</v>
      </c>
      <c r="F1709" s="81" t="s">
        <v>5031</v>
      </c>
      <c r="G1709" s="71" t="s">
        <v>5090</v>
      </c>
      <c r="H1709" s="71" t="s">
        <v>1413</v>
      </c>
      <c r="I1709" s="74" t="s">
        <v>5091</v>
      </c>
      <c r="J1709" s="76"/>
      <c r="K1709" s="76"/>
      <c r="L1709" s="82"/>
      <c r="M1709" s="77" t="str">
        <f>HYPERLINK("http://nsgreg.nga.mil/genc/view?v=864218&amp;end_month=12&amp;end_day=31&amp;end_year=2016","Correlation")</f>
        <v>Correlation</v>
      </c>
    </row>
    <row r="1710" spans="1:13" x14ac:dyDescent="0.2">
      <c r="A1710" s="112" t="s">
        <v>712</v>
      </c>
      <c r="B1710" s="50" t="s">
        <v>5092</v>
      </c>
      <c r="C1710" s="50" t="s">
        <v>2030</v>
      </c>
      <c r="D1710" s="50" t="s">
        <v>5093</v>
      </c>
      <c r="E1710" s="52" t="b">
        <v>1</v>
      </c>
      <c r="F1710" s="78" t="s">
        <v>712</v>
      </c>
      <c r="G1710" s="50" t="s">
        <v>5092</v>
      </c>
      <c r="H1710" s="50" t="s">
        <v>2030</v>
      </c>
      <c r="I1710" s="53" t="s">
        <v>5093</v>
      </c>
      <c r="J1710" s="55"/>
      <c r="K1710" s="55"/>
      <c r="L1710" s="79"/>
      <c r="M1710" s="56" t="str">
        <f>HYPERLINK("http://nsgreg.nga.mil/genc/view?v=864191&amp;end_month=12&amp;end_day=31&amp;end_year=2016","Correlation")</f>
        <v>Correlation</v>
      </c>
    </row>
    <row r="1711" spans="1:13" x14ac:dyDescent="0.2">
      <c r="A1711" s="113"/>
      <c r="B1711" s="58" t="s">
        <v>5094</v>
      </c>
      <c r="C1711" s="58" t="s">
        <v>2030</v>
      </c>
      <c r="D1711" s="58" t="s">
        <v>5095</v>
      </c>
      <c r="E1711" s="60" t="b">
        <v>1</v>
      </c>
      <c r="F1711" s="80" t="s">
        <v>712</v>
      </c>
      <c r="G1711" s="58" t="s">
        <v>5094</v>
      </c>
      <c r="H1711" s="58" t="s">
        <v>2030</v>
      </c>
      <c r="I1711" s="64" t="s">
        <v>5095</v>
      </c>
      <c r="J1711" s="66"/>
      <c r="K1711" s="66"/>
      <c r="L1711" s="68"/>
      <c r="M1711" s="63" t="str">
        <f>HYPERLINK("http://nsgreg.nga.mil/genc/view?v=864193&amp;end_month=12&amp;end_day=31&amp;end_year=2016","Correlation")</f>
        <v>Correlation</v>
      </c>
    </row>
    <row r="1712" spans="1:13" x14ac:dyDescent="0.2">
      <c r="A1712" s="113"/>
      <c r="B1712" s="58" t="s">
        <v>5096</v>
      </c>
      <c r="C1712" s="58" t="s">
        <v>2030</v>
      </c>
      <c r="D1712" s="58" t="s">
        <v>5097</v>
      </c>
      <c r="E1712" s="60" t="b">
        <v>1</v>
      </c>
      <c r="F1712" s="80" t="s">
        <v>712</v>
      </c>
      <c r="G1712" s="58" t="s">
        <v>5096</v>
      </c>
      <c r="H1712" s="58" t="s">
        <v>2030</v>
      </c>
      <c r="I1712" s="64" t="s">
        <v>5097</v>
      </c>
      <c r="J1712" s="66"/>
      <c r="K1712" s="66"/>
      <c r="L1712" s="68"/>
      <c r="M1712" s="63" t="str">
        <f>HYPERLINK("http://nsgreg.nga.mil/genc/view?v=864201&amp;end_month=12&amp;end_day=31&amp;end_year=2016","Correlation")</f>
        <v>Correlation</v>
      </c>
    </row>
    <row r="1713" spans="1:13" x14ac:dyDescent="0.2">
      <c r="A1713" s="113"/>
      <c r="B1713" s="58" t="s">
        <v>5098</v>
      </c>
      <c r="C1713" s="58" t="s">
        <v>2030</v>
      </c>
      <c r="D1713" s="58" t="s">
        <v>5099</v>
      </c>
      <c r="E1713" s="60" t="b">
        <v>1</v>
      </c>
      <c r="F1713" s="80" t="s">
        <v>712</v>
      </c>
      <c r="G1713" s="58" t="s">
        <v>5098</v>
      </c>
      <c r="H1713" s="58" t="s">
        <v>2030</v>
      </c>
      <c r="I1713" s="64" t="s">
        <v>5099</v>
      </c>
      <c r="J1713" s="66"/>
      <c r="K1713" s="66"/>
      <c r="L1713" s="68"/>
      <c r="M1713" s="63" t="str">
        <f>HYPERLINK("http://nsgreg.nga.mil/genc/view?v=864204&amp;end_month=12&amp;end_day=31&amp;end_year=2016","Correlation")</f>
        <v>Correlation</v>
      </c>
    </row>
    <row r="1714" spans="1:13" x14ac:dyDescent="0.2">
      <c r="A1714" s="113"/>
      <c r="B1714" s="58" t="s">
        <v>5100</v>
      </c>
      <c r="C1714" s="58" t="s">
        <v>2030</v>
      </c>
      <c r="D1714" s="58" t="s">
        <v>5101</v>
      </c>
      <c r="E1714" s="60" t="b">
        <v>1</v>
      </c>
      <c r="F1714" s="80" t="s">
        <v>712</v>
      </c>
      <c r="G1714" s="58" t="s">
        <v>5100</v>
      </c>
      <c r="H1714" s="58" t="s">
        <v>2030</v>
      </c>
      <c r="I1714" s="64" t="s">
        <v>5101</v>
      </c>
      <c r="J1714" s="66"/>
      <c r="K1714" s="66"/>
      <c r="L1714" s="68"/>
      <c r="M1714" s="63" t="str">
        <f>HYPERLINK("http://nsgreg.nga.mil/genc/view?v=864202&amp;end_month=12&amp;end_day=31&amp;end_year=2016","Correlation")</f>
        <v>Correlation</v>
      </c>
    </row>
    <row r="1715" spans="1:13" x14ac:dyDescent="0.2">
      <c r="A1715" s="113"/>
      <c r="B1715" s="58" t="s">
        <v>5102</v>
      </c>
      <c r="C1715" s="58" t="s">
        <v>2030</v>
      </c>
      <c r="D1715" s="58" t="s">
        <v>5103</v>
      </c>
      <c r="E1715" s="60" t="b">
        <v>1</v>
      </c>
      <c r="F1715" s="80" t="s">
        <v>712</v>
      </c>
      <c r="G1715" s="58" t="s">
        <v>5102</v>
      </c>
      <c r="H1715" s="58" t="s">
        <v>2030</v>
      </c>
      <c r="I1715" s="64" t="s">
        <v>5103</v>
      </c>
      <c r="J1715" s="66"/>
      <c r="K1715" s="66"/>
      <c r="L1715" s="68"/>
      <c r="M1715" s="63" t="str">
        <f>HYPERLINK("http://nsgreg.nga.mil/genc/view?v=864192&amp;end_month=12&amp;end_day=31&amp;end_year=2016","Correlation")</f>
        <v>Correlation</v>
      </c>
    </row>
    <row r="1716" spans="1:13" x14ac:dyDescent="0.2">
      <c r="A1716" s="113"/>
      <c r="B1716" s="58" t="s">
        <v>5104</v>
      </c>
      <c r="C1716" s="58" t="s">
        <v>2030</v>
      </c>
      <c r="D1716" s="58" t="s">
        <v>5105</v>
      </c>
      <c r="E1716" s="60" t="b">
        <v>1</v>
      </c>
      <c r="F1716" s="80" t="s">
        <v>712</v>
      </c>
      <c r="G1716" s="58" t="s">
        <v>5104</v>
      </c>
      <c r="H1716" s="58" t="s">
        <v>2030</v>
      </c>
      <c r="I1716" s="64" t="s">
        <v>5105</v>
      </c>
      <c r="J1716" s="66"/>
      <c r="K1716" s="66"/>
      <c r="L1716" s="68"/>
      <c r="M1716" s="63" t="str">
        <f>HYPERLINK("http://nsgreg.nga.mil/genc/view?v=864206&amp;end_month=12&amp;end_day=31&amp;end_year=2016","Correlation")</f>
        <v>Correlation</v>
      </c>
    </row>
    <row r="1717" spans="1:13" x14ac:dyDescent="0.2">
      <c r="A1717" s="113"/>
      <c r="B1717" s="58" t="s">
        <v>5106</v>
      </c>
      <c r="C1717" s="58" t="s">
        <v>2030</v>
      </c>
      <c r="D1717" s="58" t="s">
        <v>5107</v>
      </c>
      <c r="E1717" s="60" t="b">
        <v>1</v>
      </c>
      <c r="F1717" s="80" t="s">
        <v>712</v>
      </c>
      <c r="G1717" s="58" t="s">
        <v>5106</v>
      </c>
      <c r="H1717" s="58" t="s">
        <v>2030</v>
      </c>
      <c r="I1717" s="64" t="s">
        <v>5107</v>
      </c>
      <c r="J1717" s="66"/>
      <c r="K1717" s="66"/>
      <c r="L1717" s="68"/>
      <c r="M1717" s="63" t="str">
        <f>HYPERLINK("http://nsgreg.nga.mil/genc/view?v=864194&amp;end_month=12&amp;end_day=31&amp;end_year=2016","Correlation")</f>
        <v>Correlation</v>
      </c>
    </row>
    <row r="1718" spans="1:13" x14ac:dyDescent="0.2">
      <c r="A1718" s="113"/>
      <c r="B1718" s="58" t="s">
        <v>5108</v>
      </c>
      <c r="C1718" s="58" t="s">
        <v>2030</v>
      </c>
      <c r="D1718" s="58" t="s">
        <v>5109</v>
      </c>
      <c r="E1718" s="60" t="b">
        <v>1</v>
      </c>
      <c r="F1718" s="80" t="s">
        <v>712</v>
      </c>
      <c r="G1718" s="58" t="s">
        <v>5108</v>
      </c>
      <c r="H1718" s="58" t="s">
        <v>2030</v>
      </c>
      <c r="I1718" s="64" t="s">
        <v>5109</v>
      </c>
      <c r="J1718" s="66"/>
      <c r="K1718" s="66"/>
      <c r="L1718" s="68"/>
      <c r="M1718" s="63" t="str">
        <f>HYPERLINK("http://nsgreg.nga.mil/genc/view?v=864195&amp;end_month=12&amp;end_day=31&amp;end_year=2016","Correlation")</f>
        <v>Correlation</v>
      </c>
    </row>
    <row r="1719" spans="1:13" x14ac:dyDescent="0.2">
      <c r="A1719" s="113"/>
      <c r="B1719" s="58" t="s">
        <v>5110</v>
      </c>
      <c r="C1719" s="58" t="s">
        <v>2030</v>
      </c>
      <c r="D1719" s="58" t="s">
        <v>5111</v>
      </c>
      <c r="E1719" s="60" t="b">
        <v>1</v>
      </c>
      <c r="F1719" s="80" t="s">
        <v>712</v>
      </c>
      <c r="G1719" s="58" t="s">
        <v>5110</v>
      </c>
      <c r="H1719" s="58" t="s">
        <v>2030</v>
      </c>
      <c r="I1719" s="64" t="s">
        <v>5111</v>
      </c>
      <c r="J1719" s="66"/>
      <c r="K1719" s="66"/>
      <c r="L1719" s="68"/>
      <c r="M1719" s="63" t="str">
        <f>HYPERLINK("http://nsgreg.nga.mil/genc/view?v=864196&amp;end_month=12&amp;end_day=31&amp;end_year=2016","Correlation")</f>
        <v>Correlation</v>
      </c>
    </row>
    <row r="1720" spans="1:13" x14ac:dyDescent="0.2">
      <c r="A1720" s="113"/>
      <c r="B1720" s="58" t="s">
        <v>5112</v>
      </c>
      <c r="C1720" s="58" t="s">
        <v>2030</v>
      </c>
      <c r="D1720" s="58" t="s">
        <v>5113</v>
      </c>
      <c r="E1720" s="60" t="b">
        <v>1</v>
      </c>
      <c r="F1720" s="80" t="s">
        <v>712</v>
      </c>
      <c r="G1720" s="58" t="s">
        <v>5112</v>
      </c>
      <c r="H1720" s="58" t="s">
        <v>2030</v>
      </c>
      <c r="I1720" s="64" t="s">
        <v>5113</v>
      </c>
      <c r="J1720" s="66"/>
      <c r="K1720" s="66"/>
      <c r="L1720" s="68"/>
      <c r="M1720" s="63" t="str">
        <f>HYPERLINK("http://nsgreg.nga.mil/genc/view?v=864198&amp;end_month=12&amp;end_day=31&amp;end_year=2016","Correlation")</f>
        <v>Correlation</v>
      </c>
    </row>
    <row r="1721" spans="1:13" x14ac:dyDescent="0.2">
      <c r="A1721" s="113"/>
      <c r="B1721" s="58" t="s">
        <v>5114</v>
      </c>
      <c r="C1721" s="58" t="s">
        <v>2030</v>
      </c>
      <c r="D1721" s="58" t="s">
        <v>5115</v>
      </c>
      <c r="E1721" s="60" t="b">
        <v>1</v>
      </c>
      <c r="F1721" s="80" t="s">
        <v>712</v>
      </c>
      <c r="G1721" s="58" t="s">
        <v>5114</v>
      </c>
      <c r="H1721" s="58" t="s">
        <v>2030</v>
      </c>
      <c r="I1721" s="64" t="s">
        <v>5115</v>
      </c>
      <c r="J1721" s="66"/>
      <c r="K1721" s="66"/>
      <c r="L1721" s="68"/>
      <c r="M1721" s="63" t="str">
        <f>HYPERLINK("http://nsgreg.nga.mil/genc/view?v=864197&amp;end_month=12&amp;end_day=31&amp;end_year=2016","Correlation")</f>
        <v>Correlation</v>
      </c>
    </row>
    <row r="1722" spans="1:13" x14ac:dyDescent="0.2">
      <c r="A1722" s="113"/>
      <c r="B1722" s="58" t="s">
        <v>5116</v>
      </c>
      <c r="C1722" s="58" t="s">
        <v>2030</v>
      </c>
      <c r="D1722" s="58" t="s">
        <v>5117</v>
      </c>
      <c r="E1722" s="60" t="b">
        <v>1</v>
      </c>
      <c r="F1722" s="80" t="s">
        <v>712</v>
      </c>
      <c r="G1722" s="58" t="s">
        <v>5116</v>
      </c>
      <c r="H1722" s="58" t="s">
        <v>2030</v>
      </c>
      <c r="I1722" s="64" t="s">
        <v>5117</v>
      </c>
      <c r="J1722" s="66"/>
      <c r="K1722" s="66"/>
      <c r="L1722" s="68"/>
      <c r="M1722" s="63" t="str">
        <f>HYPERLINK("http://nsgreg.nga.mil/genc/view?v=864199&amp;end_month=12&amp;end_day=31&amp;end_year=2016","Correlation")</f>
        <v>Correlation</v>
      </c>
    </row>
    <row r="1723" spans="1:13" x14ac:dyDescent="0.2">
      <c r="A1723" s="113"/>
      <c r="B1723" s="58" t="s">
        <v>5118</v>
      </c>
      <c r="C1723" s="58" t="s">
        <v>2030</v>
      </c>
      <c r="D1723" s="58" t="s">
        <v>5119</v>
      </c>
      <c r="E1723" s="60" t="b">
        <v>1</v>
      </c>
      <c r="F1723" s="80" t="s">
        <v>712</v>
      </c>
      <c r="G1723" s="58" t="s">
        <v>5118</v>
      </c>
      <c r="H1723" s="58" t="s">
        <v>2030</v>
      </c>
      <c r="I1723" s="64" t="s">
        <v>5119</v>
      </c>
      <c r="J1723" s="66"/>
      <c r="K1723" s="66"/>
      <c r="L1723" s="68"/>
      <c r="M1723" s="63" t="str">
        <f>HYPERLINK("http://nsgreg.nga.mil/genc/view?v=864207&amp;end_month=12&amp;end_day=31&amp;end_year=2016","Correlation")</f>
        <v>Correlation</v>
      </c>
    </row>
    <row r="1724" spans="1:13" x14ac:dyDescent="0.2">
      <c r="A1724" s="113"/>
      <c r="B1724" s="58" t="s">
        <v>5120</v>
      </c>
      <c r="C1724" s="58" t="s">
        <v>2030</v>
      </c>
      <c r="D1724" s="58" t="s">
        <v>5121</v>
      </c>
      <c r="E1724" s="60" t="b">
        <v>1</v>
      </c>
      <c r="F1724" s="80" t="s">
        <v>712</v>
      </c>
      <c r="G1724" s="58" t="s">
        <v>5120</v>
      </c>
      <c r="H1724" s="58" t="s">
        <v>2030</v>
      </c>
      <c r="I1724" s="64" t="s">
        <v>5121</v>
      </c>
      <c r="J1724" s="66"/>
      <c r="K1724" s="66"/>
      <c r="L1724" s="68"/>
      <c r="M1724" s="63" t="str">
        <f>HYPERLINK("http://nsgreg.nga.mil/genc/view?v=864200&amp;end_month=12&amp;end_day=31&amp;end_year=2016","Correlation")</f>
        <v>Correlation</v>
      </c>
    </row>
    <row r="1725" spans="1:13" x14ac:dyDescent="0.2">
      <c r="A1725" s="113"/>
      <c r="B1725" s="58" t="s">
        <v>5122</v>
      </c>
      <c r="C1725" s="58" t="s">
        <v>2030</v>
      </c>
      <c r="D1725" s="58" t="s">
        <v>5123</v>
      </c>
      <c r="E1725" s="60" t="b">
        <v>1</v>
      </c>
      <c r="F1725" s="80" t="s">
        <v>712</v>
      </c>
      <c r="G1725" s="58" t="s">
        <v>5122</v>
      </c>
      <c r="H1725" s="58" t="s">
        <v>2030</v>
      </c>
      <c r="I1725" s="64" t="s">
        <v>5123</v>
      </c>
      <c r="J1725" s="66"/>
      <c r="K1725" s="66"/>
      <c r="L1725" s="68"/>
      <c r="M1725" s="63" t="str">
        <f>HYPERLINK("http://nsgreg.nga.mil/genc/view?v=864203&amp;end_month=12&amp;end_day=31&amp;end_year=2016","Correlation")</f>
        <v>Correlation</v>
      </c>
    </row>
    <row r="1726" spans="1:13" x14ac:dyDescent="0.2">
      <c r="A1726" s="113"/>
      <c r="B1726" s="58" t="s">
        <v>5124</v>
      </c>
      <c r="C1726" s="58" t="s">
        <v>2030</v>
      </c>
      <c r="D1726" s="58" t="s">
        <v>5125</v>
      </c>
      <c r="E1726" s="60" t="b">
        <v>1</v>
      </c>
      <c r="F1726" s="80" t="s">
        <v>712</v>
      </c>
      <c r="G1726" s="58" t="s">
        <v>5124</v>
      </c>
      <c r="H1726" s="58" t="s">
        <v>2030</v>
      </c>
      <c r="I1726" s="64" t="s">
        <v>5125</v>
      </c>
      <c r="J1726" s="66"/>
      <c r="K1726" s="66"/>
      <c r="L1726" s="68"/>
      <c r="M1726" s="63" t="str">
        <f>HYPERLINK("http://nsgreg.nga.mil/genc/view?v=864205&amp;end_month=12&amp;end_day=31&amp;end_year=2016","Correlation")</f>
        <v>Correlation</v>
      </c>
    </row>
    <row r="1727" spans="1:13" x14ac:dyDescent="0.2">
      <c r="A1727" s="114"/>
      <c r="B1727" s="71" t="s">
        <v>5126</v>
      </c>
      <c r="C1727" s="71" t="s">
        <v>2030</v>
      </c>
      <c r="D1727" s="71" t="s">
        <v>5127</v>
      </c>
      <c r="E1727" s="73" t="b">
        <v>1</v>
      </c>
      <c r="F1727" s="81" t="s">
        <v>712</v>
      </c>
      <c r="G1727" s="71" t="s">
        <v>5126</v>
      </c>
      <c r="H1727" s="71" t="s">
        <v>2030</v>
      </c>
      <c r="I1727" s="74" t="s">
        <v>5127</v>
      </c>
      <c r="J1727" s="76"/>
      <c r="K1727" s="76"/>
      <c r="L1727" s="82"/>
      <c r="M1727" s="77" t="str">
        <f>HYPERLINK("http://nsgreg.nga.mil/genc/view?v=864208&amp;end_month=12&amp;end_day=31&amp;end_year=2016","Correlation")</f>
        <v>Correlation</v>
      </c>
    </row>
    <row r="1728" spans="1:13" x14ac:dyDescent="0.2">
      <c r="A1728" s="112" t="s">
        <v>716</v>
      </c>
      <c r="B1728" s="50" t="s">
        <v>5128</v>
      </c>
      <c r="C1728" s="50" t="s">
        <v>1483</v>
      </c>
      <c r="D1728" s="50" t="s">
        <v>5129</v>
      </c>
      <c r="E1728" s="52" t="b">
        <v>1</v>
      </c>
      <c r="F1728" s="78" t="s">
        <v>716</v>
      </c>
      <c r="G1728" s="50" t="s">
        <v>5128</v>
      </c>
      <c r="H1728" s="50" t="s">
        <v>1483</v>
      </c>
      <c r="I1728" s="53" t="s">
        <v>5129</v>
      </c>
      <c r="J1728" s="55"/>
      <c r="K1728" s="55"/>
      <c r="L1728" s="79"/>
      <c r="M1728" s="56" t="str">
        <f>HYPERLINK("http://nsgreg.nga.mil/genc/view?v=864119&amp;end_month=12&amp;end_day=31&amp;end_year=2016","Correlation")</f>
        <v>Correlation</v>
      </c>
    </row>
    <row r="1729" spans="1:13" x14ac:dyDescent="0.2">
      <c r="A1729" s="113"/>
      <c r="B1729" s="58" t="s">
        <v>5130</v>
      </c>
      <c r="C1729" s="58" t="s">
        <v>1483</v>
      </c>
      <c r="D1729" s="58" t="s">
        <v>5131</v>
      </c>
      <c r="E1729" s="60" t="b">
        <v>1</v>
      </c>
      <c r="F1729" s="80" t="s">
        <v>716</v>
      </c>
      <c r="G1729" s="58" t="s">
        <v>5130</v>
      </c>
      <c r="H1729" s="58" t="s">
        <v>1483</v>
      </c>
      <c r="I1729" s="64" t="s">
        <v>5131</v>
      </c>
      <c r="J1729" s="66"/>
      <c r="K1729" s="66"/>
      <c r="L1729" s="68"/>
      <c r="M1729" s="63" t="str">
        <f>HYPERLINK("http://nsgreg.nga.mil/genc/view?v=864116&amp;end_month=12&amp;end_day=31&amp;end_year=2016","Correlation")</f>
        <v>Correlation</v>
      </c>
    </row>
    <row r="1730" spans="1:13" x14ac:dyDescent="0.2">
      <c r="A1730" s="113"/>
      <c r="B1730" s="58" t="s">
        <v>5132</v>
      </c>
      <c r="C1730" s="58" t="s">
        <v>1483</v>
      </c>
      <c r="D1730" s="58" t="s">
        <v>5133</v>
      </c>
      <c r="E1730" s="60" t="b">
        <v>1</v>
      </c>
      <c r="F1730" s="80" t="s">
        <v>716</v>
      </c>
      <c r="G1730" s="58" t="s">
        <v>5132</v>
      </c>
      <c r="H1730" s="58" t="s">
        <v>1483</v>
      </c>
      <c r="I1730" s="64" t="s">
        <v>5133</v>
      </c>
      <c r="J1730" s="66"/>
      <c r="K1730" s="66"/>
      <c r="L1730" s="68"/>
      <c r="M1730" s="63" t="str">
        <f>HYPERLINK("http://nsgreg.nga.mil/genc/view?v=864115&amp;end_month=12&amp;end_day=31&amp;end_year=2016","Correlation")</f>
        <v>Correlation</v>
      </c>
    </row>
    <row r="1731" spans="1:13" x14ac:dyDescent="0.2">
      <c r="A1731" s="113"/>
      <c r="B1731" s="58" t="s">
        <v>5134</v>
      </c>
      <c r="C1731" s="58" t="s">
        <v>1413</v>
      </c>
      <c r="D1731" s="58" t="s">
        <v>5135</v>
      </c>
      <c r="E1731" s="60" t="b">
        <v>1</v>
      </c>
      <c r="F1731" s="80" t="s">
        <v>716</v>
      </c>
      <c r="G1731" s="58" t="s">
        <v>5134</v>
      </c>
      <c r="H1731" s="58" t="s">
        <v>1413</v>
      </c>
      <c r="I1731" s="64" t="s">
        <v>5135</v>
      </c>
      <c r="J1731" s="66"/>
      <c r="K1731" s="66"/>
      <c r="L1731" s="68"/>
      <c r="M1731" s="63" t="str">
        <f>HYPERLINK("http://nsgreg.nga.mil/genc/view?v=864114&amp;end_month=12&amp;end_day=31&amp;end_year=2016","Correlation")</f>
        <v>Correlation</v>
      </c>
    </row>
    <row r="1732" spans="1:13" x14ac:dyDescent="0.2">
      <c r="A1732" s="113"/>
      <c r="B1732" s="58" t="s">
        <v>5136</v>
      </c>
      <c r="C1732" s="58" t="s">
        <v>1681</v>
      </c>
      <c r="D1732" s="58" t="s">
        <v>5137</v>
      </c>
      <c r="E1732" s="60" t="b">
        <v>1</v>
      </c>
      <c r="F1732" s="61" t="s">
        <v>167</v>
      </c>
      <c r="G1732" s="61"/>
      <c r="H1732" s="61"/>
      <c r="I1732" s="61"/>
      <c r="J1732" s="61"/>
      <c r="K1732" s="61"/>
      <c r="L1732" s="62"/>
      <c r="M1732" s="63" t="str">
        <f>HYPERLINK("http://nsgreg.nga.mil/genc/view?v=864118&amp;end_month=12&amp;end_day=31&amp;end_year=2016","Correlation")</f>
        <v>Correlation</v>
      </c>
    </row>
    <row r="1733" spans="1:13" x14ac:dyDescent="0.2">
      <c r="A1733" s="113"/>
      <c r="B1733" s="58" t="s">
        <v>5136</v>
      </c>
      <c r="C1733" s="58" t="s">
        <v>1483</v>
      </c>
      <c r="D1733" s="58" t="s">
        <v>5138</v>
      </c>
      <c r="E1733" s="60" t="b">
        <v>1</v>
      </c>
      <c r="F1733" s="80" t="s">
        <v>716</v>
      </c>
      <c r="G1733" s="58" t="s">
        <v>5136</v>
      </c>
      <c r="H1733" s="58" t="s">
        <v>1483</v>
      </c>
      <c r="I1733" s="64" t="s">
        <v>5138</v>
      </c>
      <c r="J1733" s="66"/>
      <c r="K1733" s="66"/>
      <c r="L1733" s="68"/>
      <c r="M1733" s="63" t="str">
        <f>HYPERLINK("http://nsgreg.nga.mil/genc/view?v=864117&amp;end_month=12&amp;end_day=31&amp;end_year=2016","Correlation")</f>
        <v>Correlation</v>
      </c>
    </row>
    <row r="1734" spans="1:13" x14ac:dyDescent="0.2">
      <c r="A1734" s="113"/>
      <c r="B1734" s="58" t="s">
        <v>5139</v>
      </c>
      <c r="C1734" s="58" t="s">
        <v>1483</v>
      </c>
      <c r="D1734" s="58" t="s">
        <v>5140</v>
      </c>
      <c r="E1734" s="60" t="b">
        <v>1</v>
      </c>
      <c r="F1734" s="80" t="s">
        <v>716</v>
      </c>
      <c r="G1734" s="58" t="s">
        <v>5139</v>
      </c>
      <c r="H1734" s="58" t="s">
        <v>1483</v>
      </c>
      <c r="I1734" s="64" t="s">
        <v>5140</v>
      </c>
      <c r="J1734" s="66"/>
      <c r="K1734" s="66"/>
      <c r="L1734" s="68"/>
      <c r="M1734" s="63" t="str">
        <f>HYPERLINK("http://nsgreg.nga.mil/genc/view?v=864120&amp;end_month=12&amp;end_day=31&amp;end_year=2016","Correlation")</f>
        <v>Correlation</v>
      </c>
    </row>
    <row r="1735" spans="1:13" x14ac:dyDescent="0.2">
      <c r="A1735" s="113"/>
      <c r="B1735" s="58" t="s">
        <v>5141</v>
      </c>
      <c r="C1735" s="58" t="s">
        <v>1681</v>
      </c>
      <c r="D1735" s="58" t="s">
        <v>5142</v>
      </c>
      <c r="E1735" s="60" t="b">
        <v>1</v>
      </c>
      <c r="F1735" s="61" t="s">
        <v>167</v>
      </c>
      <c r="G1735" s="61"/>
      <c r="H1735" s="61"/>
      <c r="I1735" s="61"/>
      <c r="J1735" s="61"/>
      <c r="K1735" s="61"/>
      <c r="L1735" s="62"/>
      <c r="M1735" s="63" t="str">
        <f>HYPERLINK("http://nsgreg.nga.mil/genc/view?v=864122&amp;end_month=12&amp;end_day=31&amp;end_year=2016","Correlation")</f>
        <v>Correlation</v>
      </c>
    </row>
    <row r="1736" spans="1:13" x14ac:dyDescent="0.2">
      <c r="A1736" s="113"/>
      <c r="B1736" s="58" t="s">
        <v>5143</v>
      </c>
      <c r="C1736" s="58" t="s">
        <v>1483</v>
      </c>
      <c r="D1736" s="58" t="s">
        <v>5144</v>
      </c>
      <c r="E1736" s="60" t="b">
        <v>1</v>
      </c>
      <c r="F1736" s="61" t="s">
        <v>167</v>
      </c>
      <c r="G1736" s="61"/>
      <c r="H1736" s="61"/>
      <c r="I1736" s="61"/>
      <c r="J1736" s="61"/>
      <c r="K1736" s="61"/>
      <c r="L1736" s="62"/>
      <c r="M1736" s="63" t="str">
        <f>HYPERLINK("http://nsgreg.nga.mil/genc/view?v=864121&amp;end_month=12&amp;end_day=31&amp;end_year=2016","Correlation")</f>
        <v>Correlation</v>
      </c>
    </row>
    <row r="1737" spans="1:13" x14ac:dyDescent="0.2">
      <c r="A1737" s="113"/>
      <c r="B1737" s="58" t="s">
        <v>5145</v>
      </c>
      <c r="C1737" s="58" t="s">
        <v>1483</v>
      </c>
      <c r="D1737" s="58" t="s">
        <v>5146</v>
      </c>
      <c r="E1737" s="60" t="b">
        <v>1</v>
      </c>
      <c r="F1737" s="61" t="s">
        <v>167</v>
      </c>
      <c r="G1737" s="61"/>
      <c r="H1737" s="61"/>
      <c r="I1737" s="61"/>
      <c r="J1737" s="61"/>
      <c r="K1737" s="61"/>
      <c r="L1737" s="62"/>
      <c r="M1737" s="63" t="str">
        <f>HYPERLINK("http://nsgreg.nga.mil/genc/view?v=864123&amp;end_month=12&amp;end_day=31&amp;end_year=2016","Correlation")</f>
        <v>Correlation</v>
      </c>
    </row>
    <row r="1738" spans="1:13" x14ac:dyDescent="0.2">
      <c r="A1738" s="113"/>
      <c r="B1738" s="58" t="s">
        <v>5147</v>
      </c>
      <c r="C1738" s="58" t="s">
        <v>1681</v>
      </c>
      <c r="D1738" s="58" t="s">
        <v>5148</v>
      </c>
      <c r="E1738" s="60" t="b">
        <v>1</v>
      </c>
      <c r="F1738" s="61" t="s">
        <v>167</v>
      </c>
      <c r="G1738" s="61"/>
      <c r="H1738" s="61"/>
      <c r="I1738" s="61"/>
      <c r="J1738" s="61"/>
      <c r="K1738" s="61"/>
      <c r="L1738" s="62"/>
      <c r="M1738" s="63" t="str">
        <f>HYPERLINK("http://nsgreg.nga.mil/genc/view?v=864125&amp;end_month=12&amp;end_day=31&amp;end_year=2016","Correlation")</f>
        <v>Correlation</v>
      </c>
    </row>
    <row r="1739" spans="1:13" x14ac:dyDescent="0.2">
      <c r="A1739" s="113"/>
      <c r="B1739" s="58" t="s">
        <v>5147</v>
      </c>
      <c r="C1739" s="58" t="s">
        <v>1483</v>
      </c>
      <c r="D1739" s="58" t="s">
        <v>5149</v>
      </c>
      <c r="E1739" s="60" t="b">
        <v>1</v>
      </c>
      <c r="F1739" s="80" t="s">
        <v>716</v>
      </c>
      <c r="G1739" s="58" t="s">
        <v>5147</v>
      </c>
      <c r="H1739" s="58" t="s">
        <v>1483</v>
      </c>
      <c r="I1739" s="64" t="s">
        <v>5149</v>
      </c>
      <c r="J1739" s="66"/>
      <c r="K1739" s="66"/>
      <c r="L1739" s="68"/>
      <c r="M1739" s="63" t="str">
        <f>HYPERLINK("http://nsgreg.nga.mil/genc/view?v=864124&amp;end_month=12&amp;end_day=31&amp;end_year=2016","Correlation")</f>
        <v>Correlation</v>
      </c>
    </row>
    <row r="1740" spans="1:13" x14ac:dyDescent="0.2">
      <c r="A1740" s="113"/>
      <c r="B1740" s="58" t="s">
        <v>5150</v>
      </c>
      <c r="C1740" s="58" t="s">
        <v>1483</v>
      </c>
      <c r="D1740" s="58" t="s">
        <v>5151</v>
      </c>
      <c r="E1740" s="60" t="b">
        <v>1</v>
      </c>
      <c r="F1740" s="80" t="s">
        <v>716</v>
      </c>
      <c r="G1740" s="58" t="s">
        <v>5150</v>
      </c>
      <c r="H1740" s="58" t="s">
        <v>1483</v>
      </c>
      <c r="I1740" s="64" t="s">
        <v>5151</v>
      </c>
      <c r="J1740" s="66"/>
      <c r="K1740" s="66"/>
      <c r="L1740" s="68"/>
      <c r="M1740" s="63" t="str">
        <f>HYPERLINK("http://nsgreg.nga.mil/genc/view?v=864128&amp;end_month=12&amp;end_day=31&amp;end_year=2016","Correlation")</f>
        <v>Correlation</v>
      </c>
    </row>
    <row r="1741" spans="1:13" x14ac:dyDescent="0.2">
      <c r="A1741" s="113"/>
      <c r="B1741" s="58" t="s">
        <v>5152</v>
      </c>
      <c r="C1741" s="58" t="s">
        <v>1483</v>
      </c>
      <c r="D1741" s="58" t="s">
        <v>5153</v>
      </c>
      <c r="E1741" s="60" t="b">
        <v>1</v>
      </c>
      <c r="F1741" s="80" t="s">
        <v>716</v>
      </c>
      <c r="G1741" s="58" t="s">
        <v>5152</v>
      </c>
      <c r="H1741" s="58" t="s">
        <v>1483</v>
      </c>
      <c r="I1741" s="64" t="s">
        <v>5153</v>
      </c>
      <c r="J1741" s="66"/>
      <c r="K1741" s="66"/>
      <c r="L1741" s="68"/>
      <c r="M1741" s="63" t="str">
        <f>HYPERLINK("http://nsgreg.nga.mil/genc/view?v=864126&amp;end_month=12&amp;end_day=31&amp;end_year=2016","Correlation")</f>
        <v>Correlation</v>
      </c>
    </row>
    <row r="1742" spans="1:13" x14ac:dyDescent="0.2">
      <c r="A1742" s="113"/>
      <c r="B1742" s="58" t="s">
        <v>5154</v>
      </c>
      <c r="C1742" s="58" t="s">
        <v>1483</v>
      </c>
      <c r="D1742" s="58" t="s">
        <v>5155</v>
      </c>
      <c r="E1742" s="60" t="b">
        <v>1</v>
      </c>
      <c r="F1742" s="80" t="s">
        <v>716</v>
      </c>
      <c r="G1742" s="58" t="s">
        <v>5154</v>
      </c>
      <c r="H1742" s="58" t="s">
        <v>1483</v>
      </c>
      <c r="I1742" s="64" t="s">
        <v>5155</v>
      </c>
      <c r="J1742" s="66"/>
      <c r="K1742" s="66"/>
      <c r="L1742" s="68"/>
      <c r="M1742" s="63" t="str">
        <f>HYPERLINK("http://nsgreg.nga.mil/genc/view?v=864127&amp;end_month=12&amp;end_day=31&amp;end_year=2016","Correlation")</f>
        <v>Correlation</v>
      </c>
    </row>
    <row r="1743" spans="1:13" x14ac:dyDescent="0.2">
      <c r="A1743" s="113"/>
      <c r="B1743" s="58" t="s">
        <v>5156</v>
      </c>
      <c r="C1743" s="58" t="s">
        <v>1483</v>
      </c>
      <c r="D1743" s="58" t="s">
        <v>5157</v>
      </c>
      <c r="E1743" s="60" t="b">
        <v>1</v>
      </c>
      <c r="F1743" s="80" t="s">
        <v>716</v>
      </c>
      <c r="G1743" s="58" t="s">
        <v>5156</v>
      </c>
      <c r="H1743" s="58" t="s">
        <v>1483</v>
      </c>
      <c r="I1743" s="64" t="s">
        <v>5157</v>
      </c>
      <c r="J1743" s="66"/>
      <c r="K1743" s="66"/>
      <c r="L1743" s="68"/>
      <c r="M1743" s="63" t="str">
        <f>HYPERLINK("http://nsgreg.nga.mil/genc/view?v=864134&amp;end_month=12&amp;end_day=31&amp;end_year=2016","Correlation")</f>
        <v>Correlation</v>
      </c>
    </row>
    <row r="1744" spans="1:13" x14ac:dyDescent="0.2">
      <c r="A1744" s="113"/>
      <c r="B1744" s="58" t="s">
        <v>5158</v>
      </c>
      <c r="C1744" s="58" t="s">
        <v>1413</v>
      </c>
      <c r="D1744" s="58" t="s">
        <v>5159</v>
      </c>
      <c r="E1744" s="60" t="b">
        <v>1</v>
      </c>
      <c r="F1744" s="80" t="s">
        <v>716</v>
      </c>
      <c r="G1744" s="58" t="s">
        <v>5158</v>
      </c>
      <c r="H1744" s="58" t="s">
        <v>1413</v>
      </c>
      <c r="I1744" s="64" t="s">
        <v>5159</v>
      </c>
      <c r="J1744" s="66"/>
      <c r="K1744" s="66"/>
      <c r="L1744" s="68"/>
      <c r="M1744" s="63" t="str">
        <f>HYPERLINK("http://nsgreg.nga.mil/genc/view?v=864129&amp;end_month=12&amp;end_day=31&amp;end_year=2016","Correlation")</f>
        <v>Correlation</v>
      </c>
    </row>
    <row r="1745" spans="1:13" x14ac:dyDescent="0.2">
      <c r="A1745" s="113"/>
      <c r="B1745" s="58" t="s">
        <v>5160</v>
      </c>
      <c r="C1745" s="58" t="s">
        <v>1483</v>
      </c>
      <c r="D1745" s="58" t="s">
        <v>5161</v>
      </c>
      <c r="E1745" s="60" t="b">
        <v>1</v>
      </c>
      <c r="F1745" s="80" t="s">
        <v>716</v>
      </c>
      <c r="G1745" s="58" t="s">
        <v>5160</v>
      </c>
      <c r="H1745" s="58" t="s">
        <v>1483</v>
      </c>
      <c r="I1745" s="64" t="s">
        <v>5161</v>
      </c>
      <c r="J1745" s="66"/>
      <c r="K1745" s="66"/>
      <c r="L1745" s="68"/>
      <c r="M1745" s="63" t="str">
        <f>HYPERLINK("http://nsgreg.nga.mil/genc/view?v=864133&amp;end_month=12&amp;end_day=31&amp;end_year=2016","Correlation")</f>
        <v>Correlation</v>
      </c>
    </row>
    <row r="1746" spans="1:13" x14ac:dyDescent="0.2">
      <c r="A1746" s="113"/>
      <c r="B1746" s="58" t="s">
        <v>5162</v>
      </c>
      <c r="C1746" s="58" t="s">
        <v>5163</v>
      </c>
      <c r="D1746" s="58" t="s">
        <v>5164</v>
      </c>
      <c r="E1746" s="60" t="b">
        <v>1</v>
      </c>
      <c r="F1746" s="61" t="s">
        <v>167</v>
      </c>
      <c r="G1746" s="61"/>
      <c r="H1746" s="61"/>
      <c r="I1746" s="61"/>
      <c r="J1746" s="61"/>
      <c r="K1746" s="61"/>
      <c r="L1746" s="62"/>
      <c r="M1746" s="63" t="str">
        <f>HYPERLINK("http://nsgreg.nga.mil/genc/view?v=864130&amp;end_month=12&amp;end_day=31&amp;end_year=2016","Correlation")</f>
        <v>Correlation</v>
      </c>
    </row>
    <row r="1747" spans="1:13" x14ac:dyDescent="0.2">
      <c r="A1747" s="113"/>
      <c r="B1747" s="58" t="s">
        <v>5165</v>
      </c>
      <c r="C1747" s="58" t="s">
        <v>1483</v>
      </c>
      <c r="D1747" s="58" t="s">
        <v>5166</v>
      </c>
      <c r="E1747" s="60" t="b">
        <v>1</v>
      </c>
      <c r="F1747" s="80" t="s">
        <v>716</v>
      </c>
      <c r="G1747" s="58" t="s">
        <v>5165</v>
      </c>
      <c r="H1747" s="58" t="s">
        <v>1483</v>
      </c>
      <c r="I1747" s="64" t="s">
        <v>5166</v>
      </c>
      <c r="J1747" s="66"/>
      <c r="K1747" s="66"/>
      <c r="L1747" s="68"/>
      <c r="M1747" s="63" t="str">
        <f>HYPERLINK("http://nsgreg.nga.mil/genc/view?v=864131&amp;end_month=12&amp;end_day=31&amp;end_year=2016","Correlation")</f>
        <v>Correlation</v>
      </c>
    </row>
    <row r="1748" spans="1:13" x14ac:dyDescent="0.2">
      <c r="A1748" s="113"/>
      <c r="B1748" s="58" t="s">
        <v>5167</v>
      </c>
      <c r="C1748" s="58" t="s">
        <v>1483</v>
      </c>
      <c r="D1748" s="58" t="s">
        <v>5168</v>
      </c>
      <c r="E1748" s="60" t="b">
        <v>1</v>
      </c>
      <c r="F1748" s="80" t="s">
        <v>716</v>
      </c>
      <c r="G1748" s="58" t="s">
        <v>5167</v>
      </c>
      <c r="H1748" s="58" t="s">
        <v>1483</v>
      </c>
      <c r="I1748" s="64" t="s">
        <v>5168</v>
      </c>
      <c r="J1748" s="66"/>
      <c r="K1748" s="66"/>
      <c r="L1748" s="68"/>
      <c r="M1748" s="63" t="str">
        <f>HYPERLINK("http://nsgreg.nga.mil/genc/view?v=864132&amp;end_month=12&amp;end_day=31&amp;end_year=2016","Correlation")</f>
        <v>Correlation</v>
      </c>
    </row>
    <row r="1749" spans="1:13" x14ac:dyDescent="0.2">
      <c r="A1749" s="113"/>
      <c r="B1749" s="58" t="s">
        <v>5169</v>
      </c>
      <c r="C1749" s="58" t="s">
        <v>1483</v>
      </c>
      <c r="D1749" s="58" t="s">
        <v>5170</v>
      </c>
      <c r="E1749" s="60" t="b">
        <v>1</v>
      </c>
      <c r="F1749" s="80" t="s">
        <v>716</v>
      </c>
      <c r="G1749" s="58" t="s">
        <v>5169</v>
      </c>
      <c r="H1749" s="58" t="s">
        <v>1483</v>
      </c>
      <c r="I1749" s="64" t="s">
        <v>5170</v>
      </c>
      <c r="J1749" s="66"/>
      <c r="K1749" s="66"/>
      <c r="L1749" s="68"/>
      <c r="M1749" s="63" t="str">
        <f>HYPERLINK("http://nsgreg.nga.mil/genc/view?v=864138&amp;end_month=12&amp;end_day=31&amp;end_year=2016","Correlation")</f>
        <v>Correlation</v>
      </c>
    </row>
    <row r="1750" spans="1:13" x14ac:dyDescent="0.2">
      <c r="A1750" s="113"/>
      <c r="B1750" s="58" t="s">
        <v>5171</v>
      </c>
      <c r="C1750" s="58" t="s">
        <v>1483</v>
      </c>
      <c r="D1750" s="58" t="s">
        <v>5172</v>
      </c>
      <c r="E1750" s="60" t="b">
        <v>1</v>
      </c>
      <c r="F1750" s="80" t="s">
        <v>716</v>
      </c>
      <c r="G1750" s="58" t="s">
        <v>5171</v>
      </c>
      <c r="H1750" s="58" t="s">
        <v>1483</v>
      </c>
      <c r="I1750" s="64" t="s">
        <v>5172</v>
      </c>
      <c r="J1750" s="66"/>
      <c r="K1750" s="66"/>
      <c r="L1750" s="68"/>
      <c r="M1750" s="63" t="str">
        <f>HYPERLINK("http://nsgreg.nga.mil/genc/view?v=864136&amp;end_month=12&amp;end_day=31&amp;end_year=2016","Correlation")</f>
        <v>Correlation</v>
      </c>
    </row>
    <row r="1751" spans="1:13" x14ac:dyDescent="0.2">
      <c r="A1751" s="113"/>
      <c r="B1751" s="58" t="s">
        <v>5173</v>
      </c>
      <c r="C1751" s="58" t="s">
        <v>1483</v>
      </c>
      <c r="D1751" s="58" t="s">
        <v>5174</v>
      </c>
      <c r="E1751" s="60" t="b">
        <v>1</v>
      </c>
      <c r="F1751" s="80" t="s">
        <v>716</v>
      </c>
      <c r="G1751" s="58" t="s">
        <v>5173</v>
      </c>
      <c r="H1751" s="58" t="s">
        <v>1483</v>
      </c>
      <c r="I1751" s="64" t="s">
        <v>5174</v>
      </c>
      <c r="J1751" s="66"/>
      <c r="K1751" s="66"/>
      <c r="L1751" s="68"/>
      <c r="M1751" s="63" t="str">
        <f>HYPERLINK("http://nsgreg.nga.mil/genc/view?v=864137&amp;end_month=12&amp;end_day=31&amp;end_year=2016","Correlation")</f>
        <v>Correlation</v>
      </c>
    </row>
    <row r="1752" spans="1:13" x14ac:dyDescent="0.2">
      <c r="A1752" s="113"/>
      <c r="B1752" s="58" t="s">
        <v>5175</v>
      </c>
      <c r="C1752" s="58" t="s">
        <v>1413</v>
      </c>
      <c r="D1752" s="58" t="s">
        <v>5176</v>
      </c>
      <c r="E1752" s="60" t="b">
        <v>1</v>
      </c>
      <c r="F1752" s="80" t="s">
        <v>716</v>
      </c>
      <c r="G1752" s="58" t="s">
        <v>5175</v>
      </c>
      <c r="H1752" s="58" t="s">
        <v>1413</v>
      </c>
      <c r="I1752" s="64" t="s">
        <v>5176</v>
      </c>
      <c r="J1752" s="66"/>
      <c r="K1752" s="66"/>
      <c r="L1752" s="68"/>
      <c r="M1752" s="63" t="str">
        <f>HYPERLINK("http://nsgreg.nga.mil/genc/view?v=864135&amp;end_month=12&amp;end_day=31&amp;end_year=2016","Correlation")</f>
        <v>Correlation</v>
      </c>
    </row>
    <row r="1753" spans="1:13" x14ac:dyDescent="0.2">
      <c r="A1753" s="113"/>
      <c r="B1753" s="58" t="s">
        <v>5177</v>
      </c>
      <c r="C1753" s="58" t="s">
        <v>1483</v>
      </c>
      <c r="D1753" s="58" t="s">
        <v>5178</v>
      </c>
      <c r="E1753" s="60" t="b">
        <v>1</v>
      </c>
      <c r="F1753" s="80" t="s">
        <v>716</v>
      </c>
      <c r="G1753" s="58" t="s">
        <v>5177</v>
      </c>
      <c r="H1753" s="58" t="s">
        <v>1483</v>
      </c>
      <c r="I1753" s="64" t="s">
        <v>5178</v>
      </c>
      <c r="J1753" s="66"/>
      <c r="K1753" s="66"/>
      <c r="L1753" s="68"/>
      <c r="M1753" s="63" t="str">
        <f>HYPERLINK("http://nsgreg.nga.mil/genc/view?v=864139&amp;end_month=12&amp;end_day=31&amp;end_year=2016","Correlation")</f>
        <v>Correlation</v>
      </c>
    </row>
    <row r="1754" spans="1:13" x14ac:dyDescent="0.2">
      <c r="A1754" s="113"/>
      <c r="B1754" s="58" t="s">
        <v>5179</v>
      </c>
      <c r="C1754" s="58" t="s">
        <v>1483</v>
      </c>
      <c r="D1754" s="58" t="s">
        <v>5180</v>
      </c>
      <c r="E1754" s="60" t="b">
        <v>1</v>
      </c>
      <c r="F1754" s="80" t="s">
        <v>716</v>
      </c>
      <c r="G1754" s="58" t="s">
        <v>5179</v>
      </c>
      <c r="H1754" s="58" t="s">
        <v>1483</v>
      </c>
      <c r="I1754" s="64" t="s">
        <v>5180</v>
      </c>
      <c r="J1754" s="66"/>
      <c r="K1754" s="66"/>
      <c r="L1754" s="68"/>
      <c r="M1754" s="63" t="str">
        <f>HYPERLINK("http://nsgreg.nga.mil/genc/view?v=864140&amp;end_month=12&amp;end_day=31&amp;end_year=2016","Correlation")</f>
        <v>Correlation</v>
      </c>
    </row>
    <row r="1755" spans="1:13" x14ac:dyDescent="0.2">
      <c r="A1755" s="113"/>
      <c r="B1755" s="58" t="s">
        <v>5181</v>
      </c>
      <c r="C1755" s="58" t="s">
        <v>1483</v>
      </c>
      <c r="D1755" s="58" t="s">
        <v>5182</v>
      </c>
      <c r="E1755" s="60" t="b">
        <v>1</v>
      </c>
      <c r="F1755" s="80" t="s">
        <v>716</v>
      </c>
      <c r="G1755" s="58" t="s">
        <v>5181</v>
      </c>
      <c r="H1755" s="58" t="s">
        <v>1483</v>
      </c>
      <c r="I1755" s="64" t="s">
        <v>5182</v>
      </c>
      <c r="J1755" s="66"/>
      <c r="K1755" s="66"/>
      <c r="L1755" s="68"/>
      <c r="M1755" s="63" t="str">
        <f>HYPERLINK("http://nsgreg.nga.mil/genc/view?v=864142&amp;end_month=12&amp;end_day=31&amp;end_year=2016","Correlation")</f>
        <v>Correlation</v>
      </c>
    </row>
    <row r="1756" spans="1:13" x14ac:dyDescent="0.2">
      <c r="A1756" s="113"/>
      <c r="B1756" s="58" t="s">
        <v>5183</v>
      </c>
      <c r="C1756" s="58" t="s">
        <v>1483</v>
      </c>
      <c r="D1756" s="58" t="s">
        <v>5184</v>
      </c>
      <c r="E1756" s="60" t="b">
        <v>1</v>
      </c>
      <c r="F1756" s="61" t="s">
        <v>167</v>
      </c>
      <c r="G1756" s="61"/>
      <c r="H1756" s="61"/>
      <c r="I1756" s="61"/>
      <c r="J1756" s="61"/>
      <c r="K1756" s="61"/>
      <c r="L1756" s="62"/>
      <c r="M1756" s="63" t="str">
        <f>HYPERLINK("http://nsgreg.nga.mil/genc/view?v=864141&amp;end_month=12&amp;end_day=31&amp;end_year=2016","Correlation")</f>
        <v>Correlation</v>
      </c>
    </row>
    <row r="1757" spans="1:13" x14ac:dyDescent="0.2">
      <c r="A1757" s="113"/>
      <c r="B1757" s="58" t="s">
        <v>5185</v>
      </c>
      <c r="C1757" s="58" t="s">
        <v>1483</v>
      </c>
      <c r="D1757" s="58" t="s">
        <v>5186</v>
      </c>
      <c r="E1757" s="60" t="b">
        <v>1</v>
      </c>
      <c r="F1757" s="80" t="s">
        <v>716</v>
      </c>
      <c r="G1757" s="58" t="s">
        <v>5185</v>
      </c>
      <c r="H1757" s="58" t="s">
        <v>1483</v>
      </c>
      <c r="I1757" s="64" t="s">
        <v>5186</v>
      </c>
      <c r="J1757" s="66"/>
      <c r="K1757" s="66"/>
      <c r="L1757" s="68"/>
      <c r="M1757" s="63" t="str">
        <f>HYPERLINK("http://nsgreg.nga.mil/genc/view?v=864143&amp;end_month=12&amp;end_day=31&amp;end_year=2016","Correlation")</f>
        <v>Correlation</v>
      </c>
    </row>
    <row r="1758" spans="1:13" x14ac:dyDescent="0.2">
      <c r="A1758" s="113"/>
      <c r="B1758" s="58" t="s">
        <v>5187</v>
      </c>
      <c r="C1758" s="58" t="s">
        <v>1413</v>
      </c>
      <c r="D1758" s="58" t="s">
        <v>5188</v>
      </c>
      <c r="E1758" s="60" t="b">
        <v>1</v>
      </c>
      <c r="F1758" s="80" t="s">
        <v>716</v>
      </c>
      <c r="G1758" s="58" t="s">
        <v>5187</v>
      </c>
      <c r="H1758" s="58" t="s">
        <v>1413</v>
      </c>
      <c r="I1758" s="64" t="s">
        <v>5188</v>
      </c>
      <c r="J1758" s="66"/>
      <c r="K1758" s="66"/>
      <c r="L1758" s="68"/>
      <c r="M1758" s="63" t="str">
        <f>HYPERLINK("http://nsgreg.nga.mil/genc/view?v=864144&amp;end_month=12&amp;end_day=31&amp;end_year=2016","Correlation")</f>
        <v>Correlation</v>
      </c>
    </row>
    <row r="1759" spans="1:13" x14ac:dyDescent="0.2">
      <c r="A1759" s="113"/>
      <c r="B1759" s="58" t="s">
        <v>5189</v>
      </c>
      <c r="C1759" s="58" t="s">
        <v>5163</v>
      </c>
      <c r="D1759" s="58" t="s">
        <v>5190</v>
      </c>
      <c r="E1759" s="60" t="b">
        <v>1</v>
      </c>
      <c r="F1759" s="61" t="s">
        <v>167</v>
      </c>
      <c r="G1759" s="61"/>
      <c r="H1759" s="61"/>
      <c r="I1759" s="61"/>
      <c r="J1759" s="61"/>
      <c r="K1759" s="61"/>
      <c r="L1759" s="62"/>
      <c r="M1759" s="63" t="str">
        <f>HYPERLINK("http://nsgreg.nga.mil/genc/view?v=864145&amp;end_month=12&amp;end_day=31&amp;end_year=2016","Correlation")</f>
        <v>Correlation</v>
      </c>
    </row>
    <row r="1760" spans="1:13" x14ac:dyDescent="0.2">
      <c r="A1760" s="113"/>
      <c r="B1760" s="58" t="s">
        <v>5191</v>
      </c>
      <c r="C1760" s="58" t="s">
        <v>1483</v>
      </c>
      <c r="D1760" s="58" t="s">
        <v>5192</v>
      </c>
      <c r="E1760" s="60" t="b">
        <v>1</v>
      </c>
      <c r="F1760" s="80" t="s">
        <v>716</v>
      </c>
      <c r="G1760" s="58" t="s">
        <v>5191</v>
      </c>
      <c r="H1760" s="58" t="s">
        <v>1483</v>
      </c>
      <c r="I1760" s="64" t="s">
        <v>5192</v>
      </c>
      <c r="J1760" s="66"/>
      <c r="K1760" s="66"/>
      <c r="L1760" s="68"/>
      <c r="M1760" s="63" t="str">
        <f>HYPERLINK("http://nsgreg.nga.mil/genc/view?v=864146&amp;end_month=12&amp;end_day=31&amp;end_year=2016","Correlation")</f>
        <v>Correlation</v>
      </c>
    </row>
    <row r="1761" spans="1:13" x14ac:dyDescent="0.2">
      <c r="A1761" s="113"/>
      <c r="B1761" s="58" t="s">
        <v>5193</v>
      </c>
      <c r="C1761" s="58" t="s">
        <v>1483</v>
      </c>
      <c r="D1761" s="58" t="s">
        <v>5194</v>
      </c>
      <c r="E1761" s="60" t="b">
        <v>1</v>
      </c>
      <c r="F1761" s="80" t="s">
        <v>716</v>
      </c>
      <c r="G1761" s="58" t="s">
        <v>5193</v>
      </c>
      <c r="H1761" s="58" t="s">
        <v>1483</v>
      </c>
      <c r="I1761" s="64" t="s">
        <v>5194</v>
      </c>
      <c r="J1761" s="66"/>
      <c r="K1761" s="66"/>
      <c r="L1761" s="68"/>
      <c r="M1761" s="63" t="str">
        <f>HYPERLINK("http://nsgreg.nga.mil/genc/view?v=864148&amp;end_month=12&amp;end_day=31&amp;end_year=2016","Correlation")</f>
        <v>Correlation</v>
      </c>
    </row>
    <row r="1762" spans="1:13" x14ac:dyDescent="0.2">
      <c r="A1762" s="114"/>
      <c r="B1762" s="71" t="s">
        <v>5195</v>
      </c>
      <c r="C1762" s="71" t="s">
        <v>1483</v>
      </c>
      <c r="D1762" s="71" t="s">
        <v>5196</v>
      </c>
      <c r="E1762" s="73" t="b">
        <v>1</v>
      </c>
      <c r="F1762" s="81" t="s">
        <v>716</v>
      </c>
      <c r="G1762" s="71" t="s">
        <v>5195</v>
      </c>
      <c r="H1762" s="71" t="s">
        <v>1483</v>
      </c>
      <c r="I1762" s="74" t="s">
        <v>5196</v>
      </c>
      <c r="J1762" s="76"/>
      <c r="K1762" s="76"/>
      <c r="L1762" s="82"/>
      <c r="M1762" s="77" t="str">
        <f>HYPERLINK("http://nsgreg.nga.mil/genc/view?v=864147&amp;end_month=12&amp;end_day=31&amp;end_year=2016","Correlation")</f>
        <v>Correlation</v>
      </c>
    </row>
    <row r="1763" spans="1:13" x14ac:dyDescent="0.2">
      <c r="A1763" s="112" t="s">
        <v>724</v>
      </c>
      <c r="B1763" s="50" t="s">
        <v>2411</v>
      </c>
      <c r="C1763" s="50" t="s">
        <v>1796</v>
      </c>
      <c r="D1763" s="50" t="s">
        <v>5197</v>
      </c>
      <c r="E1763" s="52" t="b">
        <v>1</v>
      </c>
      <c r="F1763" s="78" t="s">
        <v>724</v>
      </c>
      <c r="G1763" s="50" t="s">
        <v>5198</v>
      </c>
      <c r="H1763" s="50" t="s">
        <v>1796</v>
      </c>
      <c r="I1763" s="53" t="s">
        <v>5197</v>
      </c>
      <c r="J1763" s="55"/>
      <c r="K1763" s="55"/>
      <c r="L1763" s="79"/>
      <c r="M1763" s="56" t="str">
        <f>HYPERLINK("http://nsgreg.nga.mil/genc/view?v=864152&amp;end_month=12&amp;end_day=31&amp;end_year=2016","Correlation")</f>
        <v>Correlation</v>
      </c>
    </row>
    <row r="1764" spans="1:13" x14ac:dyDescent="0.2">
      <c r="A1764" s="113"/>
      <c r="B1764" s="58" t="s">
        <v>5199</v>
      </c>
      <c r="C1764" s="58" t="s">
        <v>1796</v>
      </c>
      <c r="D1764" s="58" t="s">
        <v>5200</v>
      </c>
      <c r="E1764" s="60" t="b">
        <v>1</v>
      </c>
      <c r="F1764" s="80" t="s">
        <v>724</v>
      </c>
      <c r="G1764" s="58" t="s">
        <v>5201</v>
      </c>
      <c r="H1764" s="58" t="s">
        <v>1796</v>
      </c>
      <c r="I1764" s="64" t="s">
        <v>5200</v>
      </c>
      <c r="J1764" s="66"/>
      <c r="K1764" s="66"/>
      <c r="L1764" s="68"/>
      <c r="M1764" s="63" t="str">
        <f>HYPERLINK("http://nsgreg.nga.mil/genc/view?v=864150&amp;end_month=12&amp;end_day=31&amp;end_year=2016","Correlation")</f>
        <v>Correlation</v>
      </c>
    </row>
    <row r="1765" spans="1:13" x14ac:dyDescent="0.2">
      <c r="A1765" s="113"/>
      <c r="B1765" s="58" t="s">
        <v>5202</v>
      </c>
      <c r="C1765" s="58" t="s">
        <v>1796</v>
      </c>
      <c r="D1765" s="58" t="s">
        <v>5203</v>
      </c>
      <c r="E1765" s="60" t="b">
        <v>1</v>
      </c>
      <c r="F1765" s="80" t="s">
        <v>724</v>
      </c>
      <c r="G1765" s="58" t="s">
        <v>5204</v>
      </c>
      <c r="H1765" s="58" t="s">
        <v>1796</v>
      </c>
      <c r="I1765" s="64" t="s">
        <v>5203</v>
      </c>
      <c r="J1765" s="66"/>
      <c r="K1765" s="66"/>
      <c r="L1765" s="68"/>
      <c r="M1765" s="63" t="str">
        <f>HYPERLINK("http://nsgreg.nga.mil/genc/view?v=864151&amp;end_month=12&amp;end_day=31&amp;end_year=2016","Correlation")</f>
        <v>Correlation</v>
      </c>
    </row>
    <row r="1766" spans="1:13" x14ac:dyDescent="0.2">
      <c r="A1766" s="113"/>
      <c r="B1766" s="58" t="s">
        <v>4071</v>
      </c>
      <c r="C1766" s="58" t="s">
        <v>1796</v>
      </c>
      <c r="D1766" s="58" t="s">
        <v>5205</v>
      </c>
      <c r="E1766" s="60" t="b">
        <v>1</v>
      </c>
      <c r="F1766" s="80" t="s">
        <v>724</v>
      </c>
      <c r="G1766" s="58" t="s">
        <v>5206</v>
      </c>
      <c r="H1766" s="58" t="s">
        <v>1796</v>
      </c>
      <c r="I1766" s="64" t="s">
        <v>5205</v>
      </c>
      <c r="J1766" s="66"/>
      <c r="K1766" s="66"/>
      <c r="L1766" s="68"/>
      <c r="M1766" s="63" t="str">
        <f>HYPERLINK("http://nsgreg.nga.mil/genc/view?v=864154&amp;end_month=12&amp;end_day=31&amp;end_year=2016","Correlation")</f>
        <v>Correlation</v>
      </c>
    </row>
    <row r="1767" spans="1:13" x14ac:dyDescent="0.2">
      <c r="A1767" s="113"/>
      <c r="B1767" s="58" t="s">
        <v>2440</v>
      </c>
      <c r="C1767" s="58" t="s">
        <v>1796</v>
      </c>
      <c r="D1767" s="58" t="s">
        <v>5207</v>
      </c>
      <c r="E1767" s="60" t="b">
        <v>1</v>
      </c>
      <c r="F1767" s="80" t="s">
        <v>724</v>
      </c>
      <c r="G1767" s="58" t="s">
        <v>5208</v>
      </c>
      <c r="H1767" s="58" t="s">
        <v>1796</v>
      </c>
      <c r="I1767" s="64" t="s">
        <v>5207</v>
      </c>
      <c r="J1767" s="66"/>
      <c r="K1767" s="66"/>
      <c r="L1767" s="68"/>
      <c r="M1767" s="63" t="str">
        <f>HYPERLINK("http://nsgreg.nga.mil/genc/view?v=864149&amp;end_month=12&amp;end_day=31&amp;end_year=2016","Correlation")</f>
        <v>Correlation</v>
      </c>
    </row>
    <row r="1768" spans="1:13" x14ac:dyDescent="0.2">
      <c r="A1768" s="114"/>
      <c r="B1768" s="71" t="s">
        <v>5209</v>
      </c>
      <c r="C1768" s="71" t="s">
        <v>1796</v>
      </c>
      <c r="D1768" s="71" t="s">
        <v>5210</v>
      </c>
      <c r="E1768" s="73" t="b">
        <v>1</v>
      </c>
      <c r="F1768" s="81" t="s">
        <v>724</v>
      </c>
      <c r="G1768" s="71" t="s">
        <v>5209</v>
      </c>
      <c r="H1768" s="71" t="s">
        <v>1796</v>
      </c>
      <c r="I1768" s="74" t="s">
        <v>5210</v>
      </c>
      <c r="J1768" s="76"/>
      <c r="K1768" s="76"/>
      <c r="L1768" s="82"/>
      <c r="M1768" s="77" t="str">
        <f>HYPERLINK("http://nsgreg.nga.mil/genc/view?v=864153&amp;end_month=12&amp;end_day=31&amp;end_year=2016","Correlation")</f>
        <v>Correlation</v>
      </c>
    </row>
    <row r="1769" spans="1:13" x14ac:dyDescent="0.2">
      <c r="A1769" s="112" t="s">
        <v>728</v>
      </c>
      <c r="B1769" s="50" t="s">
        <v>5211</v>
      </c>
      <c r="C1769" s="50" t="s">
        <v>1728</v>
      </c>
      <c r="D1769" s="50" t="s">
        <v>5212</v>
      </c>
      <c r="E1769" s="52" t="b">
        <v>1</v>
      </c>
      <c r="F1769" s="78" t="s">
        <v>728</v>
      </c>
      <c r="G1769" s="50" t="s">
        <v>5211</v>
      </c>
      <c r="H1769" s="50" t="s">
        <v>1728</v>
      </c>
      <c r="I1769" s="53" t="s">
        <v>5212</v>
      </c>
      <c r="J1769" s="55"/>
      <c r="K1769" s="55"/>
      <c r="L1769" s="79"/>
      <c r="M1769" s="56" t="str">
        <f>HYPERLINK("http://nsgreg.nga.mil/genc/view?v=864260&amp;end_month=12&amp;end_day=31&amp;end_year=2016","Correlation")</f>
        <v>Correlation</v>
      </c>
    </row>
    <row r="1770" spans="1:13" x14ac:dyDescent="0.2">
      <c r="A1770" s="113"/>
      <c r="B1770" s="58" t="s">
        <v>5213</v>
      </c>
      <c r="C1770" s="58" t="s">
        <v>1413</v>
      </c>
      <c r="D1770" s="58" t="s">
        <v>5214</v>
      </c>
      <c r="E1770" s="60" t="b">
        <v>1</v>
      </c>
      <c r="F1770" s="80" t="s">
        <v>728</v>
      </c>
      <c r="G1770" s="58" t="s">
        <v>5213</v>
      </c>
      <c r="H1770" s="58" t="s">
        <v>1413</v>
      </c>
      <c r="I1770" s="64" t="s">
        <v>5214</v>
      </c>
      <c r="J1770" s="66"/>
      <c r="K1770" s="66"/>
      <c r="L1770" s="68"/>
      <c r="M1770" s="63" t="str">
        <f>HYPERLINK("http://nsgreg.nga.mil/genc/view?v=864268&amp;end_month=12&amp;end_day=31&amp;end_year=2016","Correlation")</f>
        <v>Correlation</v>
      </c>
    </row>
    <row r="1771" spans="1:13" x14ac:dyDescent="0.2">
      <c r="A1771" s="113"/>
      <c r="B1771" s="58" t="s">
        <v>5215</v>
      </c>
      <c r="C1771" s="58" t="s">
        <v>1413</v>
      </c>
      <c r="D1771" s="58" t="s">
        <v>5216</v>
      </c>
      <c r="E1771" s="60" t="b">
        <v>1</v>
      </c>
      <c r="F1771" s="80" t="s">
        <v>728</v>
      </c>
      <c r="G1771" s="58" t="s">
        <v>5215</v>
      </c>
      <c r="H1771" s="58" t="s">
        <v>1413</v>
      </c>
      <c r="I1771" s="64" t="s">
        <v>5216</v>
      </c>
      <c r="J1771" s="66"/>
      <c r="K1771" s="66"/>
      <c r="L1771" s="68"/>
      <c r="M1771" s="63" t="str">
        <f>HYPERLINK("http://nsgreg.nga.mil/genc/view?v=864269&amp;end_month=12&amp;end_day=31&amp;end_year=2016","Correlation")</f>
        <v>Correlation</v>
      </c>
    </row>
    <row r="1772" spans="1:13" x14ac:dyDescent="0.2">
      <c r="A1772" s="113"/>
      <c r="B1772" s="58" t="s">
        <v>5217</v>
      </c>
      <c r="C1772" s="58" t="s">
        <v>1413</v>
      </c>
      <c r="D1772" s="58" t="s">
        <v>5218</v>
      </c>
      <c r="E1772" s="60" t="b">
        <v>1</v>
      </c>
      <c r="F1772" s="80" t="s">
        <v>728</v>
      </c>
      <c r="G1772" s="58" t="s">
        <v>5217</v>
      </c>
      <c r="H1772" s="58" t="s">
        <v>1413</v>
      </c>
      <c r="I1772" s="64" t="s">
        <v>5218</v>
      </c>
      <c r="J1772" s="66"/>
      <c r="K1772" s="66"/>
      <c r="L1772" s="68"/>
      <c r="M1772" s="63" t="str">
        <f>HYPERLINK("http://nsgreg.nga.mil/genc/view?v=864270&amp;end_month=12&amp;end_day=31&amp;end_year=2016","Correlation")</f>
        <v>Correlation</v>
      </c>
    </row>
    <row r="1773" spans="1:13" x14ac:dyDescent="0.2">
      <c r="A1773" s="113"/>
      <c r="B1773" s="58" t="s">
        <v>5219</v>
      </c>
      <c r="C1773" s="58" t="s">
        <v>1413</v>
      </c>
      <c r="D1773" s="58" t="s">
        <v>5220</v>
      </c>
      <c r="E1773" s="60" t="b">
        <v>1</v>
      </c>
      <c r="F1773" s="80" t="s">
        <v>728</v>
      </c>
      <c r="G1773" s="58" t="s">
        <v>5219</v>
      </c>
      <c r="H1773" s="58" t="s">
        <v>1413</v>
      </c>
      <c r="I1773" s="64" t="s">
        <v>5220</v>
      </c>
      <c r="J1773" s="66"/>
      <c r="K1773" s="66"/>
      <c r="L1773" s="68"/>
      <c r="M1773" s="63" t="str">
        <f>HYPERLINK("http://nsgreg.nga.mil/genc/view?v=864271&amp;end_month=12&amp;end_day=31&amp;end_year=2016","Correlation")</f>
        <v>Correlation</v>
      </c>
    </row>
    <row r="1774" spans="1:13" x14ac:dyDescent="0.2">
      <c r="A1774" s="113"/>
      <c r="B1774" s="58" t="s">
        <v>5221</v>
      </c>
      <c r="C1774" s="58" t="s">
        <v>1413</v>
      </c>
      <c r="D1774" s="58" t="s">
        <v>5222</v>
      </c>
      <c r="E1774" s="60" t="b">
        <v>1</v>
      </c>
      <c r="F1774" s="80" t="s">
        <v>728</v>
      </c>
      <c r="G1774" s="58" t="s">
        <v>5221</v>
      </c>
      <c r="H1774" s="58" t="s">
        <v>1413</v>
      </c>
      <c r="I1774" s="64" t="s">
        <v>5222</v>
      </c>
      <c r="J1774" s="66"/>
      <c r="K1774" s="66"/>
      <c r="L1774" s="68"/>
      <c r="M1774" s="63" t="str">
        <f>HYPERLINK("http://nsgreg.nga.mil/genc/view?v=864274&amp;end_month=12&amp;end_day=31&amp;end_year=2016","Correlation")</f>
        <v>Correlation</v>
      </c>
    </row>
    <row r="1775" spans="1:13" x14ac:dyDescent="0.2">
      <c r="A1775" s="113"/>
      <c r="B1775" s="58" t="s">
        <v>5223</v>
      </c>
      <c r="C1775" s="58" t="s">
        <v>1413</v>
      </c>
      <c r="D1775" s="58" t="s">
        <v>5224</v>
      </c>
      <c r="E1775" s="60" t="b">
        <v>1</v>
      </c>
      <c r="F1775" s="80" t="s">
        <v>728</v>
      </c>
      <c r="G1775" s="58" t="s">
        <v>5223</v>
      </c>
      <c r="H1775" s="58" t="s">
        <v>1413</v>
      </c>
      <c r="I1775" s="64" t="s">
        <v>5224</v>
      </c>
      <c r="J1775" s="66"/>
      <c r="K1775" s="66"/>
      <c r="L1775" s="68"/>
      <c r="M1775" s="63" t="str">
        <f>HYPERLINK("http://nsgreg.nga.mil/genc/view?v=864272&amp;end_month=12&amp;end_day=31&amp;end_year=2016","Correlation")</f>
        <v>Correlation</v>
      </c>
    </row>
    <row r="1776" spans="1:13" x14ac:dyDescent="0.2">
      <c r="A1776" s="113"/>
      <c r="B1776" s="58" t="s">
        <v>5225</v>
      </c>
      <c r="C1776" s="58" t="s">
        <v>1413</v>
      </c>
      <c r="D1776" s="58" t="s">
        <v>5226</v>
      </c>
      <c r="E1776" s="60" t="b">
        <v>1</v>
      </c>
      <c r="F1776" s="80" t="s">
        <v>728</v>
      </c>
      <c r="G1776" s="58" t="s">
        <v>5225</v>
      </c>
      <c r="H1776" s="58" t="s">
        <v>1413</v>
      </c>
      <c r="I1776" s="64" t="s">
        <v>5226</v>
      </c>
      <c r="J1776" s="66"/>
      <c r="K1776" s="66"/>
      <c r="L1776" s="68"/>
      <c r="M1776" s="63" t="str">
        <f>HYPERLINK("http://nsgreg.nga.mil/genc/view?v=864275&amp;end_month=12&amp;end_day=31&amp;end_year=2016","Correlation")</f>
        <v>Correlation</v>
      </c>
    </row>
    <row r="1777" spans="1:13" x14ac:dyDescent="0.2">
      <c r="A1777" s="113"/>
      <c r="B1777" s="58" t="s">
        <v>5227</v>
      </c>
      <c r="C1777" s="58" t="s">
        <v>1413</v>
      </c>
      <c r="D1777" s="58" t="s">
        <v>5228</v>
      </c>
      <c r="E1777" s="60" t="b">
        <v>1</v>
      </c>
      <c r="F1777" s="80" t="s">
        <v>728</v>
      </c>
      <c r="G1777" s="58" t="s">
        <v>5227</v>
      </c>
      <c r="H1777" s="58" t="s">
        <v>1413</v>
      </c>
      <c r="I1777" s="64" t="s">
        <v>5228</v>
      </c>
      <c r="J1777" s="66"/>
      <c r="K1777" s="66"/>
      <c r="L1777" s="68"/>
      <c r="M1777" s="63" t="str">
        <f>HYPERLINK("http://nsgreg.nga.mil/genc/view?v=864276&amp;end_month=12&amp;end_day=31&amp;end_year=2016","Correlation")</f>
        <v>Correlation</v>
      </c>
    </row>
    <row r="1778" spans="1:13" x14ac:dyDescent="0.2">
      <c r="A1778" s="113"/>
      <c r="B1778" s="58" t="s">
        <v>5229</v>
      </c>
      <c r="C1778" s="58" t="s">
        <v>1413</v>
      </c>
      <c r="D1778" s="58" t="s">
        <v>5230</v>
      </c>
      <c r="E1778" s="60" t="b">
        <v>1</v>
      </c>
      <c r="F1778" s="80" t="s">
        <v>728</v>
      </c>
      <c r="G1778" s="58" t="s">
        <v>5229</v>
      </c>
      <c r="H1778" s="58" t="s">
        <v>1413</v>
      </c>
      <c r="I1778" s="64" t="s">
        <v>5230</v>
      </c>
      <c r="J1778" s="66"/>
      <c r="K1778" s="66"/>
      <c r="L1778" s="68"/>
      <c r="M1778" s="63" t="str">
        <f>HYPERLINK("http://nsgreg.nga.mil/genc/view?v=864277&amp;end_month=12&amp;end_day=31&amp;end_year=2016","Correlation")</f>
        <v>Correlation</v>
      </c>
    </row>
    <row r="1779" spans="1:13" x14ac:dyDescent="0.2">
      <c r="A1779" s="113"/>
      <c r="B1779" s="58" t="s">
        <v>5231</v>
      </c>
      <c r="C1779" s="58" t="s">
        <v>1413</v>
      </c>
      <c r="D1779" s="58" t="s">
        <v>5232</v>
      </c>
      <c r="E1779" s="60" t="b">
        <v>1</v>
      </c>
      <c r="F1779" s="80" t="s">
        <v>728</v>
      </c>
      <c r="G1779" s="58" t="s">
        <v>5231</v>
      </c>
      <c r="H1779" s="58" t="s">
        <v>1413</v>
      </c>
      <c r="I1779" s="64" t="s">
        <v>5232</v>
      </c>
      <c r="J1779" s="66"/>
      <c r="K1779" s="66"/>
      <c r="L1779" s="68"/>
      <c r="M1779" s="63" t="str">
        <f>HYPERLINK("http://nsgreg.nga.mil/genc/view?v=864285&amp;end_month=12&amp;end_day=31&amp;end_year=2016","Correlation")</f>
        <v>Correlation</v>
      </c>
    </row>
    <row r="1780" spans="1:13" x14ac:dyDescent="0.2">
      <c r="A1780" s="113"/>
      <c r="B1780" s="58" t="s">
        <v>5233</v>
      </c>
      <c r="C1780" s="58" t="s">
        <v>1728</v>
      </c>
      <c r="D1780" s="58" t="s">
        <v>5234</v>
      </c>
      <c r="E1780" s="60" t="b">
        <v>1</v>
      </c>
      <c r="F1780" s="80" t="s">
        <v>728</v>
      </c>
      <c r="G1780" s="58" t="s">
        <v>5233</v>
      </c>
      <c r="H1780" s="58" t="s">
        <v>1728</v>
      </c>
      <c r="I1780" s="64" t="s">
        <v>5234</v>
      </c>
      <c r="J1780" s="66"/>
      <c r="K1780" s="66"/>
      <c r="L1780" s="68"/>
      <c r="M1780" s="63" t="str">
        <f>HYPERLINK("http://nsgreg.nga.mil/genc/view?v=864264&amp;end_month=12&amp;end_day=31&amp;end_year=2016","Correlation")</f>
        <v>Correlation</v>
      </c>
    </row>
    <row r="1781" spans="1:13" x14ac:dyDescent="0.2">
      <c r="A1781" s="113"/>
      <c r="B1781" s="58" t="s">
        <v>5235</v>
      </c>
      <c r="C1781" s="58" t="s">
        <v>1413</v>
      </c>
      <c r="D1781" s="58" t="s">
        <v>5236</v>
      </c>
      <c r="E1781" s="60" t="b">
        <v>1</v>
      </c>
      <c r="F1781" s="80" t="s">
        <v>728</v>
      </c>
      <c r="G1781" s="58" t="s">
        <v>5235</v>
      </c>
      <c r="H1781" s="58" t="s">
        <v>1413</v>
      </c>
      <c r="I1781" s="64" t="s">
        <v>5236</v>
      </c>
      <c r="J1781" s="66"/>
      <c r="K1781" s="66"/>
      <c r="L1781" s="68"/>
      <c r="M1781" s="63" t="str">
        <f>HYPERLINK("http://nsgreg.nga.mil/genc/view?v=864280&amp;end_month=12&amp;end_day=31&amp;end_year=2016","Correlation")</f>
        <v>Correlation</v>
      </c>
    </row>
    <row r="1782" spans="1:13" x14ac:dyDescent="0.2">
      <c r="A1782" s="113"/>
      <c r="B1782" s="58" t="s">
        <v>5237</v>
      </c>
      <c r="C1782" s="58" t="s">
        <v>1413</v>
      </c>
      <c r="D1782" s="58" t="s">
        <v>5238</v>
      </c>
      <c r="E1782" s="60" t="b">
        <v>1</v>
      </c>
      <c r="F1782" s="80" t="s">
        <v>728</v>
      </c>
      <c r="G1782" s="58" t="s">
        <v>5237</v>
      </c>
      <c r="H1782" s="58" t="s">
        <v>1413</v>
      </c>
      <c r="I1782" s="64" t="s">
        <v>5238</v>
      </c>
      <c r="J1782" s="66"/>
      <c r="K1782" s="66"/>
      <c r="L1782" s="68"/>
      <c r="M1782" s="63" t="str">
        <f>HYPERLINK("http://nsgreg.nga.mil/genc/view?v=864281&amp;end_month=12&amp;end_day=31&amp;end_year=2016","Correlation")</f>
        <v>Correlation</v>
      </c>
    </row>
    <row r="1783" spans="1:13" x14ac:dyDescent="0.2">
      <c r="A1783" s="113"/>
      <c r="B1783" s="58" t="s">
        <v>5239</v>
      </c>
      <c r="C1783" s="58" t="s">
        <v>1413</v>
      </c>
      <c r="D1783" s="58" t="s">
        <v>5240</v>
      </c>
      <c r="E1783" s="60" t="b">
        <v>1</v>
      </c>
      <c r="F1783" s="80" t="s">
        <v>728</v>
      </c>
      <c r="G1783" s="58" t="s">
        <v>5239</v>
      </c>
      <c r="H1783" s="58" t="s">
        <v>1413</v>
      </c>
      <c r="I1783" s="64" t="s">
        <v>5240</v>
      </c>
      <c r="J1783" s="66"/>
      <c r="K1783" s="66"/>
      <c r="L1783" s="68"/>
      <c r="M1783" s="63" t="str">
        <f>HYPERLINK("http://nsgreg.nga.mil/genc/view?v=864278&amp;end_month=12&amp;end_day=31&amp;end_year=2016","Correlation")</f>
        <v>Correlation</v>
      </c>
    </row>
    <row r="1784" spans="1:13" x14ac:dyDescent="0.2">
      <c r="A1784" s="113"/>
      <c r="B1784" s="58" t="s">
        <v>5241</v>
      </c>
      <c r="C1784" s="58" t="s">
        <v>1413</v>
      </c>
      <c r="D1784" s="58" t="s">
        <v>5242</v>
      </c>
      <c r="E1784" s="60" t="b">
        <v>1</v>
      </c>
      <c r="F1784" s="80" t="s">
        <v>728</v>
      </c>
      <c r="G1784" s="58" t="s">
        <v>5241</v>
      </c>
      <c r="H1784" s="58" t="s">
        <v>1413</v>
      </c>
      <c r="I1784" s="64" t="s">
        <v>5242</v>
      </c>
      <c r="J1784" s="66"/>
      <c r="K1784" s="66"/>
      <c r="L1784" s="68"/>
      <c r="M1784" s="63" t="str">
        <f>HYPERLINK("http://nsgreg.nga.mil/genc/view?v=864279&amp;end_month=12&amp;end_day=31&amp;end_year=2016","Correlation")</f>
        <v>Correlation</v>
      </c>
    </row>
    <row r="1785" spans="1:13" x14ac:dyDescent="0.2">
      <c r="A1785" s="113"/>
      <c r="B1785" s="58" t="s">
        <v>5243</v>
      </c>
      <c r="C1785" s="58" t="s">
        <v>1413</v>
      </c>
      <c r="D1785" s="58" t="s">
        <v>5244</v>
      </c>
      <c r="E1785" s="60" t="b">
        <v>1</v>
      </c>
      <c r="F1785" s="80" t="s">
        <v>728</v>
      </c>
      <c r="G1785" s="58" t="s">
        <v>5243</v>
      </c>
      <c r="H1785" s="58" t="s">
        <v>1413</v>
      </c>
      <c r="I1785" s="64" t="s">
        <v>5244</v>
      </c>
      <c r="J1785" s="66"/>
      <c r="K1785" s="66"/>
      <c r="L1785" s="68"/>
      <c r="M1785" s="63" t="str">
        <f>HYPERLINK("http://nsgreg.nga.mil/genc/view?v=864282&amp;end_month=12&amp;end_day=31&amp;end_year=2016","Correlation")</f>
        <v>Correlation</v>
      </c>
    </row>
    <row r="1786" spans="1:13" x14ac:dyDescent="0.2">
      <c r="A1786" s="113"/>
      <c r="B1786" s="58" t="s">
        <v>5245</v>
      </c>
      <c r="C1786" s="58" t="s">
        <v>1413</v>
      </c>
      <c r="D1786" s="58" t="s">
        <v>5246</v>
      </c>
      <c r="E1786" s="60" t="b">
        <v>1</v>
      </c>
      <c r="F1786" s="80" t="s">
        <v>728</v>
      </c>
      <c r="G1786" s="58" t="s">
        <v>5245</v>
      </c>
      <c r="H1786" s="58" t="s">
        <v>1413</v>
      </c>
      <c r="I1786" s="64" t="s">
        <v>5246</v>
      </c>
      <c r="J1786" s="66"/>
      <c r="K1786" s="66"/>
      <c r="L1786" s="68"/>
      <c r="M1786" s="63" t="str">
        <f>HYPERLINK("http://nsgreg.nga.mil/genc/view?v=864286&amp;end_month=12&amp;end_day=31&amp;end_year=2016","Correlation")</f>
        <v>Correlation</v>
      </c>
    </row>
    <row r="1787" spans="1:13" x14ac:dyDescent="0.2">
      <c r="A1787" s="113"/>
      <c r="B1787" s="58" t="s">
        <v>5247</v>
      </c>
      <c r="C1787" s="58" t="s">
        <v>1413</v>
      </c>
      <c r="D1787" s="58" t="s">
        <v>5248</v>
      </c>
      <c r="E1787" s="60" t="b">
        <v>1</v>
      </c>
      <c r="F1787" s="80" t="s">
        <v>728</v>
      </c>
      <c r="G1787" s="58" t="s">
        <v>5247</v>
      </c>
      <c r="H1787" s="58" t="s">
        <v>1413</v>
      </c>
      <c r="I1787" s="64" t="s">
        <v>5248</v>
      </c>
      <c r="J1787" s="66"/>
      <c r="K1787" s="66"/>
      <c r="L1787" s="68"/>
      <c r="M1787" s="63" t="str">
        <f>HYPERLINK("http://nsgreg.nga.mil/genc/view?v=864284&amp;end_month=12&amp;end_day=31&amp;end_year=2016","Correlation")</f>
        <v>Correlation</v>
      </c>
    </row>
    <row r="1788" spans="1:13" x14ac:dyDescent="0.2">
      <c r="A1788" s="113"/>
      <c r="B1788" s="58" t="s">
        <v>5249</v>
      </c>
      <c r="C1788" s="58" t="s">
        <v>1413</v>
      </c>
      <c r="D1788" s="58" t="s">
        <v>5250</v>
      </c>
      <c r="E1788" s="60" t="b">
        <v>1</v>
      </c>
      <c r="F1788" s="80" t="s">
        <v>728</v>
      </c>
      <c r="G1788" s="58" t="s">
        <v>5249</v>
      </c>
      <c r="H1788" s="58" t="s">
        <v>1413</v>
      </c>
      <c r="I1788" s="64" t="s">
        <v>5250</v>
      </c>
      <c r="J1788" s="66"/>
      <c r="K1788" s="66"/>
      <c r="L1788" s="68"/>
      <c r="M1788" s="63" t="str">
        <f>HYPERLINK("http://nsgreg.nga.mil/genc/view?v=864283&amp;end_month=12&amp;end_day=31&amp;end_year=2016","Correlation")</f>
        <v>Correlation</v>
      </c>
    </row>
    <row r="1789" spans="1:13" x14ac:dyDescent="0.2">
      <c r="A1789" s="113"/>
      <c r="B1789" s="58" t="s">
        <v>5251</v>
      </c>
      <c r="C1789" s="58" t="s">
        <v>1413</v>
      </c>
      <c r="D1789" s="58" t="s">
        <v>5252</v>
      </c>
      <c r="E1789" s="60" t="b">
        <v>1</v>
      </c>
      <c r="F1789" s="80" t="s">
        <v>728</v>
      </c>
      <c r="G1789" s="58" t="s">
        <v>5251</v>
      </c>
      <c r="H1789" s="58" t="s">
        <v>1413</v>
      </c>
      <c r="I1789" s="64" t="s">
        <v>5252</v>
      </c>
      <c r="J1789" s="66"/>
      <c r="K1789" s="66"/>
      <c r="L1789" s="68"/>
      <c r="M1789" s="63" t="str">
        <f>HYPERLINK("http://nsgreg.nga.mil/genc/view?v=864287&amp;end_month=12&amp;end_day=31&amp;end_year=2016","Correlation")</f>
        <v>Correlation</v>
      </c>
    </row>
    <row r="1790" spans="1:13" x14ac:dyDescent="0.2">
      <c r="A1790" s="113"/>
      <c r="B1790" s="58" t="s">
        <v>5253</v>
      </c>
      <c r="C1790" s="58" t="s">
        <v>1728</v>
      </c>
      <c r="D1790" s="58" t="s">
        <v>5254</v>
      </c>
      <c r="E1790" s="60" t="b">
        <v>1</v>
      </c>
      <c r="F1790" s="80" t="s">
        <v>728</v>
      </c>
      <c r="G1790" s="58" t="s">
        <v>5253</v>
      </c>
      <c r="H1790" s="58" t="s">
        <v>1728</v>
      </c>
      <c r="I1790" s="64" t="s">
        <v>5254</v>
      </c>
      <c r="J1790" s="66"/>
      <c r="K1790" s="66"/>
      <c r="L1790" s="68"/>
      <c r="M1790" s="63" t="str">
        <f>HYPERLINK("http://nsgreg.nga.mil/genc/view?v=864265&amp;end_month=12&amp;end_day=31&amp;end_year=2016","Correlation")</f>
        <v>Correlation</v>
      </c>
    </row>
    <row r="1791" spans="1:13" x14ac:dyDescent="0.2">
      <c r="A1791" s="113"/>
      <c r="B1791" s="58" t="s">
        <v>5255</v>
      </c>
      <c r="C1791" s="58" t="s">
        <v>1413</v>
      </c>
      <c r="D1791" s="58" t="s">
        <v>5256</v>
      </c>
      <c r="E1791" s="60" t="b">
        <v>1</v>
      </c>
      <c r="F1791" s="80" t="s">
        <v>728</v>
      </c>
      <c r="G1791" s="58" t="s">
        <v>5255</v>
      </c>
      <c r="H1791" s="58" t="s">
        <v>1413</v>
      </c>
      <c r="I1791" s="64" t="s">
        <v>5256</v>
      </c>
      <c r="J1791" s="66"/>
      <c r="K1791" s="66"/>
      <c r="L1791" s="68"/>
      <c r="M1791" s="63" t="str">
        <f>HYPERLINK("http://nsgreg.nga.mil/genc/view?v=864292&amp;end_month=12&amp;end_day=31&amp;end_year=2016","Correlation")</f>
        <v>Correlation</v>
      </c>
    </row>
    <row r="1792" spans="1:13" x14ac:dyDescent="0.2">
      <c r="A1792" s="113"/>
      <c r="B1792" s="58" t="s">
        <v>5257</v>
      </c>
      <c r="C1792" s="58" t="s">
        <v>1728</v>
      </c>
      <c r="D1792" s="58" t="s">
        <v>5258</v>
      </c>
      <c r="E1792" s="60" t="b">
        <v>1</v>
      </c>
      <c r="F1792" s="80" t="s">
        <v>728</v>
      </c>
      <c r="G1792" s="58" t="s">
        <v>5257</v>
      </c>
      <c r="H1792" s="58" t="s">
        <v>1728</v>
      </c>
      <c r="I1792" s="64" t="s">
        <v>5258</v>
      </c>
      <c r="J1792" s="66"/>
      <c r="K1792" s="66"/>
      <c r="L1792" s="68"/>
      <c r="M1792" s="63" t="str">
        <f>HYPERLINK("http://nsgreg.nga.mil/genc/view?v=864262&amp;end_month=12&amp;end_day=31&amp;end_year=2016","Correlation")</f>
        <v>Correlation</v>
      </c>
    </row>
    <row r="1793" spans="1:13" x14ac:dyDescent="0.2">
      <c r="A1793" s="113"/>
      <c r="B1793" s="58" t="s">
        <v>5259</v>
      </c>
      <c r="C1793" s="58" t="s">
        <v>1413</v>
      </c>
      <c r="D1793" s="58" t="s">
        <v>5260</v>
      </c>
      <c r="E1793" s="60" t="b">
        <v>1</v>
      </c>
      <c r="F1793" s="80" t="s">
        <v>728</v>
      </c>
      <c r="G1793" s="58" t="s">
        <v>5259</v>
      </c>
      <c r="H1793" s="58" t="s">
        <v>1413</v>
      </c>
      <c r="I1793" s="64" t="s">
        <v>5260</v>
      </c>
      <c r="J1793" s="66"/>
      <c r="K1793" s="66"/>
      <c r="L1793" s="68"/>
      <c r="M1793" s="63" t="str">
        <f>HYPERLINK("http://nsgreg.nga.mil/genc/view?v=864288&amp;end_month=12&amp;end_day=31&amp;end_year=2016","Correlation")</f>
        <v>Correlation</v>
      </c>
    </row>
    <row r="1794" spans="1:13" x14ac:dyDescent="0.2">
      <c r="A1794" s="113"/>
      <c r="B1794" s="58" t="s">
        <v>5261</v>
      </c>
      <c r="C1794" s="58" t="s">
        <v>1413</v>
      </c>
      <c r="D1794" s="58" t="s">
        <v>5262</v>
      </c>
      <c r="E1794" s="60" t="b">
        <v>1</v>
      </c>
      <c r="F1794" s="80" t="s">
        <v>728</v>
      </c>
      <c r="G1794" s="58" t="s">
        <v>5261</v>
      </c>
      <c r="H1794" s="58" t="s">
        <v>1413</v>
      </c>
      <c r="I1794" s="64" t="s">
        <v>5262</v>
      </c>
      <c r="J1794" s="66"/>
      <c r="K1794" s="66"/>
      <c r="L1794" s="68"/>
      <c r="M1794" s="63" t="str">
        <f>HYPERLINK("http://nsgreg.nga.mil/genc/view?v=864291&amp;end_month=12&amp;end_day=31&amp;end_year=2016","Correlation")</f>
        <v>Correlation</v>
      </c>
    </row>
    <row r="1795" spans="1:13" x14ac:dyDescent="0.2">
      <c r="A1795" s="113"/>
      <c r="B1795" s="58" t="s">
        <v>5263</v>
      </c>
      <c r="C1795" s="58" t="s">
        <v>1413</v>
      </c>
      <c r="D1795" s="58" t="s">
        <v>5264</v>
      </c>
      <c r="E1795" s="60" t="b">
        <v>1</v>
      </c>
      <c r="F1795" s="80" t="s">
        <v>728</v>
      </c>
      <c r="G1795" s="58" t="s">
        <v>5263</v>
      </c>
      <c r="H1795" s="58" t="s">
        <v>1413</v>
      </c>
      <c r="I1795" s="64" t="s">
        <v>5264</v>
      </c>
      <c r="J1795" s="66"/>
      <c r="K1795" s="66"/>
      <c r="L1795" s="68"/>
      <c r="M1795" s="63" t="str">
        <f>HYPERLINK("http://nsgreg.nga.mil/genc/view?v=864289&amp;end_month=12&amp;end_day=31&amp;end_year=2016","Correlation")</f>
        <v>Correlation</v>
      </c>
    </row>
    <row r="1796" spans="1:13" x14ac:dyDescent="0.2">
      <c r="A1796" s="113"/>
      <c r="B1796" s="58" t="s">
        <v>5265</v>
      </c>
      <c r="C1796" s="58" t="s">
        <v>1413</v>
      </c>
      <c r="D1796" s="58" t="s">
        <v>5266</v>
      </c>
      <c r="E1796" s="60" t="b">
        <v>1</v>
      </c>
      <c r="F1796" s="80" t="s">
        <v>728</v>
      </c>
      <c r="G1796" s="58" t="s">
        <v>5265</v>
      </c>
      <c r="H1796" s="58" t="s">
        <v>1413</v>
      </c>
      <c r="I1796" s="64" t="s">
        <v>5266</v>
      </c>
      <c r="J1796" s="66"/>
      <c r="K1796" s="66"/>
      <c r="L1796" s="68"/>
      <c r="M1796" s="63" t="str">
        <f>HYPERLINK("http://nsgreg.nga.mil/genc/view?v=864297&amp;end_month=12&amp;end_day=31&amp;end_year=2016","Correlation")</f>
        <v>Correlation</v>
      </c>
    </row>
    <row r="1797" spans="1:13" x14ac:dyDescent="0.2">
      <c r="A1797" s="113"/>
      <c r="B1797" s="58" t="s">
        <v>5267</v>
      </c>
      <c r="C1797" s="58" t="s">
        <v>1413</v>
      </c>
      <c r="D1797" s="58" t="s">
        <v>5268</v>
      </c>
      <c r="E1797" s="60" t="b">
        <v>1</v>
      </c>
      <c r="F1797" s="80" t="s">
        <v>728</v>
      </c>
      <c r="G1797" s="58" t="s">
        <v>5267</v>
      </c>
      <c r="H1797" s="58" t="s">
        <v>1413</v>
      </c>
      <c r="I1797" s="64" t="s">
        <v>5268</v>
      </c>
      <c r="J1797" s="66"/>
      <c r="K1797" s="66"/>
      <c r="L1797" s="68"/>
      <c r="M1797" s="63" t="str">
        <f>HYPERLINK("http://nsgreg.nga.mil/genc/view?v=864298&amp;end_month=12&amp;end_day=31&amp;end_year=2016","Correlation")</f>
        <v>Correlation</v>
      </c>
    </row>
    <row r="1798" spans="1:13" x14ac:dyDescent="0.2">
      <c r="A1798" s="113"/>
      <c r="B1798" s="58" t="s">
        <v>5269</v>
      </c>
      <c r="C1798" s="58" t="s">
        <v>1413</v>
      </c>
      <c r="D1798" s="58" t="s">
        <v>5270</v>
      </c>
      <c r="E1798" s="60" t="b">
        <v>1</v>
      </c>
      <c r="F1798" s="80" t="s">
        <v>728</v>
      </c>
      <c r="G1798" s="58" t="s">
        <v>5269</v>
      </c>
      <c r="H1798" s="58" t="s">
        <v>1413</v>
      </c>
      <c r="I1798" s="64" t="s">
        <v>5270</v>
      </c>
      <c r="J1798" s="66"/>
      <c r="K1798" s="66"/>
      <c r="L1798" s="68"/>
      <c r="M1798" s="63" t="str">
        <f>HYPERLINK("http://nsgreg.nga.mil/genc/view?v=864290&amp;end_month=12&amp;end_day=31&amp;end_year=2016","Correlation")</f>
        <v>Correlation</v>
      </c>
    </row>
    <row r="1799" spans="1:13" x14ac:dyDescent="0.2">
      <c r="A1799" s="113"/>
      <c r="B1799" s="58" t="s">
        <v>5271</v>
      </c>
      <c r="C1799" s="58" t="s">
        <v>1413</v>
      </c>
      <c r="D1799" s="58" t="s">
        <v>5272</v>
      </c>
      <c r="E1799" s="60" t="b">
        <v>1</v>
      </c>
      <c r="F1799" s="80" t="s">
        <v>728</v>
      </c>
      <c r="G1799" s="58" t="s">
        <v>5271</v>
      </c>
      <c r="H1799" s="58" t="s">
        <v>1413</v>
      </c>
      <c r="I1799" s="64" t="s">
        <v>5272</v>
      </c>
      <c r="J1799" s="66"/>
      <c r="K1799" s="66"/>
      <c r="L1799" s="68"/>
      <c r="M1799" s="63" t="str">
        <f>HYPERLINK("http://nsgreg.nga.mil/genc/view?v=864294&amp;end_month=12&amp;end_day=31&amp;end_year=2016","Correlation")</f>
        <v>Correlation</v>
      </c>
    </row>
    <row r="1800" spans="1:13" x14ac:dyDescent="0.2">
      <c r="A1800" s="113"/>
      <c r="B1800" s="58" t="s">
        <v>5273</v>
      </c>
      <c r="C1800" s="58" t="s">
        <v>1413</v>
      </c>
      <c r="D1800" s="58" t="s">
        <v>5274</v>
      </c>
      <c r="E1800" s="60" t="b">
        <v>1</v>
      </c>
      <c r="F1800" s="80" t="s">
        <v>728</v>
      </c>
      <c r="G1800" s="58" t="s">
        <v>5273</v>
      </c>
      <c r="H1800" s="58" t="s">
        <v>1413</v>
      </c>
      <c r="I1800" s="64" t="s">
        <v>5274</v>
      </c>
      <c r="J1800" s="66"/>
      <c r="K1800" s="66"/>
      <c r="L1800" s="68"/>
      <c r="M1800" s="63" t="str">
        <f>HYPERLINK("http://nsgreg.nga.mil/genc/view?v=864296&amp;end_month=12&amp;end_day=31&amp;end_year=2016","Correlation")</f>
        <v>Correlation</v>
      </c>
    </row>
    <row r="1801" spans="1:13" x14ac:dyDescent="0.2">
      <c r="A1801" s="113"/>
      <c r="B1801" s="58" t="s">
        <v>5275</v>
      </c>
      <c r="C1801" s="58" t="s">
        <v>1413</v>
      </c>
      <c r="D1801" s="58" t="s">
        <v>5276</v>
      </c>
      <c r="E1801" s="60" t="b">
        <v>1</v>
      </c>
      <c r="F1801" s="80" t="s">
        <v>728</v>
      </c>
      <c r="G1801" s="58" t="s">
        <v>5275</v>
      </c>
      <c r="H1801" s="58" t="s">
        <v>1413</v>
      </c>
      <c r="I1801" s="64" t="s">
        <v>5276</v>
      </c>
      <c r="J1801" s="66"/>
      <c r="K1801" s="66"/>
      <c r="L1801" s="68"/>
      <c r="M1801" s="63" t="str">
        <f>HYPERLINK("http://nsgreg.nga.mil/genc/view?v=864295&amp;end_month=12&amp;end_day=31&amp;end_year=2016","Correlation")</f>
        <v>Correlation</v>
      </c>
    </row>
    <row r="1802" spans="1:13" x14ac:dyDescent="0.2">
      <c r="A1802" s="113"/>
      <c r="B1802" s="58" t="s">
        <v>5277</v>
      </c>
      <c r="C1802" s="58" t="s">
        <v>1413</v>
      </c>
      <c r="D1802" s="58" t="s">
        <v>5278</v>
      </c>
      <c r="E1802" s="60" t="b">
        <v>1</v>
      </c>
      <c r="F1802" s="80" t="s">
        <v>728</v>
      </c>
      <c r="G1802" s="58" t="s">
        <v>5277</v>
      </c>
      <c r="H1802" s="58" t="s">
        <v>1413</v>
      </c>
      <c r="I1802" s="64" t="s">
        <v>5278</v>
      </c>
      <c r="J1802" s="66"/>
      <c r="K1802" s="66"/>
      <c r="L1802" s="68"/>
      <c r="M1802" s="63" t="str">
        <f>HYPERLINK("http://nsgreg.nga.mil/genc/view?v=864311&amp;end_month=12&amp;end_day=31&amp;end_year=2016","Correlation")</f>
        <v>Correlation</v>
      </c>
    </row>
    <row r="1803" spans="1:13" x14ac:dyDescent="0.2">
      <c r="A1803" s="113"/>
      <c r="B1803" s="58" t="s">
        <v>5279</v>
      </c>
      <c r="C1803" s="58" t="s">
        <v>1413</v>
      </c>
      <c r="D1803" s="58" t="s">
        <v>5280</v>
      </c>
      <c r="E1803" s="60" t="b">
        <v>1</v>
      </c>
      <c r="F1803" s="80" t="s">
        <v>728</v>
      </c>
      <c r="G1803" s="58" t="s">
        <v>5279</v>
      </c>
      <c r="H1803" s="58" t="s">
        <v>1413</v>
      </c>
      <c r="I1803" s="64" t="s">
        <v>5280</v>
      </c>
      <c r="J1803" s="66"/>
      <c r="K1803" s="66"/>
      <c r="L1803" s="68"/>
      <c r="M1803" s="63" t="str">
        <f>HYPERLINK("http://nsgreg.nga.mil/genc/view?v=864293&amp;end_month=12&amp;end_day=31&amp;end_year=2016","Correlation")</f>
        <v>Correlation</v>
      </c>
    </row>
    <row r="1804" spans="1:13" x14ac:dyDescent="0.2">
      <c r="A1804" s="113"/>
      <c r="B1804" s="58" t="s">
        <v>5281</v>
      </c>
      <c r="C1804" s="58" t="s">
        <v>1728</v>
      </c>
      <c r="D1804" s="58" t="s">
        <v>5282</v>
      </c>
      <c r="E1804" s="60" t="b">
        <v>1</v>
      </c>
      <c r="F1804" s="80" t="s">
        <v>728</v>
      </c>
      <c r="G1804" s="58" t="s">
        <v>5281</v>
      </c>
      <c r="H1804" s="58" t="s">
        <v>1728</v>
      </c>
      <c r="I1804" s="64" t="s">
        <v>5282</v>
      </c>
      <c r="J1804" s="66"/>
      <c r="K1804" s="66"/>
      <c r="L1804" s="68"/>
      <c r="M1804" s="63" t="str">
        <f>HYPERLINK("http://nsgreg.nga.mil/genc/view?v=864255&amp;end_month=12&amp;end_day=31&amp;end_year=2016","Correlation")</f>
        <v>Correlation</v>
      </c>
    </row>
    <row r="1805" spans="1:13" x14ac:dyDescent="0.2">
      <c r="A1805" s="113"/>
      <c r="B1805" s="58" t="s">
        <v>5283</v>
      </c>
      <c r="C1805" s="58" t="s">
        <v>1413</v>
      </c>
      <c r="D1805" s="58" t="s">
        <v>5284</v>
      </c>
      <c r="E1805" s="60" t="b">
        <v>1</v>
      </c>
      <c r="F1805" s="80" t="s">
        <v>728</v>
      </c>
      <c r="G1805" s="58" t="s">
        <v>5283</v>
      </c>
      <c r="H1805" s="58" t="s">
        <v>1413</v>
      </c>
      <c r="I1805" s="64" t="s">
        <v>5284</v>
      </c>
      <c r="J1805" s="66"/>
      <c r="K1805" s="66"/>
      <c r="L1805" s="68"/>
      <c r="M1805" s="63" t="str">
        <f>HYPERLINK("http://nsgreg.nga.mil/genc/view?v=864299&amp;end_month=12&amp;end_day=31&amp;end_year=2016","Correlation")</f>
        <v>Correlation</v>
      </c>
    </row>
    <row r="1806" spans="1:13" x14ac:dyDescent="0.2">
      <c r="A1806" s="113"/>
      <c r="B1806" s="58" t="s">
        <v>5285</v>
      </c>
      <c r="C1806" s="58" t="s">
        <v>1413</v>
      </c>
      <c r="D1806" s="58" t="s">
        <v>5286</v>
      </c>
      <c r="E1806" s="60" t="b">
        <v>1</v>
      </c>
      <c r="F1806" s="80" t="s">
        <v>728</v>
      </c>
      <c r="G1806" s="58" t="s">
        <v>5285</v>
      </c>
      <c r="H1806" s="58" t="s">
        <v>1413</v>
      </c>
      <c r="I1806" s="64" t="s">
        <v>5286</v>
      </c>
      <c r="J1806" s="66"/>
      <c r="K1806" s="66"/>
      <c r="L1806" s="68"/>
      <c r="M1806" s="63" t="str">
        <f>HYPERLINK("http://nsgreg.nga.mil/genc/view?v=864304&amp;end_month=12&amp;end_day=31&amp;end_year=2016","Correlation")</f>
        <v>Correlation</v>
      </c>
    </row>
    <row r="1807" spans="1:13" x14ac:dyDescent="0.2">
      <c r="A1807" s="113"/>
      <c r="B1807" s="58" t="s">
        <v>5287</v>
      </c>
      <c r="C1807" s="58" t="s">
        <v>1413</v>
      </c>
      <c r="D1807" s="58" t="s">
        <v>5288</v>
      </c>
      <c r="E1807" s="60" t="b">
        <v>1</v>
      </c>
      <c r="F1807" s="80" t="s">
        <v>728</v>
      </c>
      <c r="G1807" s="58" t="s">
        <v>5287</v>
      </c>
      <c r="H1807" s="58" t="s">
        <v>1413</v>
      </c>
      <c r="I1807" s="64" t="s">
        <v>5288</v>
      </c>
      <c r="J1807" s="66"/>
      <c r="K1807" s="66"/>
      <c r="L1807" s="68"/>
      <c r="M1807" s="63" t="str">
        <f>HYPERLINK("http://nsgreg.nga.mil/genc/view?v=864301&amp;end_month=12&amp;end_day=31&amp;end_year=2016","Correlation")</f>
        <v>Correlation</v>
      </c>
    </row>
    <row r="1808" spans="1:13" x14ac:dyDescent="0.2">
      <c r="A1808" s="113"/>
      <c r="B1808" s="58" t="s">
        <v>5289</v>
      </c>
      <c r="C1808" s="58" t="s">
        <v>1413</v>
      </c>
      <c r="D1808" s="58" t="s">
        <v>5290</v>
      </c>
      <c r="E1808" s="60" t="b">
        <v>1</v>
      </c>
      <c r="F1808" s="80" t="s">
        <v>728</v>
      </c>
      <c r="G1808" s="58" t="s">
        <v>5289</v>
      </c>
      <c r="H1808" s="58" t="s">
        <v>1413</v>
      </c>
      <c r="I1808" s="64" t="s">
        <v>5290</v>
      </c>
      <c r="J1808" s="66"/>
      <c r="K1808" s="66"/>
      <c r="L1808" s="68"/>
      <c r="M1808" s="63" t="str">
        <f>HYPERLINK("http://nsgreg.nga.mil/genc/view?v=864303&amp;end_month=12&amp;end_day=31&amp;end_year=2016","Correlation")</f>
        <v>Correlation</v>
      </c>
    </row>
    <row r="1809" spans="1:13" x14ac:dyDescent="0.2">
      <c r="A1809" s="113"/>
      <c r="B1809" s="58" t="s">
        <v>5291</v>
      </c>
      <c r="C1809" s="58" t="s">
        <v>1413</v>
      </c>
      <c r="D1809" s="58" t="s">
        <v>5292</v>
      </c>
      <c r="E1809" s="60" t="b">
        <v>1</v>
      </c>
      <c r="F1809" s="80" t="s">
        <v>728</v>
      </c>
      <c r="G1809" s="58" t="s">
        <v>5291</v>
      </c>
      <c r="H1809" s="58" t="s">
        <v>1413</v>
      </c>
      <c r="I1809" s="64" t="s">
        <v>5292</v>
      </c>
      <c r="J1809" s="66"/>
      <c r="K1809" s="66"/>
      <c r="L1809" s="68"/>
      <c r="M1809" s="63" t="str">
        <f>HYPERLINK("http://nsgreg.nga.mil/genc/view?v=864302&amp;end_month=12&amp;end_day=31&amp;end_year=2016","Correlation")</f>
        <v>Correlation</v>
      </c>
    </row>
    <row r="1810" spans="1:13" x14ac:dyDescent="0.2">
      <c r="A1810" s="113"/>
      <c r="B1810" s="58" t="s">
        <v>5293</v>
      </c>
      <c r="C1810" s="58" t="s">
        <v>1413</v>
      </c>
      <c r="D1810" s="58" t="s">
        <v>5294</v>
      </c>
      <c r="E1810" s="60" t="b">
        <v>1</v>
      </c>
      <c r="F1810" s="80" t="s">
        <v>728</v>
      </c>
      <c r="G1810" s="58" t="s">
        <v>5295</v>
      </c>
      <c r="H1810" s="58" t="s">
        <v>1413</v>
      </c>
      <c r="I1810" s="64" t="s">
        <v>5294</v>
      </c>
      <c r="J1810" s="66"/>
      <c r="K1810" s="66"/>
      <c r="L1810" s="68"/>
      <c r="M1810" s="63" t="str">
        <f>HYPERLINK("http://nsgreg.nga.mil/genc/view?v=864300&amp;end_month=12&amp;end_day=31&amp;end_year=2016","Correlation")</f>
        <v>Correlation</v>
      </c>
    </row>
    <row r="1811" spans="1:13" x14ac:dyDescent="0.2">
      <c r="A1811" s="113"/>
      <c r="B1811" s="58" t="s">
        <v>5296</v>
      </c>
      <c r="C1811" s="58" t="s">
        <v>1728</v>
      </c>
      <c r="D1811" s="58" t="s">
        <v>5297</v>
      </c>
      <c r="E1811" s="60" t="b">
        <v>1</v>
      </c>
      <c r="F1811" s="80" t="s">
        <v>728</v>
      </c>
      <c r="G1811" s="58" t="s">
        <v>5296</v>
      </c>
      <c r="H1811" s="58" t="s">
        <v>1728</v>
      </c>
      <c r="I1811" s="64" t="s">
        <v>5297</v>
      </c>
      <c r="J1811" s="66"/>
      <c r="K1811" s="66"/>
      <c r="L1811" s="68"/>
      <c r="M1811" s="63" t="str">
        <f>HYPERLINK("http://nsgreg.nga.mil/genc/view?v=864253&amp;end_month=12&amp;end_day=31&amp;end_year=2016","Correlation")</f>
        <v>Correlation</v>
      </c>
    </row>
    <row r="1812" spans="1:13" x14ac:dyDescent="0.2">
      <c r="A1812" s="113"/>
      <c r="B1812" s="58" t="s">
        <v>5298</v>
      </c>
      <c r="C1812" s="58" t="s">
        <v>1413</v>
      </c>
      <c r="D1812" s="58" t="s">
        <v>5299</v>
      </c>
      <c r="E1812" s="60" t="b">
        <v>1</v>
      </c>
      <c r="F1812" s="80" t="s">
        <v>728</v>
      </c>
      <c r="G1812" s="58" t="s">
        <v>5298</v>
      </c>
      <c r="H1812" s="58" t="s">
        <v>1413</v>
      </c>
      <c r="I1812" s="64" t="s">
        <v>5299</v>
      </c>
      <c r="J1812" s="66"/>
      <c r="K1812" s="66"/>
      <c r="L1812" s="68"/>
      <c r="M1812" s="63" t="str">
        <f>HYPERLINK("http://nsgreg.nga.mil/genc/view?v=864305&amp;end_month=12&amp;end_day=31&amp;end_year=2016","Correlation")</f>
        <v>Correlation</v>
      </c>
    </row>
    <row r="1813" spans="1:13" x14ac:dyDescent="0.2">
      <c r="A1813" s="113"/>
      <c r="B1813" s="58" t="s">
        <v>5300</v>
      </c>
      <c r="C1813" s="58" t="s">
        <v>1413</v>
      </c>
      <c r="D1813" s="58" t="s">
        <v>5301</v>
      </c>
      <c r="E1813" s="60" t="b">
        <v>1</v>
      </c>
      <c r="F1813" s="80" t="s">
        <v>728</v>
      </c>
      <c r="G1813" s="58" t="s">
        <v>5300</v>
      </c>
      <c r="H1813" s="58" t="s">
        <v>1413</v>
      </c>
      <c r="I1813" s="64" t="s">
        <v>5301</v>
      </c>
      <c r="J1813" s="66"/>
      <c r="K1813" s="66"/>
      <c r="L1813" s="68"/>
      <c r="M1813" s="63" t="str">
        <f>HYPERLINK("http://nsgreg.nga.mil/genc/view?v=864306&amp;end_month=12&amp;end_day=31&amp;end_year=2016","Correlation")</f>
        <v>Correlation</v>
      </c>
    </row>
    <row r="1814" spans="1:13" x14ac:dyDescent="0.2">
      <c r="A1814" s="113"/>
      <c r="B1814" s="58" t="s">
        <v>5302</v>
      </c>
      <c r="C1814" s="58" t="s">
        <v>1413</v>
      </c>
      <c r="D1814" s="58" t="s">
        <v>5303</v>
      </c>
      <c r="E1814" s="60" t="b">
        <v>1</v>
      </c>
      <c r="F1814" s="80" t="s">
        <v>728</v>
      </c>
      <c r="G1814" s="58" t="s">
        <v>5302</v>
      </c>
      <c r="H1814" s="58" t="s">
        <v>1413</v>
      </c>
      <c r="I1814" s="64" t="s">
        <v>5303</v>
      </c>
      <c r="J1814" s="66"/>
      <c r="K1814" s="66"/>
      <c r="L1814" s="68"/>
      <c r="M1814" s="63" t="str">
        <f>HYPERLINK("http://nsgreg.nga.mil/genc/view?v=864307&amp;end_month=12&amp;end_day=31&amp;end_year=2016","Correlation")</f>
        <v>Correlation</v>
      </c>
    </row>
    <row r="1815" spans="1:13" x14ac:dyDescent="0.2">
      <c r="A1815" s="113"/>
      <c r="B1815" s="58" t="s">
        <v>5304</v>
      </c>
      <c r="C1815" s="58" t="s">
        <v>1413</v>
      </c>
      <c r="D1815" s="58" t="s">
        <v>5305</v>
      </c>
      <c r="E1815" s="60" t="b">
        <v>1</v>
      </c>
      <c r="F1815" s="80" t="s">
        <v>728</v>
      </c>
      <c r="G1815" s="58" t="s">
        <v>5304</v>
      </c>
      <c r="H1815" s="58" t="s">
        <v>1413</v>
      </c>
      <c r="I1815" s="64" t="s">
        <v>5305</v>
      </c>
      <c r="J1815" s="66"/>
      <c r="K1815" s="66"/>
      <c r="L1815" s="68"/>
      <c r="M1815" s="63" t="str">
        <f>HYPERLINK("http://nsgreg.nga.mil/genc/view?v=864308&amp;end_month=12&amp;end_day=31&amp;end_year=2016","Correlation")</f>
        <v>Correlation</v>
      </c>
    </row>
    <row r="1816" spans="1:13" x14ac:dyDescent="0.2">
      <c r="A1816" s="113"/>
      <c r="B1816" s="58" t="s">
        <v>5306</v>
      </c>
      <c r="C1816" s="58" t="s">
        <v>1413</v>
      </c>
      <c r="D1816" s="58" t="s">
        <v>5307</v>
      </c>
      <c r="E1816" s="60" t="b">
        <v>1</v>
      </c>
      <c r="F1816" s="80" t="s">
        <v>728</v>
      </c>
      <c r="G1816" s="58" t="s">
        <v>5306</v>
      </c>
      <c r="H1816" s="58" t="s">
        <v>1413</v>
      </c>
      <c r="I1816" s="64" t="s">
        <v>5307</v>
      </c>
      <c r="J1816" s="66"/>
      <c r="K1816" s="66"/>
      <c r="L1816" s="68"/>
      <c r="M1816" s="63" t="str">
        <f>HYPERLINK("http://nsgreg.nga.mil/genc/view?v=864309&amp;end_month=12&amp;end_day=31&amp;end_year=2016","Correlation")</f>
        <v>Correlation</v>
      </c>
    </row>
    <row r="1817" spans="1:13" x14ac:dyDescent="0.2">
      <c r="A1817" s="113"/>
      <c r="B1817" s="58" t="s">
        <v>5308</v>
      </c>
      <c r="C1817" s="58" t="s">
        <v>1413</v>
      </c>
      <c r="D1817" s="58" t="s">
        <v>5309</v>
      </c>
      <c r="E1817" s="60" t="b">
        <v>1</v>
      </c>
      <c r="F1817" s="80" t="s">
        <v>728</v>
      </c>
      <c r="G1817" s="58" t="s">
        <v>5308</v>
      </c>
      <c r="H1817" s="58" t="s">
        <v>1413</v>
      </c>
      <c r="I1817" s="64" t="s">
        <v>5309</v>
      </c>
      <c r="J1817" s="66"/>
      <c r="K1817" s="66"/>
      <c r="L1817" s="68"/>
      <c r="M1817" s="63" t="str">
        <f>HYPERLINK("http://nsgreg.nga.mil/genc/view?v=864310&amp;end_month=12&amp;end_day=31&amp;end_year=2016","Correlation")</f>
        <v>Correlation</v>
      </c>
    </row>
    <row r="1818" spans="1:13" x14ac:dyDescent="0.2">
      <c r="A1818" s="113"/>
      <c r="B1818" s="58" t="s">
        <v>5310</v>
      </c>
      <c r="C1818" s="58" t="s">
        <v>1413</v>
      </c>
      <c r="D1818" s="58" t="s">
        <v>5311</v>
      </c>
      <c r="E1818" s="60" t="b">
        <v>1</v>
      </c>
      <c r="F1818" s="80" t="s">
        <v>728</v>
      </c>
      <c r="G1818" s="58" t="s">
        <v>5312</v>
      </c>
      <c r="H1818" s="58" t="s">
        <v>1413</v>
      </c>
      <c r="I1818" s="64" t="s">
        <v>5311</v>
      </c>
      <c r="J1818" s="66"/>
      <c r="K1818" s="66"/>
      <c r="L1818" s="68"/>
      <c r="M1818" s="63" t="str">
        <f>HYPERLINK("http://nsgreg.nga.mil/genc/view?v=864273&amp;end_month=12&amp;end_day=31&amp;end_year=2016","Correlation")</f>
        <v>Correlation</v>
      </c>
    </row>
    <row r="1819" spans="1:13" x14ac:dyDescent="0.2">
      <c r="A1819" s="113"/>
      <c r="B1819" s="58" t="s">
        <v>5313</v>
      </c>
      <c r="C1819" s="58" t="s">
        <v>1413</v>
      </c>
      <c r="D1819" s="58" t="s">
        <v>5314</v>
      </c>
      <c r="E1819" s="60" t="b">
        <v>1</v>
      </c>
      <c r="F1819" s="80" t="s">
        <v>728</v>
      </c>
      <c r="G1819" s="58" t="s">
        <v>5313</v>
      </c>
      <c r="H1819" s="58" t="s">
        <v>1413</v>
      </c>
      <c r="I1819" s="64" t="s">
        <v>5314</v>
      </c>
      <c r="J1819" s="66"/>
      <c r="K1819" s="66"/>
      <c r="L1819" s="68"/>
      <c r="M1819" s="63" t="str">
        <f>HYPERLINK("http://nsgreg.nga.mil/genc/view?v=864356&amp;end_month=12&amp;end_day=31&amp;end_year=2016","Correlation")</f>
        <v>Correlation</v>
      </c>
    </row>
    <row r="1820" spans="1:13" x14ac:dyDescent="0.2">
      <c r="A1820" s="113"/>
      <c r="B1820" s="58" t="s">
        <v>5315</v>
      </c>
      <c r="C1820" s="58" t="s">
        <v>1413</v>
      </c>
      <c r="D1820" s="58" t="s">
        <v>5316</v>
      </c>
      <c r="E1820" s="60" t="b">
        <v>1</v>
      </c>
      <c r="F1820" s="80" t="s">
        <v>728</v>
      </c>
      <c r="G1820" s="58" t="s">
        <v>5315</v>
      </c>
      <c r="H1820" s="58" t="s">
        <v>1413</v>
      </c>
      <c r="I1820" s="64" t="s">
        <v>5316</v>
      </c>
      <c r="J1820" s="66"/>
      <c r="K1820" s="66"/>
      <c r="L1820" s="68"/>
      <c r="M1820" s="63" t="str">
        <f>HYPERLINK("http://nsgreg.nga.mil/genc/view?v=864316&amp;end_month=12&amp;end_day=31&amp;end_year=2016","Correlation")</f>
        <v>Correlation</v>
      </c>
    </row>
    <row r="1821" spans="1:13" x14ac:dyDescent="0.2">
      <c r="A1821" s="113"/>
      <c r="B1821" s="58" t="s">
        <v>5317</v>
      </c>
      <c r="C1821" s="58" t="s">
        <v>1728</v>
      </c>
      <c r="D1821" s="58" t="s">
        <v>5318</v>
      </c>
      <c r="E1821" s="60" t="b">
        <v>1</v>
      </c>
      <c r="F1821" s="80" t="s">
        <v>728</v>
      </c>
      <c r="G1821" s="58" t="s">
        <v>5317</v>
      </c>
      <c r="H1821" s="58" t="s">
        <v>1728</v>
      </c>
      <c r="I1821" s="64" t="s">
        <v>5318</v>
      </c>
      <c r="J1821" s="66"/>
      <c r="K1821" s="66"/>
      <c r="L1821" s="68"/>
      <c r="M1821" s="63" t="str">
        <f>HYPERLINK("http://nsgreg.nga.mil/genc/view?v=864259&amp;end_month=12&amp;end_day=31&amp;end_year=2016","Correlation")</f>
        <v>Correlation</v>
      </c>
    </row>
    <row r="1822" spans="1:13" x14ac:dyDescent="0.2">
      <c r="A1822" s="113"/>
      <c r="B1822" s="58" t="s">
        <v>5319</v>
      </c>
      <c r="C1822" s="58" t="s">
        <v>1413</v>
      </c>
      <c r="D1822" s="58" t="s">
        <v>5320</v>
      </c>
      <c r="E1822" s="60" t="b">
        <v>1</v>
      </c>
      <c r="F1822" s="80" t="s">
        <v>728</v>
      </c>
      <c r="G1822" s="58" t="s">
        <v>5319</v>
      </c>
      <c r="H1822" s="58" t="s">
        <v>1413</v>
      </c>
      <c r="I1822" s="64" t="s">
        <v>5320</v>
      </c>
      <c r="J1822" s="66"/>
      <c r="K1822" s="66"/>
      <c r="L1822" s="68"/>
      <c r="M1822" s="63" t="str">
        <f>HYPERLINK("http://nsgreg.nga.mil/genc/view?v=864313&amp;end_month=12&amp;end_day=31&amp;end_year=2016","Correlation")</f>
        <v>Correlation</v>
      </c>
    </row>
    <row r="1823" spans="1:13" x14ac:dyDescent="0.2">
      <c r="A1823" s="113"/>
      <c r="B1823" s="58" t="s">
        <v>5321</v>
      </c>
      <c r="C1823" s="58" t="s">
        <v>1413</v>
      </c>
      <c r="D1823" s="58" t="s">
        <v>5322</v>
      </c>
      <c r="E1823" s="60" t="b">
        <v>1</v>
      </c>
      <c r="F1823" s="80" t="s">
        <v>728</v>
      </c>
      <c r="G1823" s="58" t="s">
        <v>5321</v>
      </c>
      <c r="H1823" s="58" t="s">
        <v>1413</v>
      </c>
      <c r="I1823" s="64" t="s">
        <v>5322</v>
      </c>
      <c r="J1823" s="66"/>
      <c r="K1823" s="66"/>
      <c r="L1823" s="68"/>
      <c r="M1823" s="63" t="str">
        <f>HYPERLINK("http://nsgreg.nga.mil/genc/view?v=864312&amp;end_month=12&amp;end_day=31&amp;end_year=2016","Correlation")</f>
        <v>Correlation</v>
      </c>
    </row>
    <row r="1824" spans="1:13" x14ac:dyDescent="0.2">
      <c r="A1824" s="113"/>
      <c r="B1824" s="58" t="s">
        <v>5323</v>
      </c>
      <c r="C1824" s="58" t="s">
        <v>1728</v>
      </c>
      <c r="D1824" s="58" t="s">
        <v>5324</v>
      </c>
      <c r="E1824" s="60" t="b">
        <v>1</v>
      </c>
      <c r="F1824" s="80" t="s">
        <v>728</v>
      </c>
      <c r="G1824" s="58" t="s">
        <v>5323</v>
      </c>
      <c r="H1824" s="58" t="s">
        <v>1728</v>
      </c>
      <c r="I1824" s="64" t="s">
        <v>5324</v>
      </c>
      <c r="J1824" s="66"/>
      <c r="K1824" s="66"/>
      <c r="L1824" s="68"/>
      <c r="M1824" s="63" t="str">
        <f>HYPERLINK("http://nsgreg.nga.mil/genc/view?v=864254&amp;end_month=12&amp;end_day=31&amp;end_year=2016","Correlation")</f>
        <v>Correlation</v>
      </c>
    </row>
    <row r="1825" spans="1:13" x14ac:dyDescent="0.2">
      <c r="A1825" s="113"/>
      <c r="B1825" s="58" t="s">
        <v>5325</v>
      </c>
      <c r="C1825" s="58" t="s">
        <v>1413</v>
      </c>
      <c r="D1825" s="58" t="s">
        <v>5326</v>
      </c>
      <c r="E1825" s="60" t="b">
        <v>1</v>
      </c>
      <c r="F1825" s="80" t="s">
        <v>728</v>
      </c>
      <c r="G1825" s="58" t="s">
        <v>5325</v>
      </c>
      <c r="H1825" s="58" t="s">
        <v>1413</v>
      </c>
      <c r="I1825" s="64" t="s">
        <v>5326</v>
      </c>
      <c r="J1825" s="66"/>
      <c r="K1825" s="66"/>
      <c r="L1825" s="68"/>
      <c r="M1825" s="63" t="str">
        <f>HYPERLINK("http://nsgreg.nga.mil/genc/view?v=864314&amp;end_month=12&amp;end_day=31&amp;end_year=2016","Correlation")</f>
        <v>Correlation</v>
      </c>
    </row>
    <row r="1826" spans="1:13" x14ac:dyDescent="0.2">
      <c r="A1826" s="113"/>
      <c r="B1826" s="58" t="s">
        <v>5327</v>
      </c>
      <c r="C1826" s="58" t="s">
        <v>1413</v>
      </c>
      <c r="D1826" s="58" t="s">
        <v>5328</v>
      </c>
      <c r="E1826" s="60" t="b">
        <v>1</v>
      </c>
      <c r="F1826" s="80" t="s">
        <v>728</v>
      </c>
      <c r="G1826" s="58" t="s">
        <v>5327</v>
      </c>
      <c r="H1826" s="58" t="s">
        <v>1413</v>
      </c>
      <c r="I1826" s="64" t="s">
        <v>5328</v>
      </c>
      <c r="J1826" s="66"/>
      <c r="K1826" s="66"/>
      <c r="L1826" s="68"/>
      <c r="M1826" s="63" t="str">
        <f>HYPERLINK("http://nsgreg.nga.mil/genc/view?v=864315&amp;end_month=12&amp;end_day=31&amp;end_year=2016","Correlation")</f>
        <v>Correlation</v>
      </c>
    </row>
    <row r="1827" spans="1:13" x14ac:dyDescent="0.2">
      <c r="A1827" s="113"/>
      <c r="B1827" s="58" t="s">
        <v>5329</v>
      </c>
      <c r="C1827" s="58" t="s">
        <v>1728</v>
      </c>
      <c r="D1827" s="58" t="s">
        <v>5330</v>
      </c>
      <c r="E1827" s="60" t="b">
        <v>1</v>
      </c>
      <c r="F1827" s="80" t="s">
        <v>728</v>
      </c>
      <c r="G1827" s="58" t="s">
        <v>5331</v>
      </c>
      <c r="H1827" s="58" t="s">
        <v>1728</v>
      </c>
      <c r="I1827" s="64" t="s">
        <v>5330</v>
      </c>
      <c r="J1827" s="66"/>
      <c r="K1827" s="66"/>
      <c r="L1827" s="68"/>
      <c r="M1827" s="63" t="str">
        <f>HYPERLINK("http://nsgreg.nga.mil/genc/view?v=864250&amp;end_month=12&amp;end_day=31&amp;end_year=2016","Correlation")</f>
        <v>Correlation</v>
      </c>
    </row>
    <row r="1828" spans="1:13" x14ac:dyDescent="0.2">
      <c r="A1828" s="113"/>
      <c r="B1828" s="58" t="s">
        <v>5332</v>
      </c>
      <c r="C1828" s="58" t="s">
        <v>1413</v>
      </c>
      <c r="D1828" s="58" t="s">
        <v>5333</v>
      </c>
      <c r="E1828" s="60" t="b">
        <v>1</v>
      </c>
      <c r="F1828" s="80" t="s">
        <v>728</v>
      </c>
      <c r="G1828" s="58" t="s">
        <v>5332</v>
      </c>
      <c r="H1828" s="58" t="s">
        <v>1413</v>
      </c>
      <c r="I1828" s="64" t="s">
        <v>5333</v>
      </c>
      <c r="J1828" s="66"/>
      <c r="K1828" s="66"/>
      <c r="L1828" s="68"/>
      <c r="M1828" s="63" t="str">
        <f>HYPERLINK("http://nsgreg.nga.mil/genc/view?v=864317&amp;end_month=12&amp;end_day=31&amp;end_year=2016","Correlation")</f>
        <v>Correlation</v>
      </c>
    </row>
    <row r="1829" spans="1:13" x14ac:dyDescent="0.2">
      <c r="A1829" s="113"/>
      <c r="B1829" s="58" t="s">
        <v>5334</v>
      </c>
      <c r="C1829" s="58" t="s">
        <v>1413</v>
      </c>
      <c r="D1829" s="58" t="s">
        <v>5335</v>
      </c>
      <c r="E1829" s="60" t="b">
        <v>1</v>
      </c>
      <c r="F1829" s="80" t="s">
        <v>728</v>
      </c>
      <c r="G1829" s="58" t="s">
        <v>5334</v>
      </c>
      <c r="H1829" s="58" t="s">
        <v>1413</v>
      </c>
      <c r="I1829" s="64" t="s">
        <v>5335</v>
      </c>
      <c r="J1829" s="66"/>
      <c r="K1829" s="66"/>
      <c r="L1829" s="68"/>
      <c r="M1829" s="63" t="str">
        <f>HYPERLINK("http://nsgreg.nga.mil/genc/view?v=864319&amp;end_month=12&amp;end_day=31&amp;end_year=2016","Correlation")</f>
        <v>Correlation</v>
      </c>
    </row>
    <row r="1830" spans="1:13" x14ac:dyDescent="0.2">
      <c r="A1830" s="113"/>
      <c r="B1830" s="58" t="s">
        <v>5336</v>
      </c>
      <c r="C1830" s="58" t="s">
        <v>1413</v>
      </c>
      <c r="D1830" s="58" t="s">
        <v>5337</v>
      </c>
      <c r="E1830" s="60" t="b">
        <v>1</v>
      </c>
      <c r="F1830" s="80" t="s">
        <v>728</v>
      </c>
      <c r="G1830" s="58" t="s">
        <v>5336</v>
      </c>
      <c r="H1830" s="58" t="s">
        <v>1413</v>
      </c>
      <c r="I1830" s="64" t="s">
        <v>5337</v>
      </c>
      <c r="J1830" s="66"/>
      <c r="K1830" s="66"/>
      <c r="L1830" s="68"/>
      <c r="M1830" s="63" t="str">
        <f>HYPERLINK("http://nsgreg.nga.mil/genc/view?v=864322&amp;end_month=12&amp;end_day=31&amp;end_year=2016","Correlation")</f>
        <v>Correlation</v>
      </c>
    </row>
    <row r="1831" spans="1:13" x14ac:dyDescent="0.2">
      <c r="A1831" s="113"/>
      <c r="B1831" s="58" t="s">
        <v>5338</v>
      </c>
      <c r="C1831" s="58" t="s">
        <v>1728</v>
      </c>
      <c r="D1831" s="58" t="s">
        <v>5339</v>
      </c>
      <c r="E1831" s="60" t="b">
        <v>1</v>
      </c>
      <c r="F1831" s="80" t="s">
        <v>728</v>
      </c>
      <c r="G1831" s="58" t="s">
        <v>5338</v>
      </c>
      <c r="H1831" s="58" t="s">
        <v>1728</v>
      </c>
      <c r="I1831" s="64" t="s">
        <v>5339</v>
      </c>
      <c r="J1831" s="66"/>
      <c r="K1831" s="66"/>
      <c r="L1831" s="68"/>
      <c r="M1831" s="63" t="str">
        <f>HYPERLINK("http://nsgreg.nga.mil/genc/view?v=864258&amp;end_month=12&amp;end_day=31&amp;end_year=2016","Correlation")</f>
        <v>Correlation</v>
      </c>
    </row>
    <row r="1832" spans="1:13" x14ac:dyDescent="0.2">
      <c r="A1832" s="113"/>
      <c r="B1832" s="58" t="s">
        <v>5340</v>
      </c>
      <c r="C1832" s="58" t="s">
        <v>1413</v>
      </c>
      <c r="D1832" s="58" t="s">
        <v>5341</v>
      </c>
      <c r="E1832" s="60" t="b">
        <v>1</v>
      </c>
      <c r="F1832" s="80" t="s">
        <v>728</v>
      </c>
      <c r="G1832" s="58" t="s">
        <v>5340</v>
      </c>
      <c r="H1832" s="58" t="s">
        <v>1413</v>
      </c>
      <c r="I1832" s="64" t="s">
        <v>5341</v>
      </c>
      <c r="J1832" s="66"/>
      <c r="K1832" s="66"/>
      <c r="L1832" s="68"/>
      <c r="M1832" s="63" t="str">
        <f>HYPERLINK("http://nsgreg.nga.mil/genc/view?v=864324&amp;end_month=12&amp;end_day=31&amp;end_year=2016","Correlation")</f>
        <v>Correlation</v>
      </c>
    </row>
    <row r="1833" spans="1:13" x14ac:dyDescent="0.2">
      <c r="A1833" s="113"/>
      <c r="B1833" s="58" t="s">
        <v>5342</v>
      </c>
      <c r="C1833" s="58" t="s">
        <v>1413</v>
      </c>
      <c r="D1833" s="58" t="s">
        <v>5343</v>
      </c>
      <c r="E1833" s="60" t="b">
        <v>1</v>
      </c>
      <c r="F1833" s="80" t="s">
        <v>728</v>
      </c>
      <c r="G1833" s="58" t="s">
        <v>5342</v>
      </c>
      <c r="H1833" s="58" t="s">
        <v>1413</v>
      </c>
      <c r="I1833" s="64" t="s">
        <v>5343</v>
      </c>
      <c r="J1833" s="66"/>
      <c r="K1833" s="66"/>
      <c r="L1833" s="68"/>
      <c r="M1833" s="63" t="str">
        <f>HYPERLINK("http://nsgreg.nga.mil/genc/view?v=864325&amp;end_month=12&amp;end_day=31&amp;end_year=2016","Correlation")</f>
        <v>Correlation</v>
      </c>
    </row>
    <row r="1834" spans="1:13" x14ac:dyDescent="0.2">
      <c r="A1834" s="113"/>
      <c r="B1834" s="58" t="s">
        <v>5344</v>
      </c>
      <c r="C1834" s="58" t="s">
        <v>1413</v>
      </c>
      <c r="D1834" s="58" t="s">
        <v>5345</v>
      </c>
      <c r="E1834" s="60" t="b">
        <v>1</v>
      </c>
      <c r="F1834" s="80" t="s">
        <v>728</v>
      </c>
      <c r="G1834" s="58" t="s">
        <v>5344</v>
      </c>
      <c r="H1834" s="58" t="s">
        <v>1413</v>
      </c>
      <c r="I1834" s="64" t="s">
        <v>5345</v>
      </c>
      <c r="J1834" s="66"/>
      <c r="K1834" s="66"/>
      <c r="L1834" s="68"/>
      <c r="M1834" s="63" t="str">
        <f>HYPERLINK("http://nsgreg.nga.mil/genc/view?v=864375&amp;end_month=12&amp;end_day=31&amp;end_year=2016","Correlation")</f>
        <v>Correlation</v>
      </c>
    </row>
    <row r="1835" spans="1:13" x14ac:dyDescent="0.2">
      <c r="A1835" s="113"/>
      <c r="B1835" s="58" t="s">
        <v>5346</v>
      </c>
      <c r="C1835" s="58" t="s">
        <v>1413</v>
      </c>
      <c r="D1835" s="58" t="s">
        <v>5347</v>
      </c>
      <c r="E1835" s="60" t="b">
        <v>1</v>
      </c>
      <c r="F1835" s="80" t="s">
        <v>728</v>
      </c>
      <c r="G1835" s="58" t="s">
        <v>5346</v>
      </c>
      <c r="H1835" s="58" t="s">
        <v>1413</v>
      </c>
      <c r="I1835" s="64" t="s">
        <v>5347</v>
      </c>
      <c r="J1835" s="66"/>
      <c r="K1835" s="66"/>
      <c r="L1835" s="68"/>
      <c r="M1835" s="63" t="str">
        <f>HYPERLINK("http://nsgreg.nga.mil/genc/view?v=864320&amp;end_month=12&amp;end_day=31&amp;end_year=2016","Correlation")</f>
        <v>Correlation</v>
      </c>
    </row>
    <row r="1836" spans="1:13" x14ac:dyDescent="0.2">
      <c r="A1836" s="113"/>
      <c r="B1836" s="58" t="s">
        <v>5348</v>
      </c>
      <c r="C1836" s="58" t="s">
        <v>1413</v>
      </c>
      <c r="D1836" s="58" t="s">
        <v>5349</v>
      </c>
      <c r="E1836" s="60" t="b">
        <v>1</v>
      </c>
      <c r="F1836" s="80" t="s">
        <v>728</v>
      </c>
      <c r="G1836" s="58" t="s">
        <v>5348</v>
      </c>
      <c r="H1836" s="58" t="s">
        <v>1413</v>
      </c>
      <c r="I1836" s="64" t="s">
        <v>5349</v>
      </c>
      <c r="J1836" s="66"/>
      <c r="K1836" s="66"/>
      <c r="L1836" s="68"/>
      <c r="M1836" s="63" t="str">
        <f>HYPERLINK("http://nsgreg.nga.mil/genc/view?v=864321&amp;end_month=12&amp;end_day=31&amp;end_year=2016","Correlation")</f>
        <v>Correlation</v>
      </c>
    </row>
    <row r="1837" spans="1:13" x14ac:dyDescent="0.2">
      <c r="A1837" s="113"/>
      <c r="B1837" s="58" t="s">
        <v>5350</v>
      </c>
      <c r="C1837" s="58" t="s">
        <v>1413</v>
      </c>
      <c r="D1837" s="58" t="s">
        <v>5351</v>
      </c>
      <c r="E1837" s="60" t="b">
        <v>1</v>
      </c>
      <c r="F1837" s="80" t="s">
        <v>728</v>
      </c>
      <c r="G1837" s="58" t="s">
        <v>5350</v>
      </c>
      <c r="H1837" s="58" t="s">
        <v>1413</v>
      </c>
      <c r="I1837" s="64" t="s">
        <v>5351</v>
      </c>
      <c r="J1837" s="66"/>
      <c r="K1837" s="66"/>
      <c r="L1837" s="68"/>
      <c r="M1837" s="63" t="str">
        <f>HYPERLINK("http://nsgreg.nga.mil/genc/view?v=864323&amp;end_month=12&amp;end_day=31&amp;end_year=2016","Correlation")</f>
        <v>Correlation</v>
      </c>
    </row>
    <row r="1838" spans="1:13" x14ac:dyDescent="0.2">
      <c r="A1838" s="113"/>
      <c r="B1838" s="58" t="s">
        <v>5352</v>
      </c>
      <c r="C1838" s="58" t="s">
        <v>1728</v>
      </c>
      <c r="D1838" s="58" t="s">
        <v>5353</v>
      </c>
      <c r="E1838" s="60" t="b">
        <v>1</v>
      </c>
      <c r="F1838" s="80" t="s">
        <v>728</v>
      </c>
      <c r="G1838" s="58" t="s">
        <v>5352</v>
      </c>
      <c r="H1838" s="58" t="s">
        <v>1728</v>
      </c>
      <c r="I1838" s="64" t="s">
        <v>5353</v>
      </c>
      <c r="J1838" s="66"/>
      <c r="K1838" s="66"/>
      <c r="L1838" s="68"/>
      <c r="M1838" s="63" t="str">
        <f>HYPERLINK("http://nsgreg.nga.mil/genc/view?v=864261&amp;end_month=12&amp;end_day=31&amp;end_year=2016","Correlation")</f>
        <v>Correlation</v>
      </c>
    </row>
    <row r="1839" spans="1:13" x14ac:dyDescent="0.2">
      <c r="A1839" s="113"/>
      <c r="B1839" s="58" t="s">
        <v>5354</v>
      </c>
      <c r="C1839" s="58" t="s">
        <v>1413</v>
      </c>
      <c r="D1839" s="58" t="s">
        <v>5355</v>
      </c>
      <c r="E1839" s="60" t="b">
        <v>1</v>
      </c>
      <c r="F1839" s="80" t="s">
        <v>728</v>
      </c>
      <c r="G1839" s="58" t="s">
        <v>5354</v>
      </c>
      <c r="H1839" s="58" t="s">
        <v>1413</v>
      </c>
      <c r="I1839" s="64" t="s">
        <v>5355</v>
      </c>
      <c r="J1839" s="66"/>
      <c r="K1839" s="66"/>
      <c r="L1839" s="68"/>
      <c r="M1839" s="63" t="str">
        <f>HYPERLINK("http://nsgreg.nga.mil/genc/view?v=864318&amp;end_month=12&amp;end_day=31&amp;end_year=2016","Correlation")</f>
        <v>Correlation</v>
      </c>
    </row>
    <row r="1840" spans="1:13" x14ac:dyDescent="0.2">
      <c r="A1840" s="113"/>
      <c r="B1840" s="58" t="s">
        <v>5356</v>
      </c>
      <c r="C1840" s="58" t="s">
        <v>1413</v>
      </c>
      <c r="D1840" s="58" t="s">
        <v>5357</v>
      </c>
      <c r="E1840" s="60" t="b">
        <v>1</v>
      </c>
      <c r="F1840" s="80" t="s">
        <v>728</v>
      </c>
      <c r="G1840" s="58" t="s">
        <v>5356</v>
      </c>
      <c r="H1840" s="58" t="s">
        <v>1413</v>
      </c>
      <c r="I1840" s="64" t="s">
        <v>5357</v>
      </c>
      <c r="J1840" s="66"/>
      <c r="K1840" s="66"/>
      <c r="L1840" s="68"/>
      <c r="M1840" s="63" t="str">
        <f>HYPERLINK("http://nsgreg.nga.mil/genc/view?v=864326&amp;end_month=12&amp;end_day=31&amp;end_year=2016","Correlation")</f>
        <v>Correlation</v>
      </c>
    </row>
    <row r="1841" spans="1:13" x14ac:dyDescent="0.2">
      <c r="A1841" s="113"/>
      <c r="B1841" s="58" t="s">
        <v>5358</v>
      </c>
      <c r="C1841" s="58" t="s">
        <v>1413</v>
      </c>
      <c r="D1841" s="58" t="s">
        <v>5359</v>
      </c>
      <c r="E1841" s="60" t="b">
        <v>1</v>
      </c>
      <c r="F1841" s="80" t="s">
        <v>728</v>
      </c>
      <c r="G1841" s="58" t="s">
        <v>5358</v>
      </c>
      <c r="H1841" s="58" t="s">
        <v>1413</v>
      </c>
      <c r="I1841" s="64" t="s">
        <v>5359</v>
      </c>
      <c r="J1841" s="66"/>
      <c r="K1841" s="66"/>
      <c r="L1841" s="68"/>
      <c r="M1841" s="63" t="str">
        <f>HYPERLINK("http://nsgreg.nga.mil/genc/view?v=864327&amp;end_month=12&amp;end_day=31&amp;end_year=2016","Correlation")</f>
        <v>Correlation</v>
      </c>
    </row>
    <row r="1842" spans="1:13" x14ac:dyDescent="0.2">
      <c r="A1842" s="113"/>
      <c r="B1842" s="58" t="s">
        <v>5360</v>
      </c>
      <c r="C1842" s="58" t="s">
        <v>1413</v>
      </c>
      <c r="D1842" s="58" t="s">
        <v>5361</v>
      </c>
      <c r="E1842" s="60" t="b">
        <v>1</v>
      </c>
      <c r="F1842" s="80" t="s">
        <v>728</v>
      </c>
      <c r="G1842" s="58" t="s">
        <v>5360</v>
      </c>
      <c r="H1842" s="58" t="s">
        <v>1413</v>
      </c>
      <c r="I1842" s="64" t="s">
        <v>5361</v>
      </c>
      <c r="J1842" s="66"/>
      <c r="K1842" s="66"/>
      <c r="L1842" s="68"/>
      <c r="M1842" s="63" t="str">
        <f>HYPERLINK("http://nsgreg.nga.mil/genc/view?v=864328&amp;end_month=12&amp;end_day=31&amp;end_year=2016","Correlation")</f>
        <v>Correlation</v>
      </c>
    </row>
    <row r="1843" spans="1:13" x14ac:dyDescent="0.2">
      <c r="A1843" s="113"/>
      <c r="B1843" s="58" t="s">
        <v>5362</v>
      </c>
      <c r="C1843" s="58" t="s">
        <v>1413</v>
      </c>
      <c r="D1843" s="58" t="s">
        <v>5363</v>
      </c>
      <c r="E1843" s="60" t="b">
        <v>1</v>
      </c>
      <c r="F1843" s="80" t="s">
        <v>728</v>
      </c>
      <c r="G1843" s="58" t="s">
        <v>5362</v>
      </c>
      <c r="H1843" s="58" t="s">
        <v>1413</v>
      </c>
      <c r="I1843" s="64" t="s">
        <v>5363</v>
      </c>
      <c r="J1843" s="66"/>
      <c r="K1843" s="66"/>
      <c r="L1843" s="68"/>
      <c r="M1843" s="63" t="str">
        <f>HYPERLINK("http://nsgreg.nga.mil/genc/view?v=864329&amp;end_month=12&amp;end_day=31&amp;end_year=2016","Correlation")</f>
        <v>Correlation</v>
      </c>
    </row>
    <row r="1844" spans="1:13" x14ac:dyDescent="0.2">
      <c r="A1844" s="113"/>
      <c r="B1844" s="58" t="s">
        <v>5364</v>
      </c>
      <c r="C1844" s="58" t="s">
        <v>1413</v>
      </c>
      <c r="D1844" s="58" t="s">
        <v>5365</v>
      </c>
      <c r="E1844" s="60" t="b">
        <v>1</v>
      </c>
      <c r="F1844" s="80" t="s">
        <v>728</v>
      </c>
      <c r="G1844" s="58" t="s">
        <v>5364</v>
      </c>
      <c r="H1844" s="58" t="s">
        <v>1413</v>
      </c>
      <c r="I1844" s="64" t="s">
        <v>5365</v>
      </c>
      <c r="J1844" s="66"/>
      <c r="K1844" s="66"/>
      <c r="L1844" s="68"/>
      <c r="M1844" s="63" t="str">
        <f>HYPERLINK("http://nsgreg.nga.mil/genc/view?v=864331&amp;end_month=12&amp;end_day=31&amp;end_year=2016","Correlation")</f>
        <v>Correlation</v>
      </c>
    </row>
    <row r="1845" spans="1:13" x14ac:dyDescent="0.2">
      <c r="A1845" s="113"/>
      <c r="B1845" s="58" t="s">
        <v>5366</v>
      </c>
      <c r="C1845" s="58" t="s">
        <v>1413</v>
      </c>
      <c r="D1845" s="58" t="s">
        <v>5367</v>
      </c>
      <c r="E1845" s="60" t="b">
        <v>1</v>
      </c>
      <c r="F1845" s="80" t="s">
        <v>728</v>
      </c>
      <c r="G1845" s="58" t="s">
        <v>5366</v>
      </c>
      <c r="H1845" s="58" t="s">
        <v>1413</v>
      </c>
      <c r="I1845" s="64" t="s">
        <v>5367</v>
      </c>
      <c r="J1845" s="66"/>
      <c r="K1845" s="66"/>
      <c r="L1845" s="68"/>
      <c r="M1845" s="63" t="str">
        <f>HYPERLINK("http://nsgreg.nga.mil/genc/view?v=864330&amp;end_month=12&amp;end_day=31&amp;end_year=2016","Correlation")</f>
        <v>Correlation</v>
      </c>
    </row>
    <row r="1846" spans="1:13" x14ac:dyDescent="0.2">
      <c r="A1846" s="113"/>
      <c r="B1846" s="58" t="s">
        <v>5368</v>
      </c>
      <c r="C1846" s="58" t="s">
        <v>1413</v>
      </c>
      <c r="D1846" s="58" t="s">
        <v>5369</v>
      </c>
      <c r="E1846" s="60" t="b">
        <v>1</v>
      </c>
      <c r="F1846" s="80" t="s">
        <v>728</v>
      </c>
      <c r="G1846" s="58" t="s">
        <v>5368</v>
      </c>
      <c r="H1846" s="58" t="s">
        <v>1413</v>
      </c>
      <c r="I1846" s="64" t="s">
        <v>5369</v>
      </c>
      <c r="J1846" s="66"/>
      <c r="K1846" s="66"/>
      <c r="L1846" s="68"/>
      <c r="M1846" s="63" t="str">
        <f>HYPERLINK("http://nsgreg.nga.mil/genc/view?v=864334&amp;end_month=12&amp;end_day=31&amp;end_year=2016","Correlation")</f>
        <v>Correlation</v>
      </c>
    </row>
    <row r="1847" spans="1:13" x14ac:dyDescent="0.2">
      <c r="A1847" s="113"/>
      <c r="B1847" s="58" t="s">
        <v>5370</v>
      </c>
      <c r="C1847" s="58" t="s">
        <v>1413</v>
      </c>
      <c r="D1847" s="58" t="s">
        <v>5371</v>
      </c>
      <c r="E1847" s="60" t="b">
        <v>1</v>
      </c>
      <c r="F1847" s="80" t="s">
        <v>728</v>
      </c>
      <c r="G1847" s="58" t="s">
        <v>5370</v>
      </c>
      <c r="H1847" s="58" t="s">
        <v>1413</v>
      </c>
      <c r="I1847" s="64" t="s">
        <v>5371</v>
      </c>
      <c r="J1847" s="66"/>
      <c r="K1847" s="66"/>
      <c r="L1847" s="68"/>
      <c r="M1847" s="63" t="str">
        <f>HYPERLINK("http://nsgreg.nga.mil/genc/view?v=864332&amp;end_month=12&amp;end_day=31&amp;end_year=2016","Correlation")</f>
        <v>Correlation</v>
      </c>
    </row>
    <row r="1848" spans="1:13" x14ac:dyDescent="0.2">
      <c r="A1848" s="113"/>
      <c r="B1848" s="58" t="s">
        <v>5372</v>
      </c>
      <c r="C1848" s="58" t="s">
        <v>1413</v>
      </c>
      <c r="D1848" s="58" t="s">
        <v>5373</v>
      </c>
      <c r="E1848" s="60" t="b">
        <v>1</v>
      </c>
      <c r="F1848" s="80" t="s">
        <v>728</v>
      </c>
      <c r="G1848" s="58" t="s">
        <v>5372</v>
      </c>
      <c r="H1848" s="58" t="s">
        <v>1413</v>
      </c>
      <c r="I1848" s="64" t="s">
        <v>5373</v>
      </c>
      <c r="J1848" s="66"/>
      <c r="K1848" s="66"/>
      <c r="L1848" s="68"/>
      <c r="M1848" s="63" t="str">
        <f>HYPERLINK("http://nsgreg.nga.mil/genc/view?v=864340&amp;end_month=12&amp;end_day=31&amp;end_year=2016","Correlation")</f>
        <v>Correlation</v>
      </c>
    </row>
    <row r="1849" spans="1:13" x14ac:dyDescent="0.2">
      <c r="A1849" s="113"/>
      <c r="B1849" s="58" t="s">
        <v>5374</v>
      </c>
      <c r="C1849" s="58" t="s">
        <v>1413</v>
      </c>
      <c r="D1849" s="58" t="s">
        <v>5375</v>
      </c>
      <c r="E1849" s="60" t="b">
        <v>1</v>
      </c>
      <c r="F1849" s="80" t="s">
        <v>728</v>
      </c>
      <c r="G1849" s="58" t="s">
        <v>5374</v>
      </c>
      <c r="H1849" s="58" t="s">
        <v>1413</v>
      </c>
      <c r="I1849" s="64" t="s">
        <v>5375</v>
      </c>
      <c r="J1849" s="66"/>
      <c r="K1849" s="66"/>
      <c r="L1849" s="68"/>
      <c r="M1849" s="63" t="str">
        <f>HYPERLINK("http://nsgreg.nga.mil/genc/view?v=864343&amp;end_month=12&amp;end_day=31&amp;end_year=2016","Correlation")</f>
        <v>Correlation</v>
      </c>
    </row>
    <row r="1850" spans="1:13" x14ac:dyDescent="0.2">
      <c r="A1850" s="113"/>
      <c r="B1850" s="58" t="s">
        <v>5376</v>
      </c>
      <c r="C1850" s="58" t="s">
        <v>1413</v>
      </c>
      <c r="D1850" s="58" t="s">
        <v>5377</v>
      </c>
      <c r="E1850" s="60" t="b">
        <v>1</v>
      </c>
      <c r="F1850" s="80" t="s">
        <v>728</v>
      </c>
      <c r="G1850" s="58" t="s">
        <v>5376</v>
      </c>
      <c r="H1850" s="58" t="s">
        <v>1413</v>
      </c>
      <c r="I1850" s="64" t="s">
        <v>5377</v>
      </c>
      <c r="J1850" s="66"/>
      <c r="K1850" s="66"/>
      <c r="L1850" s="68"/>
      <c r="M1850" s="63" t="str">
        <f>HYPERLINK("http://nsgreg.nga.mil/genc/view?v=864336&amp;end_month=12&amp;end_day=31&amp;end_year=2016","Correlation")</f>
        <v>Correlation</v>
      </c>
    </row>
    <row r="1851" spans="1:13" x14ac:dyDescent="0.2">
      <c r="A1851" s="113"/>
      <c r="B1851" s="58" t="s">
        <v>5378</v>
      </c>
      <c r="C1851" s="58" t="s">
        <v>1413</v>
      </c>
      <c r="D1851" s="58" t="s">
        <v>5379</v>
      </c>
      <c r="E1851" s="60" t="b">
        <v>1</v>
      </c>
      <c r="F1851" s="80" t="s">
        <v>728</v>
      </c>
      <c r="G1851" s="58" t="s">
        <v>5378</v>
      </c>
      <c r="H1851" s="58" t="s">
        <v>1413</v>
      </c>
      <c r="I1851" s="64" t="s">
        <v>5379</v>
      </c>
      <c r="J1851" s="66"/>
      <c r="K1851" s="66"/>
      <c r="L1851" s="68"/>
      <c r="M1851" s="63" t="str">
        <f>HYPERLINK("http://nsgreg.nga.mil/genc/view?v=864342&amp;end_month=12&amp;end_day=31&amp;end_year=2016","Correlation")</f>
        <v>Correlation</v>
      </c>
    </row>
    <row r="1852" spans="1:13" x14ac:dyDescent="0.2">
      <c r="A1852" s="113"/>
      <c r="B1852" s="58" t="s">
        <v>5380</v>
      </c>
      <c r="C1852" s="58" t="s">
        <v>1413</v>
      </c>
      <c r="D1852" s="58" t="s">
        <v>5381</v>
      </c>
      <c r="E1852" s="60" t="b">
        <v>1</v>
      </c>
      <c r="F1852" s="80" t="s">
        <v>728</v>
      </c>
      <c r="G1852" s="58" t="s">
        <v>5380</v>
      </c>
      <c r="H1852" s="58" t="s">
        <v>1413</v>
      </c>
      <c r="I1852" s="64" t="s">
        <v>5381</v>
      </c>
      <c r="J1852" s="66"/>
      <c r="K1852" s="66"/>
      <c r="L1852" s="68"/>
      <c r="M1852" s="63" t="str">
        <f>HYPERLINK("http://nsgreg.nga.mil/genc/view?v=864335&amp;end_month=12&amp;end_day=31&amp;end_year=2016","Correlation")</f>
        <v>Correlation</v>
      </c>
    </row>
    <row r="1853" spans="1:13" x14ac:dyDescent="0.2">
      <c r="A1853" s="113"/>
      <c r="B1853" s="58" t="s">
        <v>5382</v>
      </c>
      <c r="C1853" s="58" t="s">
        <v>1413</v>
      </c>
      <c r="D1853" s="58" t="s">
        <v>5383</v>
      </c>
      <c r="E1853" s="60" t="b">
        <v>1</v>
      </c>
      <c r="F1853" s="80" t="s">
        <v>728</v>
      </c>
      <c r="G1853" s="58" t="s">
        <v>5382</v>
      </c>
      <c r="H1853" s="58" t="s">
        <v>1413</v>
      </c>
      <c r="I1853" s="64" t="s">
        <v>5383</v>
      </c>
      <c r="J1853" s="66"/>
      <c r="K1853" s="66"/>
      <c r="L1853" s="68"/>
      <c r="M1853" s="63" t="str">
        <f>HYPERLINK("http://nsgreg.nga.mil/genc/view?v=864333&amp;end_month=12&amp;end_day=31&amp;end_year=2016","Correlation")</f>
        <v>Correlation</v>
      </c>
    </row>
    <row r="1854" spans="1:13" x14ac:dyDescent="0.2">
      <c r="A1854" s="113"/>
      <c r="B1854" s="58" t="s">
        <v>5384</v>
      </c>
      <c r="C1854" s="58" t="s">
        <v>1728</v>
      </c>
      <c r="D1854" s="58" t="s">
        <v>5385</v>
      </c>
      <c r="E1854" s="60" t="b">
        <v>1</v>
      </c>
      <c r="F1854" s="80" t="s">
        <v>728</v>
      </c>
      <c r="G1854" s="58" t="s">
        <v>5386</v>
      </c>
      <c r="H1854" s="58" t="s">
        <v>1728</v>
      </c>
      <c r="I1854" s="64" t="s">
        <v>5385</v>
      </c>
      <c r="J1854" s="66"/>
      <c r="K1854" s="66"/>
      <c r="L1854" s="68"/>
      <c r="M1854" s="63" t="str">
        <f>HYPERLINK("http://nsgreg.nga.mil/genc/view?v=864248&amp;end_month=12&amp;end_day=31&amp;end_year=2016","Correlation")</f>
        <v>Correlation</v>
      </c>
    </row>
    <row r="1855" spans="1:13" x14ac:dyDescent="0.2">
      <c r="A1855" s="113"/>
      <c r="B1855" s="58" t="s">
        <v>5387</v>
      </c>
      <c r="C1855" s="58" t="s">
        <v>1413</v>
      </c>
      <c r="D1855" s="58" t="s">
        <v>5388</v>
      </c>
      <c r="E1855" s="60" t="b">
        <v>1</v>
      </c>
      <c r="F1855" s="80" t="s">
        <v>728</v>
      </c>
      <c r="G1855" s="58" t="s">
        <v>5387</v>
      </c>
      <c r="H1855" s="58" t="s">
        <v>1413</v>
      </c>
      <c r="I1855" s="64" t="s">
        <v>5388</v>
      </c>
      <c r="J1855" s="66"/>
      <c r="K1855" s="66"/>
      <c r="L1855" s="68"/>
      <c r="M1855" s="63" t="str">
        <f>HYPERLINK("http://nsgreg.nga.mil/genc/view?v=864337&amp;end_month=12&amp;end_day=31&amp;end_year=2016","Correlation")</f>
        <v>Correlation</v>
      </c>
    </row>
    <row r="1856" spans="1:13" x14ac:dyDescent="0.2">
      <c r="A1856" s="113"/>
      <c r="B1856" s="58" t="s">
        <v>5389</v>
      </c>
      <c r="C1856" s="58" t="s">
        <v>1413</v>
      </c>
      <c r="D1856" s="58" t="s">
        <v>5390</v>
      </c>
      <c r="E1856" s="60" t="b">
        <v>1</v>
      </c>
      <c r="F1856" s="80" t="s">
        <v>728</v>
      </c>
      <c r="G1856" s="58" t="s">
        <v>5389</v>
      </c>
      <c r="H1856" s="58" t="s">
        <v>1413</v>
      </c>
      <c r="I1856" s="64" t="s">
        <v>5390</v>
      </c>
      <c r="J1856" s="66"/>
      <c r="K1856" s="66"/>
      <c r="L1856" s="68"/>
      <c r="M1856" s="63" t="str">
        <f>HYPERLINK("http://nsgreg.nga.mil/genc/view?v=864341&amp;end_month=12&amp;end_day=31&amp;end_year=2016","Correlation")</f>
        <v>Correlation</v>
      </c>
    </row>
    <row r="1857" spans="1:13" x14ac:dyDescent="0.2">
      <c r="A1857" s="113"/>
      <c r="B1857" s="58" t="s">
        <v>5391</v>
      </c>
      <c r="C1857" s="58" t="s">
        <v>1413</v>
      </c>
      <c r="D1857" s="58" t="s">
        <v>5392</v>
      </c>
      <c r="E1857" s="60" t="b">
        <v>1</v>
      </c>
      <c r="F1857" s="80" t="s">
        <v>728</v>
      </c>
      <c r="G1857" s="58" t="s">
        <v>5391</v>
      </c>
      <c r="H1857" s="58" t="s">
        <v>1413</v>
      </c>
      <c r="I1857" s="64" t="s">
        <v>5392</v>
      </c>
      <c r="J1857" s="66"/>
      <c r="K1857" s="66"/>
      <c r="L1857" s="68"/>
      <c r="M1857" s="63" t="str">
        <f>HYPERLINK("http://nsgreg.nga.mil/genc/view?v=864338&amp;end_month=12&amp;end_day=31&amp;end_year=2016","Correlation")</f>
        <v>Correlation</v>
      </c>
    </row>
    <row r="1858" spans="1:13" x14ac:dyDescent="0.2">
      <c r="A1858" s="113"/>
      <c r="B1858" s="58" t="s">
        <v>5393</v>
      </c>
      <c r="C1858" s="58" t="s">
        <v>1413</v>
      </c>
      <c r="D1858" s="58" t="s">
        <v>5394</v>
      </c>
      <c r="E1858" s="60" t="b">
        <v>1</v>
      </c>
      <c r="F1858" s="80" t="s">
        <v>728</v>
      </c>
      <c r="G1858" s="58" t="s">
        <v>5393</v>
      </c>
      <c r="H1858" s="58" t="s">
        <v>1413</v>
      </c>
      <c r="I1858" s="64" t="s">
        <v>5394</v>
      </c>
      <c r="J1858" s="66"/>
      <c r="K1858" s="66"/>
      <c r="L1858" s="68"/>
      <c r="M1858" s="63" t="str">
        <f>HYPERLINK("http://nsgreg.nga.mil/genc/view?v=864344&amp;end_month=12&amp;end_day=31&amp;end_year=2016","Correlation")</f>
        <v>Correlation</v>
      </c>
    </row>
    <row r="1859" spans="1:13" x14ac:dyDescent="0.2">
      <c r="A1859" s="113"/>
      <c r="B1859" s="58" t="s">
        <v>5395</v>
      </c>
      <c r="C1859" s="58" t="s">
        <v>1413</v>
      </c>
      <c r="D1859" s="58" t="s">
        <v>5396</v>
      </c>
      <c r="E1859" s="60" t="b">
        <v>1</v>
      </c>
      <c r="F1859" s="80" t="s">
        <v>728</v>
      </c>
      <c r="G1859" s="58" t="s">
        <v>5395</v>
      </c>
      <c r="H1859" s="58" t="s">
        <v>1413</v>
      </c>
      <c r="I1859" s="64" t="s">
        <v>5396</v>
      </c>
      <c r="J1859" s="66"/>
      <c r="K1859" s="66"/>
      <c r="L1859" s="68"/>
      <c r="M1859" s="63" t="str">
        <f>HYPERLINK("http://nsgreg.nga.mil/genc/view?v=864339&amp;end_month=12&amp;end_day=31&amp;end_year=2016","Correlation")</f>
        <v>Correlation</v>
      </c>
    </row>
    <row r="1860" spans="1:13" x14ac:dyDescent="0.2">
      <c r="A1860" s="113"/>
      <c r="B1860" s="58" t="s">
        <v>5397</v>
      </c>
      <c r="C1860" s="58" t="s">
        <v>1728</v>
      </c>
      <c r="D1860" s="58" t="s">
        <v>5398</v>
      </c>
      <c r="E1860" s="60" t="b">
        <v>1</v>
      </c>
      <c r="F1860" s="80" t="s">
        <v>728</v>
      </c>
      <c r="G1860" s="58" t="s">
        <v>5397</v>
      </c>
      <c r="H1860" s="58" t="s">
        <v>1728</v>
      </c>
      <c r="I1860" s="64" t="s">
        <v>5398</v>
      </c>
      <c r="J1860" s="66"/>
      <c r="K1860" s="66"/>
      <c r="L1860" s="68"/>
      <c r="M1860" s="63" t="str">
        <f>HYPERLINK("http://nsgreg.nga.mil/genc/view?v=864263&amp;end_month=12&amp;end_day=31&amp;end_year=2016","Correlation")</f>
        <v>Correlation</v>
      </c>
    </row>
    <row r="1861" spans="1:13" x14ac:dyDescent="0.2">
      <c r="A1861" s="113"/>
      <c r="B1861" s="58" t="s">
        <v>5399</v>
      </c>
      <c r="C1861" s="58" t="s">
        <v>1413</v>
      </c>
      <c r="D1861" s="58" t="s">
        <v>5400</v>
      </c>
      <c r="E1861" s="60" t="b">
        <v>1</v>
      </c>
      <c r="F1861" s="80" t="s">
        <v>728</v>
      </c>
      <c r="G1861" s="58" t="s">
        <v>5399</v>
      </c>
      <c r="H1861" s="58" t="s">
        <v>1413</v>
      </c>
      <c r="I1861" s="64" t="s">
        <v>5400</v>
      </c>
      <c r="J1861" s="66"/>
      <c r="K1861" s="66"/>
      <c r="L1861" s="68"/>
      <c r="M1861" s="63" t="str">
        <f>HYPERLINK("http://nsgreg.nga.mil/genc/view?v=864348&amp;end_month=12&amp;end_day=31&amp;end_year=2016","Correlation")</f>
        <v>Correlation</v>
      </c>
    </row>
    <row r="1862" spans="1:13" x14ac:dyDescent="0.2">
      <c r="A1862" s="113"/>
      <c r="B1862" s="58" t="s">
        <v>5401</v>
      </c>
      <c r="C1862" s="58" t="s">
        <v>1413</v>
      </c>
      <c r="D1862" s="58" t="s">
        <v>5402</v>
      </c>
      <c r="E1862" s="60" t="b">
        <v>1</v>
      </c>
      <c r="F1862" s="80" t="s">
        <v>728</v>
      </c>
      <c r="G1862" s="58" t="s">
        <v>5401</v>
      </c>
      <c r="H1862" s="58" t="s">
        <v>1413</v>
      </c>
      <c r="I1862" s="64" t="s">
        <v>5402</v>
      </c>
      <c r="J1862" s="66"/>
      <c r="K1862" s="66"/>
      <c r="L1862" s="68"/>
      <c r="M1862" s="63" t="str">
        <f>HYPERLINK("http://nsgreg.nga.mil/genc/view?v=864345&amp;end_month=12&amp;end_day=31&amp;end_year=2016","Correlation")</f>
        <v>Correlation</v>
      </c>
    </row>
    <row r="1863" spans="1:13" x14ac:dyDescent="0.2">
      <c r="A1863" s="113"/>
      <c r="B1863" s="58" t="s">
        <v>5403</v>
      </c>
      <c r="C1863" s="58" t="s">
        <v>1413</v>
      </c>
      <c r="D1863" s="58" t="s">
        <v>5404</v>
      </c>
      <c r="E1863" s="60" t="b">
        <v>1</v>
      </c>
      <c r="F1863" s="80" t="s">
        <v>728</v>
      </c>
      <c r="G1863" s="58" t="s">
        <v>5405</v>
      </c>
      <c r="H1863" s="58" t="s">
        <v>1413</v>
      </c>
      <c r="I1863" s="64" t="s">
        <v>5404</v>
      </c>
      <c r="J1863" s="66"/>
      <c r="K1863" s="66"/>
      <c r="L1863" s="68"/>
      <c r="M1863" s="63" t="str">
        <f>HYPERLINK("http://nsgreg.nga.mil/genc/view?v=864346&amp;end_month=12&amp;end_day=31&amp;end_year=2016","Correlation")</f>
        <v>Correlation</v>
      </c>
    </row>
    <row r="1864" spans="1:13" x14ac:dyDescent="0.2">
      <c r="A1864" s="113"/>
      <c r="B1864" s="58" t="s">
        <v>5406</v>
      </c>
      <c r="C1864" s="58" t="s">
        <v>1413</v>
      </c>
      <c r="D1864" s="58" t="s">
        <v>5407</v>
      </c>
      <c r="E1864" s="60" t="b">
        <v>1</v>
      </c>
      <c r="F1864" s="80" t="s">
        <v>728</v>
      </c>
      <c r="G1864" s="58" t="s">
        <v>5406</v>
      </c>
      <c r="H1864" s="58" t="s">
        <v>1413</v>
      </c>
      <c r="I1864" s="64" t="s">
        <v>5407</v>
      </c>
      <c r="J1864" s="66"/>
      <c r="K1864" s="66"/>
      <c r="L1864" s="68"/>
      <c r="M1864" s="63" t="str">
        <f>HYPERLINK("http://nsgreg.nga.mil/genc/view?v=864347&amp;end_month=12&amp;end_day=31&amp;end_year=2016","Correlation")</f>
        <v>Correlation</v>
      </c>
    </row>
    <row r="1865" spans="1:13" x14ac:dyDescent="0.2">
      <c r="A1865" s="113"/>
      <c r="B1865" s="58" t="s">
        <v>5408</v>
      </c>
      <c r="C1865" s="58" t="s">
        <v>1413</v>
      </c>
      <c r="D1865" s="58" t="s">
        <v>5409</v>
      </c>
      <c r="E1865" s="60" t="b">
        <v>1</v>
      </c>
      <c r="F1865" s="80" t="s">
        <v>728</v>
      </c>
      <c r="G1865" s="58" t="s">
        <v>5408</v>
      </c>
      <c r="H1865" s="58" t="s">
        <v>1413</v>
      </c>
      <c r="I1865" s="64" t="s">
        <v>5409</v>
      </c>
      <c r="J1865" s="66"/>
      <c r="K1865" s="66"/>
      <c r="L1865" s="68"/>
      <c r="M1865" s="63" t="str">
        <f>HYPERLINK("http://nsgreg.nga.mil/genc/view?v=864349&amp;end_month=12&amp;end_day=31&amp;end_year=2016","Correlation")</f>
        <v>Correlation</v>
      </c>
    </row>
    <row r="1866" spans="1:13" x14ac:dyDescent="0.2">
      <c r="A1866" s="113"/>
      <c r="B1866" s="58" t="s">
        <v>5410</v>
      </c>
      <c r="C1866" s="58" t="s">
        <v>1413</v>
      </c>
      <c r="D1866" s="58" t="s">
        <v>5411</v>
      </c>
      <c r="E1866" s="60" t="b">
        <v>1</v>
      </c>
      <c r="F1866" s="80" t="s">
        <v>728</v>
      </c>
      <c r="G1866" s="58" t="s">
        <v>5410</v>
      </c>
      <c r="H1866" s="58" t="s">
        <v>1413</v>
      </c>
      <c r="I1866" s="64" t="s">
        <v>5411</v>
      </c>
      <c r="J1866" s="66"/>
      <c r="K1866" s="66"/>
      <c r="L1866" s="68"/>
      <c r="M1866" s="63" t="str">
        <f>HYPERLINK("http://nsgreg.nga.mil/genc/view?v=864351&amp;end_month=12&amp;end_day=31&amp;end_year=2016","Correlation")</f>
        <v>Correlation</v>
      </c>
    </row>
    <row r="1867" spans="1:13" x14ac:dyDescent="0.2">
      <c r="A1867" s="113"/>
      <c r="B1867" s="58" t="s">
        <v>5412</v>
      </c>
      <c r="C1867" s="58" t="s">
        <v>1413</v>
      </c>
      <c r="D1867" s="58" t="s">
        <v>5413</v>
      </c>
      <c r="E1867" s="60" t="b">
        <v>1</v>
      </c>
      <c r="F1867" s="80" t="s">
        <v>728</v>
      </c>
      <c r="G1867" s="58" t="s">
        <v>5412</v>
      </c>
      <c r="H1867" s="58" t="s">
        <v>1413</v>
      </c>
      <c r="I1867" s="64" t="s">
        <v>5413</v>
      </c>
      <c r="J1867" s="66"/>
      <c r="K1867" s="66"/>
      <c r="L1867" s="68"/>
      <c r="M1867" s="63" t="str">
        <f>HYPERLINK("http://nsgreg.nga.mil/genc/view?v=864350&amp;end_month=12&amp;end_day=31&amp;end_year=2016","Correlation")</f>
        <v>Correlation</v>
      </c>
    </row>
    <row r="1868" spans="1:13" x14ac:dyDescent="0.2">
      <c r="A1868" s="113"/>
      <c r="B1868" s="58" t="s">
        <v>5414</v>
      </c>
      <c r="C1868" s="58" t="s">
        <v>1413</v>
      </c>
      <c r="D1868" s="58" t="s">
        <v>5415</v>
      </c>
      <c r="E1868" s="60" t="b">
        <v>1</v>
      </c>
      <c r="F1868" s="80" t="s">
        <v>728</v>
      </c>
      <c r="G1868" s="58" t="s">
        <v>5414</v>
      </c>
      <c r="H1868" s="58" t="s">
        <v>1413</v>
      </c>
      <c r="I1868" s="64" t="s">
        <v>5415</v>
      </c>
      <c r="J1868" s="66"/>
      <c r="K1868" s="66"/>
      <c r="L1868" s="68"/>
      <c r="M1868" s="63" t="str">
        <f>HYPERLINK("http://nsgreg.nga.mil/genc/view?v=864352&amp;end_month=12&amp;end_day=31&amp;end_year=2016","Correlation")</f>
        <v>Correlation</v>
      </c>
    </row>
    <row r="1869" spans="1:13" x14ac:dyDescent="0.2">
      <c r="A1869" s="113"/>
      <c r="B1869" s="58" t="s">
        <v>5416</v>
      </c>
      <c r="C1869" s="58" t="s">
        <v>1413</v>
      </c>
      <c r="D1869" s="58" t="s">
        <v>5417</v>
      </c>
      <c r="E1869" s="60" t="b">
        <v>1</v>
      </c>
      <c r="F1869" s="80" t="s">
        <v>728</v>
      </c>
      <c r="G1869" s="58" t="s">
        <v>5416</v>
      </c>
      <c r="H1869" s="58" t="s">
        <v>1413</v>
      </c>
      <c r="I1869" s="64" t="s">
        <v>5417</v>
      </c>
      <c r="J1869" s="66"/>
      <c r="K1869" s="66"/>
      <c r="L1869" s="68"/>
      <c r="M1869" s="63" t="str">
        <f>HYPERLINK("http://nsgreg.nga.mil/genc/view?v=864353&amp;end_month=12&amp;end_day=31&amp;end_year=2016","Correlation")</f>
        <v>Correlation</v>
      </c>
    </row>
    <row r="1870" spans="1:13" x14ac:dyDescent="0.2">
      <c r="A1870" s="113"/>
      <c r="B1870" s="58" t="s">
        <v>5418</v>
      </c>
      <c r="C1870" s="58" t="s">
        <v>1728</v>
      </c>
      <c r="D1870" s="58" t="s">
        <v>5419</v>
      </c>
      <c r="E1870" s="60" t="b">
        <v>1</v>
      </c>
      <c r="F1870" s="80" t="s">
        <v>728</v>
      </c>
      <c r="G1870" s="58" t="s">
        <v>5418</v>
      </c>
      <c r="H1870" s="58" t="s">
        <v>1728</v>
      </c>
      <c r="I1870" s="64" t="s">
        <v>5419</v>
      </c>
      <c r="J1870" s="66"/>
      <c r="K1870" s="66"/>
      <c r="L1870" s="68"/>
      <c r="M1870" s="63" t="str">
        <f>HYPERLINK("http://nsgreg.nga.mil/genc/view?v=864267&amp;end_month=12&amp;end_day=31&amp;end_year=2016","Correlation")</f>
        <v>Correlation</v>
      </c>
    </row>
    <row r="1871" spans="1:13" x14ac:dyDescent="0.2">
      <c r="A1871" s="113"/>
      <c r="B1871" s="58" t="s">
        <v>5420</v>
      </c>
      <c r="C1871" s="58" t="s">
        <v>1413</v>
      </c>
      <c r="D1871" s="58" t="s">
        <v>5421</v>
      </c>
      <c r="E1871" s="60" t="b">
        <v>1</v>
      </c>
      <c r="F1871" s="80" t="s">
        <v>728</v>
      </c>
      <c r="G1871" s="58" t="s">
        <v>5420</v>
      </c>
      <c r="H1871" s="58" t="s">
        <v>1413</v>
      </c>
      <c r="I1871" s="64" t="s">
        <v>5421</v>
      </c>
      <c r="J1871" s="66"/>
      <c r="K1871" s="66"/>
      <c r="L1871" s="68"/>
      <c r="M1871" s="63" t="str">
        <f>HYPERLINK("http://nsgreg.nga.mil/genc/view?v=864358&amp;end_month=12&amp;end_day=31&amp;end_year=2016","Correlation")</f>
        <v>Correlation</v>
      </c>
    </row>
    <row r="1872" spans="1:13" x14ac:dyDescent="0.2">
      <c r="A1872" s="113"/>
      <c r="B1872" s="58" t="s">
        <v>5422</v>
      </c>
      <c r="C1872" s="58" t="s">
        <v>1413</v>
      </c>
      <c r="D1872" s="58" t="s">
        <v>5423</v>
      </c>
      <c r="E1872" s="60" t="b">
        <v>1</v>
      </c>
      <c r="F1872" s="80" t="s">
        <v>728</v>
      </c>
      <c r="G1872" s="58" t="s">
        <v>5422</v>
      </c>
      <c r="H1872" s="58" t="s">
        <v>1413</v>
      </c>
      <c r="I1872" s="64" t="s">
        <v>5423</v>
      </c>
      <c r="J1872" s="66"/>
      <c r="K1872" s="66"/>
      <c r="L1872" s="68"/>
      <c r="M1872" s="63" t="str">
        <f>HYPERLINK("http://nsgreg.nga.mil/genc/view?v=864359&amp;end_month=12&amp;end_day=31&amp;end_year=2016","Correlation")</f>
        <v>Correlation</v>
      </c>
    </row>
    <row r="1873" spans="1:13" x14ac:dyDescent="0.2">
      <c r="A1873" s="113"/>
      <c r="B1873" s="58" t="s">
        <v>5424</v>
      </c>
      <c r="C1873" s="58" t="s">
        <v>3080</v>
      </c>
      <c r="D1873" s="58" t="s">
        <v>5425</v>
      </c>
      <c r="E1873" s="60" t="b">
        <v>1</v>
      </c>
      <c r="F1873" s="80" t="s">
        <v>728</v>
      </c>
      <c r="G1873" s="58" t="s">
        <v>5424</v>
      </c>
      <c r="H1873" s="58" t="s">
        <v>1728</v>
      </c>
      <c r="I1873" s="64" t="s">
        <v>5425</v>
      </c>
      <c r="J1873" s="66"/>
      <c r="K1873" s="66"/>
      <c r="L1873" s="68"/>
      <c r="M1873" s="63" t="str">
        <f>HYPERLINK("http://nsgreg.nga.mil/genc/view?v=864266&amp;end_month=12&amp;end_day=31&amp;end_year=2016","Correlation")</f>
        <v>Correlation</v>
      </c>
    </row>
    <row r="1874" spans="1:13" x14ac:dyDescent="0.2">
      <c r="A1874" s="113"/>
      <c r="B1874" s="58" t="s">
        <v>5426</v>
      </c>
      <c r="C1874" s="58" t="s">
        <v>1413</v>
      </c>
      <c r="D1874" s="58" t="s">
        <v>5427</v>
      </c>
      <c r="E1874" s="60" t="b">
        <v>1</v>
      </c>
      <c r="F1874" s="80" t="s">
        <v>728</v>
      </c>
      <c r="G1874" s="58" t="s">
        <v>5426</v>
      </c>
      <c r="H1874" s="58" t="s">
        <v>1413</v>
      </c>
      <c r="I1874" s="64" t="s">
        <v>5427</v>
      </c>
      <c r="J1874" s="66"/>
      <c r="K1874" s="66"/>
      <c r="L1874" s="68"/>
      <c r="M1874" s="63" t="str">
        <f>HYPERLINK("http://nsgreg.nga.mil/genc/view?v=864354&amp;end_month=12&amp;end_day=31&amp;end_year=2016","Correlation")</f>
        <v>Correlation</v>
      </c>
    </row>
    <row r="1875" spans="1:13" x14ac:dyDescent="0.2">
      <c r="A1875" s="113"/>
      <c r="B1875" s="58" t="s">
        <v>5428</v>
      </c>
      <c r="C1875" s="58" t="s">
        <v>1413</v>
      </c>
      <c r="D1875" s="58" t="s">
        <v>5429</v>
      </c>
      <c r="E1875" s="60" t="b">
        <v>1</v>
      </c>
      <c r="F1875" s="80" t="s">
        <v>728</v>
      </c>
      <c r="G1875" s="58" t="s">
        <v>5428</v>
      </c>
      <c r="H1875" s="58" t="s">
        <v>1413</v>
      </c>
      <c r="I1875" s="64" t="s">
        <v>5429</v>
      </c>
      <c r="J1875" s="66"/>
      <c r="K1875" s="66"/>
      <c r="L1875" s="68"/>
      <c r="M1875" s="63" t="str">
        <f>HYPERLINK("http://nsgreg.nga.mil/genc/view?v=864357&amp;end_month=12&amp;end_day=31&amp;end_year=2016","Correlation")</f>
        <v>Correlation</v>
      </c>
    </row>
    <row r="1876" spans="1:13" x14ac:dyDescent="0.2">
      <c r="A1876" s="113"/>
      <c r="B1876" s="58" t="s">
        <v>5430</v>
      </c>
      <c r="C1876" s="58" t="s">
        <v>1413</v>
      </c>
      <c r="D1876" s="58" t="s">
        <v>5431</v>
      </c>
      <c r="E1876" s="60" t="b">
        <v>1</v>
      </c>
      <c r="F1876" s="80" t="s">
        <v>728</v>
      </c>
      <c r="G1876" s="58" t="s">
        <v>5430</v>
      </c>
      <c r="H1876" s="58" t="s">
        <v>1413</v>
      </c>
      <c r="I1876" s="64" t="s">
        <v>5431</v>
      </c>
      <c r="J1876" s="66"/>
      <c r="K1876" s="66"/>
      <c r="L1876" s="68"/>
      <c r="M1876" s="63" t="str">
        <f>HYPERLINK("http://nsgreg.nga.mil/genc/view?v=864355&amp;end_month=12&amp;end_day=31&amp;end_year=2016","Correlation")</f>
        <v>Correlation</v>
      </c>
    </row>
    <row r="1877" spans="1:13" x14ac:dyDescent="0.2">
      <c r="A1877" s="113"/>
      <c r="B1877" s="58" t="s">
        <v>5432</v>
      </c>
      <c r="C1877" s="58" t="s">
        <v>1413</v>
      </c>
      <c r="D1877" s="58" t="s">
        <v>5433</v>
      </c>
      <c r="E1877" s="60" t="b">
        <v>1</v>
      </c>
      <c r="F1877" s="80" t="s">
        <v>728</v>
      </c>
      <c r="G1877" s="58" t="s">
        <v>5432</v>
      </c>
      <c r="H1877" s="58" t="s">
        <v>1413</v>
      </c>
      <c r="I1877" s="64" t="s">
        <v>5433</v>
      </c>
      <c r="J1877" s="66"/>
      <c r="K1877" s="66"/>
      <c r="L1877" s="68"/>
      <c r="M1877" s="63" t="str">
        <f>HYPERLINK("http://nsgreg.nga.mil/genc/view?v=864360&amp;end_month=12&amp;end_day=31&amp;end_year=2016","Correlation")</f>
        <v>Correlation</v>
      </c>
    </row>
    <row r="1878" spans="1:13" x14ac:dyDescent="0.2">
      <c r="A1878" s="113"/>
      <c r="B1878" s="58" t="s">
        <v>5434</v>
      </c>
      <c r="C1878" s="58" t="s">
        <v>1413</v>
      </c>
      <c r="D1878" s="58" t="s">
        <v>5435</v>
      </c>
      <c r="E1878" s="60" t="b">
        <v>1</v>
      </c>
      <c r="F1878" s="80" t="s">
        <v>728</v>
      </c>
      <c r="G1878" s="58" t="s">
        <v>5434</v>
      </c>
      <c r="H1878" s="58" t="s">
        <v>1413</v>
      </c>
      <c r="I1878" s="64" t="s">
        <v>5435</v>
      </c>
      <c r="J1878" s="66"/>
      <c r="K1878" s="66"/>
      <c r="L1878" s="68"/>
      <c r="M1878" s="63" t="str">
        <f>HYPERLINK("http://nsgreg.nga.mil/genc/view?v=864361&amp;end_month=12&amp;end_day=31&amp;end_year=2016","Correlation")</f>
        <v>Correlation</v>
      </c>
    </row>
    <row r="1879" spans="1:13" x14ac:dyDescent="0.2">
      <c r="A1879" s="113"/>
      <c r="B1879" s="58" t="s">
        <v>5436</v>
      </c>
      <c r="C1879" s="58" t="s">
        <v>1413</v>
      </c>
      <c r="D1879" s="58" t="s">
        <v>5437</v>
      </c>
      <c r="E1879" s="60" t="b">
        <v>1</v>
      </c>
      <c r="F1879" s="80" t="s">
        <v>728</v>
      </c>
      <c r="G1879" s="58" t="s">
        <v>5436</v>
      </c>
      <c r="H1879" s="58" t="s">
        <v>1413</v>
      </c>
      <c r="I1879" s="64" t="s">
        <v>5437</v>
      </c>
      <c r="J1879" s="66"/>
      <c r="K1879" s="66"/>
      <c r="L1879" s="68"/>
      <c r="M1879" s="63" t="str">
        <f>HYPERLINK("http://nsgreg.nga.mil/genc/view?v=864365&amp;end_month=12&amp;end_day=31&amp;end_year=2016","Correlation")</f>
        <v>Correlation</v>
      </c>
    </row>
    <row r="1880" spans="1:13" x14ac:dyDescent="0.2">
      <c r="A1880" s="113"/>
      <c r="B1880" s="58" t="s">
        <v>5438</v>
      </c>
      <c r="C1880" s="58" t="s">
        <v>1413</v>
      </c>
      <c r="D1880" s="58" t="s">
        <v>5439</v>
      </c>
      <c r="E1880" s="60" t="b">
        <v>1</v>
      </c>
      <c r="F1880" s="80" t="s">
        <v>728</v>
      </c>
      <c r="G1880" s="58" t="s">
        <v>5438</v>
      </c>
      <c r="H1880" s="58" t="s">
        <v>1413</v>
      </c>
      <c r="I1880" s="64" t="s">
        <v>5439</v>
      </c>
      <c r="J1880" s="66"/>
      <c r="K1880" s="66"/>
      <c r="L1880" s="68"/>
      <c r="M1880" s="63" t="str">
        <f>HYPERLINK("http://nsgreg.nga.mil/genc/view?v=864363&amp;end_month=12&amp;end_day=31&amp;end_year=2016","Correlation")</f>
        <v>Correlation</v>
      </c>
    </row>
    <row r="1881" spans="1:13" x14ac:dyDescent="0.2">
      <c r="A1881" s="113"/>
      <c r="B1881" s="58" t="s">
        <v>5440</v>
      </c>
      <c r="C1881" s="58" t="s">
        <v>1413</v>
      </c>
      <c r="D1881" s="58" t="s">
        <v>5441</v>
      </c>
      <c r="E1881" s="60" t="b">
        <v>1</v>
      </c>
      <c r="F1881" s="80" t="s">
        <v>728</v>
      </c>
      <c r="G1881" s="58" t="s">
        <v>5440</v>
      </c>
      <c r="H1881" s="58" t="s">
        <v>1413</v>
      </c>
      <c r="I1881" s="64" t="s">
        <v>5441</v>
      </c>
      <c r="J1881" s="66"/>
      <c r="K1881" s="66"/>
      <c r="L1881" s="68"/>
      <c r="M1881" s="63" t="str">
        <f>HYPERLINK("http://nsgreg.nga.mil/genc/view?v=864364&amp;end_month=12&amp;end_day=31&amp;end_year=2016","Correlation")</f>
        <v>Correlation</v>
      </c>
    </row>
    <row r="1882" spans="1:13" x14ac:dyDescent="0.2">
      <c r="A1882" s="113"/>
      <c r="B1882" s="58" t="s">
        <v>5442</v>
      </c>
      <c r="C1882" s="58" t="s">
        <v>3080</v>
      </c>
      <c r="D1882" s="58" t="s">
        <v>5443</v>
      </c>
      <c r="E1882" s="60" t="b">
        <v>1</v>
      </c>
      <c r="F1882" s="80" t="s">
        <v>728</v>
      </c>
      <c r="G1882" s="58" t="s">
        <v>5442</v>
      </c>
      <c r="H1882" s="58" t="s">
        <v>1728</v>
      </c>
      <c r="I1882" s="64" t="s">
        <v>5443</v>
      </c>
      <c r="J1882" s="66"/>
      <c r="K1882" s="66"/>
      <c r="L1882" s="68"/>
      <c r="M1882" s="63" t="str">
        <f>HYPERLINK("http://nsgreg.nga.mil/genc/view?v=864251&amp;end_month=12&amp;end_day=31&amp;end_year=2016","Correlation")</f>
        <v>Correlation</v>
      </c>
    </row>
    <row r="1883" spans="1:13" x14ac:dyDescent="0.2">
      <c r="A1883" s="113"/>
      <c r="B1883" s="58" t="s">
        <v>5444</v>
      </c>
      <c r="C1883" s="58" t="s">
        <v>1413</v>
      </c>
      <c r="D1883" s="58" t="s">
        <v>5445</v>
      </c>
      <c r="E1883" s="60" t="b">
        <v>1</v>
      </c>
      <c r="F1883" s="80" t="s">
        <v>728</v>
      </c>
      <c r="G1883" s="58" t="s">
        <v>5444</v>
      </c>
      <c r="H1883" s="58" t="s">
        <v>1413</v>
      </c>
      <c r="I1883" s="64" t="s">
        <v>5445</v>
      </c>
      <c r="J1883" s="66"/>
      <c r="K1883" s="66"/>
      <c r="L1883" s="68"/>
      <c r="M1883" s="63" t="str">
        <f>HYPERLINK("http://nsgreg.nga.mil/genc/view?v=864362&amp;end_month=12&amp;end_day=31&amp;end_year=2016","Correlation")</f>
        <v>Correlation</v>
      </c>
    </row>
    <row r="1884" spans="1:13" x14ac:dyDescent="0.2">
      <c r="A1884" s="113"/>
      <c r="B1884" s="58" t="s">
        <v>5446</v>
      </c>
      <c r="C1884" s="58" t="s">
        <v>1413</v>
      </c>
      <c r="D1884" s="58" t="s">
        <v>5447</v>
      </c>
      <c r="E1884" s="60" t="b">
        <v>1</v>
      </c>
      <c r="F1884" s="80" t="s">
        <v>728</v>
      </c>
      <c r="G1884" s="58" t="s">
        <v>5446</v>
      </c>
      <c r="H1884" s="58" t="s">
        <v>1413</v>
      </c>
      <c r="I1884" s="64" t="s">
        <v>5447</v>
      </c>
      <c r="J1884" s="66"/>
      <c r="K1884" s="66"/>
      <c r="L1884" s="68"/>
      <c r="M1884" s="63" t="str">
        <f>HYPERLINK("http://nsgreg.nga.mil/genc/view?v=864367&amp;end_month=12&amp;end_day=31&amp;end_year=2016","Correlation")</f>
        <v>Correlation</v>
      </c>
    </row>
    <row r="1885" spans="1:13" x14ac:dyDescent="0.2">
      <c r="A1885" s="113"/>
      <c r="B1885" s="58" t="s">
        <v>5448</v>
      </c>
      <c r="C1885" s="58" t="s">
        <v>1413</v>
      </c>
      <c r="D1885" s="58" t="s">
        <v>5449</v>
      </c>
      <c r="E1885" s="60" t="b">
        <v>1</v>
      </c>
      <c r="F1885" s="80" t="s">
        <v>728</v>
      </c>
      <c r="G1885" s="58" t="s">
        <v>5448</v>
      </c>
      <c r="H1885" s="58" t="s">
        <v>1413</v>
      </c>
      <c r="I1885" s="64" t="s">
        <v>5449</v>
      </c>
      <c r="J1885" s="66"/>
      <c r="K1885" s="66"/>
      <c r="L1885" s="68"/>
      <c r="M1885" s="63" t="str">
        <f>HYPERLINK("http://nsgreg.nga.mil/genc/view?v=864366&amp;end_month=12&amp;end_day=31&amp;end_year=2016","Correlation")</f>
        <v>Correlation</v>
      </c>
    </row>
    <row r="1886" spans="1:13" x14ac:dyDescent="0.2">
      <c r="A1886" s="113"/>
      <c r="B1886" s="58" t="s">
        <v>5450</v>
      </c>
      <c r="C1886" s="58" t="s">
        <v>1728</v>
      </c>
      <c r="D1886" s="58" t="s">
        <v>5451</v>
      </c>
      <c r="E1886" s="60" t="b">
        <v>1</v>
      </c>
      <c r="F1886" s="80" t="s">
        <v>728</v>
      </c>
      <c r="G1886" s="58" t="s">
        <v>5452</v>
      </c>
      <c r="H1886" s="58" t="s">
        <v>1728</v>
      </c>
      <c r="I1886" s="64" t="s">
        <v>5451</v>
      </c>
      <c r="J1886" s="66"/>
      <c r="K1886" s="66"/>
      <c r="L1886" s="68"/>
      <c r="M1886" s="63" t="str">
        <f>HYPERLINK("http://nsgreg.nga.mil/genc/view?v=864256&amp;end_month=12&amp;end_day=31&amp;end_year=2016","Correlation")</f>
        <v>Correlation</v>
      </c>
    </row>
    <row r="1887" spans="1:13" x14ac:dyDescent="0.2">
      <c r="A1887" s="113"/>
      <c r="B1887" s="58" t="s">
        <v>5453</v>
      </c>
      <c r="C1887" s="58" t="s">
        <v>1413</v>
      </c>
      <c r="D1887" s="58" t="s">
        <v>5454</v>
      </c>
      <c r="E1887" s="60" t="b">
        <v>1</v>
      </c>
      <c r="F1887" s="80" t="s">
        <v>728</v>
      </c>
      <c r="G1887" s="58" t="s">
        <v>5453</v>
      </c>
      <c r="H1887" s="58" t="s">
        <v>1413</v>
      </c>
      <c r="I1887" s="64" t="s">
        <v>5454</v>
      </c>
      <c r="J1887" s="66"/>
      <c r="K1887" s="66"/>
      <c r="L1887" s="68"/>
      <c r="M1887" s="63" t="str">
        <f>HYPERLINK("http://nsgreg.nga.mil/genc/view?v=864368&amp;end_month=12&amp;end_day=31&amp;end_year=2016","Correlation")</f>
        <v>Correlation</v>
      </c>
    </row>
    <row r="1888" spans="1:13" x14ac:dyDescent="0.2">
      <c r="A1888" s="113"/>
      <c r="B1888" s="58" t="s">
        <v>5455</v>
      </c>
      <c r="C1888" s="58" t="s">
        <v>1728</v>
      </c>
      <c r="D1888" s="58" t="s">
        <v>5456</v>
      </c>
      <c r="E1888" s="60" t="b">
        <v>1</v>
      </c>
      <c r="F1888" s="80" t="s">
        <v>728</v>
      </c>
      <c r="G1888" s="58" t="s">
        <v>5455</v>
      </c>
      <c r="H1888" s="58" t="s">
        <v>1728</v>
      </c>
      <c r="I1888" s="64" t="s">
        <v>5456</v>
      </c>
      <c r="J1888" s="66"/>
      <c r="K1888" s="66"/>
      <c r="L1888" s="68"/>
      <c r="M1888" s="63" t="str">
        <f>HYPERLINK("http://nsgreg.nga.mil/genc/view?v=864257&amp;end_month=12&amp;end_day=31&amp;end_year=2016","Correlation")</f>
        <v>Correlation</v>
      </c>
    </row>
    <row r="1889" spans="1:13" x14ac:dyDescent="0.2">
      <c r="A1889" s="113"/>
      <c r="B1889" s="58" t="s">
        <v>5457</v>
      </c>
      <c r="C1889" s="58" t="s">
        <v>3080</v>
      </c>
      <c r="D1889" s="58" t="s">
        <v>5458</v>
      </c>
      <c r="E1889" s="60" t="b">
        <v>1</v>
      </c>
      <c r="F1889" s="80" t="s">
        <v>728</v>
      </c>
      <c r="G1889" s="58" t="s">
        <v>5459</v>
      </c>
      <c r="H1889" s="58" t="s">
        <v>1728</v>
      </c>
      <c r="I1889" s="64" t="s">
        <v>5458</v>
      </c>
      <c r="J1889" s="66"/>
      <c r="K1889" s="66"/>
      <c r="L1889" s="68"/>
      <c r="M1889" s="63" t="str">
        <f>HYPERLINK("http://nsgreg.nga.mil/genc/view?v=864249&amp;end_month=12&amp;end_day=31&amp;end_year=2016","Correlation")</f>
        <v>Correlation</v>
      </c>
    </row>
    <row r="1890" spans="1:13" x14ac:dyDescent="0.2">
      <c r="A1890" s="113"/>
      <c r="B1890" s="58" t="s">
        <v>5460</v>
      </c>
      <c r="C1890" s="58" t="s">
        <v>1413</v>
      </c>
      <c r="D1890" s="58" t="s">
        <v>5461</v>
      </c>
      <c r="E1890" s="60" t="b">
        <v>1</v>
      </c>
      <c r="F1890" s="80" t="s">
        <v>728</v>
      </c>
      <c r="G1890" s="58" t="s">
        <v>5460</v>
      </c>
      <c r="H1890" s="58" t="s">
        <v>1413</v>
      </c>
      <c r="I1890" s="64" t="s">
        <v>5461</v>
      </c>
      <c r="J1890" s="66"/>
      <c r="K1890" s="66"/>
      <c r="L1890" s="68"/>
      <c r="M1890" s="63" t="str">
        <f>HYPERLINK("http://nsgreg.nga.mil/genc/view?v=864369&amp;end_month=12&amp;end_day=31&amp;end_year=2016","Correlation")</f>
        <v>Correlation</v>
      </c>
    </row>
    <row r="1891" spans="1:13" x14ac:dyDescent="0.2">
      <c r="A1891" s="113"/>
      <c r="B1891" s="58" t="s">
        <v>5462</v>
      </c>
      <c r="C1891" s="58" t="s">
        <v>1728</v>
      </c>
      <c r="D1891" s="58" t="s">
        <v>5463</v>
      </c>
      <c r="E1891" s="60" t="b">
        <v>1</v>
      </c>
      <c r="F1891" s="80" t="s">
        <v>728</v>
      </c>
      <c r="G1891" s="58" t="s">
        <v>5462</v>
      </c>
      <c r="H1891" s="58" t="s">
        <v>1728</v>
      </c>
      <c r="I1891" s="64" t="s">
        <v>5463</v>
      </c>
      <c r="J1891" s="66"/>
      <c r="K1891" s="66"/>
      <c r="L1891" s="68"/>
      <c r="M1891" s="63" t="str">
        <f>HYPERLINK("http://nsgreg.nga.mil/genc/view?v=864252&amp;end_month=12&amp;end_day=31&amp;end_year=2016","Correlation")</f>
        <v>Correlation</v>
      </c>
    </row>
    <row r="1892" spans="1:13" x14ac:dyDescent="0.2">
      <c r="A1892" s="113"/>
      <c r="B1892" s="58" t="s">
        <v>5464</v>
      </c>
      <c r="C1892" s="58" t="s">
        <v>1413</v>
      </c>
      <c r="D1892" s="58" t="s">
        <v>5465</v>
      </c>
      <c r="E1892" s="60" t="b">
        <v>1</v>
      </c>
      <c r="F1892" s="80" t="s">
        <v>728</v>
      </c>
      <c r="G1892" s="58" t="s">
        <v>5464</v>
      </c>
      <c r="H1892" s="58" t="s">
        <v>1413</v>
      </c>
      <c r="I1892" s="64" t="s">
        <v>5465</v>
      </c>
      <c r="J1892" s="66"/>
      <c r="K1892" s="66"/>
      <c r="L1892" s="68"/>
      <c r="M1892" s="63" t="str">
        <f>HYPERLINK("http://nsgreg.nga.mil/genc/view?v=864372&amp;end_month=12&amp;end_day=31&amp;end_year=2016","Correlation")</f>
        <v>Correlation</v>
      </c>
    </row>
    <row r="1893" spans="1:13" x14ac:dyDescent="0.2">
      <c r="A1893" s="113"/>
      <c r="B1893" s="58" t="s">
        <v>5466</v>
      </c>
      <c r="C1893" s="58" t="s">
        <v>1413</v>
      </c>
      <c r="D1893" s="58" t="s">
        <v>5467</v>
      </c>
      <c r="E1893" s="60" t="b">
        <v>1</v>
      </c>
      <c r="F1893" s="80" t="s">
        <v>728</v>
      </c>
      <c r="G1893" s="58" t="s">
        <v>5466</v>
      </c>
      <c r="H1893" s="58" t="s">
        <v>1413</v>
      </c>
      <c r="I1893" s="64" t="s">
        <v>5467</v>
      </c>
      <c r="J1893" s="66"/>
      <c r="K1893" s="66"/>
      <c r="L1893" s="68"/>
      <c r="M1893" s="63" t="str">
        <f>HYPERLINK("http://nsgreg.nga.mil/genc/view?v=864370&amp;end_month=12&amp;end_day=31&amp;end_year=2016","Correlation")</f>
        <v>Correlation</v>
      </c>
    </row>
    <row r="1894" spans="1:13" x14ac:dyDescent="0.2">
      <c r="A1894" s="113"/>
      <c r="B1894" s="58" t="s">
        <v>5468</v>
      </c>
      <c r="C1894" s="58" t="s">
        <v>1413</v>
      </c>
      <c r="D1894" s="58" t="s">
        <v>5469</v>
      </c>
      <c r="E1894" s="60" t="b">
        <v>1</v>
      </c>
      <c r="F1894" s="80" t="s">
        <v>728</v>
      </c>
      <c r="G1894" s="58" t="s">
        <v>5468</v>
      </c>
      <c r="H1894" s="58" t="s">
        <v>1413</v>
      </c>
      <c r="I1894" s="64" t="s">
        <v>5469</v>
      </c>
      <c r="J1894" s="66"/>
      <c r="K1894" s="66"/>
      <c r="L1894" s="68"/>
      <c r="M1894" s="63" t="str">
        <f>HYPERLINK("http://nsgreg.nga.mil/genc/view?v=864371&amp;end_month=12&amp;end_day=31&amp;end_year=2016","Correlation")</f>
        <v>Correlation</v>
      </c>
    </row>
    <row r="1895" spans="1:13" x14ac:dyDescent="0.2">
      <c r="A1895" s="113"/>
      <c r="B1895" s="58" t="s">
        <v>5470</v>
      </c>
      <c r="C1895" s="58" t="s">
        <v>1413</v>
      </c>
      <c r="D1895" s="58" t="s">
        <v>5471</v>
      </c>
      <c r="E1895" s="60" t="b">
        <v>1</v>
      </c>
      <c r="F1895" s="80" t="s">
        <v>728</v>
      </c>
      <c r="G1895" s="58" t="s">
        <v>5470</v>
      </c>
      <c r="H1895" s="58" t="s">
        <v>1413</v>
      </c>
      <c r="I1895" s="64" t="s">
        <v>5471</v>
      </c>
      <c r="J1895" s="66"/>
      <c r="K1895" s="66"/>
      <c r="L1895" s="68"/>
      <c r="M1895" s="63" t="str">
        <f>HYPERLINK("http://nsgreg.nga.mil/genc/view?v=864374&amp;end_month=12&amp;end_day=31&amp;end_year=2016","Correlation")</f>
        <v>Correlation</v>
      </c>
    </row>
    <row r="1896" spans="1:13" x14ac:dyDescent="0.2">
      <c r="A1896" s="113"/>
      <c r="B1896" s="58" t="s">
        <v>5472</v>
      </c>
      <c r="C1896" s="58" t="s">
        <v>1413</v>
      </c>
      <c r="D1896" s="58" t="s">
        <v>5473</v>
      </c>
      <c r="E1896" s="60" t="b">
        <v>1</v>
      </c>
      <c r="F1896" s="80" t="s">
        <v>728</v>
      </c>
      <c r="G1896" s="58" t="s">
        <v>5472</v>
      </c>
      <c r="H1896" s="58" t="s">
        <v>1413</v>
      </c>
      <c r="I1896" s="64" t="s">
        <v>5473</v>
      </c>
      <c r="J1896" s="66"/>
      <c r="K1896" s="66"/>
      <c r="L1896" s="68"/>
      <c r="M1896" s="63" t="str">
        <f>HYPERLINK("http://nsgreg.nga.mil/genc/view?v=864377&amp;end_month=12&amp;end_day=31&amp;end_year=2016","Correlation")</f>
        <v>Correlation</v>
      </c>
    </row>
    <row r="1897" spans="1:13" x14ac:dyDescent="0.2">
      <c r="A1897" s="113"/>
      <c r="B1897" s="58" t="s">
        <v>5474</v>
      </c>
      <c r="C1897" s="58" t="s">
        <v>1413</v>
      </c>
      <c r="D1897" s="58" t="s">
        <v>5475</v>
      </c>
      <c r="E1897" s="60" t="b">
        <v>1</v>
      </c>
      <c r="F1897" s="80" t="s">
        <v>728</v>
      </c>
      <c r="G1897" s="58" t="s">
        <v>5474</v>
      </c>
      <c r="H1897" s="58" t="s">
        <v>1413</v>
      </c>
      <c r="I1897" s="64" t="s">
        <v>5475</v>
      </c>
      <c r="J1897" s="66"/>
      <c r="K1897" s="66"/>
      <c r="L1897" s="68"/>
      <c r="M1897" s="63" t="str">
        <f>HYPERLINK("http://nsgreg.nga.mil/genc/view?v=864373&amp;end_month=12&amp;end_day=31&amp;end_year=2016","Correlation")</f>
        <v>Correlation</v>
      </c>
    </row>
    <row r="1898" spans="1:13" x14ac:dyDescent="0.2">
      <c r="A1898" s="114"/>
      <c r="B1898" s="71" t="s">
        <v>5476</v>
      </c>
      <c r="C1898" s="71" t="s">
        <v>1413</v>
      </c>
      <c r="D1898" s="71" t="s">
        <v>5477</v>
      </c>
      <c r="E1898" s="73" t="b">
        <v>1</v>
      </c>
      <c r="F1898" s="81" t="s">
        <v>728</v>
      </c>
      <c r="G1898" s="71" t="s">
        <v>5476</v>
      </c>
      <c r="H1898" s="71" t="s">
        <v>1413</v>
      </c>
      <c r="I1898" s="74" t="s">
        <v>5477</v>
      </c>
      <c r="J1898" s="76"/>
      <c r="K1898" s="76"/>
      <c r="L1898" s="82"/>
      <c r="M1898" s="77" t="str">
        <f>HYPERLINK("http://nsgreg.nga.mil/genc/view?v=864376&amp;end_month=12&amp;end_day=31&amp;end_year=2016","Correlation")</f>
        <v>Correlation</v>
      </c>
    </row>
    <row r="1899" spans="1:13" x14ac:dyDescent="0.2">
      <c r="A1899" s="112" t="s">
        <v>732</v>
      </c>
      <c r="B1899" s="50" t="s">
        <v>5478</v>
      </c>
      <c r="C1899" s="50" t="s">
        <v>1607</v>
      </c>
      <c r="D1899" s="50" t="s">
        <v>5479</v>
      </c>
      <c r="E1899" s="52" t="b">
        <v>1</v>
      </c>
      <c r="F1899" s="78" t="s">
        <v>732</v>
      </c>
      <c r="G1899" s="50" t="s">
        <v>5478</v>
      </c>
      <c r="H1899" s="50" t="s">
        <v>1607</v>
      </c>
      <c r="I1899" s="53" t="s">
        <v>5479</v>
      </c>
      <c r="J1899" s="55"/>
      <c r="K1899" s="55"/>
      <c r="L1899" s="79"/>
      <c r="M1899" s="56" t="str">
        <f>HYPERLINK("http://nsgreg.nga.mil/genc/view?v=864390&amp;end_month=12&amp;end_day=31&amp;end_year=2016","Correlation")</f>
        <v>Correlation</v>
      </c>
    </row>
    <row r="1900" spans="1:13" x14ac:dyDescent="0.2">
      <c r="A1900" s="113"/>
      <c r="B1900" s="58" t="s">
        <v>5480</v>
      </c>
      <c r="C1900" s="58" t="s">
        <v>1607</v>
      </c>
      <c r="D1900" s="58" t="s">
        <v>5481</v>
      </c>
      <c r="E1900" s="60" t="b">
        <v>1</v>
      </c>
      <c r="F1900" s="80" t="s">
        <v>732</v>
      </c>
      <c r="G1900" s="58" t="s">
        <v>5480</v>
      </c>
      <c r="H1900" s="58" t="s">
        <v>1607</v>
      </c>
      <c r="I1900" s="64" t="s">
        <v>5481</v>
      </c>
      <c r="J1900" s="66"/>
      <c r="K1900" s="66"/>
      <c r="L1900" s="68"/>
      <c r="M1900" s="63" t="str">
        <f>HYPERLINK("http://nsgreg.nga.mil/genc/view?v=864386&amp;end_month=12&amp;end_day=31&amp;end_year=2016","Correlation")</f>
        <v>Correlation</v>
      </c>
    </row>
    <row r="1901" spans="1:13" x14ac:dyDescent="0.2">
      <c r="A1901" s="113"/>
      <c r="B1901" s="58" t="s">
        <v>5482</v>
      </c>
      <c r="C1901" s="58" t="s">
        <v>1607</v>
      </c>
      <c r="D1901" s="58" t="s">
        <v>5483</v>
      </c>
      <c r="E1901" s="60" t="b">
        <v>1</v>
      </c>
      <c r="F1901" s="80" t="s">
        <v>732</v>
      </c>
      <c r="G1901" s="58" t="s">
        <v>5482</v>
      </c>
      <c r="H1901" s="58" t="s">
        <v>1607</v>
      </c>
      <c r="I1901" s="64" t="s">
        <v>5483</v>
      </c>
      <c r="J1901" s="66"/>
      <c r="K1901" s="66"/>
      <c r="L1901" s="68"/>
      <c r="M1901" s="63" t="str">
        <f>HYPERLINK("http://nsgreg.nga.mil/genc/view?v=864378&amp;end_month=12&amp;end_day=31&amp;end_year=2016","Correlation")</f>
        <v>Correlation</v>
      </c>
    </row>
    <row r="1902" spans="1:13" x14ac:dyDescent="0.2">
      <c r="A1902" s="113"/>
      <c r="B1902" s="58" t="s">
        <v>5484</v>
      </c>
      <c r="C1902" s="58" t="s">
        <v>1607</v>
      </c>
      <c r="D1902" s="58" t="s">
        <v>5485</v>
      </c>
      <c r="E1902" s="60" t="b">
        <v>1</v>
      </c>
      <c r="F1902" s="80" t="s">
        <v>732</v>
      </c>
      <c r="G1902" s="58" t="s">
        <v>5484</v>
      </c>
      <c r="H1902" s="58" t="s">
        <v>1607</v>
      </c>
      <c r="I1902" s="64" t="s">
        <v>5485</v>
      </c>
      <c r="J1902" s="66"/>
      <c r="K1902" s="66"/>
      <c r="L1902" s="68"/>
      <c r="M1902" s="63" t="str">
        <f>HYPERLINK("http://nsgreg.nga.mil/genc/view?v=864389&amp;end_month=12&amp;end_day=31&amp;end_year=2016","Correlation")</f>
        <v>Correlation</v>
      </c>
    </row>
    <row r="1903" spans="1:13" x14ac:dyDescent="0.2">
      <c r="A1903" s="113"/>
      <c r="B1903" s="58" t="s">
        <v>5486</v>
      </c>
      <c r="C1903" s="58" t="s">
        <v>1607</v>
      </c>
      <c r="D1903" s="58" t="s">
        <v>5487</v>
      </c>
      <c r="E1903" s="60" t="b">
        <v>1</v>
      </c>
      <c r="F1903" s="80" t="s">
        <v>732</v>
      </c>
      <c r="G1903" s="58" t="s">
        <v>5486</v>
      </c>
      <c r="H1903" s="58" t="s">
        <v>1607</v>
      </c>
      <c r="I1903" s="64" t="s">
        <v>5487</v>
      </c>
      <c r="J1903" s="66"/>
      <c r="K1903" s="66"/>
      <c r="L1903" s="68"/>
      <c r="M1903" s="63" t="str">
        <f>HYPERLINK("http://nsgreg.nga.mil/genc/view?v=864381&amp;end_month=12&amp;end_day=31&amp;end_year=2016","Correlation")</f>
        <v>Correlation</v>
      </c>
    </row>
    <row r="1904" spans="1:13" x14ac:dyDescent="0.2">
      <c r="A1904" s="113"/>
      <c r="B1904" s="58" t="s">
        <v>2213</v>
      </c>
      <c r="C1904" s="58" t="s">
        <v>1607</v>
      </c>
      <c r="D1904" s="58" t="s">
        <v>5488</v>
      </c>
      <c r="E1904" s="60" t="b">
        <v>1</v>
      </c>
      <c r="F1904" s="80" t="s">
        <v>732</v>
      </c>
      <c r="G1904" s="58" t="s">
        <v>2213</v>
      </c>
      <c r="H1904" s="58" t="s">
        <v>1607</v>
      </c>
      <c r="I1904" s="64" t="s">
        <v>5488</v>
      </c>
      <c r="J1904" s="66"/>
      <c r="K1904" s="66"/>
      <c r="L1904" s="68"/>
      <c r="M1904" s="63" t="str">
        <f>HYPERLINK("http://nsgreg.nga.mil/genc/view?v=864379&amp;end_month=12&amp;end_day=31&amp;end_year=2016","Correlation")</f>
        <v>Correlation</v>
      </c>
    </row>
    <row r="1905" spans="1:13" x14ac:dyDescent="0.2">
      <c r="A1905" s="113"/>
      <c r="B1905" s="58" t="s">
        <v>5489</v>
      </c>
      <c r="C1905" s="58" t="s">
        <v>1607</v>
      </c>
      <c r="D1905" s="58" t="s">
        <v>5490</v>
      </c>
      <c r="E1905" s="60" t="b">
        <v>1</v>
      </c>
      <c r="F1905" s="80" t="s">
        <v>732</v>
      </c>
      <c r="G1905" s="58" t="s">
        <v>5489</v>
      </c>
      <c r="H1905" s="58" t="s">
        <v>1607</v>
      </c>
      <c r="I1905" s="64" t="s">
        <v>5490</v>
      </c>
      <c r="J1905" s="66"/>
      <c r="K1905" s="66"/>
      <c r="L1905" s="68"/>
      <c r="M1905" s="63" t="str">
        <f>HYPERLINK("http://nsgreg.nga.mil/genc/view?v=864383&amp;end_month=12&amp;end_day=31&amp;end_year=2016","Correlation")</f>
        <v>Correlation</v>
      </c>
    </row>
    <row r="1906" spans="1:13" x14ac:dyDescent="0.2">
      <c r="A1906" s="113"/>
      <c r="B1906" s="58" t="s">
        <v>5491</v>
      </c>
      <c r="C1906" s="58" t="s">
        <v>1607</v>
      </c>
      <c r="D1906" s="58" t="s">
        <v>5492</v>
      </c>
      <c r="E1906" s="60" t="b">
        <v>1</v>
      </c>
      <c r="F1906" s="80" t="s">
        <v>732</v>
      </c>
      <c r="G1906" s="58" t="s">
        <v>5491</v>
      </c>
      <c r="H1906" s="58" t="s">
        <v>1607</v>
      </c>
      <c r="I1906" s="64" t="s">
        <v>5492</v>
      </c>
      <c r="J1906" s="66"/>
      <c r="K1906" s="66"/>
      <c r="L1906" s="68"/>
      <c r="M1906" s="63" t="str">
        <f>HYPERLINK("http://nsgreg.nga.mil/genc/view?v=864391&amp;end_month=12&amp;end_day=31&amp;end_year=2016","Correlation")</f>
        <v>Correlation</v>
      </c>
    </row>
    <row r="1907" spans="1:13" x14ac:dyDescent="0.2">
      <c r="A1907" s="113"/>
      <c r="B1907" s="58" t="s">
        <v>5493</v>
      </c>
      <c r="C1907" s="58" t="s">
        <v>1607</v>
      </c>
      <c r="D1907" s="58" t="s">
        <v>5494</v>
      </c>
      <c r="E1907" s="60" t="b">
        <v>1</v>
      </c>
      <c r="F1907" s="80" t="s">
        <v>732</v>
      </c>
      <c r="G1907" s="58" t="s">
        <v>5493</v>
      </c>
      <c r="H1907" s="58" t="s">
        <v>1607</v>
      </c>
      <c r="I1907" s="64" t="s">
        <v>5494</v>
      </c>
      <c r="J1907" s="66"/>
      <c r="K1907" s="66"/>
      <c r="L1907" s="68"/>
      <c r="M1907" s="63" t="str">
        <f>HYPERLINK("http://nsgreg.nga.mil/genc/view?v=864388&amp;end_month=12&amp;end_day=31&amp;end_year=2016","Correlation")</f>
        <v>Correlation</v>
      </c>
    </row>
    <row r="1908" spans="1:13" x14ac:dyDescent="0.2">
      <c r="A1908" s="113"/>
      <c r="B1908" s="58" t="s">
        <v>2216</v>
      </c>
      <c r="C1908" s="58" t="s">
        <v>1607</v>
      </c>
      <c r="D1908" s="58" t="s">
        <v>5495</v>
      </c>
      <c r="E1908" s="60" t="b">
        <v>1</v>
      </c>
      <c r="F1908" s="80" t="s">
        <v>732</v>
      </c>
      <c r="G1908" s="58" t="s">
        <v>2216</v>
      </c>
      <c r="H1908" s="58" t="s">
        <v>1607</v>
      </c>
      <c r="I1908" s="64" t="s">
        <v>5495</v>
      </c>
      <c r="J1908" s="66"/>
      <c r="K1908" s="66"/>
      <c r="L1908" s="68"/>
      <c r="M1908" s="63" t="str">
        <f>HYPERLINK("http://nsgreg.nga.mil/genc/view?v=864385&amp;end_month=12&amp;end_day=31&amp;end_year=2016","Correlation")</f>
        <v>Correlation</v>
      </c>
    </row>
    <row r="1909" spans="1:13" x14ac:dyDescent="0.2">
      <c r="A1909" s="113"/>
      <c r="B1909" s="58" t="s">
        <v>1667</v>
      </c>
      <c r="C1909" s="58" t="s">
        <v>1607</v>
      </c>
      <c r="D1909" s="58" t="s">
        <v>5496</v>
      </c>
      <c r="E1909" s="60" t="b">
        <v>1</v>
      </c>
      <c r="F1909" s="80" t="s">
        <v>732</v>
      </c>
      <c r="G1909" s="58" t="s">
        <v>1667</v>
      </c>
      <c r="H1909" s="58" t="s">
        <v>1607</v>
      </c>
      <c r="I1909" s="64" t="s">
        <v>5496</v>
      </c>
      <c r="J1909" s="66"/>
      <c r="K1909" s="66"/>
      <c r="L1909" s="68"/>
      <c r="M1909" s="63" t="str">
        <f>HYPERLINK("http://nsgreg.nga.mil/genc/view?v=864382&amp;end_month=12&amp;end_day=31&amp;end_year=2016","Correlation")</f>
        <v>Correlation</v>
      </c>
    </row>
    <row r="1910" spans="1:13" x14ac:dyDescent="0.2">
      <c r="A1910" s="113"/>
      <c r="B1910" s="58" t="s">
        <v>2227</v>
      </c>
      <c r="C1910" s="58" t="s">
        <v>1607</v>
      </c>
      <c r="D1910" s="58" t="s">
        <v>5497</v>
      </c>
      <c r="E1910" s="60" t="b">
        <v>1</v>
      </c>
      <c r="F1910" s="80" t="s">
        <v>732</v>
      </c>
      <c r="G1910" s="58" t="s">
        <v>2227</v>
      </c>
      <c r="H1910" s="58" t="s">
        <v>1607</v>
      </c>
      <c r="I1910" s="64" t="s">
        <v>5497</v>
      </c>
      <c r="J1910" s="66"/>
      <c r="K1910" s="66"/>
      <c r="L1910" s="68"/>
      <c r="M1910" s="63" t="str">
        <f>HYPERLINK("http://nsgreg.nga.mil/genc/view?v=864380&amp;end_month=12&amp;end_day=31&amp;end_year=2016","Correlation")</f>
        <v>Correlation</v>
      </c>
    </row>
    <row r="1911" spans="1:13" x14ac:dyDescent="0.2">
      <c r="A1911" s="113"/>
      <c r="B1911" s="58" t="s">
        <v>5498</v>
      </c>
      <c r="C1911" s="58" t="s">
        <v>1607</v>
      </c>
      <c r="D1911" s="58" t="s">
        <v>5499</v>
      </c>
      <c r="E1911" s="60" t="b">
        <v>1</v>
      </c>
      <c r="F1911" s="80" t="s">
        <v>732</v>
      </c>
      <c r="G1911" s="58" t="s">
        <v>5498</v>
      </c>
      <c r="H1911" s="58" t="s">
        <v>1607</v>
      </c>
      <c r="I1911" s="64" t="s">
        <v>5499</v>
      </c>
      <c r="J1911" s="66"/>
      <c r="K1911" s="66"/>
      <c r="L1911" s="68"/>
      <c r="M1911" s="63" t="str">
        <f>HYPERLINK("http://nsgreg.nga.mil/genc/view?v=864384&amp;end_month=12&amp;end_day=31&amp;end_year=2016","Correlation")</f>
        <v>Correlation</v>
      </c>
    </row>
    <row r="1912" spans="1:13" x14ac:dyDescent="0.2">
      <c r="A1912" s="114"/>
      <c r="B1912" s="71" t="s">
        <v>5500</v>
      </c>
      <c r="C1912" s="71" t="s">
        <v>1607</v>
      </c>
      <c r="D1912" s="71" t="s">
        <v>5501</v>
      </c>
      <c r="E1912" s="73" t="b">
        <v>1</v>
      </c>
      <c r="F1912" s="81" t="s">
        <v>732</v>
      </c>
      <c r="G1912" s="71" t="s">
        <v>5500</v>
      </c>
      <c r="H1912" s="71" t="s">
        <v>1607</v>
      </c>
      <c r="I1912" s="74" t="s">
        <v>5501</v>
      </c>
      <c r="J1912" s="76"/>
      <c r="K1912" s="76"/>
      <c r="L1912" s="82"/>
      <c r="M1912" s="77" t="str">
        <f>HYPERLINK("http://nsgreg.nga.mil/genc/view?v=864387&amp;end_month=12&amp;end_day=31&amp;end_year=2016","Correlation")</f>
        <v>Correlation</v>
      </c>
    </row>
    <row r="1913" spans="1:13" x14ac:dyDescent="0.2">
      <c r="A1913" s="112" t="s">
        <v>746</v>
      </c>
      <c r="B1913" s="50" t="s">
        <v>5502</v>
      </c>
      <c r="C1913" s="50" t="s">
        <v>2925</v>
      </c>
      <c r="D1913" s="50" t="s">
        <v>5503</v>
      </c>
      <c r="E1913" s="52" t="b">
        <v>1</v>
      </c>
      <c r="F1913" s="78" t="s">
        <v>746</v>
      </c>
      <c r="G1913" s="50" t="s">
        <v>5504</v>
      </c>
      <c r="H1913" s="50" t="s">
        <v>2925</v>
      </c>
      <c r="I1913" s="53" t="s">
        <v>5503</v>
      </c>
      <c r="J1913" s="55"/>
      <c r="K1913" s="55"/>
      <c r="L1913" s="79"/>
      <c r="M1913" s="56" t="str">
        <f>HYPERLINK("http://nsgreg.nga.mil/genc/view?v=864426&amp;end_month=12&amp;end_day=31&amp;end_year=2016","Correlation")</f>
        <v>Correlation</v>
      </c>
    </row>
    <row r="1914" spans="1:13" x14ac:dyDescent="0.2">
      <c r="A1914" s="113"/>
      <c r="B1914" s="58" t="s">
        <v>5505</v>
      </c>
      <c r="C1914" s="58" t="s">
        <v>2925</v>
      </c>
      <c r="D1914" s="58" t="s">
        <v>5506</v>
      </c>
      <c r="E1914" s="60" t="b">
        <v>1</v>
      </c>
      <c r="F1914" s="80" t="s">
        <v>746</v>
      </c>
      <c r="G1914" s="58" t="s">
        <v>5505</v>
      </c>
      <c r="H1914" s="58" t="s">
        <v>2925</v>
      </c>
      <c r="I1914" s="64" t="s">
        <v>5506</v>
      </c>
      <c r="J1914" s="66"/>
      <c r="K1914" s="66"/>
      <c r="L1914" s="68"/>
      <c r="M1914" s="63" t="str">
        <f>HYPERLINK("http://nsgreg.nga.mil/genc/view?v=864408&amp;end_month=12&amp;end_day=31&amp;end_year=2016","Correlation")</f>
        <v>Correlation</v>
      </c>
    </row>
    <row r="1915" spans="1:13" x14ac:dyDescent="0.2">
      <c r="A1915" s="113"/>
      <c r="B1915" s="58" t="s">
        <v>5507</v>
      </c>
      <c r="C1915" s="58" t="s">
        <v>2925</v>
      </c>
      <c r="D1915" s="58" t="s">
        <v>5508</v>
      </c>
      <c r="E1915" s="60" t="b">
        <v>1</v>
      </c>
      <c r="F1915" s="80" t="s">
        <v>746</v>
      </c>
      <c r="G1915" s="58" t="s">
        <v>5507</v>
      </c>
      <c r="H1915" s="58" t="s">
        <v>2925</v>
      </c>
      <c r="I1915" s="64" t="s">
        <v>5508</v>
      </c>
      <c r="J1915" s="66"/>
      <c r="K1915" s="66"/>
      <c r="L1915" s="68"/>
      <c r="M1915" s="63" t="str">
        <f>HYPERLINK("http://nsgreg.nga.mil/genc/view?v=864405&amp;end_month=12&amp;end_day=31&amp;end_year=2016","Correlation")</f>
        <v>Correlation</v>
      </c>
    </row>
    <row r="1916" spans="1:13" x14ac:dyDescent="0.2">
      <c r="A1916" s="113"/>
      <c r="B1916" s="58" t="s">
        <v>5509</v>
      </c>
      <c r="C1916" s="58" t="s">
        <v>2925</v>
      </c>
      <c r="D1916" s="58" t="s">
        <v>5510</v>
      </c>
      <c r="E1916" s="60" t="b">
        <v>1</v>
      </c>
      <c r="F1916" s="80" t="s">
        <v>746</v>
      </c>
      <c r="G1916" s="58" t="s">
        <v>5511</v>
      </c>
      <c r="H1916" s="58" t="s">
        <v>2925</v>
      </c>
      <c r="I1916" s="64" t="s">
        <v>5510</v>
      </c>
      <c r="J1916" s="66"/>
      <c r="K1916" s="66"/>
      <c r="L1916" s="68"/>
      <c r="M1916" s="63" t="str">
        <f>HYPERLINK("http://nsgreg.nga.mil/genc/view?v=864415&amp;end_month=12&amp;end_day=31&amp;end_year=2016","Correlation")</f>
        <v>Correlation</v>
      </c>
    </row>
    <row r="1917" spans="1:13" x14ac:dyDescent="0.2">
      <c r="A1917" s="113"/>
      <c r="B1917" s="58" t="s">
        <v>5512</v>
      </c>
      <c r="C1917" s="58" t="s">
        <v>2925</v>
      </c>
      <c r="D1917" s="58" t="s">
        <v>5513</v>
      </c>
      <c r="E1917" s="60" t="b">
        <v>1</v>
      </c>
      <c r="F1917" s="80" t="s">
        <v>746</v>
      </c>
      <c r="G1917" s="58" t="s">
        <v>5512</v>
      </c>
      <c r="H1917" s="58" t="s">
        <v>2925</v>
      </c>
      <c r="I1917" s="64" t="s">
        <v>5513</v>
      </c>
      <c r="J1917" s="66"/>
      <c r="K1917" s="66"/>
      <c r="L1917" s="68"/>
      <c r="M1917" s="63" t="str">
        <f>HYPERLINK("http://nsgreg.nga.mil/genc/view?v=864441&amp;end_month=12&amp;end_day=31&amp;end_year=2016","Correlation")</f>
        <v>Correlation</v>
      </c>
    </row>
    <row r="1918" spans="1:13" x14ac:dyDescent="0.2">
      <c r="A1918" s="113"/>
      <c r="B1918" s="58" t="s">
        <v>5514</v>
      </c>
      <c r="C1918" s="58" t="s">
        <v>2925</v>
      </c>
      <c r="D1918" s="58" t="s">
        <v>5515</v>
      </c>
      <c r="E1918" s="60" t="b">
        <v>1</v>
      </c>
      <c r="F1918" s="80" t="s">
        <v>746</v>
      </c>
      <c r="G1918" s="58" t="s">
        <v>5516</v>
      </c>
      <c r="H1918" s="58" t="s">
        <v>2925</v>
      </c>
      <c r="I1918" s="64" t="s">
        <v>5515</v>
      </c>
      <c r="J1918" s="66"/>
      <c r="K1918" s="66"/>
      <c r="L1918" s="68"/>
      <c r="M1918" s="63" t="str">
        <f>HYPERLINK("http://nsgreg.nga.mil/genc/view?v=864421&amp;end_month=12&amp;end_day=31&amp;end_year=2016","Correlation")</f>
        <v>Correlation</v>
      </c>
    </row>
    <row r="1919" spans="1:13" x14ac:dyDescent="0.2">
      <c r="A1919" s="113"/>
      <c r="B1919" s="58" t="s">
        <v>5517</v>
      </c>
      <c r="C1919" s="58" t="s">
        <v>2925</v>
      </c>
      <c r="D1919" s="58" t="s">
        <v>5518</v>
      </c>
      <c r="E1919" s="60" t="b">
        <v>1</v>
      </c>
      <c r="F1919" s="80" t="s">
        <v>746</v>
      </c>
      <c r="G1919" s="58" t="s">
        <v>5519</v>
      </c>
      <c r="H1919" s="58" t="s">
        <v>2925</v>
      </c>
      <c r="I1919" s="64" t="s">
        <v>5518</v>
      </c>
      <c r="J1919" s="66"/>
      <c r="K1919" s="66"/>
      <c r="L1919" s="68"/>
      <c r="M1919" s="63" t="str">
        <f>HYPERLINK("http://nsgreg.nga.mil/genc/view?v=864443&amp;end_month=12&amp;end_day=31&amp;end_year=2016","Correlation")</f>
        <v>Correlation</v>
      </c>
    </row>
    <row r="1920" spans="1:13" x14ac:dyDescent="0.2">
      <c r="A1920" s="113"/>
      <c r="B1920" s="58" t="s">
        <v>5520</v>
      </c>
      <c r="C1920" s="58" t="s">
        <v>2925</v>
      </c>
      <c r="D1920" s="58" t="s">
        <v>5521</v>
      </c>
      <c r="E1920" s="60" t="b">
        <v>1</v>
      </c>
      <c r="F1920" s="80" t="s">
        <v>746</v>
      </c>
      <c r="G1920" s="58" t="s">
        <v>5522</v>
      </c>
      <c r="H1920" s="58" t="s">
        <v>2925</v>
      </c>
      <c r="I1920" s="64" t="s">
        <v>5521</v>
      </c>
      <c r="J1920" s="66"/>
      <c r="K1920" s="66"/>
      <c r="L1920" s="68"/>
      <c r="M1920" s="63" t="str">
        <f>HYPERLINK("http://nsgreg.nga.mil/genc/view?v=864410&amp;end_month=12&amp;end_day=31&amp;end_year=2016","Correlation")</f>
        <v>Correlation</v>
      </c>
    </row>
    <row r="1921" spans="1:13" x14ac:dyDescent="0.2">
      <c r="A1921" s="113"/>
      <c r="B1921" s="58" t="s">
        <v>5523</v>
      </c>
      <c r="C1921" s="58" t="s">
        <v>2925</v>
      </c>
      <c r="D1921" s="58" t="s">
        <v>5524</v>
      </c>
      <c r="E1921" s="60" t="b">
        <v>1</v>
      </c>
      <c r="F1921" s="80" t="s">
        <v>746</v>
      </c>
      <c r="G1921" s="58" t="s">
        <v>5525</v>
      </c>
      <c r="H1921" s="58" t="s">
        <v>2925</v>
      </c>
      <c r="I1921" s="64" t="s">
        <v>5524</v>
      </c>
      <c r="J1921" s="66"/>
      <c r="K1921" s="66"/>
      <c r="L1921" s="68"/>
      <c r="M1921" s="63" t="str">
        <f>HYPERLINK("http://nsgreg.nga.mil/genc/view?v=864424&amp;end_month=12&amp;end_day=31&amp;end_year=2016","Correlation")</f>
        <v>Correlation</v>
      </c>
    </row>
    <row r="1922" spans="1:13" x14ac:dyDescent="0.2">
      <c r="A1922" s="113"/>
      <c r="B1922" s="58" t="s">
        <v>5526</v>
      </c>
      <c r="C1922" s="58" t="s">
        <v>2925</v>
      </c>
      <c r="D1922" s="58" t="s">
        <v>5527</v>
      </c>
      <c r="E1922" s="60" t="b">
        <v>1</v>
      </c>
      <c r="F1922" s="80" t="s">
        <v>746</v>
      </c>
      <c r="G1922" s="58" t="s">
        <v>5526</v>
      </c>
      <c r="H1922" s="58" t="s">
        <v>2925</v>
      </c>
      <c r="I1922" s="64" t="s">
        <v>5527</v>
      </c>
      <c r="J1922" s="66"/>
      <c r="K1922" s="66"/>
      <c r="L1922" s="68"/>
      <c r="M1922" s="63" t="str">
        <f>HYPERLINK("http://nsgreg.nga.mil/genc/view?v=864413&amp;end_month=12&amp;end_day=31&amp;end_year=2016","Correlation")</f>
        <v>Correlation</v>
      </c>
    </row>
    <row r="1923" spans="1:13" x14ac:dyDescent="0.2">
      <c r="A1923" s="113"/>
      <c r="B1923" s="58" t="s">
        <v>5528</v>
      </c>
      <c r="C1923" s="58" t="s">
        <v>2925</v>
      </c>
      <c r="D1923" s="58" t="s">
        <v>5529</v>
      </c>
      <c r="E1923" s="60" t="b">
        <v>1</v>
      </c>
      <c r="F1923" s="80" t="s">
        <v>746</v>
      </c>
      <c r="G1923" s="58" t="s">
        <v>5530</v>
      </c>
      <c r="H1923" s="58" t="s">
        <v>2925</v>
      </c>
      <c r="I1923" s="64" t="s">
        <v>5529</v>
      </c>
      <c r="J1923" s="66"/>
      <c r="K1923" s="66"/>
      <c r="L1923" s="68"/>
      <c r="M1923" s="63" t="str">
        <f>HYPERLINK("http://nsgreg.nga.mil/genc/view?v=864437&amp;end_month=12&amp;end_day=31&amp;end_year=2016","Correlation")</f>
        <v>Correlation</v>
      </c>
    </row>
    <row r="1924" spans="1:13" x14ac:dyDescent="0.2">
      <c r="A1924" s="113"/>
      <c r="B1924" s="58" t="s">
        <v>5531</v>
      </c>
      <c r="C1924" s="58" t="s">
        <v>2925</v>
      </c>
      <c r="D1924" s="58" t="s">
        <v>5532</v>
      </c>
      <c r="E1924" s="60" t="b">
        <v>1</v>
      </c>
      <c r="F1924" s="80" t="s">
        <v>746</v>
      </c>
      <c r="G1924" s="58" t="s">
        <v>5533</v>
      </c>
      <c r="H1924" s="58" t="s">
        <v>2925</v>
      </c>
      <c r="I1924" s="64" t="s">
        <v>5532</v>
      </c>
      <c r="J1924" s="66"/>
      <c r="K1924" s="66"/>
      <c r="L1924" s="68"/>
      <c r="M1924" s="63" t="str">
        <f>HYPERLINK("http://nsgreg.nga.mil/genc/view?v=864404&amp;end_month=12&amp;end_day=31&amp;end_year=2016","Correlation")</f>
        <v>Correlation</v>
      </c>
    </row>
    <row r="1925" spans="1:13" x14ac:dyDescent="0.2">
      <c r="A1925" s="113"/>
      <c r="B1925" s="58" t="s">
        <v>5534</v>
      </c>
      <c r="C1925" s="58" t="s">
        <v>2925</v>
      </c>
      <c r="D1925" s="58" t="s">
        <v>5535</v>
      </c>
      <c r="E1925" s="60" t="b">
        <v>1</v>
      </c>
      <c r="F1925" s="80" t="s">
        <v>746</v>
      </c>
      <c r="G1925" s="58" t="s">
        <v>5536</v>
      </c>
      <c r="H1925" s="58" t="s">
        <v>2925</v>
      </c>
      <c r="I1925" s="64" t="s">
        <v>5535</v>
      </c>
      <c r="J1925" s="66"/>
      <c r="K1925" s="66"/>
      <c r="L1925" s="68"/>
      <c r="M1925" s="63" t="str">
        <f>HYPERLINK("http://nsgreg.nga.mil/genc/view?v=864431&amp;end_month=12&amp;end_day=31&amp;end_year=2016","Correlation")</f>
        <v>Correlation</v>
      </c>
    </row>
    <row r="1926" spans="1:13" x14ac:dyDescent="0.2">
      <c r="A1926" s="113"/>
      <c r="B1926" s="58" t="s">
        <v>5537</v>
      </c>
      <c r="C1926" s="58" t="s">
        <v>2925</v>
      </c>
      <c r="D1926" s="58" t="s">
        <v>5538</v>
      </c>
      <c r="E1926" s="60" t="b">
        <v>1</v>
      </c>
      <c r="F1926" s="80" t="s">
        <v>746</v>
      </c>
      <c r="G1926" s="58" t="s">
        <v>5537</v>
      </c>
      <c r="H1926" s="58" t="s">
        <v>2925</v>
      </c>
      <c r="I1926" s="64" t="s">
        <v>5538</v>
      </c>
      <c r="J1926" s="66"/>
      <c r="K1926" s="66"/>
      <c r="L1926" s="68"/>
      <c r="M1926" s="63" t="str">
        <f>HYPERLINK("http://nsgreg.nga.mil/genc/view?v=864411&amp;end_month=12&amp;end_day=31&amp;end_year=2016","Correlation")</f>
        <v>Correlation</v>
      </c>
    </row>
    <row r="1927" spans="1:13" x14ac:dyDescent="0.2">
      <c r="A1927" s="113"/>
      <c r="B1927" s="58" t="s">
        <v>5539</v>
      </c>
      <c r="C1927" s="58" t="s">
        <v>2925</v>
      </c>
      <c r="D1927" s="58" t="s">
        <v>5540</v>
      </c>
      <c r="E1927" s="60" t="b">
        <v>1</v>
      </c>
      <c r="F1927" s="80" t="s">
        <v>746</v>
      </c>
      <c r="G1927" s="58" t="s">
        <v>5541</v>
      </c>
      <c r="H1927" s="58" t="s">
        <v>2925</v>
      </c>
      <c r="I1927" s="64" t="s">
        <v>5540</v>
      </c>
      <c r="J1927" s="66"/>
      <c r="K1927" s="66"/>
      <c r="L1927" s="68"/>
      <c r="M1927" s="63" t="str">
        <f>HYPERLINK("http://nsgreg.nga.mil/genc/view?v=864420&amp;end_month=12&amp;end_day=31&amp;end_year=2016","Correlation")</f>
        <v>Correlation</v>
      </c>
    </row>
    <row r="1928" spans="1:13" x14ac:dyDescent="0.2">
      <c r="A1928" s="113"/>
      <c r="B1928" s="58" t="s">
        <v>5542</v>
      </c>
      <c r="C1928" s="58" t="s">
        <v>2925</v>
      </c>
      <c r="D1928" s="58" t="s">
        <v>5543</v>
      </c>
      <c r="E1928" s="60" t="b">
        <v>1</v>
      </c>
      <c r="F1928" s="80" t="s">
        <v>746</v>
      </c>
      <c r="G1928" s="58" t="s">
        <v>5542</v>
      </c>
      <c r="H1928" s="58" t="s">
        <v>2925</v>
      </c>
      <c r="I1928" s="64" t="s">
        <v>5543</v>
      </c>
      <c r="J1928" s="66"/>
      <c r="K1928" s="66"/>
      <c r="L1928" s="68"/>
      <c r="M1928" s="63" t="str">
        <f>HYPERLINK("http://nsgreg.nga.mil/genc/view?v=864406&amp;end_month=12&amp;end_day=31&amp;end_year=2016","Correlation")</f>
        <v>Correlation</v>
      </c>
    </row>
    <row r="1929" spans="1:13" x14ac:dyDescent="0.2">
      <c r="A1929" s="113"/>
      <c r="B1929" s="58" t="s">
        <v>5544</v>
      </c>
      <c r="C1929" s="58" t="s">
        <v>2925</v>
      </c>
      <c r="D1929" s="58" t="s">
        <v>5545</v>
      </c>
      <c r="E1929" s="60" t="b">
        <v>1</v>
      </c>
      <c r="F1929" s="80" t="s">
        <v>746</v>
      </c>
      <c r="G1929" s="58" t="s">
        <v>5544</v>
      </c>
      <c r="H1929" s="58" t="s">
        <v>2925</v>
      </c>
      <c r="I1929" s="64" t="s">
        <v>5545</v>
      </c>
      <c r="J1929" s="66"/>
      <c r="K1929" s="66"/>
      <c r="L1929" s="68"/>
      <c r="M1929" s="63" t="str">
        <f>HYPERLINK("http://nsgreg.nga.mil/genc/view?v=864440&amp;end_month=12&amp;end_day=31&amp;end_year=2016","Correlation")</f>
        <v>Correlation</v>
      </c>
    </row>
    <row r="1930" spans="1:13" x14ac:dyDescent="0.2">
      <c r="A1930" s="113"/>
      <c r="B1930" s="58" t="s">
        <v>5546</v>
      </c>
      <c r="C1930" s="58" t="s">
        <v>2925</v>
      </c>
      <c r="D1930" s="58" t="s">
        <v>5547</v>
      </c>
      <c r="E1930" s="60" t="b">
        <v>1</v>
      </c>
      <c r="F1930" s="80" t="s">
        <v>746</v>
      </c>
      <c r="G1930" s="58" t="s">
        <v>5548</v>
      </c>
      <c r="H1930" s="58" t="s">
        <v>2925</v>
      </c>
      <c r="I1930" s="64" t="s">
        <v>5547</v>
      </c>
      <c r="J1930" s="66"/>
      <c r="K1930" s="66"/>
      <c r="L1930" s="68"/>
      <c r="M1930" s="63" t="str">
        <f>HYPERLINK("http://nsgreg.nga.mil/genc/view?v=864449&amp;end_month=12&amp;end_day=31&amp;end_year=2016","Correlation")</f>
        <v>Correlation</v>
      </c>
    </row>
    <row r="1931" spans="1:13" x14ac:dyDescent="0.2">
      <c r="A1931" s="113"/>
      <c r="B1931" s="58" t="s">
        <v>5549</v>
      </c>
      <c r="C1931" s="58" t="s">
        <v>2925</v>
      </c>
      <c r="D1931" s="58" t="s">
        <v>5550</v>
      </c>
      <c r="E1931" s="60" t="b">
        <v>1</v>
      </c>
      <c r="F1931" s="80" t="s">
        <v>746</v>
      </c>
      <c r="G1931" s="58" t="s">
        <v>5549</v>
      </c>
      <c r="H1931" s="58" t="s">
        <v>2925</v>
      </c>
      <c r="I1931" s="64" t="s">
        <v>5550</v>
      </c>
      <c r="J1931" s="66"/>
      <c r="K1931" s="66"/>
      <c r="L1931" s="68"/>
      <c r="M1931" s="63" t="str">
        <f>HYPERLINK("http://nsgreg.nga.mil/genc/view?v=864417&amp;end_month=12&amp;end_day=31&amp;end_year=2016","Correlation")</f>
        <v>Correlation</v>
      </c>
    </row>
    <row r="1932" spans="1:13" x14ac:dyDescent="0.2">
      <c r="A1932" s="113"/>
      <c r="B1932" s="58" t="s">
        <v>5551</v>
      </c>
      <c r="C1932" s="58" t="s">
        <v>2925</v>
      </c>
      <c r="D1932" s="58" t="s">
        <v>5552</v>
      </c>
      <c r="E1932" s="60" t="b">
        <v>1</v>
      </c>
      <c r="F1932" s="80" t="s">
        <v>746</v>
      </c>
      <c r="G1932" s="58" t="s">
        <v>5553</v>
      </c>
      <c r="H1932" s="58" t="s">
        <v>2925</v>
      </c>
      <c r="I1932" s="64" t="s">
        <v>5552</v>
      </c>
      <c r="J1932" s="66"/>
      <c r="K1932" s="66"/>
      <c r="L1932" s="68"/>
      <c r="M1932" s="63" t="str">
        <f>HYPERLINK("http://nsgreg.nga.mil/genc/view?v=864442&amp;end_month=12&amp;end_day=31&amp;end_year=2016","Correlation")</f>
        <v>Correlation</v>
      </c>
    </row>
    <row r="1933" spans="1:13" x14ac:dyDescent="0.2">
      <c r="A1933" s="113"/>
      <c r="B1933" s="58" t="s">
        <v>5554</v>
      </c>
      <c r="C1933" s="58" t="s">
        <v>2925</v>
      </c>
      <c r="D1933" s="58" t="s">
        <v>5555</v>
      </c>
      <c r="E1933" s="60" t="b">
        <v>1</v>
      </c>
      <c r="F1933" s="80" t="s">
        <v>746</v>
      </c>
      <c r="G1933" s="58" t="s">
        <v>5554</v>
      </c>
      <c r="H1933" s="58" t="s">
        <v>2925</v>
      </c>
      <c r="I1933" s="64" t="s">
        <v>5555</v>
      </c>
      <c r="J1933" s="66"/>
      <c r="K1933" s="66"/>
      <c r="L1933" s="68"/>
      <c r="M1933" s="63" t="str">
        <f>HYPERLINK("http://nsgreg.nga.mil/genc/view?v=864446&amp;end_month=12&amp;end_day=31&amp;end_year=2016","Correlation")</f>
        <v>Correlation</v>
      </c>
    </row>
    <row r="1934" spans="1:13" x14ac:dyDescent="0.2">
      <c r="A1934" s="113"/>
      <c r="B1934" s="58" t="s">
        <v>5556</v>
      </c>
      <c r="C1934" s="58" t="s">
        <v>5557</v>
      </c>
      <c r="D1934" s="58" t="s">
        <v>5558</v>
      </c>
      <c r="E1934" s="60" t="b">
        <v>1</v>
      </c>
      <c r="F1934" s="80" t="s">
        <v>746</v>
      </c>
      <c r="G1934" s="58" t="s">
        <v>5559</v>
      </c>
      <c r="H1934" s="58" t="s">
        <v>2925</v>
      </c>
      <c r="I1934" s="64" t="s">
        <v>5558</v>
      </c>
      <c r="J1934" s="66"/>
      <c r="K1934" s="66"/>
      <c r="L1934" s="68"/>
      <c r="M1934" s="63" t="str">
        <f>HYPERLINK("http://nsgreg.nga.mil/genc/view?v=864429&amp;end_month=12&amp;end_day=31&amp;end_year=2016","Correlation")</f>
        <v>Correlation</v>
      </c>
    </row>
    <row r="1935" spans="1:13" x14ac:dyDescent="0.2">
      <c r="A1935" s="113"/>
      <c r="B1935" s="58" t="s">
        <v>5560</v>
      </c>
      <c r="C1935" s="58" t="s">
        <v>2925</v>
      </c>
      <c r="D1935" s="58" t="s">
        <v>5561</v>
      </c>
      <c r="E1935" s="60" t="b">
        <v>1</v>
      </c>
      <c r="F1935" s="80" t="s">
        <v>746</v>
      </c>
      <c r="G1935" s="58" t="s">
        <v>5560</v>
      </c>
      <c r="H1935" s="58" t="s">
        <v>2925</v>
      </c>
      <c r="I1935" s="64" t="s">
        <v>5561</v>
      </c>
      <c r="J1935" s="66"/>
      <c r="K1935" s="66"/>
      <c r="L1935" s="68"/>
      <c r="M1935" s="63" t="str">
        <f>HYPERLINK("http://nsgreg.nga.mil/genc/view?v=864427&amp;end_month=12&amp;end_day=31&amp;end_year=2016","Correlation")</f>
        <v>Correlation</v>
      </c>
    </row>
    <row r="1936" spans="1:13" x14ac:dyDescent="0.2">
      <c r="A1936" s="113"/>
      <c r="B1936" s="58" t="s">
        <v>5562</v>
      </c>
      <c r="C1936" s="58" t="s">
        <v>2925</v>
      </c>
      <c r="D1936" s="58" t="s">
        <v>5563</v>
      </c>
      <c r="E1936" s="60" t="b">
        <v>1</v>
      </c>
      <c r="F1936" s="80" t="s">
        <v>746</v>
      </c>
      <c r="G1936" s="58" t="s">
        <v>5562</v>
      </c>
      <c r="H1936" s="58" t="s">
        <v>2925</v>
      </c>
      <c r="I1936" s="64" t="s">
        <v>5563</v>
      </c>
      <c r="J1936" s="66"/>
      <c r="K1936" s="66"/>
      <c r="L1936" s="68"/>
      <c r="M1936" s="63" t="str">
        <f>HYPERLINK("http://nsgreg.nga.mil/genc/view?v=864407&amp;end_month=12&amp;end_day=31&amp;end_year=2016","Correlation")</f>
        <v>Correlation</v>
      </c>
    </row>
    <row r="1937" spans="1:13" x14ac:dyDescent="0.2">
      <c r="A1937" s="113"/>
      <c r="B1937" s="58" t="s">
        <v>5564</v>
      </c>
      <c r="C1937" s="58" t="s">
        <v>2925</v>
      </c>
      <c r="D1937" s="58" t="s">
        <v>5565</v>
      </c>
      <c r="E1937" s="60" t="b">
        <v>1</v>
      </c>
      <c r="F1937" s="80" t="s">
        <v>746</v>
      </c>
      <c r="G1937" s="58" t="s">
        <v>5564</v>
      </c>
      <c r="H1937" s="58" t="s">
        <v>2925</v>
      </c>
      <c r="I1937" s="64" t="s">
        <v>5565</v>
      </c>
      <c r="J1937" s="66"/>
      <c r="K1937" s="66"/>
      <c r="L1937" s="68"/>
      <c r="M1937" s="63" t="str">
        <f>HYPERLINK("http://nsgreg.nga.mil/genc/view?v=864448&amp;end_month=12&amp;end_day=31&amp;end_year=2016","Correlation")</f>
        <v>Correlation</v>
      </c>
    </row>
    <row r="1938" spans="1:13" x14ac:dyDescent="0.2">
      <c r="A1938" s="113"/>
      <c r="B1938" s="58" t="s">
        <v>5566</v>
      </c>
      <c r="C1938" s="58" t="s">
        <v>2925</v>
      </c>
      <c r="D1938" s="58" t="s">
        <v>5567</v>
      </c>
      <c r="E1938" s="60" t="b">
        <v>1</v>
      </c>
      <c r="F1938" s="80" t="s">
        <v>746</v>
      </c>
      <c r="G1938" s="58" t="s">
        <v>5566</v>
      </c>
      <c r="H1938" s="58" t="s">
        <v>2925</v>
      </c>
      <c r="I1938" s="64" t="s">
        <v>5567</v>
      </c>
      <c r="J1938" s="66"/>
      <c r="K1938" s="66"/>
      <c r="L1938" s="68"/>
      <c r="M1938" s="63" t="str">
        <f>HYPERLINK("http://nsgreg.nga.mil/genc/view?v=864423&amp;end_month=12&amp;end_day=31&amp;end_year=2016","Correlation")</f>
        <v>Correlation</v>
      </c>
    </row>
    <row r="1939" spans="1:13" x14ac:dyDescent="0.2">
      <c r="A1939" s="113"/>
      <c r="B1939" s="58" t="s">
        <v>5568</v>
      </c>
      <c r="C1939" s="58" t="s">
        <v>2925</v>
      </c>
      <c r="D1939" s="58" t="s">
        <v>5569</v>
      </c>
      <c r="E1939" s="60" t="b">
        <v>1</v>
      </c>
      <c r="F1939" s="80" t="s">
        <v>746</v>
      </c>
      <c r="G1939" s="58" t="s">
        <v>5568</v>
      </c>
      <c r="H1939" s="58" t="s">
        <v>2925</v>
      </c>
      <c r="I1939" s="64" t="s">
        <v>5569</v>
      </c>
      <c r="J1939" s="66"/>
      <c r="K1939" s="66"/>
      <c r="L1939" s="68"/>
      <c r="M1939" s="63" t="str">
        <f>HYPERLINK("http://nsgreg.nga.mil/genc/view?v=864445&amp;end_month=12&amp;end_day=31&amp;end_year=2016","Correlation")</f>
        <v>Correlation</v>
      </c>
    </row>
    <row r="1940" spans="1:13" x14ac:dyDescent="0.2">
      <c r="A1940" s="113"/>
      <c r="B1940" s="58" t="s">
        <v>5570</v>
      </c>
      <c r="C1940" s="58" t="s">
        <v>2925</v>
      </c>
      <c r="D1940" s="58" t="s">
        <v>5571</v>
      </c>
      <c r="E1940" s="60" t="b">
        <v>1</v>
      </c>
      <c r="F1940" s="80" t="s">
        <v>746</v>
      </c>
      <c r="G1940" s="58" t="s">
        <v>5570</v>
      </c>
      <c r="H1940" s="58" t="s">
        <v>2925</v>
      </c>
      <c r="I1940" s="64" t="s">
        <v>5571</v>
      </c>
      <c r="J1940" s="66"/>
      <c r="K1940" s="66"/>
      <c r="L1940" s="68"/>
      <c r="M1940" s="63" t="str">
        <f>HYPERLINK("http://nsgreg.nga.mil/genc/view?v=864432&amp;end_month=12&amp;end_day=31&amp;end_year=2016","Correlation")</f>
        <v>Correlation</v>
      </c>
    </row>
    <row r="1941" spans="1:13" x14ac:dyDescent="0.2">
      <c r="A1941" s="113"/>
      <c r="B1941" s="58" t="s">
        <v>5572</v>
      </c>
      <c r="C1941" s="58" t="s">
        <v>2925</v>
      </c>
      <c r="D1941" s="58" t="s">
        <v>5573</v>
      </c>
      <c r="E1941" s="60" t="b">
        <v>1</v>
      </c>
      <c r="F1941" s="80" t="s">
        <v>746</v>
      </c>
      <c r="G1941" s="58" t="s">
        <v>5572</v>
      </c>
      <c r="H1941" s="58" t="s">
        <v>2925</v>
      </c>
      <c r="I1941" s="64" t="s">
        <v>5573</v>
      </c>
      <c r="J1941" s="66"/>
      <c r="K1941" s="66"/>
      <c r="L1941" s="68"/>
      <c r="M1941" s="63" t="str">
        <f>HYPERLINK("http://nsgreg.nga.mil/genc/view?v=864418&amp;end_month=12&amp;end_day=31&amp;end_year=2016","Correlation")</f>
        <v>Correlation</v>
      </c>
    </row>
    <row r="1942" spans="1:13" x14ac:dyDescent="0.2">
      <c r="A1942" s="113"/>
      <c r="B1942" s="58" t="s">
        <v>5574</v>
      </c>
      <c r="C1942" s="58" t="s">
        <v>2925</v>
      </c>
      <c r="D1942" s="58" t="s">
        <v>5575</v>
      </c>
      <c r="E1942" s="60" t="b">
        <v>1</v>
      </c>
      <c r="F1942" s="80" t="s">
        <v>746</v>
      </c>
      <c r="G1942" s="58" t="s">
        <v>5576</v>
      </c>
      <c r="H1942" s="58" t="s">
        <v>2925</v>
      </c>
      <c r="I1942" s="64" t="s">
        <v>5575</v>
      </c>
      <c r="J1942" s="66"/>
      <c r="K1942" s="66"/>
      <c r="L1942" s="68"/>
      <c r="M1942" s="63" t="str">
        <f>HYPERLINK("http://nsgreg.nga.mil/genc/view?v=864447&amp;end_month=12&amp;end_day=31&amp;end_year=2016","Correlation")</f>
        <v>Correlation</v>
      </c>
    </row>
    <row r="1943" spans="1:13" x14ac:dyDescent="0.2">
      <c r="A1943" s="113"/>
      <c r="B1943" s="58" t="s">
        <v>5577</v>
      </c>
      <c r="C1943" s="58" t="s">
        <v>2925</v>
      </c>
      <c r="D1943" s="58" t="s">
        <v>5578</v>
      </c>
      <c r="E1943" s="60" t="b">
        <v>1</v>
      </c>
      <c r="F1943" s="80" t="s">
        <v>746</v>
      </c>
      <c r="G1943" s="58" t="s">
        <v>5577</v>
      </c>
      <c r="H1943" s="58" t="s">
        <v>2925</v>
      </c>
      <c r="I1943" s="64" t="s">
        <v>5578</v>
      </c>
      <c r="J1943" s="66"/>
      <c r="K1943" s="66"/>
      <c r="L1943" s="68"/>
      <c r="M1943" s="63" t="str">
        <f>HYPERLINK("http://nsgreg.nga.mil/genc/view?v=864436&amp;end_month=12&amp;end_day=31&amp;end_year=2016","Correlation")</f>
        <v>Correlation</v>
      </c>
    </row>
    <row r="1944" spans="1:13" x14ac:dyDescent="0.2">
      <c r="A1944" s="113"/>
      <c r="B1944" s="58" t="s">
        <v>5579</v>
      </c>
      <c r="C1944" s="58" t="s">
        <v>2925</v>
      </c>
      <c r="D1944" s="58" t="s">
        <v>5580</v>
      </c>
      <c r="E1944" s="60" t="b">
        <v>1</v>
      </c>
      <c r="F1944" s="80" t="s">
        <v>746</v>
      </c>
      <c r="G1944" s="58" t="s">
        <v>5579</v>
      </c>
      <c r="H1944" s="58" t="s">
        <v>2925</v>
      </c>
      <c r="I1944" s="64" t="s">
        <v>5580</v>
      </c>
      <c r="J1944" s="66"/>
      <c r="K1944" s="66"/>
      <c r="L1944" s="68"/>
      <c r="M1944" s="63" t="str">
        <f>HYPERLINK("http://nsgreg.nga.mil/genc/view?v=864450&amp;end_month=12&amp;end_day=31&amp;end_year=2016","Correlation")</f>
        <v>Correlation</v>
      </c>
    </row>
    <row r="1945" spans="1:13" x14ac:dyDescent="0.2">
      <c r="A1945" s="113"/>
      <c r="B1945" s="58" t="s">
        <v>5581</v>
      </c>
      <c r="C1945" s="58" t="s">
        <v>5557</v>
      </c>
      <c r="D1945" s="58" t="s">
        <v>5582</v>
      </c>
      <c r="E1945" s="60" t="b">
        <v>1</v>
      </c>
      <c r="F1945" s="80" t="s">
        <v>746</v>
      </c>
      <c r="G1945" s="58" t="s">
        <v>5583</v>
      </c>
      <c r="H1945" s="58" t="s">
        <v>2925</v>
      </c>
      <c r="I1945" s="64" t="s">
        <v>5582</v>
      </c>
      <c r="J1945" s="66"/>
      <c r="K1945" s="66"/>
      <c r="L1945" s="68"/>
      <c r="M1945" s="63" t="str">
        <f>HYPERLINK("http://nsgreg.nga.mil/genc/view?v=864430&amp;end_month=12&amp;end_day=31&amp;end_year=2016","Correlation")</f>
        <v>Correlation</v>
      </c>
    </row>
    <row r="1946" spans="1:13" x14ac:dyDescent="0.2">
      <c r="A1946" s="113"/>
      <c r="B1946" s="58" t="s">
        <v>5584</v>
      </c>
      <c r="C1946" s="58" t="s">
        <v>2925</v>
      </c>
      <c r="D1946" s="58" t="s">
        <v>5585</v>
      </c>
      <c r="E1946" s="60" t="b">
        <v>1</v>
      </c>
      <c r="F1946" s="80" t="s">
        <v>746</v>
      </c>
      <c r="G1946" s="58" t="s">
        <v>5584</v>
      </c>
      <c r="H1946" s="58" t="s">
        <v>2925</v>
      </c>
      <c r="I1946" s="64" t="s">
        <v>5585</v>
      </c>
      <c r="J1946" s="66"/>
      <c r="K1946" s="66"/>
      <c r="L1946" s="68"/>
      <c r="M1946" s="63" t="str">
        <f>HYPERLINK("http://nsgreg.nga.mil/genc/view?v=864444&amp;end_month=12&amp;end_day=31&amp;end_year=2016","Correlation")</f>
        <v>Correlation</v>
      </c>
    </row>
    <row r="1947" spans="1:13" x14ac:dyDescent="0.2">
      <c r="A1947" s="113"/>
      <c r="B1947" s="58" t="s">
        <v>5586</v>
      </c>
      <c r="C1947" s="58" t="s">
        <v>2925</v>
      </c>
      <c r="D1947" s="58" t="s">
        <v>5587</v>
      </c>
      <c r="E1947" s="60" t="b">
        <v>1</v>
      </c>
      <c r="F1947" s="80" t="s">
        <v>746</v>
      </c>
      <c r="G1947" s="58" t="s">
        <v>5586</v>
      </c>
      <c r="H1947" s="58" t="s">
        <v>2925</v>
      </c>
      <c r="I1947" s="64" t="s">
        <v>5587</v>
      </c>
      <c r="J1947" s="66"/>
      <c r="K1947" s="66"/>
      <c r="L1947" s="68"/>
      <c r="M1947" s="63" t="str">
        <f>HYPERLINK("http://nsgreg.nga.mil/genc/view?v=864414&amp;end_month=12&amp;end_day=31&amp;end_year=2016","Correlation")</f>
        <v>Correlation</v>
      </c>
    </row>
    <row r="1948" spans="1:13" x14ac:dyDescent="0.2">
      <c r="A1948" s="113"/>
      <c r="B1948" s="58" t="s">
        <v>5588</v>
      </c>
      <c r="C1948" s="58" t="s">
        <v>2925</v>
      </c>
      <c r="D1948" s="58" t="s">
        <v>5589</v>
      </c>
      <c r="E1948" s="60" t="b">
        <v>1</v>
      </c>
      <c r="F1948" s="80" t="s">
        <v>746</v>
      </c>
      <c r="G1948" s="58" t="s">
        <v>5590</v>
      </c>
      <c r="H1948" s="58" t="s">
        <v>2925</v>
      </c>
      <c r="I1948" s="64" t="s">
        <v>5589</v>
      </c>
      <c r="J1948" s="66"/>
      <c r="K1948" s="66"/>
      <c r="L1948" s="68"/>
      <c r="M1948" s="63" t="str">
        <f>HYPERLINK("http://nsgreg.nga.mil/genc/view?v=864428&amp;end_month=12&amp;end_day=31&amp;end_year=2016","Correlation")</f>
        <v>Correlation</v>
      </c>
    </row>
    <row r="1949" spans="1:13" x14ac:dyDescent="0.2">
      <c r="A1949" s="113"/>
      <c r="B1949" s="58" t="s">
        <v>5591</v>
      </c>
      <c r="C1949" s="58" t="s">
        <v>2925</v>
      </c>
      <c r="D1949" s="58" t="s">
        <v>5592</v>
      </c>
      <c r="E1949" s="60" t="b">
        <v>1</v>
      </c>
      <c r="F1949" s="80" t="s">
        <v>746</v>
      </c>
      <c r="G1949" s="58" t="s">
        <v>5593</v>
      </c>
      <c r="H1949" s="58" t="s">
        <v>2925</v>
      </c>
      <c r="I1949" s="64" t="s">
        <v>5592</v>
      </c>
      <c r="J1949" s="66"/>
      <c r="K1949" s="66"/>
      <c r="L1949" s="68"/>
      <c r="M1949" s="63" t="str">
        <f>HYPERLINK("http://nsgreg.nga.mil/genc/view?v=864435&amp;end_month=12&amp;end_day=31&amp;end_year=2016","Correlation")</f>
        <v>Correlation</v>
      </c>
    </row>
    <row r="1950" spans="1:13" x14ac:dyDescent="0.2">
      <c r="A1950" s="113"/>
      <c r="B1950" s="58" t="s">
        <v>5594</v>
      </c>
      <c r="C1950" s="58" t="s">
        <v>2925</v>
      </c>
      <c r="D1950" s="58" t="s">
        <v>5595</v>
      </c>
      <c r="E1950" s="60" t="b">
        <v>1</v>
      </c>
      <c r="F1950" s="80" t="s">
        <v>746</v>
      </c>
      <c r="G1950" s="58" t="s">
        <v>5596</v>
      </c>
      <c r="H1950" s="58" t="s">
        <v>2925</v>
      </c>
      <c r="I1950" s="64" t="s">
        <v>5595</v>
      </c>
      <c r="J1950" s="66"/>
      <c r="K1950" s="66"/>
      <c r="L1950" s="68"/>
      <c r="M1950" s="63" t="str">
        <f>HYPERLINK("http://nsgreg.nga.mil/genc/view?v=864425&amp;end_month=12&amp;end_day=31&amp;end_year=2016","Correlation")</f>
        <v>Correlation</v>
      </c>
    </row>
    <row r="1951" spans="1:13" x14ac:dyDescent="0.2">
      <c r="A1951" s="113"/>
      <c r="B1951" s="58" t="s">
        <v>5597</v>
      </c>
      <c r="C1951" s="58" t="s">
        <v>2925</v>
      </c>
      <c r="D1951" s="58" t="s">
        <v>5598</v>
      </c>
      <c r="E1951" s="60" t="b">
        <v>1</v>
      </c>
      <c r="F1951" s="80" t="s">
        <v>746</v>
      </c>
      <c r="G1951" s="58" t="s">
        <v>5599</v>
      </c>
      <c r="H1951" s="58" t="s">
        <v>2925</v>
      </c>
      <c r="I1951" s="64" t="s">
        <v>5598</v>
      </c>
      <c r="J1951" s="66"/>
      <c r="K1951" s="66"/>
      <c r="L1951" s="68"/>
      <c r="M1951" s="63" t="str">
        <f>HYPERLINK("http://nsgreg.nga.mil/genc/view?v=864412&amp;end_month=12&amp;end_day=31&amp;end_year=2016","Correlation")</f>
        <v>Correlation</v>
      </c>
    </row>
    <row r="1952" spans="1:13" x14ac:dyDescent="0.2">
      <c r="A1952" s="113"/>
      <c r="B1952" s="58" t="s">
        <v>5600</v>
      </c>
      <c r="C1952" s="58" t="s">
        <v>2925</v>
      </c>
      <c r="D1952" s="58" t="s">
        <v>5601</v>
      </c>
      <c r="E1952" s="60" t="b">
        <v>1</v>
      </c>
      <c r="F1952" s="80" t="s">
        <v>746</v>
      </c>
      <c r="G1952" s="58" t="s">
        <v>5602</v>
      </c>
      <c r="H1952" s="58" t="s">
        <v>2925</v>
      </c>
      <c r="I1952" s="64" t="s">
        <v>5601</v>
      </c>
      <c r="J1952" s="66"/>
      <c r="K1952" s="66"/>
      <c r="L1952" s="68"/>
      <c r="M1952" s="63" t="str">
        <f>HYPERLINK("http://nsgreg.nga.mil/genc/view?v=864439&amp;end_month=12&amp;end_day=31&amp;end_year=2016","Correlation")</f>
        <v>Correlation</v>
      </c>
    </row>
    <row r="1953" spans="1:13" x14ac:dyDescent="0.2">
      <c r="A1953" s="113"/>
      <c r="B1953" s="58" t="s">
        <v>5603</v>
      </c>
      <c r="C1953" s="58" t="s">
        <v>3140</v>
      </c>
      <c r="D1953" s="58" t="s">
        <v>5604</v>
      </c>
      <c r="E1953" s="60" t="b">
        <v>1</v>
      </c>
      <c r="F1953" s="80" t="s">
        <v>746</v>
      </c>
      <c r="G1953" s="58" t="s">
        <v>5605</v>
      </c>
      <c r="H1953" s="58" t="s">
        <v>2925</v>
      </c>
      <c r="I1953" s="64" t="s">
        <v>5604</v>
      </c>
      <c r="J1953" s="66"/>
      <c r="K1953" s="66"/>
      <c r="L1953" s="68"/>
      <c r="M1953" s="63" t="str">
        <f>HYPERLINK("http://nsgreg.nga.mil/genc/view?v=864416&amp;end_month=12&amp;end_day=31&amp;end_year=2016","Correlation")</f>
        <v>Correlation</v>
      </c>
    </row>
    <row r="1954" spans="1:13" x14ac:dyDescent="0.2">
      <c r="A1954" s="113"/>
      <c r="B1954" s="58" t="s">
        <v>5606</v>
      </c>
      <c r="C1954" s="58" t="s">
        <v>2925</v>
      </c>
      <c r="D1954" s="58" t="s">
        <v>5607</v>
      </c>
      <c r="E1954" s="60" t="b">
        <v>1</v>
      </c>
      <c r="F1954" s="80" t="s">
        <v>746</v>
      </c>
      <c r="G1954" s="58" t="s">
        <v>5606</v>
      </c>
      <c r="H1954" s="58" t="s">
        <v>2925</v>
      </c>
      <c r="I1954" s="64" t="s">
        <v>5607</v>
      </c>
      <c r="J1954" s="66"/>
      <c r="K1954" s="66"/>
      <c r="L1954" s="68"/>
      <c r="M1954" s="63" t="str">
        <f>HYPERLINK("http://nsgreg.nga.mil/genc/view?v=864434&amp;end_month=12&amp;end_day=31&amp;end_year=2016","Correlation")</f>
        <v>Correlation</v>
      </c>
    </row>
    <row r="1955" spans="1:13" x14ac:dyDescent="0.2">
      <c r="A1955" s="113"/>
      <c r="B1955" s="58" t="s">
        <v>5608</v>
      </c>
      <c r="C1955" s="58" t="s">
        <v>2925</v>
      </c>
      <c r="D1955" s="58" t="s">
        <v>5609</v>
      </c>
      <c r="E1955" s="60" t="b">
        <v>1</v>
      </c>
      <c r="F1955" s="80" t="s">
        <v>746</v>
      </c>
      <c r="G1955" s="58" t="s">
        <v>5608</v>
      </c>
      <c r="H1955" s="58" t="s">
        <v>2925</v>
      </c>
      <c r="I1955" s="64" t="s">
        <v>5609</v>
      </c>
      <c r="J1955" s="66"/>
      <c r="K1955" s="66"/>
      <c r="L1955" s="68"/>
      <c r="M1955" s="63" t="str">
        <f>HYPERLINK("http://nsgreg.nga.mil/genc/view?v=864419&amp;end_month=12&amp;end_day=31&amp;end_year=2016","Correlation")</f>
        <v>Correlation</v>
      </c>
    </row>
    <row r="1956" spans="1:13" x14ac:dyDescent="0.2">
      <c r="A1956" s="113"/>
      <c r="B1956" s="58" t="s">
        <v>5610</v>
      </c>
      <c r="C1956" s="58" t="s">
        <v>2925</v>
      </c>
      <c r="D1956" s="58" t="s">
        <v>5611</v>
      </c>
      <c r="E1956" s="60" t="b">
        <v>1</v>
      </c>
      <c r="F1956" s="80" t="s">
        <v>746</v>
      </c>
      <c r="G1956" s="58" t="s">
        <v>5610</v>
      </c>
      <c r="H1956" s="58" t="s">
        <v>2925</v>
      </c>
      <c r="I1956" s="64" t="s">
        <v>5611</v>
      </c>
      <c r="J1956" s="66"/>
      <c r="K1956" s="66"/>
      <c r="L1956" s="68"/>
      <c r="M1956" s="63" t="str">
        <f>HYPERLINK("http://nsgreg.nga.mil/genc/view?v=864433&amp;end_month=12&amp;end_day=31&amp;end_year=2016","Correlation")</f>
        <v>Correlation</v>
      </c>
    </row>
    <row r="1957" spans="1:13" x14ac:dyDescent="0.2">
      <c r="A1957" s="113"/>
      <c r="B1957" s="58" t="s">
        <v>5612</v>
      </c>
      <c r="C1957" s="58" t="s">
        <v>2925</v>
      </c>
      <c r="D1957" s="58" t="s">
        <v>5613</v>
      </c>
      <c r="E1957" s="60" t="b">
        <v>1</v>
      </c>
      <c r="F1957" s="80" t="s">
        <v>746</v>
      </c>
      <c r="G1957" s="58" t="s">
        <v>5612</v>
      </c>
      <c r="H1957" s="58" t="s">
        <v>2925</v>
      </c>
      <c r="I1957" s="64" t="s">
        <v>5613</v>
      </c>
      <c r="J1957" s="66"/>
      <c r="K1957" s="66"/>
      <c r="L1957" s="68"/>
      <c r="M1957" s="63" t="str">
        <f>HYPERLINK("http://nsgreg.nga.mil/genc/view?v=864409&amp;end_month=12&amp;end_day=31&amp;end_year=2016","Correlation")</f>
        <v>Correlation</v>
      </c>
    </row>
    <row r="1958" spans="1:13" x14ac:dyDescent="0.2">
      <c r="A1958" s="113"/>
      <c r="B1958" s="58" t="s">
        <v>5614</v>
      </c>
      <c r="C1958" s="58" t="s">
        <v>2925</v>
      </c>
      <c r="D1958" s="58" t="s">
        <v>5615</v>
      </c>
      <c r="E1958" s="60" t="b">
        <v>1</v>
      </c>
      <c r="F1958" s="80" t="s">
        <v>746</v>
      </c>
      <c r="G1958" s="58" t="s">
        <v>5616</v>
      </c>
      <c r="H1958" s="58" t="s">
        <v>2925</v>
      </c>
      <c r="I1958" s="64" t="s">
        <v>5615</v>
      </c>
      <c r="J1958" s="66"/>
      <c r="K1958" s="66"/>
      <c r="L1958" s="68"/>
      <c r="M1958" s="63" t="str">
        <f>HYPERLINK("http://nsgreg.nga.mil/genc/view?v=864438&amp;end_month=12&amp;end_day=31&amp;end_year=2016","Correlation")</f>
        <v>Correlation</v>
      </c>
    </row>
    <row r="1959" spans="1:13" x14ac:dyDescent="0.2">
      <c r="A1959" s="114"/>
      <c r="B1959" s="71" t="s">
        <v>5617</v>
      </c>
      <c r="C1959" s="71" t="s">
        <v>2925</v>
      </c>
      <c r="D1959" s="71" t="s">
        <v>5618</v>
      </c>
      <c r="E1959" s="73" t="b">
        <v>1</v>
      </c>
      <c r="F1959" s="81" t="s">
        <v>746</v>
      </c>
      <c r="G1959" s="71" t="s">
        <v>5619</v>
      </c>
      <c r="H1959" s="71" t="s">
        <v>2925</v>
      </c>
      <c r="I1959" s="74" t="s">
        <v>5618</v>
      </c>
      <c r="J1959" s="76"/>
      <c r="K1959" s="76"/>
      <c r="L1959" s="82"/>
      <c r="M1959" s="77" t="str">
        <f>HYPERLINK("http://nsgreg.nga.mil/genc/view?v=864422&amp;end_month=12&amp;end_day=31&amp;end_year=2016","Correlation")</f>
        <v>Correlation</v>
      </c>
    </row>
    <row r="1960" spans="1:13" x14ac:dyDescent="0.2">
      <c r="A1960" s="112" t="s">
        <v>766</v>
      </c>
      <c r="B1960" s="50" t="s">
        <v>5620</v>
      </c>
      <c r="C1960" s="50" t="s">
        <v>2030</v>
      </c>
      <c r="D1960" s="50" t="s">
        <v>5621</v>
      </c>
      <c r="E1960" s="52" t="b">
        <v>1</v>
      </c>
      <c r="F1960" s="78" t="s">
        <v>766</v>
      </c>
      <c r="G1960" s="50" t="s">
        <v>5620</v>
      </c>
      <c r="H1960" s="50" t="s">
        <v>2030</v>
      </c>
      <c r="I1960" s="53" t="s">
        <v>5621</v>
      </c>
      <c r="J1960" s="55"/>
      <c r="K1960" s="55"/>
      <c r="L1960" s="79"/>
      <c r="M1960" s="56" t="str">
        <f>HYPERLINK("http://nsgreg.nga.mil/genc/view?v=864392&amp;end_month=12&amp;end_day=31&amp;end_year=2016","Correlation")</f>
        <v>Correlation</v>
      </c>
    </row>
    <row r="1961" spans="1:13" x14ac:dyDescent="0.2">
      <c r="A1961" s="113"/>
      <c r="B1961" s="58" t="s">
        <v>5622</v>
      </c>
      <c r="C1961" s="58" t="s">
        <v>2030</v>
      </c>
      <c r="D1961" s="58" t="s">
        <v>5623</v>
      </c>
      <c r="E1961" s="60" t="b">
        <v>1</v>
      </c>
      <c r="F1961" s="80" t="s">
        <v>766</v>
      </c>
      <c r="G1961" s="58" t="s">
        <v>5622</v>
      </c>
      <c r="H1961" s="58" t="s">
        <v>2030</v>
      </c>
      <c r="I1961" s="64" t="s">
        <v>5623</v>
      </c>
      <c r="J1961" s="66"/>
      <c r="K1961" s="66"/>
      <c r="L1961" s="68"/>
      <c r="M1961" s="63" t="str">
        <f>HYPERLINK("http://nsgreg.nga.mil/genc/view?v=864394&amp;end_month=12&amp;end_day=31&amp;end_year=2016","Correlation")</f>
        <v>Correlation</v>
      </c>
    </row>
    <row r="1962" spans="1:13" x14ac:dyDescent="0.2">
      <c r="A1962" s="113"/>
      <c r="B1962" s="58" t="s">
        <v>2029</v>
      </c>
      <c r="C1962" s="58" t="s">
        <v>2030</v>
      </c>
      <c r="D1962" s="58" t="s">
        <v>5624</v>
      </c>
      <c r="E1962" s="60" t="b">
        <v>1</v>
      </c>
      <c r="F1962" s="80" t="s">
        <v>766</v>
      </c>
      <c r="G1962" s="58" t="s">
        <v>5625</v>
      </c>
      <c r="H1962" s="58" t="s">
        <v>2030</v>
      </c>
      <c r="I1962" s="64" t="s">
        <v>5624</v>
      </c>
      <c r="J1962" s="66"/>
      <c r="K1962" s="66"/>
      <c r="L1962" s="68"/>
      <c r="M1962" s="63" t="str">
        <f>HYPERLINK("http://nsgreg.nga.mil/genc/view?v=864393&amp;end_month=12&amp;end_day=31&amp;end_year=2016","Correlation")</f>
        <v>Correlation</v>
      </c>
    </row>
    <row r="1963" spans="1:13" x14ac:dyDescent="0.2">
      <c r="A1963" s="113"/>
      <c r="B1963" s="58" t="s">
        <v>5626</v>
      </c>
      <c r="C1963" s="58" t="s">
        <v>2030</v>
      </c>
      <c r="D1963" s="58" t="s">
        <v>5627</v>
      </c>
      <c r="E1963" s="60" t="b">
        <v>1</v>
      </c>
      <c r="F1963" s="80" t="s">
        <v>766</v>
      </c>
      <c r="G1963" s="58" t="s">
        <v>5626</v>
      </c>
      <c r="H1963" s="58" t="s">
        <v>2030</v>
      </c>
      <c r="I1963" s="64" t="s">
        <v>5627</v>
      </c>
      <c r="J1963" s="66"/>
      <c r="K1963" s="66"/>
      <c r="L1963" s="68"/>
      <c r="M1963" s="63" t="str">
        <f>HYPERLINK("http://nsgreg.nga.mil/genc/view?v=864397&amp;end_month=12&amp;end_day=31&amp;end_year=2016","Correlation")</f>
        <v>Correlation</v>
      </c>
    </row>
    <row r="1964" spans="1:13" x14ac:dyDescent="0.2">
      <c r="A1964" s="113"/>
      <c r="B1964" s="58" t="s">
        <v>5628</v>
      </c>
      <c r="C1964" s="58" t="s">
        <v>2030</v>
      </c>
      <c r="D1964" s="58" t="s">
        <v>5629</v>
      </c>
      <c r="E1964" s="60" t="b">
        <v>1</v>
      </c>
      <c r="F1964" s="80" t="s">
        <v>766</v>
      </c>
      <c r="G1964" s="58" t="s">
        <v>5628</v>
      </c>
      <c r="H1964" s="58" t="s">
        <v>2030</v>
      </c>
      <c r="I1964" s="64" t="s">
        <v>5629</v>
      </c>
      <c r="J1964" s="66"/>
      <c r="K1964" s="66"/>
      <c r="L1964" s="68"/>
      <c r="M1964" s="63" t="str">
        <f>HYPERLINK("http://nsgreg.nga.mil/genc/view?v=864400&amp;end_month=12&amp;end_day=31&amp;end_year=2016","Correlation")</f>
        <v>Correlation</v>
      </c>
    </row>
    <row r="1965" spans="1:13" x14ac:dyDescent="0.2">
      <c r="A1965" s="113"/>
      <c r="B1965" s="58" t="s">
        <v>5630</v>
      </c>
      <c r="C1965" s="58" t="s">
        <v>2030</v>
      </c>
      <c r="D1965" s="58" t="s">
        <v>5631</v>
      </c>
      <c r="E1965" s="60" t="b">
        <v>1</v>
      </c>
      <c r="F1965" s="80" t="s">
        <v>766</v>
      </c>
      <c r="G1965" s="58" t="s">
        <v>5630</v>
      </c>
      <c r="H1965" s="58" t="s">
        <v>2030</v>
      </c>
      <c r="I1965" s="64" t="s">
        <v>5631</v>
      </c>
      <c r="J1965" s="66"/>
      <c r="K1965" s="66"/>
      <c r="L1965" s="68"/>
      <c r="M1965" s="63" t="str">
        <f>HYPERLINK("http://nsgreg.nga.mil/genc/view?v=864401&amp;end_month=12&amp;end_day=31&amp;end_year=2016","Correlation")</f>
        <v>Correlation</v>
      </c>
    </row>
    <row r="1966" spans="1:13" x14ac:dyDescent="0.2">
      <c r="A1966" s="113"/>
      <c r="B1966" s="58" t="s">
        <v>5632</v>
      </c>
      <c r="C1966" s="58" t="s">
        <v>2030</v>
      </c>
      <c r="D1966" s="58" t="s">
        <v>5633</v>
      </c>
      <c r="E1966" s="60" t="b">
        <v>1</v>
      </c>
      <c r="F1966" s="80" t="s">
        <v>766</v>
      </c>
      <c r="G1966" s="58" t="s">
        <v>5632</v>
      </c>
      <c r="H1966" s="58" t="s">
        <v>2030</v>
      </c>
      <c r="I1966" s="64" t="s">
        <v>5633</v>
      </c>
      <c r="J1966" s="66"/>
      <c r="K1966" s="66"/>
      <c r="L1966" s="68"/>
      <c r="M1966" s="63" t="str">
        <f>HYPERLINK("http://nsgreg.nga.mil/genc/view?v=864395&amp;end_month=12&amp;end_day=31&amp;end_year=2016","Correlation")</f>
        <v>Correlation</v>
      </c>
    </row>
    <row r="1967" spans="1:13" x14ac:dyDescent="0.2">
      <c r="A1967" s="113"/>
      <c r="B1967" s="58" t="s">
        <v>5634</v>
      </c>
      <c r="C1967" s="58" t="s">
        <v>2030</v>
      </c>
      <c r="D1967" s="58" t="s">
        <v>5635</v>
      </c>
      <c r="E1967" s="60" t="b">
        <v>1</v>
      </c>
      <c r="F1967" s="80" t="s">
        <v>766</v>
      </c>
      <c r="G1967" s="58" t="s">
        <v>5634</v>
      </c>
      <c r="H1967" s="58" t="s">
        <v>2030</v>
      </c>
      <c r="I1967" s="64" t="s">
        <v>5635</v>
      </c>
      <c r="J1967" s="66"/>
      <c r="K1967" s="66"/>
      <c r="L1967" s="68"/>
      <c r="M1967" s="63" t="str">
        <f>HYPERLINK("http://nsgreg.nga.mil/genc/view?v=864396&amp;end_month=12&amp;end_day=31&amp;end_year=2016","Correlation")</f>
        <v>Correlation</v>
      </c>
    </row>
    <row r="1968" spans="1:13" x14ac:dyDescent="0.2">
      <c r="A1968" s="113"/>
      <c r="B1968" s="58" t="s">
        <v>5636</v>
      </c>
      <c r="C1968" s="58" t="s">
        <v>2030</v>
      </c>
      <c r="D1968" s="58" t="s">
        <v>5637</v>
      </c>
      <c r="E1968" s="60" t="b">
        <v>1</v>
      </c>
      <c r="F1968" s="80" t="s">
        <v>766</v>
      </c>
      <c r="G1968" s="58" t="s">
        <v>5636</v>
      </c>
      <c r="H1968" s="58" t="s">
        <v>2030</v>
      </c>
      <c r="I1968" s="64" t="s">
        <v>5637</v>
      </c>
      <c r="J1968" s="66"/>
      <c r="K1968" s="66"/>
      <c r="L1968" s="68"/>
      <c r="M1968" s="63" t="str">
        <f>HYPERLINK("http://nsgreg.nga.mil/genc/view?v=864398&amp;end_month=12&amp;end_day=31&amp;end_year=2016","Correlation")</f>
        <v>Correlation</v>
      </c>
    </row>
    <row r="1969" spans="1:13" x14ac:dyDescent="0.2">
      <c r="A1969" s="113"/>
      <c r="B1969" s="58" t="s">
        <v>5638</v>
      </c>
      <c r="C1969" s="58" t="s">
        <v>2030</v>
      </c>
      <c r="D1969" s="58" t="s">
        <v>5639</v>
      </c>
      <c r="E1969" s="60" t="b">
        <v>1</v>
      </c>
      <c r="F1969" s="80" t="s">
        <v>766</v>
      </c>
      <c r="G1969" s="58" t="s">
        <v>5638</v>
      </c>
      <c r="H1969" s="58" t="s">
        <v>2030</v>
      </c>
      <c r="I1969" s="64" t="s">
        <v>5639</v>
      </c>
      <c r="J1969" s="66"/>
      <c r="K1969" s="66"/>
      <c r="L1969" s="68"/>
      <c r="M1969" s="63" t="str">
        <f>HYPERLINK("http://nsgreg.nga.mil/genc/view?v=864399&amp;end_month=12&amp;end_day=31&amp;end_year=2016","Correlation")</f>
        <v>Correlation</v>
      </c>
    </row>
    <row r="1970" spans="1:13" x14ac:dyDescent="0.2">
      <c r="A1970" s="113"/>
      <c r="B1970" s="58" t="s">
        <v>5640</v>
      </c>
      <c r="C1970" s="58" t="s">
        <v>2030</v>
      </c>
      <c r="D1970" s="58" t="s">
        <v>5641</v>
      </c>
      <c r="E1970" s="60" t="b">
        <v>1</v>
      </c>
      <c r="F1970" s="80" t="s">
        <v>766</v>
      </c>
      <c r="G1970" s="58" t="s">
        <v>5640</v>
      </c>
      <c r="H1970" s="58" t="s">
        <v>2030</v>
      </c>
      <c r="I1970" s="64" t="s">
        <v>5641</v>
      </c>
      <c r="J1970" s="66"/>
      <c r="K1970" s="66"/>
      <c r="L1970" s="68"/>
      <c r="M1970" s="63" t="str">
        <f>HYPERLINK("http://nsgreg.nga.mil/genc/view?v=864403&amp;end_month=12&amp;end_day=31&amp;end_year=2016","Correlation")</f>
        <v>Correlation</v>
      </c>
    </row>
    <row r="1971" spans="1:13" x14ac:dyDescent="0.2">
      <c r="A1971" s="114"/>
      <c r="B1971" s="71" t="s">
        <v>5642</v>
      </c>
      <c r="C1971" s="71" t="s">
        <v>2030</v>
      </c>
      <c r="D1971" s="71" t="s">
        <v>5643</v>
      </c>
      <c r="E1971" s="73" t="b">
        <v>1</v>
      </c>
      <c r="F1971" s="81" t="s">
        <v>766</v>
      </c>
      <c r="G1971" s="71" t="s">
        <v>5644</v>
      </c>
      <c r="H1971" s="71" t="s">
        <v>2030</v>
      </c>
      <c r="I1971" s="74" t="s">
        <v>5643</v>
      </c>
      <c r="J1971" s="76"/>
      <c r="K1971" s="76"/>
      <c r="L1971" s="82"/>
      <c r="M1971" s="77" t="str">
        <f>HYPERLINK("http://nsgreg.nga.mil/genc/view?v=864402&amp;end_month=12&amp;end_day=31&amp;end_year=2016","Correlation")</f>
        <v>Correlation</v>
      </c>
    </row>
    <row r="1972" spans="1:13" x14ac:dyDescent="0.2">
      <c r="A1972" s="112" t="s">
        <v>774</v>
      </c>
      <c r="B1972" s="50" t="s">
        <v>5645</v>
      </c>
      <c r="C1972" s="50" t="s">
        <v>1681</v>
      </c>
      <c r="D1972" s="50" t="s">
        <v>5646</v>
      </c>
      <c r="E1972" s="52" t="b">
        <v>1</v>
      </c>
      <c r="F1972" s="78" t="s">
        <v>5647</v>
      </c>
      <c r="G1972" s="50" t="s">
        <v>5645</v>
      </c>
      <c r="H1972" s="50" t="s">
        <v>1681</v>
      </c>
      <c r="I1972" s="53" t="s">
        <v>5646</v>
      </c>
      <c r="J1972" s="55"/>
      <c r="K1972" s="55"/>
      <c r="L1972" s="79"/>
      <c r="M1972" s="56" t="str">
        <f>HYPERLINK("http://nsgreg.nga.mil/genc/view?v=864587&amp;end_month=12&amp;end_day=31&amp;end_year=2016","Correlation")</f>
        <v>Correlation</v>
      </c>
    </row>
    <row r="1973" spans="1:13" x14ac:dyDescent="0.2">
      <c r="A1973" s="113"/>
      <c r="B1973" s="58" t="s">
        <v>5645</v>
      </c>
      <c r="C1973" s="58" t="s">
        <v>1413</v>
      </c>
      <c r="D1973" s="58" t="s">
        <v>5648</v>
      </c>
      <c r="E1973" s="60" t="b">
        <v>1</v>
      </c>
      <c r="F1973" s="80" t="s">
        <v>5647</v>
      </c>
      <c r="G1973" s="58" t="s">
        <v>5649</v>
      </c>
      <c r="H1973" s="58" t="s">
        <v>1728</v>
      </c>
      <c r="I1973" s="64" t="s">
        <v>5648</v>
      </c>
      <c r="J1973" s="66"/>
      <c r="K1973" s="66"/>
      <c r="L1973" s="68"/>
      <c r="M1973" s="63" t="str">
        <f>HYPERLINK("http://nsgreg.nga.mil/genc/view?v=864588&amp;end_month=12&amp;end_day=31&amp;end_year=2016","Correlation")</f>
        <v>Correlation</v>
      </c>
    </row>
    <row r="1974" spans="1:13" x14ac:dyDescent="0.2">
      <c r="A1974" s="113"/>
      <c r="B1974" s="58" t="s">
        <v>5650</v>
      </c>
      <c r="C1974" s="58" t="s">
        <v>1413</v>
      </c>
      <c r="D1974" s="58" t="s">
        <v>5651</v>
      </c>
      <c r="E1974" s="60" t="b">
        <v>1</v>
      </c>
      <c r="F1974" s="80" t="s">
        <v>5647</v>
      </c>
      <c r="G1974" s="58" t="s">
        <v>5652</v>
      </c>
      <c r="H1974" s="58" t="s">
        <v>1728</v>
      </c>
      <c r="I1974" s="64" t="s">
        <v>5651</v>
      </c>
      <c r="J1974" s="66"/>
      <c r="K1974" s="66"/>
      <c r="L1974" s="68"/>
      <c r="M1974" s="63" t="str">
        <f>HYPERLINK("http://nsgreg.nga.mil/genc/view?v=864585&amp;end_month=12&amp;end_day=31&amp;end_year=2016","Correlation")</f>
        <v>Correlation</v>
      </c>
    </row>
    <row r="1975" spans="1:13" x14ac:dyDescent="0.2">
      <c r="A1975" s="113"/>
      <c r="B1975" s="58" t="s">
        <v>5653</v>
      </c>
      <c r="C1975" s="58" t="s">
        <v>1413</v>
      </c>
      <c r="D1975" s="58" t="s">
        <v>5654</v>
      </c>
      <c r="E1975" s="60" t="b">
        <v>1</v>
      </c>
      <c r="F1975" s="80" t="s">
        <v>5647</v>
      </c>
      <c r="G1975" s="58" t="s">
        <v>5655</v>
      </c>
      <c r="H1975" s="58" t="s">
        <v>1728</v>
      </c>
      <c r="I1975" s="64" t="s">
        <v>5654</v>
      </c>
      <c r="J1975" s="66"/>
      <c r="K1975" s="66"/>
      <c r="L1975" s="68"/>
      <c r="M1975" s="63" t="str">
        <f>HYPERLINK("http://nsgreg.nga.mil/genc/view?v=864586&amp;end_month=12&amp;end_day=31&amp;end_year=2016","Correlation")</f>
        <v>Correlation</v>
      </c>
    </row>
    <row r="1976" spans="1:13" x14ac:dyDescent="0.2">
      <c r="A1976" s="113"/>
      <c r="B1976" s="58" t="s">
        <v>5656</v>
      </c>
      <c r="C1976" s="58" t="s">
        <v>1681</v>
      </c>
      <c r="D1976" s="58" t="s">
        <v>5657</v>
      </c>
      <c r="E1976" s="60" t="b">
        <v>1</v>
      </c>
      <c r="F1976" s="80" t="s">
        <v>5647</v>
      </c>
      <c r="G1976" s="58" t="s">
        <v>5656</v>
      </c>
      <c r="H1976" s="58" t="s">
        <v>1681</v>
      </c>
      <c r="I1976" s="64" t="s">
        <v>5657</v>
      </c>
      <c r="J1976" s="66"/>
      <c r="K1976" s="66"/>
      <c r="L1976" s="68"/>
      <c r="M1976" s="63" t="str">
        <f>HYPERLINK("http://nsgreg.nga.mil/genc/view?v=864589&amp;end_month=12&amp;end_day=31&amp;end_year=2016","Correlation")</f>
        <v>Correlation</v>
      </c>
    </row>
    <row r="1977" spans="1:13" x14ac:dyDescent="0.2">
      <c r="A1977" s="113"/>
      <c r="B1977" s="58" t="s">
        <v>5658</v>
      </c>
      <c r="C1977" s="58" t="s">
        <v>1413</v>
      </c>
      <c r="D1977" s="58" t="s">
        <v>5659</v>
      </c>
      <c r="E1977" s="60" t="b">
        <v>1</v>
      </c>
      <c r="F1977" s="80" t="s">
        <v>5647</v>
      </c>
      <c r="G1977" s="58" t="s">
        <v>5660</v>
      </c>
      <c r="H1977" s="58" t="s">
        <v>1728</v>
      </c>
      <c r="I1977" s="64" t="s">
        <v>5659</v>
      </c>
      <c r="J1977" s="66"/>
      <c r="K1977" s="66"/>
      <c r="L1977" s="68"/>
      <c r="M1977" s="63" t="str">
        <f>HYPERLINK("http://nsgreg.nga.mil/genc/view?v=864590&amp;end_month=12&amp;end_day=31&amp;end_year=2016","Correlation")</f>
        <v>Correlation</v>
      </c>
    </row>
    <row r="1978" spans="1:13" x14ac:dyDescent="0.2">
      <c r="A1978" s="113"/>
      <c r="B1978" s="58" t="s">
        <v>5661</v>
      </c>
      <c r="C1978" s="58" t="s">
        <v>1413</v>
      </c>
      <c r="D1978" s="58" t="s">
        <v>5662</v>
      </c>
      <c r="E1978" s="60" t="b">
        <v>1</v>
      </c>
      <c r="F1978" s="80" t="s">
        <v>5647</v>
      </c>
      <c r="G1978" s="58" t="s">
        <v>5663</v>
      </c>
      <c r="H1978" s="58" t="s">
        <v>1728</v>
      </c>
      <c r="I1978" s="64" t="s">
        <v>5662</v>
      </c>
      <c r="J1978" s="66"/>
      <c r="K1978" s="66"/>
      <c r="L1978" s="68"/>
      <c r="M1978" s="63" t="str">
        <f>HYPERLINK("http://nsgreg.nga.mil/genc/view?v=864598&amp;end_month=12&amp;end_day=31&amp;end_year=2016","Correlation")</f>
        <v>Correlation</v>
      </c>
    </row>
    <row r="1979" spans="1:13" x14ac:dyDescent="0.2">
      <c r="A1979" s="113"/>
      <c r="B1979" s="58" t="s">
        <v>5664</v>
      </c>
      <c r="C1979" s="58" t="s">
        <v>1413</v>
      </c>
      <c r="D1979" s="58" t="s">
        <v>5665</v>
      </c>
      <c r="E1979" s="60" t="b">
        <v>1</v>
      </c>
      <c r="F1979" s="80" t="s">
        <v>5647</v>
      </c>
      <c r="G1979" s="58" t="s">
        <v>5666</v>
      </c>
      <c r="H1979" s="58" t="s">
        <v>1728</v>
      </c>
      <c r="I1979" s="64" t="s">
        <v>5665</v>
      </c>
      <c r="J1979" s="66"/>
      <c r="K1979" s="66"/>
      <c r="L1979" s="68"/>
      <c r="M1979" s="63" t="str">
        <f>HYPERLINK("http://nsgreg.nga.mil/genc/view?v=864595&amp;end_month=12&amp;end_day=31&amp;end_year=2016","Correlation")</f>
        <v>Correlation</v>
      </c>
    </row>
    <row r="1980" spans="1:13" x14ac:dyDescent="0.2">
      <c r="A1980" s="113"/>
      <c r="B1980" s="58" t="s">
        <v>5667</v>
      </c>
      <c r="C1980" s="58" t="s">
        <v>1413</v>
      </c>
      <c r="D1980" s="58" t="s">
        <v>5668</v>
      </c>
      <c r="E1980" s="60" t="b">
        <v>1</v>
      </c>
      <c r="F1980" s="80" t="s">
        <v>5647</v>
      </c>
      <c r="G1980" s="58" t="s">
        <v>5669</v>
      </c>
      <c r="H1980" s="58" t="s">
        <v>1728</v>
      </c>
      <c r="I1980" s="64" t="s">
        <v>5668</v>
      </c>
      <c r="J1980" s="66"/>
      <c r="K1980" s="66"/>
      <c r="L1980" s="68"/>
      <c r="M1980" s="63" t="str">
        <f>HYPERLINK("http://nsgreg.nga.mil/genc/view?v=864597&amp;end_month=12&amp;end_day=31&amp;end_year=2016","Correlation")</f>
        <v>Correlation</v>
      </c>
    </row>
    <row r="1981" spans="1:13" x14ac:dyDescent="0.2">
      <c r="A1981" s="113"/>
      <c r="B1981" s="58" t="s">
        <v>5670</v>
      </c>
      <c r="C1981" s="58" t="s">
        <v>1413</v>
      </c>
      <c r="D1981" s="58" t="s">
        <v>5671</v>
      </c>
      <c r="E1981" s="60" t="b">
        <v>1</v>
      </c>
      <c r="F1981" s="80" t="s">
        <v>5647</v>
      </c>
      <c r="G1981" s="58" t="s">
        <v>5672</v>
      </c>
      <c r="H1981" s="58" t="s">
        <v>1728</v>
      </c>
      <c r="I1981" s="64" t="s">
        <v>5671</v>
      </c>
      <c r="J1981" s="66"/>
      <c r="K1981" s="66"/>
      <c r="L1981" s="68"/>
      <c r="M1981" s="63" t="str">
        <f>HYPERLINK("http://nsgreg.nga.mil/genc/view?v=864596&amp;end_month=12&amp;end_day=31&amp;end_year=2016","Correlation")</f>
        <v>Correlation</v>
      </c>
    </row>
    <row r="1982" spans="1:13" x14ac:dyDescent="0.2">
      <c r="A1982" s="113"/>
      <c r="B1982" s="58" t="s">
        <v>5673</v>
      </c>
      <c r="C1982" s="58" t="s">
        <v>1413</v>
      </c>
      <c r="D1982" s="58" t="s">
        <v>5674</v>
      </c>
      <c r="E1982" s="60" t="b">
        <v>1</v>
      </c>
      <c r="F1982" s="80" t="s">
        <v>5647</v>
      </c>
      <c r="G1982" s="58" t="s">
        <v>5675</v>
      </c>
      <c r="H1982" s="58" t="s">
        <v>1728</v>
      </c>
      <c r="I1982" s="64" t="s">
        <v>5674</v>
      </c>
      <c r="J1982" s="66"/>
      <c r="K1982" s="66"/>
      <c r="L1982" s="68"/>
      <c r="M1982" s="63" t="str">
        <f>HYPERLINK("http://nsgreg.nga.mil/genc/view?v=864592&amp;end_month=12&amp;end_day=31&amp;end_year=2016","Correlation")</f>
        <v>Correlation</v>
      </c>
    </row>
    <row r="1983" spans="1:13" x14ac:dyDescent="0.2">
      <c r="A1983" s="113"/>
      <c r="B1983" s="58" t="s">
        <v>5676</v>
      </c>
      <c r="C1983" s="58" t="s">
        <v>1413</v>
      </c>
      <c r="D1983" s="58" t="s">
        <v>5677</v>
      </c>
      <c r="E1983" s="60" t="b">
        <v>1</v>
      </c>
      <c r="F1983" s="80" t="s">
        <v>5647</v>
      </c>
      <c r="G1983" s="58" t="s">
        <v>5678</v>
      </c>
      <c r="H1983" s="58" t="s">
        <v>1728</v>
      </c>
      <c r="I1983" s="64" t="s">
        <v>5677</v>
      </c>
      <c r="J1983" s="66"/>
      <c r="K1983" s="66"/>
      <c r="L1983" s="68"/>
      <c r="M1983" s="63" t="str">
        <f>HYPERLINK("http://nsgreg.nga.mil/genc/view?v=864593&amp;end_month=12&amp;end_day=31&amp;end_year=2016","Correlation")</f>
        <v>Correlation</v>
      </c>
    </row>
    <row r="1984" spans="1:13" x14ac:dyDescent="0.2">
      <c r="A1984" s="113"/>
      <c r="B1984" s="58" t="s">
        <v>5679</v>
      </c>
      <c r="C1984" s="58" t="s">
        <v>1413</v>
      </c>
      <c r="D1984" s="58" t="s">
        <v>5680</v>
      </c>
      <c r="E1984" s="60" t="b">
        <v>1</v>
      </c>
      <c r="F1984" s="80" t="s">
        <v>5647</v>
      </c>
      <c r="G1984" s="58" t="s">
        <v>5681</v>
      </c>
      <c r="H1984" s="58" t="s">
        <v>1728</v>
      </c>
      <c r="I1984" s="64" t="s">
        <v>5680</v>
      </c>
      <c r="J1984" s="66"/>
      <c r="K1984" s="66"/>
      <c r="L1984" s="68"/>
      <c r="M1984" s="63" t="str">
        <f>HYPERLINK("http://nsgreg.nga.mil/genc/view?v=864594&amp;end_month=12&amp;end_day=31&amp;end_year=2016","Correlation")</f>
        <v>Correlation</v>
      </c>
    </row>
    <row r="1985" spans="1:13" x14ac:dyDescent="0.2">
      <c r="A1985" s="113"/>
      <c r="B1985" s="58" t="s">
        <v>5682</v>
      </c>
      <c r="C1985" s="58" t="s">
        <v>1413</v>
      </c>
      <c r="D1985" s="58" t="s">
        <v>5683</v>
      </c>
      <c r="E1985" s="60" t="b">
        <v>1</v>
      </c>
      <c r="F1985" s="80" t="s">
        <v>5647</v>
      </c>
      <c r="G1985" s="58" t="s">
        <v>5684</v>
      </c>
      <c r="H1985" s="58" t="s">
        <v>1728</v>
      </c>
      <c r="I1985" s="64" t="s">
        <v>5683</v>
      </c>
      <c r="J1985" s="66"/>
      <c r="K1985" s="66"/>
      <c r="L1985" s="68"/>
      <c r="M1985" s="63" t="str">
        <f>HYPERLINK("http://nsgreg.nga.mil/genc/view?v=864599&amp;end_month=12&amp;end_day=31&amp;end_year=2016","Correlation")</f>
        <v>Correlation</v>
      </c>
    </row>
    <row r="1986" spans="1:13" x14ac:dyDescent="0.2">
      <c r="A1986" s="113"/>
      <c r="B1986" s="58" t="s">
        <v>5685</v>
      </c>
      <c r="C1986" s="58" t="s">
        <v>1413</v>
      </c>
      <c r="D1986" s="58" t="s">
        <v>5686</v>
      </c>
      <c r="E1986" s="60" t="b">
        <v>1</v>
      </c>
      <c r="F1986" s="80" t="s">
        <v>5647</v>
      </c>
      <c r="G1986" s="58" t="s">
        <v>5687</v>
      </c>
      <c r="H1986" s="58" t="s">
        <v>1728</v>
      </c>
      <c r="I1986" s="64" t="s">
        <v>5686</v>
      </c>
      <c r="J1986" s="66"/>
      <c r="K1986" s="66"/>
      <c r="L1986" s="68"/>
      <c r="M1986" s="63" t="str">
        <f>HYPERLINK("http://nsgreg.nga.mil/genc/view?v=864600&amp;end_month=12&amp;end_day=31&amp;end_year=2016","Correlation")</f>
        <v>Correlation</v>
      </c>
    </row>
    <row r="1987" spans="1:13" x14ac:dyDescent="0.2">
      <c r="A1987" s="114"/>
      <c r="B1987" s="71" t="s">
        <v>5688</v>
      </c>
      <c r="C1987" s="71" t="s">
        <v>1413</v>
      </c>
      <c r="D1987" s="71" t="s">
        <v>5689</v>
      </c>
      <c r="E1987" s="73" t="b">
        <v>1</v>
      </c>
      <c r="F1987" s="81" t="s">
        <v>5647</v>
      </c>
      <c r="G1987" s="71" t="s">
        <v>5690</v>
      </c>
      <c r="H1987" s="71" t="s">
        <v>1728</v>
      </c>
      <c r="I1987" s="74" t="s">
        <v>5689</v>
      </c>
      <c r="J1987" s="76"/>
      <c r="K1987" s="76"/>
      <c r="L1987" s="82"/>
      <c r="M1987" s="77" t="str">
        <f>HYPERLINK("http://nsgreg.nga.mil/genc/view?v=864601&amp;end_month=12&amp;end_day=31&amp;end_year=2016","Correlation")</f>
        <v>Correlation</v>
      </c>
    </row>
    <row r="1988" spans="1:13" x14ac:dyDescent="0.2">
      <c r="A1988" s="112" t="s">
        <v>778</v>
      </c>
      <c r="B1988" s="50" t="s">
        <v>5691</v>
      </c>
      <c r="C1988" s="50" t="s">
        <v>1483</v>
      </c>
      <c r="D1988" s="50" t="s">
        <v>5692</v>
      </c>
      <c r="E1988" s="52" t="b">
        <v>1</v>
      </c>
      <c r="F1988" s="78" t="s">
        <v>778</v>
      </c>
      <c r="G1988" s="50" t="s">
        <v>5691</v>
      </c>
      <c r="H1988" s="50" t="s">
        <v>1483</v>
      </c>
      <c r="I1988" s="53" t="s">
        <v>5692</v>
      </c>
      <c r="J1988" s="55"/>
      <c r="K1988" s="55"/>
      <c r="L1988" s="79"/>
      <c r="M1988" s="56" t="str">
        <f>HYPERLINK("http://nsgreg.nga.mil/genc/view?v=864451&amp;end_month=12&amp;end_day=31&amp;end_year=2016","Correlation")</f>
        <v>Correlation</v>
      </c>
    </row>
    <row r="1989" spans="1:13" x14ac:dyDescent="0.2">
      <c r="A1989" s="113"/>
      <c r="B1989" s="58" t="s">
        <v>5693</v>
      </c>
      <c r="C1989" s="58" t="s">
        <v>1483</v>
      </c>
      <c r="D1989" s="58" t="s">
        <v>5694</v>
      </c>
      <c r="E1989" s="60" t="b">
        <v>1</v>
      </c>
      <c r="F1989" s="80" t="s">
        <v>778</v>
      </c>
      <c r="G1989" s="58" t="s">
        <v>5693</v>
      </c>
      <c r="H1989" s="58" t="s">
        <v>1483</v>
      </c>
      <c r="I1989" s="64" t="s">
        <v>5694</v>
      </c>
      <c r="J1989" s="66"/>
      <c r="K1989" s="66"/>
      <c r="L1989" s="68"/>
      <c r="M1989" s="63" t="str">
        <f>HYPERLINK("http://nsgreg.nga.mil/genc/view?v=864452&amp;end_month=12&amp;end_day=31&amp;end_year=2016","Correlation")</f>
        <v>Correlation</v>
      </c>
    </row>
    <row r="1990" spans="1:13" x14ac:dyDescent="0.2">
      <c r="A1990" s="113"/>
      <c r="B1990" s="58" t="s">
        <v>5695</v>
      </c>
      <c r="C1990" s="58" t="s">
        <v>1483</v>
      </c>
      <c r="D1990" s="58" t="s">
        <v>5696</v>
      </c>
      <c r="E1990" s="60" t="b">
        <v>1</v>
      </c>
      <c r="F1990" s="80" t="s">
        <v>778</v>
      </c>
      <c r="G1990" s="58" t="s">
        <v>5695</v>
      </c>
      <c r="H1990" s="58" t="s">
        <v>1483</v>
      </c>
      <c r="I1990" s="64" t="s">
        <v>5696</v>
      </c>
      <c r="J1990" s="66"/>
      <c r="K1990" s="66"/>
      <c r="L1990" s="68"/>
      <c r="M1990" s="63" t="str">
        <f>HYPERLINK("http://nsgreg.nga.mil/genc/view?v=864453&amp;end_month=12&amp;end_day=31&amp;end_year=2016","Correlation")</f>
        <v>Correlation</v>
      </c>
    </row>
    <row r="1991" spans="1:13" x14ac:dyDescent="0.2">
      <c r="A1991" s="113"/>
      <c r="B1991" s="58" t="s">
        <v>5697</v>
      </c>
      <c r="C1991" s="58" t="s">
        <v>1483</v>
      </c>
      <c r="D1991" s="58" t="s">
        <v>5698</v>
      </c>
      <c r="E1991" s="60" t="b">
        <v>1</v>
      </c>
      <c r="F1991" s="80" t="s">
        <v>778</v>
      </c>
      <c r="G1991" s="58" t="s">
        <v>5697</v>
      </c>
      <c r="H1991" s="58" t="s">
        <v>1483</v>
      </c>
      <c r="I1991" s="64" t="s">
        <v>5698</v>
      </c>
      <c r="J1991" s="66"/>
      <c r="K1991" s="66"/>
      <c r="L1991" s="68"/>
      <c r="M1991" s="63" t="str">
        <f>HYPERLINK("http://nsgreg.nga.mil/genc/view?v=864454&amp;end_month=12&amp;end_day=31&amp;end_year=2016","Correlation")</f>
        <v>Correlation</v>
      </c>
    </row>
    <row r="1992" spans="1:13" x14ac:dyDescent="0.2">
      <c r="A1992" s="113"/>
      <c r="B1992" s="58" t="s">
        <v>5699</v>
      </c>
      <c r="C1992" s="58" t="s">
        <v>1483</v>
      </c>
      <c r="D1992" s="58" t="s">
        <v>5700</v>
      </c>
      <c r="E1992" s="60" t="b">
        <v>1</v>
      </c>
      <c r="F1992" s="80" t="s">
        <v>778</v>
      </c>
      <c r="G1992" s="58" t="s">
        <v>5699</v>
      </c>
      <c r="H1992" s="58" t="s">
        <v>1483</v>
      </c>
      <c r="I1992" s="64" t="s">
        <v>5700</v>
      </c>
      <c r="J1992" s="66"/>
      <c r="K1992" s="66"/>
      <c r="L1992" s="68"/>
      <c r="M1992" s="63" t="str">
        <f>HYPERLINK("http://nsgreg.nga.mil/genc/view?v=864455&amp;end_month=12&amp;end_day=31&amp;end_year=2016","Correlation")</f>
        <v>Correlation</v>
      </c>
    </row>
    <row r="1993" spans="1:13" x14ac:dyDescent="0.2">
      <c r="A1993" s="113"/>
      <c r="B1993" s="58" t="s">
        <v>5701</v>
      </c>
      <c r="C1993" s="58" t="s">
        <v>1483</v>
      </c>
      <c r="D1993" s="58" t="s">
        <v>5702</v>
      </c>
      <c r="E1993" s="60" t="b">
        <v>1</v>
      </c>
      <c r="F1993" s="80" t="s">
        <v>778</v>
      </c>
      <c r="G1993" s="58" t="s">
        <v>5701</v>
      </c>
      <c r="H1993" s="58" t="s">
        <v>1483</v>
      </c>
      <c r="I1993" s="64" t="s">
        <v>5702</v>
      </c>
      <c r="J1993" s="66"/>
      <c r="K1993" s="66"/>
      <c r="L1993" s="68"/>
      <c r="M1993" s="63" t="str">
        <f>HYPERLINK("http://nsgreg.nga.mil/genc/view?v=864456&amp;end_month=12&amp;end_day=31&amp;end_year=2016","Correlation")</f>
        <v>Correlation</v>
      </c>
    </row>
    <row r="1994" spans="1:13" x14ac:dyDescent="0.2">
      <c r="A1994" s="113"/>
      <c r="B1994" s="58" t="s">
        <v>5703</v>
      </c>
      <c r="C1994" s="58" t="s">
        <v>1483</v>
      </c>
      <c r="D1994" s="58" t="s">
        <v>5704</v>
      </c>
      <c r="E1994" s="60" t="b">
        <v>1</v>
      </c>
      <c r="F1994" s="80" t="s">
        <v>778</v>
      </c>
      <c r="G1994" s="58" t="s">
        <v>5703</v>
      </c>
      <c r="H1994" s="58" t="s">
        <v>1483</v>
      </c>
      <c r="I1994" s="64" t="s">
        <v>5704</v>
      </c>
      <c r="J1994" s="66"/>
      <c r="K1994" s="66"/>
      <c r="L1994" s="68"/>
      <c r="M1994" s="63" t="str">
        <f>HYPERLINK("http://nsgreg.nga.mil/genc/view?v=864457&amp;end_month=12&amp;end_day=31&amp;end_year=2016","Correlation")</f>
        <v>Correlation</v>
      </c>
    </row>
    <row r="1995" spans="1:13" x14ac:dyDescent="0.2">
      <c r="A1995" s="113"/>
      <c r="B1995" s="58" t="s">
        <v>5705</v>
      </c>
      <c r="C1995" s="58" t="s">
        <v>1483</v>
      </c>
      <c r="D1995" s="58" t="s">
        <v>5706</v>
      </c>
      <c r="E1995" s="60" t="b">
        <v>1</v>
      </c>
      <c r="F1995" s="80" t="s">
        <v>778</v>
      </c>
      <c r="G1995" s="58" t="s">
        <v>5705</v>
      </c>
      <c r="H1995" s="58" t="s">
        <v>1483</v>
      </c>
      <c r="I1995" s="64" t="s">
        <v>5706</v>
      </c>
      <c r="J1995" s="66"/>
      <c r="K1995" s="66"/>
      <c r="L1995" s="68"/>
      <c r="M1995" s="63" t="str">
        <f>HYPERLINK("http://nsgreg.nga.mil/genc/view?v=864458&amp;end_month=12&amp;end_day=31&amp;end_year=2016","Correlation")</f>
        <v>Correlation</v>
      </c>
    </row>
    <row r="1996" spans="1:13" x14ac:dyDescent="0.2">
      <c r="A1996" s="113"/>
      <c r="B1996" s="58" t="s">
        <v>5707</v>
      </c>
      <c r="C1996" s="58" t="s">
        <v>1483</v>
      </c>
      <c r="D1996" s="58" t="s">
        <v>5708</v>
      </c>
      <c r="E1996" s="60" t="b">
        <v>1</v>
      </c>
      <c r="F1996" s="80" t="s">
        <v>778</v>
      </c>
      <c r="G1996" s="58" t="s">
        <v>5707</v>
      </c>
      <c r="H1996" s="58" t="s">
        <v>1483</v>
      </c>
      <c r="I1996" s="64" t="s">
        <v>5708</v>
      </c>
      <c r="J1996" s="66"/>
      <c r="K1996" s="66"/>
      <c r="L1996" s="68"/>
      <c r="M1996" s="63" t="str">
        <f>HYPERLINK("http://nsgreg.nga.mil/genc/view?v=864459&amp;end_month=12&amp;end_day=31&amp;end_year=2016","Correlation")</f>
        <v>Correlation</v>
      </c>
    </row>
    <row r="1997" spans="1:13" x14ac:dyDescent="0.2">
      <c r="A1997" s="113"/>
      <c r="B1997" s="58" t="s">
        <v>5709</v>
      </c>
      <c r="C1997" s="58" t="s">
        <v>1483</v>
      </c>
      <c r="D1997" s="58" t="s">
        <v>5710</v>
      </c>
      <c r="E1997" s="60" t="b">
        <v>1</v>
      </c>
      <c r="F1997" s="80" t="s">
        <v>778</v>
      </c>
      <c r="G1997" s="58" t="s">
        <v>5709</v>
      </c>
      <c r="H1997" s="58" t="s">
        <v>1483</v>
      </c>
      <c r="I1997" s="64" t="s">
        <v>5710</v>
      </c>
      <c r="J1997" s="66"/>
      <c r="K1997" s="66"/>
      <c r="L1997" s="68"/>
      <c r="M1997" s="63" t="str">
        <f>HYPERLINK("http://nsgreg.nga.mil/genc/view?v=864460&amp;end_month=12&amp;end_day=31&amp;end_year=2016","Correlation")</f>
        <v>Correlation</v>
      </c>
    </row>
    <row r="1998" spans="1:13" x14ac:dyDescent="0.2">
      <c r="A1998" s="113"/>
      <c r="B1998" s="58" t="s">
        <v>5711</v>
      </c>
      <c r="C1998" s="58" t="s">
        <v>1483</v>
      </c>
      <c r="D1998" s="58" t="s">
        <v>5712</v>
      </c>
      <c r="E1998" s="60" t="b">
        <v>1</v>
      </c>
      <c r="F1998" s="80" t="s">
        <v>778</v>
      </c>
      <c r="G1998" s="58" t="s">
        <v>5711</v>
      </c>
      <c r="H1998" s="58" t="s">
        <v>1483</v>
      </c>
      <c r="I1998" s="64" t="s">
        <v>5712</v>
      </c>
      <c r="J1998" s="66"/>
      <c r="K1998" s="66"/>
      <c r="L1998" s="68"/>
      <c r="M1998" s="63" t="str">
        <f>HYPERLINK("http://nsgreg.nga.mil/genc/view?v=864461&amp;end_month=12&amp;end_day=31&amp;end_year=2016","Correlation")</f>
        <v>Correlation</v>
      </c>
    </row>
    <row r="1999" spans="1:13" x14ac:dyDescent="0.2">
      <c r="A1999" s="113"/>
      <c r="B1999" s="58" t="s">
        <v>5713</v>
      </c>
      <c r="C1999" s="58" t="s">
        <v>1483</v>
      </c>
      <c r="D1999" s="58" t="s">
        <v>5714</v>
      </c>
      <c r="E1999" s="60" t="b">
        <v>1</v>
      </c>
      <c r="F1999" s="80" t="s">
        <v>778</v>
      </c>
      <c r="G1999" s="58" t="s">
        <v>5713</v>
      </c>
      <c r="H1999" s="58" t="s">
        <v>1483</v>
      </c>
      <c r="I1999" s="64" t="s">
        <v>5714</v>
      </c>
      <c r="J1999" s="66"/>
      <c r="K1999" s="66"/>
      <c r="L1999" s="68"/>
      <c r="M1999" s="63" t="str">
        <f>HYPERLINK("http://nsgreg.nga.mil/genc/view?v=864462&amp;end_month=12&amp;end_day=31&amp;end_year=2016","Correlation")</f>
        <v>Correlation</v>
      </c>
    </row>
    <row r="2000" spans="1:13" x14ac:dyDescent="0.2">
      <c r="A2000" s="113"/>
      <c r="B2000" s="58" t="s">
        <v>5715</v>
      </c>
      <c r="C2000" s="58" t="s">
        <v>1483</v>
      </c>
      <c r="D2000" s="58" t="s">
        <v>5716</v>
      </c>
      <c r="E2000" s="60" t="b">
        <v>1</v>
      </c>
      <c r="F2000" s="80" t="s">
        <v>778</v>
      </c>
      <c r="G2000" s="58" t="s">
        <v>5715</v>
      </c>
      <c r="H2000" s="58" t="s">
        <v>1483</v>
      </c>
      <c r="I2000" s="64" t="s">
        <v>5716</v>
      </c>
      <c r="J2000" s="66"/>
      <c r="K2000" s="66"/>
      <c r="L2000" s="68"/>
      <c r="M2000" s="63" t="str">
        <f>HYPERLINK("http://nsgreg.nga.mil/genc/view?v=864463&amp;end_month=12&amp;end_day=31&amp;end_year=2016","Correlation")</f>
        <v>Correlation</v>
      </c>
    </row>
    <row r="2001" spans="1:13" x14ac:dyDescent="0.2">
      <c r="A2001" s="113"/>
      <c r="B2001" s="58" t="s">
        <v>5717</v>
      </c>
      <c r="C2001" s="58" t="s">
        <v>1483</v>
      </c>
      <c r="D2001" s="58" t="s">
        <v>5718</v>
      </c>
      <c r="E2001" s="60" t="b">
        <v>1</v>
      </c>
      <c r="F2001" s="80" t="s">
        <v>778</v>
      </c>
      <c r="G2001" s="58" t="s">
        <v>5717</v>
      </c>
      <c r="H2001" s="58" t="s">
        <v>1483</v>
      </c>
      <c r="I2001" s="64" t="s">
        <v>5718</v>
      </c>
      <c r="J2001" s="66"/>
      <c r="K2001" s="66"/>
      <c r="L2001" s="68"/>
      <c r="M2001" s="63" t="str">
        <f>HYPERLINK("http://nsgreg.nga.mil/genc/view?v=864464&amp;end_month=12&amp;end_day=31&amp;end_year=2016","Correlation")</f>
        <v>Correlation</v>
      </c>
    </row>
    <row r="2002" spans="1:13" x14ac:dyDescent="0.2">
      <c r="A2002" s="113"/>
      <c r="B2002" s="58" t="s">
        <v>5719</v>
      </c>
      <c r="C2002" s="58" t="s">
        <v>1483</v>
      </c>
      <c r="D2002" s="58" t="s">
        <v>5720</v>
      </c>
      <c r="E2002" s="60" t="b">
        <v>1</v>
      </c>
      <c r="F2002" s="80" t="s">
        <v>778</v>
      </c>
      <c r="G2002" s="58" t="s">
        <v>5719</v>
      </c>
      <c r="H2002" s="58" t="s">
        <v>1483</v>
      </c>
      <c r="I2002" s="64" t="s">
        <v>5720</v>
      </c>
      <c r="J2002" s="66"/>
      <c r="K2002" s="66"/>
      <c r="L2002" s="68"/>
      <c r="M2002" s="63" t="str">
        <f>HYPERLINK("http://nsgreg.nga.mil/genc/view?v=864465&amp;end_month=12&amp;end_day=31&amp;end_year=2016","Correlation")</f>
        <v>Correlation</v>
      </c>
    </row>
    <row r="2003" spans="1:13" x14ac:dyDescent="0.2">
      <c r="A2003" s="113"/>
      <c r="B2003" s="58" t="s">
        <v>5721</v>
      </c>
      <c r="C2003" s="58" t="s">
        <v>1483</v>
      </c>
      <c r="D2003" s="58" t="s">
        <v>5722</v>
      </c>
      <c r="E2003" s="60" t="b">
        <v>1</v>
      </c>
      <c r="F2003" s="80" t="s">
        <v>778</v>
      </c>
      <c r="G2003" s="58" t="s">
        <v>5721</v>
      </c>
      <c r="H2003" s="58" t="s">
        <v>1483</v>
      </c>
      <c r="I2003" s="64" t="s">
        <v>5722</v>
      </c>
      <c r="J2003" s="66"/>
      <c r="K2003" s="66"/>
      <c r="L2003" s="68"/>
      <c r="M2003" s="63" t="str">
        <f>HYPERLINK("http://nsgreg.nga.mil/genc/view?v=864466&amp;end_month=12&amp;end_day=31&amp;end_year=2016","Correlation")</f>
        <v>Correlation</v>
      </c>
    </row>
    <row r="2004" spans="1:13" x14ac:dyDescent="0.2">
      <c r="A2004" s="113"/>
      <c r="B2004" s="58" t="s">
        <v>5723</v>
      </c>
      <c r="C2004" s="58" t="s">
        <v>1483</v>
      </c>
      <c r="D2004" s="58" t="s">
        <v>5724</v>
      </c>
      <c r="E2004" s="60" t="b">
        <v>1</v>
      </c>
      <c r="F2004" s="80" t="s">
        <v>778</v>
      </c>
      <c r="G2004" s="58" t="s">
        <v>5723</v>
      </c>
      <c r="H2004" s="58" t="s">
        <v>1483</v>
      </c>
      <c r="I2004" s="64" t="s">
        <v>5724</v>
      </c>
      <c r="J2004" s="66"/>
      <c r="K2004" s="66"/>
      <c r="L2004" s="68"/>
      <c r="M2004" s="63" t="str">
        <f>HYPERLINK("http://nsgreg.nga.mil/genc/view?v=864467&amp;end_month=12&amp;end_day=31&amp;end_year=2016","Correlation")</f>
        <v>Correlation</v>
      </c>
    </row>
    <row r="2005" spans="1:13" x14ac:dyDescent="0.2">
      <c r="A2005" s="113"/>
      <c r="B2005" s="58" t="s">
        <v>5725</v>
      </c>
      <c r="C2005" s="58" t="s">
        <v>1483</v>
      </c>
      <c r="D2005" s="58" t="s">
        <v>5726</v>
      </c>
      <c r="E2005" s="60" t="b">
        <v>1</v>
      </c>
      <c r="F2005" s="80" t="s">
        <v>778</v>
      </c>
      <c r="G2005" s="58" t="s">
        <v>5725</v>
      </c>
      <c r="H2005" s="58" t="s">
        <v>1483</v>
      </c>
      <c r="I2005" s="64" t="s">
        <v>5726</v>
      </c>
      <c r="J2005" s="66"/>
      <c r="K2005" s="66"/>
      <c r="L2005" s="68"/>
      <c r="M2005" s="63" t="str">
        <f>HYPERLINK("http://nsgreg.nga.mil/genc/view?v=864468&amp;end_month=12&amp;end_day=31&amp;end_year=2016","Correlation")</f>
        <v>Correlation</v>
      </c>
    </row>
    <row r="2006" spans="1:13" x14ac:dyDescent="0.2">
      <c r="A2006" s="113"/>
      <c r="B2006" s="58" t="s">
        <v>5727</v>
      </c>
      <c r="C2006" s="58" t="s">
        <v>1483</v>
      </c>
      <c r="D2006" s="58" t="s">
        <v>5728</v>
      </c>
      <c r="E2006" s="60" t="b">
        <v>1</v>
      </c>
      <c r="F2006" s="80" t="s">
        <v>778</v>
      </c>
      <c r="G2006" s="58" t="s">
        <v>5727</v>
      </c>
      <c r="H2006" s="58" t="s">
        <v>1483</v>
      </c>
      <c r="I2006" s="64" t="s">
        <v>5728</v>
      </c>
      <c r="J2006" s="66"/>
      <c r="K2006" s="66"/>
      <c r="L2006" s="68"/>
      <c r="M2006" s="63" t="str">
        <f>HYPERLINK("http://nsgreg.nga.mil/genc/view?v=864469&amp;end_month=12&amp;end_day=31&amp;end_year=2016","Correlation")</f>
        <v>Correlation</v>
      </c>
    </row>
    <row r="2007" spans="1:13" x14ac:dyDescent="0.2">
      <c r="A2007" s="113"/>
      <c r="B2007" s="58" t="s">
        <v>5729</v>
      </c>
      <c r="C2007" s="58" t="s">
        <v>1483</v>
      </c>
      <c r="D2007" s="58" t="s">
        <v>5730</v>
      </c>
      <c r="E2007" s="60" t="b">
        <v>1</v>
      </c>
      <c r="F2007" s="80" t="s">
        <v>778</v>
      </c>
      <c r="G2007" s="58" t="s">
        <v>5729</v>
      </c>
      <c r="H2007" s="58" t="s">
        <v>1483</v>
      </c>
      <c r="I2007" s="64" t="s">
        <v>5730</v>
      </c>
      <c r="J2007" s="66"/>
      <c r="K2007" s="66"/>
      <c r="L2007" s="68"/>
      <c r="M2007" s="63" t="str">
        <f>HYPERLINK("http://nsgreg.nga.mil/genc/view?v=864470&amp;end_month=12&amp;end_day=31&amp;end_year=2016","Correlation")</f>
        <v>Correlation</v>
      </c>
    </row>
    <row r="2008" spans="1:13" x14ac:dyDescent="0.2">
      <c r="A2008" s="113"/>
      <c r="B2008" s="58" t="s">
        <v>5731</v>
      </c>
      <c r="C2008" s="58" t="s">
        <v>1483</v>
      </c>
      <c r="D2008" s="58" t="s">
        <v>5732</v>
      </c>
      <c r="E2008" s="60" t="b">
        <v>1</v>
      </c>
      <c r="F2008" s="80" t="s">
        <v>778</v>
      </c>
      <c r="G2008" s="58" t="s">
        <v>5731</v>
      </c>
      <c r="H2008" s="58" t="s">
        <v>1483</v>
      </c>
      <c r="I2008" s="64" t="s">
        <v>5732</v>
      </c>
      <c r="J2008" s="66"/>
      <c r="K2008" s="66"/>
      <c r="L2008" s="68"/>
      <c r="M2008" s="63" t="str">
        <f>HYPERLINK("http://nsgreg.nga.mil/genc/view?v=864471&amp;end_month=12&amp;end_day=31&amp;end_year=2016","Correlation")</f>
        <v>Correlation</v>
      </c>
    </row>
    <row r="2009" spans="1:13" x14ac:dyDescent="0.2">
      <c r="A2009" s="113"/>
      <c r="B2009" s="58" t="s">
        <v>5733</v>
      </c>
      <c r="C2009" s="58" t="s">
        <v>1483</v>
      </c>
      <c r="D2009" s="58" t="s">
        <v>5734</v>
      </c>
      <c r="E2009" s="60" t="b">
        <v>1</v>
      </c>
      <c r="F2009" s="80" t="s">
        <v>778</v>
      </c>
      <c r="G2009" s="58" t="s">
        <v>5733</v>
      </c>
      <c r="H2009" s="58" t="s">
        <v>1483</v>
      </c>
      <c r="I2009" s="64" t="s">
        <v>5734</v>
      </c>
      <c r="J2009" s="66"/>
      <c r="K2009" s="66"/>
      <c r="L2009" s="68"/>
      <c r="M2009" s="63" t="str">
        <f>HYPERLINK("http://nsgreg.nga.mil/genc/view?v=864472&amp;end_month=12&amp;end_day=31&amp;end_year=2016","Correlation")</f>
        <v>Correlation</v>
      </c>
    </row>
    <row r="2010" spans="1:13" x14ac:dyDescent="0.2">
      <c r="A2010" s="113"/>
      <c r="B2010" s="58" t="s">
        <v>5735</v>
      </c>
      <c r="C2010" s="58" t="s">
        <v>1483</v>
      </c>
      <c r="D2010" s="58" t="s">
        <v>5736</v>
      </c>
      <c r="E2010" s="60" t="b">
        <v>1</v>
      </c>
      <c r="F2010" s="80" t="s">
        <v>778</v>
      </c>
      <c r="G2010" s="58" t="s">
        <v>5735</v>
      </c>
      <c r="H2010" s="58" t="s">
        <v>1483</v>
      </c>
      <c r="I2010" s="64" t="s">
        <v>5736</v>
      </c>
      <c r="J2010" s="66"/>
      <c r="K2010" s="66"/>
      <c r="L2010" s="68"/>
      <c r="M2010" s="63" t="str">
        <f>HYPERLINK("http://nsgreg.nga.mil/genc/view?v=864473&amp;end_month=12&amp;end_day=31&amp;end_year=2016","Correlation")</f>
        <v>Correlation</v>
      </c>
    </row>
    <row r="2011" spans="1:13" x14ac:dyDescent="0.2">
      <c r="A2011" s="113"/>
      <c r="B2011" s="58" t="s">
        <v>5737</v>
      </c>
      <c r="C2011" s="58" t="s">
        <v>1483</v>
      </c>
      <c r="D2011" s="58" t="s">
        <v>5738</v>
      </c>
      <c r="E2011" s="60" t="b">
        <v>1</v>
      </c>
      <c r="F2011" s="80" t="s">
        <v>778</v>
      </c>
      <c r="G2011" s="58" t="s">
        <v>5737</v>
      </c>
      <c r="H2011" s="58" t="s">
        <v>1483</v>
      </c>
      <c r="I2011" s="64" t="s">
        <v>5738</v>
      </c>
      <c r="J2011" s="66"/>
      <c r="K2011" s="66"/>
      <c r="L2011" s="68"/>
      <c r="M2011" s="63" t="str">
        <f>HYPERLINK("http://nsgreg.nga.mil/genc/view?v=864474&amp;end_month=12&amp;end_day=31&amp;end_year=2016","Correlation")</f>
        <v>Correlation</v>
      </c>
    </row>
    <row r="2012" spans="1:13" x14ac:dyDescent="0.2">
      <c r="A2012" s="113"/>
      <c r="B2012" s="58" t="s">
        <v>5739</v>
      </c>
      <c r="C2012" s="58" t="s">
        <v>1483</v>
      </c>
      <c r="D2012" s="58" t="s">
        <v>5740</v>
      </c>
      <c r="E2012" s="60" t="b">
        <v>1</v>
      </c>
      <c r="F2012" s="80" t="s">
        <v>778</v>
      </c>
      <c r="G2012" s="58" t="s">
        <v>5739</v>
      </c>
      <c r="H2012" s="58" t="s">
        <v>1483</v>
      </c>
      <c r="I2012" s="64" t="s">
        <v>5740</v>
      </c>
      <c r="J2012" s="66"/>
      <c r="K2012" s="66"/>
      <c r="L2012" s="68"/>
      <c r="M2012" s="63" t="str">
        <f>HYPERLINK("http://nsgreg.nga.mil/genc/view?v=864475&amp;end_month=12&amp;end_day=31&amp;end_year=2016","Correlation")</f>
        <v>Correlation</v>
      </c>
    </row>
    <row r="2013" spans="1:13" x14ac:dyDescent="0.2">
      <c r="A2013" s="113"/>
      <c r="B2013" s="58" t="s">
        <v>5741</v>
      </c>
      <c r="C2013" s="58" t="s">
        <v>1483</v>
      </c>
      <c r="D2013" s="58" t="s">
        <v>5742</v>
      </c>
      <c r="E2013" s="60" t="b">
        <v>1</v>
      </c>
      <c r="F2013" s="80" t="s">
        <v>778</v>
      </c>
      <c r="G2013" s="58" t="s">
        <v>5741</v>
      </c>
      <c r="H2013" s="58" t="s">
        <v>1483</v>
      </c>
      <c r="I2013" s="64" t="s">
        <v>5742</v>
      </c>
      <c r="J2013" s="66"/>
      <c r="K2013" s="66"/>
      <c r="L2013" s="68"/>
      <c r="M2013" s="63" t="str">
        <f>HYPERLINK("http://nsgreg.nga.mil/genc/view?v=864476&amp;end_month=12&amp;end_day=31&amp;end_year=2016","Correlation")</f>
        <v>Correlation</v>
      </c>
    </row>
    <row r="2014" spans="1:13" x14ac:dyDescent="0.2">
      <c r="A2014" s="113"/>
      <c r="B2014" s="58" t="s">
        <v>5743</v>
      </c>
      <c r="C2014" s="58" t="s">
        <v>1483</v>
      </c>
      <c r="D2014" s="58" t="s">
        <v>5744</v>
      </c>
      <c r="E2014" s="60" t="b">
        <v>1</v>
      </c>
      <c r="F2014" s="80" t="s">
        <v>778</v>
      </c>
      <c r="G2014" s="58" t="s">
        <v>5743</v>
      </c>
      <c r="H2014" s="58" t="s">
        <v>1483</v>
      </c>
      <c r="I2014" s="64" t="s">
        <v>5744</v>
      </c>
      <c r="J2014" s="66"/>
      <c r="K2014" s="66"/>
      <c r="L2014" s="68"/>
      <c r="M2014" s="63" t="str">
        <f>HYPERLINK("http://nsgreg.nga.mil/genc/view?v=864477&amp;end_month=12&amp;end_day=31&amp;end_year=2016","Correlation")</f>
        <v>Correlation</v>
      </c>
    </row>
    <row r="2015" spans="1:13" x14ac:dyDescent="0.2">
      <c r="A2015" s="113"/>
      <c r="B2015" s="58" t="s">
        <v>5745</v>
      </c>
      <c r="C2015" s="58" t="s">
        <v>1483</v>
      </c>
      <c r="D2015" s="58" t="s">
        <v>5746</v>
      </c>
      <c r="E2015" s="60" t="b">
        <v>1</v>
      </c>
      <c r="F2015" s="80" t="s">
        <v>778</v>
      </c>
      <c r="G2015" s="58" t="s">
        <v>5745</v>
      </c>
      <c r="H2015" s="58" t="s">
        <v>1483</v>
      </c>
      <c r="I2015" s="64" t="s">
        <v>5746</v>
      </c>
      <c r="J2015" s="66"/>
      <c r="K2015" s="66"/>
      <c r="L2015" s="68"/>
      <c r="M2015" s="63" t="str">
        <f>HYPERLINK("http://nsgreg.nga.mil/genc/view?v=864478&amp;end_month=12&amp;end_day=31&amp;end_year=2016","Correlation")</f>
        <v>Correlation</v>
      </c>
    </row>
    <row r="2016" spans="1:13" x14ac:dyDescent="0.2">
      <c r="A2016" s="113"/>
      <c r="B2016" s="58" t="s">
        <v>5747</v>
      </c>
      <c r="C2016" s="58" t="s">
        <v>1483</v>
      </c>
      <c r="D2016" s="58" t="s">
        <v>5748</v>
      </c>
      <c r="E2016" s="60" t="b">
        <v>1</v>
      </c>
      <c r="F2016" s="80" t="s">
        <v>778</v>
      </c>
      <c r="G2016" s="58" t="s">
        <v>5749</v>
      </c>
      <c r="H2016" s="58" t="s">
        <v>1483</v>
      </c>
      <c r="I2016" s="64" t="s">
        <v>5748</v>
      </c>
      <c r="J2016" s="66"/>
      <c r="K2016" s="66"/>
      <c r="L2016" s="68"/>
      <c r="M2016" s="63" t="str">
        <f>HYPERLINK("http://nsgreg.nga.mil/genc/view?v=864479&amp;end_month=12&amp;end_day=31&amp;end_year=2016","Correlation")</f>
        <v>Correlation</v>
      </c>
    </row>
    <row r="2017" spans="1:13" x14ac:dyDescent="0.2">
      <c r="A2017" s="113"/>
      <c r="B2017" s="58" t="s">
        <v>5750</v>
      </c>
      <c r="C2017" s="58" t="s">
        <v>1483</v>
      </c>
      <c r="D2017" s="58" t="s">
        <v>5751</v>
      </c>
      <c r="E2017" s="60" t="b">
        <v>1</v>
      </c>
      <c r="F2017" s="80" t="s">
        <v>778</v>
      </c>
      <c r="G2017" s="58" t="s">
        <v>5750</v>
      </c>
      <c r="H2017" s="58" t="s">
        <v>1483</v>
      </c>
      <c r="I2017" s="64" t="s">
        <v>5751</v>
      </c>
      <c r="J2017" s="66"/>
      <c r="K2017" s="66"/>
      <c r="L2017" s="68"/>
      <c r="M2017" s="63" t="str">
        <f>HYPERLINK("http://nsgreg.nga.mil/genc/view?v=864480&amp;end_month=12&amp;end_day=31&amp;end_year=2016","Correlation")</f>
        <v>Correlation</v>
      </c>
    </row>
    <row r="2018" spans="1:13" x14ac:dyDescent="0.2">
      <c r="A2018" s="113"/>
      <c r="B2018" s="58" t="s">
        <v>5752</v>
      </c>
      <c r="C2018" s="58" t="s">
        <v>1483</v>
      </c>
      <c r="D2018" s="58" t="s">
        <v>5753</v>
      </c>
      <c r="E2018" s="60" t="b">
        <v>1</v>
      </c>
      <c r="F2018" s="80" t="s">
        <v>778</v>
      </c>
      <c r="G2018" s="58" t="s">
        <v>5752</v>
      </c>
      <c r="H2018" s="58" t="s">
        <v>1483</v>
      </c>
      <c r="I2018" s="64" t="s">
        <v>5753</v>
      </c>
      <c r="J2018" s="66"/>
      <c r="K2018" s="66"/>
      <c r="L2018" s="68"/>
      <c r="M2018" s="63" t="str">
        <f>HYPERLINK("http://nsgreg.nga.mil/genc/view?v=864481&amp;end_month=12&amp;end_day=31&amp;end_year=2016","Correlation")</f>
        <v>Correlation</v>
      </c>
    </row>
    <row r="2019" spans="1:13" x14ac:dyDescent="0.2">
      <c r="A2019" s="113"/>
      <c r="B2019" s="58" t="s">
        <v>5754</v>
      </c>
      <c r="C2019" s="58" t="s">
        <v>1483</v>
      </c>
      <c r="D2019" s="58" t="s">
        <v>5755</v>
      </c>
      <c r="E2019" s="60" t="b">
        <v>1</v>
      </c>
      <c r="F2019" s="80" t="s">
        <v>778</v>
      </c>
      <c r="G2019" s="58" t="s">
        <v>5754</v>
      </c>
      <c r="H2019" s="58" t="s">
        <v>1483</v>
      </c>
      <c r="I2019" s="64" t="s">
        <v>5755</v>
      </c>
      <c r="J2019" s="66"/>
      <c r="K2019" s="66"/>
      <c r="L2019" s="68"/>
      <c r="M2019" s="63" t="str">
        <f>HYPERLINK("http://nsgreg.nga.mil/genc/view?v=864482&amp;end_month=12&amp;end_day=31&amp;end_year=2016","Correlation")</f>
        <v>Correlation</v>
      </c>
    </row>
    <row r="2020" spans="1:13" x14ac:dyDescent="0.2">
      <c r="A2020" s="113"/>
      <c r="B2020" s="58" t="s">
        <v>5756</v>
      </c>
      <c r="C2020" s="58" t="s">
        <v>1483</v>
      </c>
      <c r="D2020" s="58" t="s">
        <v>5757</v>
      </c>
      <c r="E2020" s="60" t="b">
        <v>1</v>
      </c>
      <c r="F2020" s="80" t="s">
        <v>778</v>
      </c>
      <c r="G2020" s="58" t="s">
        <v>5756</v>
      </c>
      <c r="H2020" s="58" t="s">
        <v>1483</v>
      </c>
      <c r="I2020" s="64" t="s">
        <v>5757</v>
      </c>
      <c r="J2020" s="66"/>
      <c r="K2020" s="66"/>
      <c r="L2020" s="68"/>
      <c r="M2020" s="63" t="str">
        <f>HYPERLINK("http://nsgreg.nga.mil/genc/view?v=864483&amp;end_month=12&amp;end_day=31&amp;end_year=2016","Correlation")</f>
        <v>Correlation</v>
      </c>
    </row>
    <row r="2021" spans="1:13" x14ac:dyDescent="0.2">
      <c r="A2021" s="113"/>
      <c r="B2021" s="58" t="s">
        <v>5758</v>
      </c>
      <c r="C2021" s="58" t="s">
        <v>1483</v>
      </c>
      <c r="D2021" s="58" t="s">
        <v>5759</v>
      </c>
      <c r="E2021" s="60" t="b">
        <v>1</v>
      </c>
      <c r="F2021" s="80" t="s">
        <v>778</v>
      </c>
      <c r="G2021" s="58" t="s">
        <v>5758</v>
      </c>
      <c r="H2021" s="58" t="s">
        <v>1483</v>
      </c>
      <c r="I2021" s="64" t="s">
        <v>5759</v>
      </c>
      <c r="J2021" s="66"/>
      <c r="K2021" s="66"/>
      <c r="L2021" s="68"/>
      <c r="M2021" s="63" t="str">
        <f>HYPERLINK("http://nsgreg.nga.mil/genc/view?v=864484&amp;end_month=12&amp;end_day=31&amp;end_year=2016","Correlation")</f>
        <v>Correlation</v>
      </c>
    </row>
    <row r="2022" spans="1:13" x14ac:dyDescent="0.2">
      <c r="A2022" s="113"/>
      <c r="B2022" s="58" t="s">
        <v>5760</v>
      </c>
      <c r="C2022" s="58" t="s">
        <v>1483</v>
      </c>
      <c r="D2022" s="58" t="s">
        <v>5761</v>
      </c>
      <c r="E2022" s="60" t="b">
        <v>1</v>
      </c>
      <c r="F2022" s="80" t="s">
        <v>778</v>
      </c>
      <c r="G2022" s="58" t="s">
        <v>5760</v>
      </c>
      <c r="H2022" s="58" t="s">
        <v>1483</v>
      </c>
      <c r="I2022" s="64" t="s">
        <v>5761</v>
      </c>
      <c r="J2022" s="66"/>
      <c r="K2022" s="66"/>
      <c r="L2022" s="68"/>
      <c r="M2022" s="63" t="str">
        <f>HYPERLINK("http://nsgreg.nga.mil/genc/view?v=864485&amp;end_month=12&amp;end_day=31&amp;end_year=2016","Correlation")</f>
        <v>Correlation</v>
      </c>
    </row>
    <row r="2023" spans="1:13" x14ac:dyDescent="0.2">
      <c r="A2023" s="113"/>
      <c r="B2023" s="58" t="s">
        <v>5762</v>
      </c>
      <c r="C2023" s="58" t="s">
        <v>1483</v>
      </c>
      <c r="D2023" s="58" t="s">
        <v>5763</v>
      </c>
      <c r="E2023" s="60" t="b">
        <v>1</v>
      </c>
      <c r="F2023" s="80" t="s">
        <v>778</v>
      </c>
      <c r="G2023" s="58" t="s">
        <v>5762</v>
      </c>
      <c r="H2023" s="58" t="s">
        <v>1483</v>
      </c>
      <c r="I2023" s="64" t="s">
        <v>5763</v>
      </c>
      <c r="J2023" s="66"/>
      <c r="K2023" s="66"/>
      <c r="L2023" s="68"/>
      <c r="M2023" s="63" t="str">
        <f>HYPERLINK("http://nsgreg.nga.mil/genc/view?v=864486&amp;end_month=12&amp;end_day=31&amp;end_year=2016","Correlation")</f>
        <v>Correlation</v>
      </c>
    </row>
    <row r="2024" spans="1:13" x14ac:dyDescent="0.2">
      <c r="A2024" s="113"/>
      <c r="B2024" s="58" t="s">
        <v>5764</v>
      </c>
      <c r="C2024" s="58" t="s">
        <v>1483</v>
      </c>
      <c r="D2024" s="58" t="s">
        <v>5765</v>
      </c>
      <c r="E2024" s="60" t="b">
        <v>1</v>
      </c>
      <c r="F2024" s="80" t="s">
        <v>778</v>
      </c>
      <c r="G2024" s="58" t="s">
        <v>5764</v>
      </c>
      <c r="H2024" s="58" t="s">
        <v>1483</v>
      </c>
      <c r="I2024" s="64" t="s">
        <v>5765</v>
      </c>
      <c r="J2024" s="66"/>
      <c r="K2024" s="66"/>
      <c r="L2024" s="68"/>
      <c r="M2024" s="63" t="str">
        <f>HYPERLINK("http://nsgreg.nga.mil/genc/view?v=864487&amp;end_month=12&amp;end_day=31&amp;end_year=2016","Correlation")</f>
        <v>Correlation</v>
      </c>
    </row>
    <row r="2025" spans="1:13" x14ac:dyDescent="0.2">
      <c r="A2025" s="113"/>
      <c r="B2025" s="58" t="s">
        <v>5766</v>
      </c>
      <c r="C2025" s="58" t="s">
        <v>1483</v>
      </c>
      <c r="D2025" s="58" t="s">
        <v>5767</v>
      </c>
      <c r="E2025" s="60" t="b">
        <v>1</v>
      </c>
      <c r="F2025" s="80" t="s">
        <v>778</v>
      </c>
      <c r="G2025" s="58" t="s">
        <v>5766</v>
      </c>
      <c r="H2025" s="58" t="s">
        <v>1483</v>
      </c>
      <c r="I2025" s="64" t="s">
        <v>5767</v>
      </c>
      <c r="J2025" s="66"/>
      <c r="K2025" s="66"/>
      <c r="L2025" s="68"/>
      <c r="M2025" s="63" t="str">
        <f>HYPERLINK("http://nsgreg.nga.mil/genc/view?v=864488&amp;end_month=12&amp;end_day=31&amp;end_year=2016","Correlation")</f>
        <v>Correlation</v>
      </c>
    </row>
    <row r="2026" spans="1:13" x14ac:dyDescent="0.2">
      <c r="A2026" s="113"/>
      <c r="B2026" s="58" t="s">
        <v>5768</v>
      </c>
      <c r="C2026" s="58" t="s">
        <v>1483</v>
      </c>
      <c r="D2026" s="58" t="s">
        <v>5769</v>
      </c>
      <c r="E2026" s="60" t="b">
        <v>1</v>
      </c>
      <c r="F2026" s="80" t="s">
        <v>778</v>
      </c>
      <c r="G2026" s="58" t="s">
        <v>5768</v>
      </c>
      <c r="H2026" s="58" t="s">
        <v>1483</v>
      </c>
      <c r="I2026" s="64" t="s">
        <v>5769</v>
      </c>
      <c r="J2026" s="66"/>
      <c r="K2026" s="66"/>
      <c r="L2026" s="68"/>
      <c r="M2026" s="63" t="str">
        <f>HYPERLINK("http://nsgreg.nga.mil/genc/view?v=864489&amp;end_month=12&amp;end_day=31&amp;end_year=2016","Correlation")</f>
        <v>Correlation</v>
      </c>
    </row>
    <row r="2027" spans="1:13" x14ac:dyDescent="0.2">
      <c r="A2027" s="113"/>
      <c r="B2027" s="58" t="s">
        <v>5770</v>
      </c>
      <c r="C2027" s="58" t="s">
        <v>1483</v>
      </c>
      <c r="D2027" s="58" t="s">
        <v>5771</v>
      </c>
      <c r="E2027" s="60" t="b">
        <v>1</v>
      </c>
      <c r="F2027" s="80" t="s">
        <v>778</v>
      </c>
      <c r="G2027" s="58" t="s">
        <v>5770</v>
      </c>
      <c r="H2027" s="58" t="s">
        <v>1483</v>
      </c>
      <c r="I2027" s="64" t="s">
        <v>5771</v>
      </c>
      <c r="J2027" s="66"/>
      <c r="K2027" s="66"/>
      <c r="L2027" s="68"/>
      <c r="M2027" s="63" t="str">
        <f>HYPERLINK("http://nsgreg.nga.mil/genc/view?v=864490&amp;end_month=12&amp;end_day=31&amp;end_year=2016","Correlation")</f>
        <v>Correlation</v>
      </c>
    </row>
    <row r="2028" spans="1:13" x14ac:dyDescent="0.2">
      <c r="A2028" s="113"/>
      <c r="B2028" s="58" t="s">
        <v>5772</v>
      </c>
      <c r="C2028" s="58" t="s">
        <v>1483</v>
      </c>
      <c r="D2028" s="58" t="s">
        <v>5773</v>
      </c>
      <c r="E2028" s="60" t="b">
        <v>1</v>
      </c>
      <c r="F2028" s="80" t="s">
        <v>778</v>
      </c>
      <c r="G2028" s="58" t="s">
        <v>5774</v>
      </c>
      <c r="H2028" s="58" t="s">
        <v>1483</v>
      </c>
      <c r="I2028" s="64" t="s">
        <v>5773</v>
      </c>
      <c r="J2028" s="66"/>
      <c r="K2028" s="66"/>
      <c r="L2028" s="68"/>
      <c r="M2028" s="63" t="str">
        <f>HYPERLINK("http://nsgreg.nga.mil/genc/view?v=864491&amp;end_month=12&amp;end_day=31&amp;end_year=2016","Correlation")</f>
        <v>Correlation</v>
      </c>
    </row>
    <row r="2029" spans="1:13" x14ac:dyDescent="0.2">
      <c r="A2029" s="113"/>
      <c r="B2029" s="58" t="s">
        <v>5775</v>
      </c>
      <c r="C2029" s="58" t="s">
        <v>1483</v>
      </c>
      <c r="D2029" s="58" t="s">
        <v>5776</v>
      </c>
      <c r="E2029" s="60" t="b">
        <v>1</v>
      </c>
      <c r="F2029" s="80" t="s">
        <v>778</v>
      </c>
      <c r="G2029" s="58" t="s">
        <v>5775</v>
      </c>
      <c r="H2029" s="58" t="s">
        <v>1483</v>
      </c>
      <c r="I2029" s="64" t="s">
        <v>5776</v>
      </c>
      <c r="J2029" s="66"/>
      <c r="K2029" s="66"/>
      <c r="L2029" s="68"/>
      <c r="M2029" s="63" t="str">
        <f>HYPERLINK("http://nsgreg.nga.mil/genc/view?v=864492&amp;end_month=12&amp;end_day=31&amp;end_year=2016","Correlation")</f>
        <v>Correlation</v>
      </c>
    </row>
    <row r="2030" spans="1:13" x14ac:dyDescent="0.2">
      <c r="A2030" s="113"/>
      <c r="B2030" s="58" t="s">
        <v>5777</v>
      </c>
      <c r="C2030" s="58" t="s">
        <v>1483</v>
      </c>
      <c r="D2030" s="58" t="s">
        <v>5778</v>
      </c>
      <c r="E2030" s="60" t="b">
        <v>1</v>
      </c>
      <c r="F2030" s="80" t="s">
        <v>778</v>
      </c>
      <c r="G2030" s="58" t="s">
        <v>5777</v>
      </c>
      <c r="H2030" s="58" t="s">
        <v>1483</v>
      </c>
      <c r="I2030" s="64" t="s">
        <v>5778</v>
      </c>
      <c r="J2030" s="66"/>
      <c r="K2030" s="66"/>
      <c r="L2030" s="68"/>
      <c r="M2030" s="63" t="str">
        <f>HYPERLINK("http://nsgreg.nga.mil/genc/view?v=864493&amp;end_month=12&amp;end_day=31&amp;end_year=2016","Correlation")</f>
        <v>Correlation</v>
      </c>
    </row>
    <row r="2031" spans="1:13" x14ac:dyDescent="0.2">
      <c r="A2031" s="113"/>
      <c r="B2031" s="58" t="s">
        <v>5779</v>
      </c>
      <c r="C2031" s="58" t="s">
        <v>1483</v>
      </c>
      <c r="D2031" s="58" t="s">
        <v>5780</v>
      </c>
      <c r="E2031" s="60" t="b">
        <v>1</v>
      </c>
      <c r="F2031" s="80" t="s">
        <v>778</v>
      </c>
      <c r="G2031" s="58" t="s">
        <v>5779</v>
      </c>
      <c r="H2031" s="58" t="s">
        <v>1483</v>
      </c>
      <c r="I2031" s="64" t="s">
        <v>5780</v>
      </c>
      <c r="J2031" s="66"/>
      <c r="K2031" s="66"/>
      <c r="L2031" s="68"/>
      <c r="M2031" s="63" t="str">
        <f>HYPERLINK("http://nsgreg.nga.mil/genc/view?v=864494&amp;end_month=12&amp;end_day=31&amp;end_year=2016","Correlation")</f>
        <v>Correlation</v>
      </c>
    </row>
    <row r="2032" spans="1:13" x14ac:dyDescent="0.2">
      <c r="A2032" s="113"/>
      <c r="B2032" s="58" t="s">
        <v>5781</v>
      </c>
      <c r="C2032" s="58" t="s">
        <v>1483</v>
      </c>
      <c r="D2032" s="58" t="s">
        <v>5782</v>
      </c>
      <c r="E2032" s="60" t="b">
        <v>1</v>
      </c>
      <c r="F2032" s="80" t="s">
        <v>778</v>
      </c>
      <c r="G2032" s="58" t="s">
        <v>5781</v>
      </c>
      <c r="H2032" s="58" t="s">
        <v>1483</v>
      </c>
      <c r="I2032" s="64" t="s">
        <v>5782</v>
      </c>
      <c r="J2032" s="66"/>
      <c r="K2032" s="66"/>
      <c r="L2032" s="68"/>
      <c r="M2032" s="63" t="str">
        <f>HYPERLINK("http://nsgreg.nga.mil/genc/view?v=864495&amp;end_month=12&amp;end_day=31&amp;end_year=2016","Correlation")</f>
        <v>Correlation</v>
      </c>
    </row>
    <row r="2033" spans="1:13" x14ac:dyDescent="0.2">
      <c r="A2033" s="113"/>
      <c r="B2033" s="58" t="s">
        <v>5783</v>
      </c>
      <c r="C2033" s="58" t="s">
        <v>1483</v>
      </c>
      <c r="D2033" s="58" t="s">
        <v>5784</v>
      </c>
      <c r="E2033" s="60" t="b">
        <v>1</v>
      </c>
      <c r="F2033" s="80" t="s">
        <v>778</v>
      </c>
      <c r="G2033" s="58" t="s">
        <v>5783</v>
      </c>
      <c r="H2033" s="58" t="s">
        <v>1483</v>
      </c>
      <c r="I2033" s="64" t="s">
        <v>5784</v>
      </c>
      <c r="J2033" s="66"/>
      <c r="K2033" s="66"/>
      <c r="L2033" s="68"/>
      <c r="M2033" s="63" t="str">
        <f>HYPERLINK("http://nsgreg.nga.mil/genc/view?v=864496&amp;end_month=12&amp;end_day=31&amp;end_year=2016","Correlation")</f>
        <v>Correlation</v>
      </c>
    </row>
    <row r="2034" spans="1:13" x14ac:dyDescent="0.2">
      <c r="A2034" s="114"/>
      <c r="B2034" s="71" t="s">
        <v>5785</v>
      </c>
      <c r="C2034" s="71" t="s">
        <v>1483</v>
      </c>
      <c r="D2034" s="71" t="s">
        <v>5786</v>
      </c>
      <c r="E2034" s="73" t="b">
        <v>1</v>
      </c>
      <c r="F2034" s="81" t="s">
        <v>778</v>
      </c>
      <c r="G2034" s="71" t="s">
        <v>5785</v>
      </c>
      <c r="H2034" s="71" t="s">
        <v>1483</v>
      </c>
      <c r="I2034" s="74" t="s">
        <v>5786</v>
      </c>
      <c r="J2034" s="76"/>
      <c r="K2034" s="76"/>
      <c r="L2034" s="82"/>
      <c r="M2034" s="77" t="str">
        <f>HYPERLINK("http://nsgreg.nga.mil/genc/view?v=864497&amp;end_month=12&amp;end_day=31&amp;end_year=2016","Correlation")</f>
        <v>Correlation</v>
      </c>
    </row>
    <row r="2035" spans="1:13" x14ac:dyDescent="0.2">
      <c r="A2035" s="112" t="s">
        <v>792</v>
      </c>
      <c r="B2035" s="50" t="s">
        <v>5787</v>
      </c>
      <c r="C2035" s="50" t="s">
        <v>1413</v>
      </c>
      <c r="D2035" s="50" t="s">
        <v>5788</v>
      </c>
      <c r="E2035" s="52" t="b">
        <v>1</v>
      </c>
      <c r="F2035" s="78" t="s">
        <v>796</v>
      </c>
      <c r="G2035" s="50" t="s">
        <v>5789</v>
      </c>
      <c r="H2035" s="50" t="s">
        <v>1413</v>
      </c>
      <c r="I2035" s="53" t="s">
        <v>5788</v>
      </c>
      <c r="J2035" s="55"/>
      <c r="K2035" s="55"/>
      <c r="L2035" s="79"/>
      <c r="M2035" s="56" t="str">
        <f>HYPERLINK("http://nsgreg.nga.mil/genc/view?v=864554&amp;end_month=12&amp;end_day=31&amp;end_year=2016","Correlation")</f>
        <v>Correlation</v>
      </c>
    </row>
    <row r="2036" spans="1:13" x14ac:dyDescent="0.2">
      <c r="A2036" s="113"/>
      <c r="B2036" s="58" t="s">
        <v>5790</v>
      </c>
      <c r="C2036" s="58" t="s">
        <v>1413</v>
      </c>
      <c r="D2036" s="58" t="s">
        <v>5791</v>
      </c>
      <c r="E2036" s="60" t="b">
        <v>1</v>
      </c>
      <c r="F2036" s="80" t="s">
        <v>796</v>
      </c>
      <c r="G2036" s="58" t="s">
        <v>5792</v>
      </c>
      <c r="H2036" s="58" t="s">
        <v>1413</v>
      </c>
      <c r="I2036" s="64" t="s">
        <v>5791</v>
      </c>
      <c r="J2036" s="66"/>
      <c r="K2036" s="66"/>
      <c r="L2036" s="68"/>
      <c r="M2036" s="63" t="str">
        <f>HYPERLINK("http://nsgreg.nga.mil/genc/view?v=864559&amp;end_month=12&amp;end_day=31&amp;end_year=2016","Correlation")</f>
        <v>Correlation</v>
      </c>
    </row>
    <row r="2037" spans="1:13" x14ac:dyDescent="0.2">
      <c r="A2037" s="113"/>
      <c r="B2037" s="58" t="s">
        <v>5793</v>
      </c>
      <c r="C2037" s="58" t="s">
        <v>1413</v>
      </c>
      <c r="D2037" s="58" t="s">
        <v>5794</v>
      </c>
      <c r="E2037" s="60" t="b">
        <v>1</v>
      </c>
      <c r="F2037" s="80" t="s">
        <v>796</v>
      </c>
      <c r="G2037" s="58" t="s">
        <v>5795</v>
      </c>
      <c r="H2037" s="58" t="s">
        <v>1413</v>
      </c>
      <c r="I2037" s="64" t="s">
        <v>5794</v>
      </c>
      <c r="J2037" s="66"/>
      <c r="K2037" s="66"/>
      <c r="L2037" s="68"/>
      <c r="M2037" s="63" t="str">
        <f>HYPERLINK("http://nsgreg.nga.mil/genc/view?v=864558&amp;end_month=12&amp;end_day=31&amp;end_year=2016","Correlation")</f>
        <v>Correlation</v>
      </c>
    </row>
    <row r="2038" spans="1:13" x14ac:dyDescent="0.2">
      <c r="A2038" s="113"/>
      <c r="B2038" s="58" t="s">
        <v>5796</v>
      </c>
      <c r="C2038" s="58" t="s">
        <v>1413</v>
      </c>
      <c r="D2038" s="58" t="s">
        <v>5797</v>
      </c>
      <c r="E2038" s="60" t="b">
        <v>1</v>
      </c>
      <c r="F2038" s="80" t="s">
        <v>796</v>
      </c>
      <c r="G2038" s="58" t="s">
        <v>5798</v>
      </c>
      <c r="H2038" s="58" t="s">
        <v>1413</v>
      </c>
      <c r="I2038" s="64" t="s">
        <v>5797</v>
      </c>
      <c r="J2038" s="66"/>
      <c r="K2038" s="66"/>
      <c r="L2038" s="68"/>
      <c r="M2038" s="63" t="str">
        <f>HYPERLINK("http://nsgreg.nga.mil/genc/view?v=864556&amp;end_month=12&amp;end_day=31&amp;end_year=2016","Correlation")</f>
        <v>Correlation</v>
      </c>
    </row>
    <row r="2039" spans="1:13" x14ac:dyDescent="0.2">
      <c r="A2039" s="113"/>
      <c r="B2039" s="58" t="s">
        <v>5799</v>
      </c>
      <c r="C2039" s="58" t="s">
        <v>1413</v>
      </c>
      <c r="D2039" s="58" t="s">
        <v>5800</v>
      </c>
      <c r="E2039" s="60" t="b">
        <v>1</v>
      </c>
      <c r="F2039" s="80" t="s">
        <v>796</v>
      </c>
      <c r="G2039" s="58" t="s">
        <v>5801</v>
      </c>
      <c r="H2039" s="58" t="s">
        <v>1413</v>
      </c>
      <c r="I2039" s="64" t="s">
        <v>5800</v>
      </c>
      <c r="J2039" s="66"/>
      <c r="K2039" s="66"/>
      <c r="L2039" s="68"/>
      <c r="M2039" s="63" t="str">
        <f>HYPERLINK("http://nsgreg.nga.mil/genc/view?v=864555&amp;end_month=12&amp;end_day=31&amp;end_year=2016","Correlation")</f>
        <v>Correlation</v>
      </c>
    </row>
    <row r="2040" spans="1:13" x14ac:dyDescent="0.2">
      <c r="A2040" s="113"/>
      <c r="B2040" s="58" t="s">
        <v>5802</v>
      </c>
      <c r="C2040" s="58" t="s">
        <v>1413</v>
      </c>
      <c r="D2040" s="58" t="s">
        <v>5803</v>
      </c>
      <c r="E2040" s="60" t="b">
        <v>1</v>
      </c>
      <c r="F2040" s="80" t="s">
        <v>796</v>
      </c>
      <c r="G2040" s="58" t="s">
        <v>5804</v>
      </c>
      <c r="H2040" s="58" t="s">
        <v>1413</v>
      </c>
      <c r="I2040" s="64" t="s">
        <v>5803</v>
      </c>
      <c r="J2040" s="66"/>
      <c r="K2040" s="66"/>
      <c r="L2040" s="68"/>
      <c r="M2040" s="63" t="str">
        <f>HYPERLINK("http://nsgreg.nga.mil/genc/view?v=864557&amp;end_month=12&amp;end_day=31&amp;end_year=2016","Correlation")</f>
        <v>Correlation</v>
      </c>
    </row>
    <row r="2041" spans="1:13" x14ac:dyDescent="0.2">
      <c r="A2041" s="113"/>
      <c r="B2041" s="58" t="s">
        <v>5805</v>
      </c>
      <c r="C2041" s="58" t="s">
        <v>1413</v>
      </c>
      <c r="D2041" s="58" t="s">
        <v>5806</v>
      </c>
      <c r="E2041" s="60" t="b">
        <v>1</v>
      </c>
      <c r="F2041" s="80" t="s">
        <v>796</v>
      </c>
      <c r="G2041" s="58" t="s">
        <v>5807</v>
      </c>
      <c r="H2041" s="58" t="s">
        <v>1413</v>
      </c>
      <c r="I2041" s="64" t="s">
        <v>5806</v>
      </c>
      <c r="J2041" s="66"/>
      <c r="K2041" s="66"/>
      <c r="L2041" s="68"/>
      <c r="M2041" s="63" t="str">
        <f>HYPERLINK("http://nsgreg.nga.mil/genc/view?v=864553&amp;end_month=12&amp;end_day=31&amp;end_year=2016","Correlation")</f>
        <v>Correlation</v>
      </c>
    </row>
    <row r="2042" spans="1:13" x14ac:dyDescent="0.2">
      <c r="A2042" s="113"/>
      <c r="B2042" s="58" t="s">
        <v>5808</v>
      </c>
      <c r="C2042" s="58" t="s">
        <v>1413</v>
      </c>
      <c r="D2042" s="58" t="s">
        <v>5809</v>
      </c>
      <c r="E2042" s="60" t="b">
        <v>1</v>
      </c>
      <c r="F2042" s="80" t="s">
        <v>796</v>
      </c>
      <c r="G2042" s="58" t="s">
        <v>5810</v>
      </c>
      <c r="H2042" s="58" t="s">
        <v>1413</v>
      </c>
      <c r="I2042" s="64" t="s">
        <v>5809</v>
      </c>
      <c r="J2042" s="66"/>
      <c r="K2042" s="66"/>
      <c r="L2042" s="68"/>
      <c r="M2042" s="63" t="str">
        <f>HYPERLINK("http://nsgreg.nga.mil/genc/view?v=864552&amp;end_month=12&amp;end_day=31&amp;end_year=2016","Correlation")</f>
        <v>Correlation</v>
      </c>
    </row>
    <row r="2043" spans="1:13" x14ac:dyDescent="0.2">
      <c r="A2043" s="113"/>
      <c r="B2043" s="58" t="s">
        <v>5811</v>
      </c>
      <c r="C2043" s="58" t="s">
        <v>5812</v>
      </c>
      <c r="D2043" s="58" t="s">
        <v>5813</v>
      </c>
      <c r="E2043" s="60" t="b">
        <v>1</v>
      </c>
      <c r="F2043" s="80" t="s">
        <v>796</v>
      </c>
      <c r="G2043" s="58" t="s">
        <v>5814</v>
      </c>
      <c r="H2043" s="58" t="s">
        <v>3577</v>
      </c>
      <c r="I2043" s="64" t="s">
        <v>5813</v>
      </c>
      <c r="J2043" s="66"/>
      <c r="K2043" s="66"/>
      <c r="L2043" s="68"/>
      <c r="M2043" s="63" t="str">
        <f>HYPERLINK("http://nsgreg.nga.mil/genc/view?v=864551&amp;end_month=12&amp;end_day=31&amp;end_year=2016","Correlation")</f>
        <v>Correlation</v>
      </c>
    </row>
    <row r="2044" spans="1:13" x14ac:dyDescent="0.2">
      <c r="A2044" s="113"/>
      <c r="B2044" s="58" t="s">
        <v>5815</v>
      </c>
      <c r="C2044" s="58" t="s">
        <v>1681</v>
      </c>
      <c r="D2044" s="58" t="s">
        <v>5816</v>
      </c>
      <c r="E2044" s="60" t="b">
        <v>1</v>
      </c>
      <c r="F2044" s="80" t="s">
        <v>796</v>
      </c>
      <c r="G2044" s="58" t="s">
        <v>5817</v>
      </c>
      <c r="H2044" s="58" t="s">
        <v>5818</v>
      </c>
      <c r="I2044" s="64" t="s">
        <v>5816</v>
      </c>
      <c r="J2044" s="66"/>
      <c r="K2044" s="66"/>
      <c r="L2044" s="68"/>
      <c r="M2044" s="63" t="str">
        <f>HYPERLINK("http://nsgreg.nga.mil/genc/view?v=864561&amp;end_month=12&amp;end_day=31&amp;end_year=2016","Correlation")</f>
        <v>Correlation</v>
      </c>
    </row>
    <row r="2045" spans="1:13" x14ac:dyDescent="0.2">
      <c r="A2045" s="114"/>
      <c r="B2045" s="71" t="s">
        <v>5819</v>
      </c>
      <c r="C2045" s="71" t="s">
        <v>1413</v>
      </c>
      <c r="D2045" s="71" t="s">
        <v>5820</v>
      </c>
      <c r="E2045" s="73" t="b">
        <v>1</v>
      </c>
      <c r="F2045" s="81" t="s">
        <v>796</v>
      </c>
      <c r="G2045" s="71" t="s">
        <v>5821</v>
      </c>
      <c r="H2045" s="71" t="s">
        <v>1413</v>
      </c>
      <c r="I2045" s="74" t="s">
        <v>5820</v>
      </c>
      <c r="J2045" s="76"/>
      <c r="K2045" s="76"/>
      <c r="L2045" s="82"/>
      <c r="M2045" s="77" t="str">
        <f>HYPERLINK("http://nsgreg.nga.mil/genc/view?v=864560&amp;end_month=12&amp;end_day=31&amp;end_year=2016","Correlation")</f>
        <v>Correlation</v>
      </c>
    </row>
    <row r="2046" spans="1:13" x14ac:dyDescent="0.2">
      <c r="A2046" s="112" t="s">
        <v>797</v>
      </c>
      <c r="B2046" s="50" t="s">
        <v>5822</v>
      </c>
      <c r="C2046" s="50" t="s">
        <v>5823</v>
      </c>
      <c r="D2046" s="50" t="s">
        <v>5824</v>
      </c>
      <c r="E2046" s="52" t="b">
        <v>1</v>
      </c>
      <c r="F2046" s="78" t="s">
        <v>801</v>
      </c>
      <c r="G2046" s="50" t="s">
        <v>5825</v>
      </c>
      <c r="H2046" s="50" t="s">
        <v>5823</v>
      </c>
      <c r="I2046" s="53" t="s">
        <v>5824</v>
      </c>
      <c r="J2046" s="55"/>
      <c r="K2046" s="55"/>
      <c r="L2046" s="79"/>
      <c r="M2046" s="56" t="str">
        <f>HYPERLINK("http://nsgreg.nga.mil/genc/view?v=864563&amp;end_month=12&amp;end_day=31&amp;end_year=2016","Correlation")</f>
        <v>Correlation</v>
      </c>
    </row>
    <row r="2047" spans="1:13" x14ac:dyDescent="0.2">
      <c r="A2047" s="113"/>
      <c r="B2047" s="58" t="s">
        <v>5826</v>
      </c>
      <c r="C2047" s="58" t="s">
        <v>1413</v>
      </c>
      <c r="D2047" s="58" t="s">
        <v>5827</v>
      </c>
      <c r="E2047" s="60" t="b">
        <v>1</v>
      </c>
      <c r="F2047" s="80" t="s">
        <v>801</v>
      </c>
      <c r="G2047" s="58" t="s">
        <v>5828</v>
      </c>
      <c r="H2047" s="58" t="s">
        <v>1413</v>
      </c>
      <c r="I2047" s="64" t="s">
        <v>5827</v>
      </c>
      <c r="J2047" s="66"/>
      <c r="K2047" s="66"/>
      <c r="L2047" s="68"/>
      <c r="M2047" s="63" t="str">
        <f>HYPERLINK("http://nsgreg.nga.mil/genc/view?v=864571&amp;end_month=12&amp;end_day=31&amp;end_year=2016","Correlation")</f>
        <v>Correlation</v>
      </c>
    </row>
    <row r="2048" spans="1:13" x14ac:dyDescent="0.2">
      <c r="A2048" s="113"/>
      <c r="B2048" s="58" t="s">
        <v>5829</v>
      </c>
      <c r="C2048" s="58" t="s">
        <v>1413</v>
      </c>
      <c r="D2048" s="58" t="s">
        <v>5830</v>
      </c>
      <c r="E2048" s="60" t="b">
        <v>1</v>
      </c>
      <c r="F2048" s="80" t="s">
        <v>801</v>
      </c>
      <c r="G2048" s="58" t="s">
        <v>5831</v>
      </c>
      <c r="H2048" s="58" t="s">
        <v>1413</v>
      </c>
      <c r="I2048" s="64" t="s">
        <v>5830</v>
      </c>
      <c r="J2048" s="66"/>
      <c r="K2048" s="66"/>
      <c r="L2048" s="68"/>
      <c r="M2048" s="63" t="str">
        <f>HYPERLINK("http://nsgreg.nga.mil/genc/view?v=864572&amp;end_month=12&amp;end_day=31&amp;end_year=2016","Correlation")</f>
        <v>Correlation</v>
      </c>
    </row>
    <row r="2049" spans="1:13" x14ac:dyDescent="0.2">
      <c r="A2049" s="113"/>
      <c r="B2049" s="58" t="s">
        <v>5832</v>
      </c>
      <c r="C2049" s="58" t="s">
        <v>5823</v>
      </c>
      <c r="D2049" s="58" t="s">
        <v>5833</v>
      </c>
      <c r="E2049" s="60" t="b">
        <v>1</v>
      </c>
      <c r="F2049" s="80" t="s">
        <v>801</v>
      </c>
      <c r="G2049" s="58" t="s">
        <v>5834</v>
      </c>
      <c r="H2049" s="58" t="s">
        <v>5823</v>
      </c>
      <c r="I2049" s="64" t="s">
        <v>5833</v>
      </c>
      <c r="J2049" s="66"/>
      <c r="K2049" s="66"/>
      <c r="L2049" s="68"/>
      <c r="M2049" s="63" t="str">
        <f>HYPERLINK("http://nsgreg.nga.mil/genc/view?v=864564&amp;end_month=12&amp;end_day=31&amp;end_year=2016","Correlation")</f>
        <v>Correlation</v>
      </c>
    </row>
    <row r="2050" spans="1:13" x14ac:dyDescent="0.2">
      <c r="A2050" s="113"/>
      <c r="B2050" s="58" t="s">
        <v>5835</v>
      </c>
      <c r="C2050" s="58" t="s">
        <v>5823</v>
      </c>
      <c r="D2050" s="58" t="s">
        <v>5836</v>
      </c>
      <c r="E2050" s="60" t="b">
        <v>1</v>
      </c>
      <c r="F2050" s="80" t="s">
        <v>801</v>
      </c>
      <c r="G2050" s="58" t="s">
        <v>5837</v>
      </c>
      <c r="H2050" s="58" t="s">
        <v>5823</v>
      </c>
      <c r="I2050" s="64" t="s">
        <v>5836</v>
      </c>
      <c r="J2050" s="66"/>
      <c r="K2050" s="66"/>
      <c r="L2050" s="68"/>
      <c r="M2050" s="63" t="str">
        <f>HYPERLINK("http://nsgreg.nga.mil/genc/view?v=864567&amp;end_month=12&amp;end_day=31&amp;end_year=2016","Correlation")</f>
        <v>Correlation</v>
      </c>
    </row>
    <row r="2051" spans="1:13" x14ac:dyDescent="0.2">
      <c r="A2051" s="113"/>
      <c r="B2051" s="58" t="s">
        <v>5838</v>
      </c>
      <c r="C2051" s="58" t="s">
        <v>1413</v>
      </c>
      <c r="D2051" s="58" t="s">
        <v>5839</v>
      </c>
      <c r="E2051" s="60" t="b">
        <v>1</v>
      </c>
      <c r="F2051" s="80" t="s">
        <v>801</v>
      </c>
      <c r="G2051" s="58" t="s">
        <v>5840</v>
      </c>
      <c r="H2051" s="58" t="s">
        <v>1413</v>
      </c>
      <c r="I2051" s="64" t="s">
        <v>5839</v>
      </c>
      <c r="J2051" s="66"/>
      <c r="K2051" s="66"/>
      <c r="L2051" s="68"/>
      <c r="M2051" s="63" t="str">
        <f>HYPERLINK("http://nsgreg.nga.mil/genc/view?v=864570&amp;end_month=12&amp;end_day=31&amp;end_year=2016","Correlation")</f>
        <v>Correlation</v>
      </c>
    </row>
    <row r="2052" spans="1:13" x14ac:dyDescent="0.2">
      <c r="A2052" s="113"/>
      <c r="B2052" s="58" t="s">
        <v>5841</v>
      </c>
      <c r="C2052" s="58" t="s">
        <v>5823</v>
      </c>
      <c r="D2052" s="58" t="s">
        <v>5842</v>
      </c>
      <c r="E2052" s="60" t="b">
        <v>1</v>
      </c>
      <c r="F2052" s="80" t="s">
        <v>801</v>
      </c>
      <c r="G2052" s="58" t="s">
        <v>5843</v>
      </c>
      <c r="H2052" s="58" t="s">
        <v>5823</v>
      </c>
      <c r="I2052" s="64" t="s">
        <v>5842</v>
      </c>
      <c r="J2052" s="66"/>
      <c r="K2052" s="66"/>
      <c r="L2052" s="68"/>
      <c r="M2052" s="63" t="str">
        <f>HYPERLINK("http://nsgreg.nga.mil/genc/view?v=864566&amp;end_month=12&amp;end_day=31&amp;end_year=2016","Correlation")</f>
        <v>Correlation</v>
      </c>
    </row>
    <row r="2053" spans="1:13" x14ac:dyDescent="0.2">
      <c r="A2053" s="113"/>
      <c r="B2053" s="58" t="s">
        <v>5844</v>
      </c>
      <c r="C2053" s="58" t="s">
        <v>1413</v>
      </c>
      <c r="D2053" s="58" t="s">
        <v>5845</v>
      </c>
      <c r="E2053" s="60" t="b">
        <v>1</v>
      </c>
      <c r="F2053" s="80" t="s">
        <v>801</v>
      </c>
      <c r="G2053" s="58" t="s">
        <v>5846</v>
      </c>
      <c r="H2053" s="58" t="s">
        <v>1413</v>
      </c>
      <c r="I2053" s="64" t="s">
        <v>5845</v>
      </c>
      <c r="J2053" s="66"/>
      <c r="K2053" s="66"/>
      <c r="L2053" s="68"/>
      <c r="M2053" s="63" t="str">
        <f>HYPERLINK("http://nsgreg.nga.mil/genc/view?v=864575&amp;end_month=12&amp;end_day=31&amp;end_year=2016","Correlation")</f>
        <v>Correlation</v>
      </c>
    </row>
    <row r="2054" spans="1:13" x14ac:dyDescent="0.2">
      <c r="A2054" s="113"/>
      <c r="B2054" s="58" t="s">
        <v>5847</v>
      </c>
      <c r="C2054" s="58" t="s">
        <v>1413</v>
      </c>
      <c r="D2054" s="58" t="s">
        <v>5848</v>
      </c>
      <c r="E2054" s="60" t="b">
        <v>1</v>
      </c>
      <c r="F2054" s="80" t="s">
        <v>801</v>
      </c>
      <c r="G2054" s="58" t="s">
        <v>5849</v>
      </c>
      <c r="H2054" s="58" t="s">
        <v>1413</v>
      </c>
      <c r="I2054" s="64" t="s">
        <v>5848</v>
      </c>
      <c r="J2054" s="66"/>
      <c r="K2054" s="66"/>
      <c r="L2054" s="68"/>
      <c r="M2054" s="63" t="str">
        <f>HYPERLINK("http://nsgreg.nga.mil/genc/view?v=864569&amp;end_month=12&amp;end_day=31&amp;end_year=2016","Correlation")</f>
        <v>Correlation</v>
      </c>
    </row>
    <row r="2055" spans="1:13" x14ac:dyDescent="0.2">
      <c r="A2055" s="113"/>
      <c r="B2055" s="58" t="s">
        <v>5850</v>
      </c>
      <c r="C2055" s="58" t="s">
        <v>1413</v>
      </c>
      <c r="D2055" s="58" t="s">
        <v>5851</v>
      </c>
      <c r="E2055" s="60" t="b">
        <v>1</v>
      </c>
      <c r="F2055" s="80" t="s">
        <v>801</v>
      </c>
      <c r="G2055" s="58" t="s">
        <v>5852</v>
      </c>
      <c r="H2055" s="58" t="s">
        <v>1413</v>
      </c>
      <c r="I2055" s="64" t="s">
        <v>5851</v>
      </c>
      <c r="J2055" s="66"/>
      <c r="K2055" s="66"/>
      <c r="L2055" s="68"/>
      <c r="M2055" s="63" t="str">
        <f>HYPERLINK("http://nsgreg.nga.mil/genc/view?v=864576&amp;end_month=12&amp;end_day=31&amp;end_year=2016","Correlation")</f>
        <v>Correlation</v>
      </c>
    </row>
    <row r="2056" spans="1:13" x14ac:dyDescent="0.2">
      <c r="A2056" s="113"/>
      <c r="B2056" s="58" t="s">
        <v>5853</v>
      </c>
      <c r="C2056" s="58" t="s">
        <v>5823</v>
      </c>
      <c r="D2056" s="58" t="s">
        <v>5854</v>
      </c>
      <c r="E2056" s="60" t="b">
        <v>1</v>
      </c>
      <c r="F2056" s="80" t="s">
        <v>801</v>
      </c>
      <c r="G2056" s="58" t="s">
        <v>5855</v>
      </c>
      <c r="H2056" s="58" t="s">
        <v>5823</v>
      </c>
      <c r="I2056" s="64" t="s">
        <v>5854</v>
      </c>
      <c r="J2056" s="66"/>
      <c r="K2056" s="66"/>
      <c r="L2056" s="68"/>
      <c r="M2056" s="63" t="str">
        <f>HYPERLINK("http://nsgreg.nga.mil/genc/view?v=864565&amp;end_month=12&amp;end_day=31&amp;end_year=2016","Correlation")</f>
        <v>Correlation</v>
      </c>
    </row>
    <row r="2057" spans="1:13" x14ac:dyDescent="0.2">
      <c r="A2057" s="113"/>
      <c r="B2057" s="58" t="s">
        <v>5856</v>
      </c>
      <c r="C2057" s="58" t="s">
        <v>1413</v>
      </c>
      <c r="D2057" s="58" t="s">
        <v>5857</v>
      </c>
      <c r="E2057" s="60" t="b">
        <v>1</v>
      </c>
      <c r="F2057" s="80" t="s">
        <v>801</v>
      </c>
      <c r="G2057" s="58" t="s">
        <v>5858</v>
      </c>
      <c r="H2057" s="58" t="s">
        <v>5859</v>
      </c>
      <c r="I2057" s="64" t="s">
        <v>5857</v>
      </c>
      <c r="J2057" s="66"/>
      <c r="K2057" s="66"/>
      <c r="L2057" s="68"/>
      <c r="M2057" s="63" t="str">
        <f>HYPERLINK("http://nsgreg.nga.mil/genc/view?v=864577&amp;end_month=12&amp;end_day=31&amp;end_year=2016","Correlation")</f>
        <v>Correlation</v>
      </c>
    </row>
    <row r="2058" spans="1:13" x14ac:dyDescent="0.2">
      <c r="A2058" s="113"/>
      <c r="B2058" s="58" t="s">
        <v>5860</v>
      </c>
      <c r="C2058" s="58" t="s">
        <v>1413</v>
      </c>
      <c r="D2058" s="58" t="s">
        <v>5861</v>
      </c>
      <c r="E2058" s="60" t="b">
        <v>1</v>
      </c>
      <c r="F2058" s="80" t="s">
        <v>801</v>
      </c>
      <c r="G2058" s="58" t="s">
        <v>5862</v>
      </c>
      <c r="H2058" s="58" t="s">
        <v>1413</v>
      </c>
      <c r="I2058" s="64" t="s">
        <v>5861</v>
      </c>
      <c r="J2058" s="66"/>
      <c r="K2058" s="66"/>
      <c r="L2058" s="68"/>
      <c r="M2058" s="63" t="str">
        <f>HYPERLINK("http://nsgreg.nga.mil/genc/view?v=864573&amp;end_month=12&amp;end_day=31&amp;end_year=2016","Correlation")</f>
        <v>Correlation</v>
      </c>
    </row>
    <row r="2059" spans="1:13" x14ac:dyDescent="0.2">
      <c r="A2059" s="113"/>
      <c r="B2059" s="58" t="s">
        <v>5863</v>
      </c>
      <c r="C2059" s="58" t="s">
        <v>1413</v>
      </c>
      <c r="D2059" s="58" t="s">
        <v>5864</v>
      </c>
      <c r="E2059" s="60" t="b">
        <v>1</v>
      </c>
      <c r="F2059" s="80" t="s">
        <v>801</v>
      </c>
      <c r="G2059" s="58" t="s">
        <v>5865</v>
      </c>
      <c r="H2059" s="58" t="s">
        <v>1413</v>
      </c>
      <c r="I2059" s="64" t="s">
        <v>5864</v>
      </c>
      <c r="J2059" s="66"/>
      <c r="K2059" s="66"/>
      <c r="L2059" s="68"/>
      <c r="M2059" s="63" t="str">
        <f>HYPERLINK("http://nsgreg.nga.mil/genc/view?v=864574&amp;end_month=12&amp;end_day=31&amp;end_year=2016","Correlation")</f>
        <v>Correlation</v>
      </c>
    </row>
    <row r="2060" spans="1:13" x14ac:dyDescent="0.2">
      <c r="A2060" s="113"/>
      <c r="B2060" s="58" t="s">
        <v>5866</v>
      </c>
      <c r="C2060" s="58" t="s">
        <v>5867</v>
      </c>
      <c r="D2060" s="58" t="s">
        <v>5868</v>
      </c>
      <c r="E2060" s="60" t="b">
        <v>1</v>
      </c>
      <c r="F2060" s="80" t="s">
        <v>801</v>
      </c>
      <c r="G2060" s="58" t="s">
        <v>5866</v>
      </c>
      <c r="H2060" s="58" t="s">
        <v>5867</v>
      </c>
      <c r="I2060" s="64" t="s">
        <v>5868</v>
      </c>
      <c r="J2060" s="66"/>
      <c r="K2060" s="66"/>
      <c r="L2060" s="68"/>
      <c r="M2060" s="63" t="str">
        <f>HYPERLINK("http://nsgreg.nga.mil/genc/view?v=864578&amp;end_month=12&amp;end_day=31&amp;end_year=2016","Correlation")</f>
        <v>Correlation</v>
      </c>
    </row>
    <row r="2061" spans="1:13" x14ac:dyDescent="0.2">
      <c r="A2061" s="113"/>
      <c r="B2061" s="58" t="s">
        <v>5869</v>
      </c>
      <c r="C2061" s="58" t="s">
        <v>3577</v>
      </c>
      <c r="D2061" s="58" t="s">
        <v>5870</v>
      </c>
      <c r="E2061" s="60" t="b">
        <v>1</v>
      </c>
      <c r="F2061" s="80" t="s">
        <v>801</v>
      </c>
      <c r="G2061" s="58" t="s">
        <v>5871</v>
      </c>
      <c r="H2061" s="58" t="s">
        <v>5818</v>
      </c>
      <c r="I2061" s="64" t="s">
        <v>5870</v>
      </c>
      <c r="J2061" s="66"/>
      <c r="K2061" s="66"/>
      <c r="L2061" s="68"/>
      <c r="M2061" s="63" t="str">
        <f>HYPERLINK("http://nsgreg.nga.mil/genc/view?v=864562&amp;end_month=12&amp;end_day=31&amp;end_year=2016","Correlation")</f>
        <v>Correlation</v>
      </c>
    </row>
    <row r="2062" spans="1:13" x14ac:dyDescent="0.2">
      <c r="A2062" s="114"/>
      <c r="B2062" s="71" t="s">
        <v>5872</v>
      </c>
      <c r="C2062" s="71" t="s">
        <v>5823</v>
      </c>
      <c r="D2062" s="71" t="s">
        <v>5873</v>
      </c>
      <c r="E2062" s="73" t="b">
        <v>1</v>
      </c>
      <c r="F2062" s="81" t="s">
        <v>801</v>
      </c>
      <c r="G2062" s="71" t="s">
        <v>5874</v>
      </c>
      <c r="H2062" s="71" t="s">
        <v>5823</v>
      </c>
      <c r="I2062" s="74" t="s">
        <v>5873</v>
      </c>
      <c r="J2062" s="76"/>
      <c r="K2062" s="76"/>
      <c r="L2062" s="82"/>
      <c r="M2062" s="77" t="str">
        <f>HYPERLINK("http://nsgreg.nga.mil/genc/view?v=864568&amp;end_month=12&amp;end_day=31&amp;end_year=2016","Correlation")</f>
        <v>Correlation</v>
      </c>
    </row>
    <row r="2063" spans="1:13" x14ac:dyDescent="0.2">
      <c r="A2063" s="112" t="s">
        <v>802</v>
      </c>
      <c r="B2063" s="50" t="s">
        <v>5875</v>
      </c>
      <c r="C2063" s="50" t="s">
        <v>1816</v>
      </c>
      <c r="D2063" s="50" t="s">
        <v>5876</v>
      </c>
      <c r="E2063" s="52" t="b">
        <v>1</v>
      </c>
      <c r="F2063" s="83" t="s">
        <v>167</v>
      </c>
      <c r="G2063" s="83"/>
      <c r="H2063" s="83"/>
      <c r="I2063" s="83"/>
      <c r="J2063" s="83"/>
      <c r="K2063" s="83"/>
      <c r="L2063" s="84"/>
      <c r="M2063" s="56" t="str">
        <f>HYPERLINK("http://nsgreg.nga.mil/genc/view?v=867217&amp;end_month=12&amp;end_day=31&amp;end_year=2016","Correlation")</f>
        <v>Correlation</v>
      </c>
    </row>
    <row r="2064" spans="1:13" x14ac:dyDescent="0.2">
      <c r="A2064" s="113"/>
      <c r="B2064" s="58" t="s">
        <v>5877</v>
      </c>
      <c r="C2064" s="58" t="s">
        <v>1816</v>
      </c>
      <c r="D2064" s="58" t="s">
        <v>5878</v>
      </c>
      <c r="E2064" s="60" t="b">
        <v>1</v>
      </c>
      <c r="F2064" s="61" t="s">
        <v>167</v>
      </c>
      <c r="G2064" s="61"/>
      <c r="H2064" s="61"/>
      <c r="I2064" s="61"/>
      <c r="J2064" s="61"/>
      <c r="K2064" s="61"/>
      <c r="L2064" s="62"/>
      <c r="M2064" s="63" t="str">
        <f>HYPERLINK("http://nsgreg.nga.mil/genc/view?v=867218&amp;end_month=12&amp;end_day=31&amp;end_year=2016","Correlation")</f>
        <v>Correlation</v>
      </c>
    </row>
    <row r="2065" spans="1:13" x14ac:dyDescent="0.2">
      <c r="A2065" s="113"/>
      <c r="B2065" s="58" t="s">
        <v>5879</v>
      </c>
      <c r="C2065" s="58" t="s">
        <v>1816</v>
      </c>
      <c r="D2065" s="58" t="s">
        <v>5880</v>
      </c>
      <c r="E2065" s="60" t="b">
        <v>1</v>
      </c>
      <c r="F2065" s="61" t="s">
        <v>167</v>
      </c>
      <c r="G2065" s="61"/>
      <c r="H2065" s="61"/>
      <c r="I2065" s="61"/>
      <c r="J2065" s="61"/>
      <c r="K2065" s="61"/>
      <c r="L2065" s="62"/>
      <c r="M2065" s="63" t="str">
        <f>HYPERLINK("http://nsgreg.nga.mil/genc/view?v=867219&amp;end_month=12&amp;end_day=31&amp;end_year=2016","Correlation")</f>
        <v>Correlation</v>
      </c>
    </row>
    <row r="2066" spans="1:13" x14ac:dyDescent="0.2">
      <c r="A2066" s="113"/>
      <c r="B2066" s="58" t="s">
        <v>5881</v>
      </c>
      <c r="C2066" s="58" t="s">
        <v>1816</v>
      </c>
      <c r="D2066" s="58" t="s">
        <v>5882</v>
      </c>
      <c r="E2066" s="60" t="b">
        <v>1</v>
      </c>
      <c r="F2066" s="61" t="s">
        <v>167</v>
      </c>
      <c r="G2066" s="61"/>
      <c r="H2066" s="61"/>
      <c r="I2066" s="61"/>
      <c r="J2066" s="61"/>
      <c r="K2066" s="61"/>
      <c r="L2066" s="62"/>
      <c r="M2066" s="63" t="str">
        <f>HYPERLINK("http://nsgreg.nga.mil/genc/view?v=867220&amp;end_month=12&amp;end_day=31&amp;end_year=2016","Correlation")</f>
        <v>Correlation</v>
      </c>
    </row>
    <row r="2067" spans="1:13" x14ac:dyDescent="0.2">
      <c r="A2067" s="113"/>
      <c r="B2067" s="58" t="s">
        <v>5883</v>
      </c>
      <c r="C2067" s="58" t="s">
        <v>1816</v>
      </c>
      <c r="D2067" s="58" t="s">
        <v>5884</v>
      </c>
      <c r="E2067" s="60" t="b">
        <v>1</v>
      </c>
      <c r="F2067" s="61" t="s">
        <v>167</v>
      </c>
      <c r="G2067" s="61"/>
      <c r="H2067" s="61"/>
      <c r="I2067" s="61"/>
      <c r="J2067" s="61"/>
      <c r="K2067" s="61"/>
      <c r="L2067" s="62"/>
      <c r="M2067" s="63" t="str">
        <f>HYPERLINK("http://nsgreg.nga.mil/genc/view?v=867221&amp;end_month=12&amp;end_day=31&amp;end_year=2016","Correlation")</f>
        <v>Correlation</v>
      </c>
    </row>
    <row r="2068" spans="1:13" x14ac:dyDescent="0.2">
      <c r="A2068" s="113"/>
      <c r="B2068" s="58" t="s">
        <v>5885</v>
      </c>
      <c r="C2068" s="58" t="s">
        <v>1816</v>
      </c>
      <c r="D2068" s="58" t="s">
        <v>5886</v>
      </c>
      <c r="E2068" s="60" t="b">
        <v>1</v>
      </c>
      <c r="F2068" s="61" t="s">
        <v>167</v>
      </c>
      <c r="G2068" s="61"/>
      <c r="H2068" s="61"/>
      <c r="I2068" s="61"/>
      <c r="J2068" s="61"/>
      <c r="K2068" s="61"/>
      <c r="L2068" s="62"/>
      <c r="M2068" s="63" t="str">
        <f>HYPERLINK("http://nsgreg.nga.mil/genc/view?v=867222&amp;end_month=12&amp;end_day=31&amp;end_year=2016","Correlation")</f>
        <v>Correlation</v>
      </c>
    </row>
    <row r="2069" spans="1:13" x14ac:dyDescent="0.2">
      <c r="A2069" s="113"/>
      <c r="B2069" s="58" t="s">
        <v>5887</v>
      </c>
      <c r="C2069" s="58" t="s">
        <v>1816</v>
      </c>
      <c r="D2069" s="58" t="s">
        <v>5888</v>
      </c>
      <c r="E2069" s="60" t="b">
        <v>1</v>
      </c>
      <c r="F2069" s="61" t="s">
        <v>167</v>
      </c>
      <c r="G2069" s="61"/>
      <c r="H2069" s="61"/>
      <c r="I2069" s="61"/>
      <c r="J2069" s="61"/>
      <c r="K2069" s="61"/>
      <c r="L2069" s="62"/>
      <c r="M2069" s="63" t="str">
        <f>HYPERLINK("http://nsgreg.nga.mil/genc/view?v=867223&amp;end_month=12&amp;end_day=31&amp;end_year=2016","Correlation")</f>
        <v>Correlation</v>
      </c>
    </row>
    <row r="2070" spans="1:13" x14ac:dyDescent="0.2">
      <c r="A2070" s="113"/>
      <c r="B2070" s="58" t="s">
        <v>5889</v>
      </c>
      <c r="C2070" s="58" t="s">
        <v>1816</v>
      </c>
      <c r="D2070" s="58" t="s">
        <v>5890</v>
      </c>
      <c r="E2070" s="60" t="b">
        <v>1</v>
      </c>
      <c r="F2070" s="61" t="s">
        <v>167</v>
      </c>
      <c r="G2070" s="61"/>
      <c r="H2070" s="61"/>
      <c r="I2070" s="61"/>
      <c r="J2070" s="61"/>
      <c r="K2070" s="61"/>
      <c r="L2070" s="62"/>
      <c r="M2070" s="63" t="str">
        <f>HYPERLINK("http://nsgreg.nga.mil/genc/view?v=867224&amp;end_month=12&amp;end_day=31&amp;end_year=2016","Correlation")</f>
        <v>Correlation</v>
      </c>
    </row>
    <row r="2071" spans="1:13" x14ac:dyDescent="0.2">
      <c r="A2071" s="113"/>
      <c r="B2071" s="58" t="s">
        <v>5891</v>
      </c>
      <c r="C2071" s="58" t="s">
        <v>1816</v>
      </c>
      <c r="D2071" s="58" t="s">
        <v>5892</v>
      </c>
      <c r="E2071" s="60" t="b">
        <v>1</v>
      </c>
      <c r="F2071" s="61" t="s">
        <v>167</v>
      </c>
      <c r="G2071" s="61"/>
      <c r="H2071" s="61"/>
      <c r="I2071" s="61"/>
      <c r="J2071" s="61"/>
      <c r="K2071" s="61"/>
      <c r="L2071" s="62"/>
      <c r="M2071" s="63" t="str">
        <f>HYPERLINK("http://nsgreg.nga.mil/genc/view?v=867225&amp;end_month=12&amp;end_day=31&amp;end_year=2016","Correlation")</f>
        <v>Correlation</v>
      </c>
    </row>
    <row r="2072" spans="1:13" x14ac:dyDescent="0.2">
      <c r="A2072" s="113"/>
      <c r="B2072" s="58" t="s">
        <v>5893</v>
      </c>
      <c r="C2072" s="58" t="s">
        <v>1816</v>
      </c>
      <c r="D2072" s="58" t="s">
        <v>5894</v>
      </c>
      <c r="E2072" s="60" t="b">
        <v>1</v>
      </c>
      <c r="F2072" s="61" t="s">
        <v>167</v>
      </c>
      <c r="G2072" s="61"/>
      <c r="H2072" s="61"/>
      <c r="I2072" s="61"/>
      <c r="J2072" s="61"/>
      <c r="K2072" s="61"/>
      <c r="L2072" s="62"/>
      <c r="M2072" s="63" t="str">
        <f>HYPERLINK("http://nsgreg.nga.mil/genc/view?v=867226&amp;end_month=12&amp;end_day=31&amp;end_year=2016","Correlation")</f>
        <v>Correlation</v>
      </c>
    </row>
    <row r="2073" spans="1:13" x14ac:dyDescent="0.2">
      <c r="A2073" s="113"/>
      <c r="B2073" s="58" t="s">
        <v>5895</v>
      </c>
      <c r="C2073" s="58" t="s">
        <v>1816</v>
      </c>
      <c r="D2073" s="58" t="s">
        <v>5896</v>
      </c>
      <c r="E2073" s="60" t="b">
        <v>1</v>
      </c>
      <c r="F2073" s="61" t="s">
        <v>167</v>
      </c>
      <c r="G2073" s="61"/>
      <c r="H2073" s="61"/>
      <c r="I2073" s="61"/>
      <c r="J2073" s="61"/>
      <c r="K2073" s="61"/>
      <c r="L2073" s="62"/>
      <c r="M2073" s="63" t="str">
        <f>HYPERLINK("http://nsgreg.nga.mil/genc/view?v=867227&amp;end_month=12&amp;end_day=31&amp;end_year=2016","Correlation")</f>
        <v>Correlation</v>
      </c>
    </row>
    <row r="2074" spans="1:13" x14ac:dyDescent="0.2">
      <c r="A2074" s="113"/>
      <c r="B2074" s="58" t="s">
        <v>5897</v>
      </c>
      <c r="C2074" s="58" t="s">
        <v>1816</v>
      </c>
      <c r="D2074" s="58" t="s">
        <v>5898</v>
      </c>
      <c r="E2074" s="60" t="b">
        <v>1</v>
      </c>
      <c r="F2074" s="61" t="s">
        <v>167</v>
      </c>
      <c r="G2074" s="61"/>
      <c r="H2074" s="61"/>
      <c r="I2074" s="61"/>
      <c r="J2074" s="61"/>
      <c r="K2074" s="61"/>
      <c r="L2074" s="62"/>
      <c r="M2074" s="63" t="str">
        <f>HYPERLINK("http://nsgreg.nga.mil/genc/view?v=867228&amp;end_month=12&amp;end_day=31&amp;end_year=2016","Correlation")</f>
        <v>Correlation</v>
      </c>
    </row>
    <row r="2075" spans="1:13" x14ac:dyDescent="0.2">
      <c r="A2075" s="113"/>
      <c r="B2075" s="58" t="s">
        <v>5899</v>
      </c>
      <c r="C2075" s="58" t="s">
        <v>1816</v>
      </c>
      <c r="D2075" s="58" t="s">
        <v>5900</v>
      </c>
      <c r="E2075" s="60" t="b">
        <v>1</v>
      </c>
      <c r="F2075" s="61" t="s">
        <v>167</v>
      </c>
      <c r="G2075" s="61"/>
      <c r="H2075" s="61"/>
      <c r="I2075" s="61"/>
      <c r="J2075" s="61"/>
      <c r="K2075" s="61"/>
      <c r="L2075" s="62"/>
      <c r="M2075" s="63" t="str">
        <f>HYPERLINK("http://nsgreg.nga.mil/genc/view?v=867229&amp;end_month=12&amp;end_day=31&amp;end_year=2016","Correlation")</f>
        <v>Correlation</v>
      </c>
    </row>
    <row r="2076" spans="1:13" x14ac:dyDescent="0.2">
      <c r="A2076" s="113"/>
      <c r="B2076" s="58" t="s">
        <v>5901</v>
      </c>
      <c r="C2076" s="58" t="s">
        <v>1816</v>
      </c>
      <c r="D2076" s="58" t="s">
        <v>5902</v>
      </c>
      <c r="E2076" s="60" t="b">
        <v>1</v>
      </c>
      <c r="F2076" s="61" t="s">
        <v>167</v>
      </c>
      <c r="G2076" s="61"/>
      <c r="H2076" s="61"/>
      <c r="I2076" s="61"/>
      <c r="J2076" s="61"/>
      <c r="K2076" s="61"/>
      <c r="L2076" s="62"/>
      <c r="M2076" s="63" t="str">
        <f>HYPERLINK("http://nsgreg.nga.mil/genc/view?v=867230&amp;end_month=12&amp;end_day=31&amp;end_year=2016","Correlation")</f>
        <v>Correlation</v>
      </c>
    </row>
    <row r="2077" spans="1:13" x14ac:dyDescent="0.2">
      <c r="A2077" s="113"/>
      <c r="B2077" s="58" t="s">
        <v>5903</v>
      </c>
      <c r="C2077" s="58" t="s">
        <v>1816</v>
      </c>
      <c r="D2077" s="58" t="s">
        <v>5904</v>
      </c>
      <c r="E2077" s="60" t="b">
        <v>1</v>
      </c>
      <c r="F2077" s="61" t="s">
        <v>167</v>
      </c>
      <c r="G2077" s="61"/>
      <c r="H2077" s="61"/>
      <c r="I2077" s="61"/>
      <c r="J2077" s="61"/>
      <c r="K2077" s="61"/>
      <c r="L2077" s="62"/>
      <c r="M2077" s="63" t="str">
        <f>HYPERLINK("http://nsgreg.nga.mil/genc/view?v=867231&amp;end_month=12&amp;end_day=31&amp;end_year=2016","Correlation")</f>
        <v>Correlation</v>
      </c>
    </row>
    <row r="2078" spans="1:13" x14ac:dyDescent="0.2">
      <c r="A2078" s="113"/>
      <c r="B2078" s="58" t="s">
        <v>5905</v>
      </c>
      <c r="C2078" s="58" t="s">
        <v>1816</v>
      </c>
      <c r="D2078" s="58" t="s">
        <v>5906</v>
      </c>
      <c r="E2078" s="60" t="b">
        <v>1</v>
      </c>
      <c r="F2078" s="61" t="s">
        <v>167</v>
      </c>
      <c r="G2078" s="61"/>
      <c r="H2078" s="61"/>
      <c r="I2078" s="61"/>
      <c r="J2078" s="61"/>
      <c r="K2078" s="61"/>
      <c r="L2078" s="62"/>
      <c r="M2078" s="63" t="str">
        <f>HYPERLINK("http://nsgreg.nga.mil/genc/view?v=867232&amp;end_month=12&amp;end_day=31&amp;end_year=2016","Correlation")</f>
        <v>Correlation</v>
      </c>
    </row>
    <row r="2079" spans="1:13" x14ac:dyDescent="0.2">
      <c r="A2079" s="113"/>
      <c r="B2079" s="58" t="s">
        <v>5907</v>
      </c>
      <c r="C2079" s="58" t="s">
        <v>1816</v>
      </c>
      <c r="D2079" s="58" t="s">
        <v>5908</v>
      </c>
      <c r="E2079" s="60" t="b">
        <v>1</v>
      </c>
      <c r="F2079" s="61" t="s">
        <v>167</v>
      </c>
      <c r="G2079" s="61"/>
      <c r="H2079" s="61"/>
      <c r="I2079" s="61"/>
      <c r="J2079" s="61"/>
      <c r="K2079" s="61"/>
      <c r="L2079" s="62"/>
      <c r="M2079" s="63" t="str">
        <f>HYPERLINK("http://nsgreg.nga.mil/genc/view?v=867233&amp;end_month=12&amp;end_day=31&amp;end_year=2016","Correlation")</f>
        <v>Correlation</v>
      </c>
    </row>
    <row r="2080" spans="1:13" x14ac:dyDescent="0.2">
      <c r="A2080" s="113"/>
      <c r="B2080" s="58" t="s">
        <v>5909</v>
      </c>
      <c r="C2080" s="58" t="s">
        <v>1816</v>
      </c>
      <c r="D2080" s="58" t="s">
        <v>5910</v>
      </c>
      <c r="E2080" s="60" t="b">
        <v>1</v>
      </c>
      <c r="F2080" s="61" t="s">
        <v>167</v>
      </c>
      <c r="G2080" s="61"/>
      <c r="H2080" s="61"/>
      <c r="I2080" s="61"/>
      <c r="J2080" s="61"/>
      <c r="K2080" s="61"/>
      <c r="L2080" s="62"/>
      <c r="M2080" s="63" t="str">
        <f>HYPERLINK("http://nsgreg.nga.mil/genc/view?v=867234&amp;end_month=12&amp;end_day=31&amp;end_year=2016","Correlation")</f>
        <v>Correlation</v>
      </c>
    </row>
    <row r="2081" spans="1:13" x14ac:dyDescent="0.2">
      <c r="A2081" s="113"/>
      <c r="B2081" s="58" t="s">
        <v>5911</v>
      </c>
      <c r="C2081" s="58" t="s">
        <v>1816</v>
      </c>
      <c r="D2081" s="58" t="s">
        <v>5912</v>
      </c>
      <c r="E2081" s="60" t="b">
        <v>1</v>
      </c>
      <c r="F2081" s="61" t="s">
        <v>167</v>
      </c>
      <c r="G2081" s="61"/>
      <c r="H2081" s="61"/>
      <c r="I2081" s="61"/>
      <c r="J2081" s="61"/>
      <c r="K2081" s="61"/>
      <c r="L2081" s="62"/>
      <c r="M2081" s="63" t="str">
        <f>HYPERLINK("http://nsgreg.nga.mil/genc/view?v=867235&amp;end_month=12&amp;end_day=31&amp;end_year=2016","Correlation")</f>
        <v>Correlation</v>
      </c>
    </row>
    <row r="2082" spans="1:13" x14ac:dyDescent="0.2">
      <c r="A2082" s="113"/>
      <c r="B2082" s="58" t="s">
        <v>5913</v>
      </c>
      <c r="C2082" s="58" t="s">
        <v>1816</v>
      </c>
      <c r="D2082" s="58" t="s">
        <v>5914</v>
      </c>
      <c r="E2082" s="60" t="b">
        <v>1</v>
      </c>
      <c r="F2082" s="61" t="s">
        <v>167</v>
      </c>
      <c r="G2082" s="61"/>
      <c r="H2082" s="61"/>
      <c r="I2082" s="61"/>
      <c r="J2082" s="61"/>
      <c r="K2082" s="61"/>
      <c r="L2082" s="62"/>
      <c r="M2082" s="63" t="str">
        <f>HYPERLINK("http://nsgreg.nga.mil/genc/view?v=867253&amp;end_month=12&amp;end_day=31&amp;end_year=2016","Correlation")</f>
        <v>Correlation</v>
      </c>
    </row>
    <row r="2083" spans="1:13" x14ac:dyDescent="0.2">
      <c r="A2083" s="113"/>
      <c r="B2083" s="58" t="s">
        <v>5915</v>
      </c>
      <c r="C2083" s="58" t="s">
        <v>1816</v>
      </c>
      <c r="D2083" s="58" t="s">
        <v>5916</v>
      </c>
      <c r="E2083" s="60" t="b">
        <v>1</v>
      </c>
      <c r="F2083" s="61" t="s">
        <v>167</v>
      </c>
      <c r="G2083" s="61"/>
      <c r="H2083" s="61"/>
      <c r="I2083" s="61"/>
      <c r="J2083" s="61"/>
      <c r="K2083" s="61"/>
      <c r="L2083" s="62"/>
      <c r="M2083" s="63" t="str">
        <f>HYPERLINK("http://nsgreg.nga.mil/genc/view?v=867254&amp;end_month=12&amp;end_day=31&amp;end_year=2016","Correlation")</f>
        <v>Correlation</v>
      </c>
    </row>
    <row r="2084" spans="1:13" x14ac:dyDescent="0.2">
      <c r="A2084" s="113"/>
      <c r="B2084" s="58" t="s">
        <v>5917</v>
      </c>
      <c r="C2084" s="58" t="s">
        <v>1816</v>
      </c>
      <c r="D2084" s="58" t="s">
        <v>5918</v>
      </c>
      <c r="E2084" s="60" t="b">
        <v>1</v>
      </c>
      <c r="F2084" s="61" t="s">
        <v>167</v>
      </c>
      <c r="G2084" s="61"/>
      <c r="H2084" s="61"/>
      <c r="I2084" s="61"/>
      <c r="J2084" s="61"/>
      <c r="K2084" s="61"/>
      <c r="L2084" s="62"/>
      <c r="M2084" s="63" t="str">
        <f>HYPERLINK("http://nsgreg.nga.mil/genc/view?v=867236&amp;end_month=12&amp;end_day=31&amp;end_year=2016","Correlation")</f>
        <v>Correlation</v>
      </c>
    </row>
    <row r="2085" spans="1:13" x14ac:dyDescent="0.2">
      <c r="A2085" s="113"/>
      <c r="B2085" s="58" t="s">
        <v>5919</v>
      </c>
      <c r="C2085" s="58" t="s">
        <v>1816</v>
      </c>
      <c r="D2085" s="58" t="s">
        <v>5920</v>
      </c>
      <c r="E2085" s="60" t="b">
        <v>1</v>
      </c>
      <c r="F2085" s="61" t="s">
        <v>167</v>
      </c>
      <c r="G2085" s="61"/>
      <c r="H2085" s="61"/>
      <c r="I2085" s="61"/>
      <c r="J2085" s="61"/>
      <c r="K2085" s="61"/>
      <c r="L2085" s="62"/>
      <c r="M2085" s="63" t="str">
        <f>HYPERLINK("http://nsgreg.nga.mil/genc/view?v=867237&amp;end_month=12&amp;end_day=31&amp;end_year=2016","Correlation")</f>
        <v>Correlation</v>
      </c>
    </row>
    <row r="2086" spans="1:13" x14ac:dyDescent="0.2">
      <c r="A2086" s="113"/>
      <c r="B2086" s="58" t="s">
        <v>5921</v>
      </c>
      <c r="C2086" s="58" t="s">
        <v>1816</v>
      </c>
      <c r="D2086" s="58" t="s">
        <v>5922</v>
      </c>
      <c r="E2086" s="60" t="b">
        <v>1</v>
      </c>
      <c r="F2086" s="61" t="s">
        <v>167</v>
      </c>
      <c r="G2086" s="61"/>
      <c r="H2086" s="61"/>
      <c r="I2086" s="61"/>
      <c r="J2086" s="61"/>
      <c r="K2086" s="61"/>
      <c r="L2086" s="62"/>
      <c r="M2086" s="63" t="str">
        <f>HYPERLINK("http://nsgreg.nga.mil/genc/view?v=867238&amp;end_month=12&amp;end_day=31&amp;end_year=2016","Correlation")</f>
        <v>Correlation</v>
      </c>
    </row>
    <row r="2087" spans="1:13" x14ac:dyDescent="0.2">
      <c r="A2087" s="113"/>
      <c r="B2087" s="58" t="s">
        <v>5923</v>
      </c>
      <c r="C2087" s="58" t="s">
        <v>1816</v>
      </c>
      <c r="D2087" s="58" t="s">
        <v>5924</v>
      </c>
      <c r="E2087" s="60" t="b">
        <v>1</v>
      </c>
      <c r="F2087" s="61" t="s">
        <v>167</v>
      </c>
      <c r="G2087" s="61"/>
      <c r="H2087" s="61"/>
      <c r="I2087" s="61"/>
      <c r="J2087" s="61"/>
      <c r="K2087" s="61"/>
      <c r="L2087" s="62"/>
      <c r="M2087" s="63" t="str">
        <f>HYPERLINK("http://nsgreg.nga.mil/genc/view?v=867239&amp;end_month=12&amp;end_day=31&amp;end_year=2016","Correlation")</f>
        <v>Correlation</v>
      </c>
    </row>
    <row r="2088" spans="1:13" x14ac:dyDescent="0.2">
      <c r="A2088" s="113"/>
      <c r="B2088" s="58" t="s">
        <v>5925</v>
      </c>
      <c r="C2088" s="58" t="s">
        <v>1816</v>
      </c>
      <c r="D2088" s="58" t="s">
        <v>5926</v>
      </c>
      <c r="E2088" s="60" t="b">
        <v>1</v>
      </c>
      <c r="F2088" s="61" t="s">
        <v>167</v>
      </c>
      <c r="G2088" s="61"/>
      <c r="H2088" s="61"/>
      <c r="I2088" s="61"/>
      <c r="J2088" s="61"/>
      <c r="K2088" s="61"/>
      <c r="L2088" s="62"/>
      <c r="M2088" s="63" t="str">
        <f>HYPERLINK("http://nsgreg.nga.mil/genc/view?v=867240&amp;end_month=12&amp;end_day=31&amp;end_year=2016","Correlation")</f>
        <v>Correlation</v>
      </c>
    </row>
    <row r="2089" spans="1:13" x14ac:dyDescent="0.2">
      <c r="A2089" s="113"/>
      <c r="B2089" s="58" t="s">
        <v>5927</v>
      </c>
      <c r="C2089" s="58" t="s">
        <v>1816</v>
      </c>
      <c r="D2089" s="58" t="s">
        <v>5928</v>
      </c>
      <c r="E2089" s="60" t="b">
        <v>1</v>
      </c>
      <c r="F2089" s="61" t="s">
        <v>167</v>
      </c>
      <c r="G2089" s="61"/>
      <c r="H2089" s="61"/>
      <c r="I2089" s="61"/>
      <c r="J2089" s="61"/>
      <c r="K2089" s="61"/>
      <c r="L2089" s="62"/>
      <c r="M2089" s="63" t="str">
        <f>HYPERLINK("http://nsgreg.nga.mil/genc/view?v=867241&amp;end_month=12&amp;end_day=31&amp;end_year=2016","Correlation")</f>
        <v>Correlation</v>
      </c>
    </row>
    <row r="2090" spans="1:13" x14ac:dyDescent="0.2">
      <c r="A2090" s="113"/>
      <c r="B2090" s="58" t="s">
        <v>5929</v>
      </c>
      <c r="C2090" s="58" t="s">
        <v>1816</v>
      </c>
      <c r="D2090" s="58" t="s">
        <v>5930</v>
      </c>
      <c r="E2090" s="60" t="b">
        <v>1</v>
      </c>
      <c r="F2090" s="61" t="s">
        <v>167</v>
      </c>
      <c r="G2090" s="61"/>
      <c r="H2090" s="61"/>
      <c r="I2090" s="61"/>
      <c r="J2090" s="61"/>
      <c r="K2090" s="61"/>
      <c r="L2090" s="62"/>
      <c r="M2090" s="63" t="str">
        <f>HYPERLINK("http://nsgreg.nga.mil/genc/view?v=867242&amp;end_month=12&amp;end_day=31&amp;end_year=2016","Correlation")</f>
        <v>Correlation</v>
      </c>
    </row>
    <row r="2091" spans="1:13" x14ac:dyDescent="0.2">
      <c r="A2091" s="113"/>
      <c r="B2091" s="58" t="s">
        <v>5931</v>
      </c>
      <c r="C2091" s="58" t="s">
        <v>1816</v>
      </c>
      <c r="D2091" s="58" t="s">
        <v>5932</v>
      </c>
      <c r="E2091" s="60" t="b">
        <v>1</v>
      </c>
      <c r="F2091" s="61" t="s">
        <v>167</v>
      </c>
      <c r="G2091" s="61"/>
      <c r="H2091" s="61"/>
      <c r="I2091" s="61"/>
      <c r="J2091" s="61"/>
      <c r="K2091" s="61"/>
      <c r="L2091" s="62"/>
      <c r="M2091" s="63" t="str">
        <f>HYPERLINK("http://nsgreg.nga.mil/genc/view?v=867243&amp;end_month=12&amp;end_day=31&amp;end_year=2016","Correlation")</f>
        <v>Correlation</v>
      </c>
    </row>
    <row r="2092" spans="1:13" x14ac:dyDescent="0.2">
      <c r="A2092" s="113"/>
      <c r="B2092" s="58" t="s">
        <v>5933</v>
      </c>
      <c r="C2092" s="58" t="s">
        <v>1816</v>
      </c>
      <c r="D2092" s="58" t="s">
        <v>5934</v>
      </c>
      <c r="E2092" s="60" t="b">
        <v>1</v>
      </c>
      <c r="F2092" s="61" t="s">
        <v>167</v>
      </c>
      <c r="G2092" s="61"/>
      <c r="H2092" s="61"/>
      <c r="I2092" s="61"/>
      <c r="J2092" s="61"/>
      <c r="K2092" s="61"/>
      <c r="L2092" s="62"/>
      <c r="M2092" s="63" t="str">
        <f>HYPERLINK("http://nsgreg.nga.mil/genc/view?v=867244&amp;end_month=12&amp;end_day=31&amp;end_year=2016","Correlation")</f>
        <v>Correlation</v>
      </c>
    </row>
    <row r="2093" spans="1:13" x14ac:dyDescent="0.2">
      <c r="A2093" s="113"/>
      <c r="B2093" s="58" t="s">
        <v>5935</v>
      </c>
      <c r="C2093" s="58" t="s">
        <v>1816</v>
      </c>
      <c r="D2093" s="58" t="s">
        <v>5936</v>
      </c>
      <c r="E2093" s="60" t="b">
        <v>1</v>
      </c>
      <c r="F2093" s="61" t="s">
        <v>167</v>
      </c>
      <c r="G2093" s="61"/>
      <c r="H2093" s="61"/>
      <c r="I2093" s="61"/>
      <c r="J2093" s="61"/>
      <c r="K2093" s="61"/>
      <c r="L2093" s="62"/>
      <c r="M2093" s="63" t="str">
        <f>HYPERLINK("http://nsgreg.nga.mil/genc/view?v=867245&amp;end_month=12&amp;end_day=31&amp;end_year=2016","Correlation")</f>
        <v>Correlation</v>
      </c>
    </row>
    <row r="2094" spans="1:13" x14ac:dyDescent="0.2">
      <c r="A2094" s="113"/>
      <c r="B2094" s="58" t="s">
        <v>5937</v>
      </c>
      <c r="C2094" s="58" t="s">
        <v>1816</v>
      </c>
      <c r="D2094" s="58" t="s">
        <v>5938</v>
      </c>
      <c r="E2094" s="60" t="b">
        <v>1</v>
      </c>
      <c r="F2094" s="61" t="s">
        <v>167</v>
      </c>
      <c r="G2094" s="61"/>
      <c r="H2094" s="61"/>
      <c r="I2094" s="61"/>
      <c r="J2094" s="61"/>
      <c r="K2094" s="61"/>
      <c r="L2094" s="62"/>
      <c r="M2094" s="63" t="str">
        <f>HYPERLINK("http://nsgreg.nga.mil/genc/view?v=867246&amp;end_month=12&amp;end_day=31&amp;end_year=2016","Correlation")</f>
        <v>Correlation</v>
      </c>
    </row>
    <row r="2095" spans="1:13" x14ac:dyDescent="0.2">
      <c r="A2095" s="113"/>
      <c r="B2095" s="58" t="s">
        <v>5939</v>
      </c>
      <c r="C2095" s="58" t="s">
        <v>1816</v>
      </c>
      <c r="D2095" s="58" t="s">
        <v>5940</v>
      </c>
      <c r="E2095" s="60" t="b">
        <v>1</v>
      </c>
      <c r="F2095" s="61" t="s">
        <v>167</v>
      </c>
      <c r="G2095" s="61"/>
      <c r="H2095" s="61"/>
      <c r="I2095" s="61"/>
      <c r="J2095" s="61"/>
      <c r="K2095" s="61"/>
      <c r="L2095" s="62"/>
      <c r="M2095" s="63" t="str">
        <f>HYPERLINK("http://nsgreg.nga.mil/genc/view?v=867247&amp;end_month=12&amp;end_day=31&amp;end_year=2016","Correlation")</f>
        <v>Correlation</v>
      </c>
    </row>
    <row r="2096" spans="1:13" x14ac:dyDescent="0.2">
      <c r="A2096" s="113"/>
      <c r="B2096" s="58" t="s">
        <v>5941</v>
      </c>
      <c r="C2096" s="58" t="s">
        <v>1816</v>
      </c>
      <c r="D2096" s="58" t="s">
        <v>5942</v>
      </c>
      <c r="E2096" s="60" t="b">
        <v>1</v>
      </c>
      <c r="F2096" s="61" t="s">
        <v>167</v>
      </c>
      <c r="G2096" s="61"/>
      <c r="H2096" s="61"/>
      <c r="I2096" s="61"/>
      <c r="J2096" s="61"/>
      <c r="K2096" s="61"/>
      <c r="L2096" s="62"/>
      <c r="M2096" s="63" t="str">
        <f>HYPERLINK("http://nsgreg.nga.mil/genc/view?v=867248&amp;end_month=12&amp;end_day=31&amp;end_year=2016","Correlation")</f>
        <v>Correlation</v>
      </c>
    </row>
    <row r="2097" spans="1:13" x14ac:dyDescent="0.2">
      <c r="A2097" s="113"/>
      <c r="B2097" s="58" t="s">
        <v>5943</v>
      </c>
      <c r="C2097" s="58" t="s">
        <v>1816</v>
      </c>
      <c r="D2097" s="58" t="s">
        <v>5944</v>
      </c>
      <c r="E2097" s="60" t="b">
        <v>1</v>
      </c>
      <c r="F2097" s="61" t="s">
        <v>167</v>
      </c>
      <c r="G2097" s="61"/>
      <c r="H2097" s="61"/>
      <c r="I2097" s="61"/>
      <c r="J2097" s="61"/>
      <c r="K2097" s="61"/>
      <c r="L2097" s="62"/>
      <c r="M2097" s="63" t="str">
        <f>HYPERLINK("http://nsgreg.nga.mil/genc/view?v=867249&amp;end_month=12&amp;end_day=31&amp;end_year=2016","Correlation")</f>
        <v>Correlation</v>
      </c>
    </row>
    <row r="2098" spans="1:13" x14ac:dyDescent="0.2">
      <c r="A2098" s="113"/>
      <c r="B2098" s="58" t="s">
        <v>5945</v>
      </c>
      <c r="C2098" s="58" t="s">
        <v>1816</v>
      </c>
      <c r="D2098" s="58" t="s">
        <v>5946</v>
      </c>
      <c r="E2098" s="60" t="b">
        <v>1</v>
      </c>
      <c r="F2098" s="61" t="s">
        <v>167</v>
      </c>
      <c r="G2098" s="61"/>
      <c r="H2098" s="61"/>
      <c r="I2098" s="61"/>
      <c r="J2098" s="61"/>
      <c r="K2098" s="61"/>
      <c r="L2098" s="62"/>
      <c r="M2098" s="63" t="str">
        <f>HYPERLINK("http://nsgreg.nga.mil/genc/view?v=867250&amp;end_month=12&amp;end_day=31&amp;end_year=2016","Correlation")</f>
        <v>Correlation</v>
      </c>
    </row>
    <row r="2099" spans="1:13" x14ac:dyDescent="0.2">
      <c r="A2099" s="113"/>
      <c r="B2099" s="58" t="s">
        <v>5947</v>
      </c>
      <c r="C2099" s="58" t="s">
        <v>1816</v>
      </c>
      <c r="D2099" s="58" t="s">
        <v>5948</v>
      </c>
      <c r="E2099" s="60" t="b">
        <v>1</v>
      </c>
      <c r="F2099" s="61" t="s">
        <v>167</v>
      </c>
      <c r="G2099" s="61"/>
      <c r="H2099" s="61"/>
      <c r="I2099" s="61"/>
      <c r="J2099" s="61"/>
      <c r="K2099" s="61"/>
      <c r="L2099" s="62"/>
      <c r="M2099" s="63" t="str">
        <f>HYPERLINK("http://nsgreg.nga.mil/genc/view?v=867251&amp;end_month=12&amp;end_day=31&amp;end_year=2016","Correlation")</f>
        <v>Correlation</v>
      </c>
    </row>
    <row r="2100" spans="1:13" x14ac:dyDescent="0.2">
      <c r="A2100" s="114"/>
      <c r="B2100" s="71" t="s">
        <v>5949</v>
      </c>
      <c r="C2100" s="71" t="s">
        <v>1816</v>
      </c>
      <c r="D2100" s="71" t="s">
        <v>5950</v>
      </c>
      <c r="E2100" s="73" t="b">
        <v>1</v>
      </c>
      <c r="F2100" s="85" t="s">
        <v>167</v>
      </c>
      <c r="G2100" s="85"/>
      <c r="H2100" s="85"/>
      <c r="I2100" s="85"/>
      <c r="J2100" s="85"/>
      <c r="K2100" s="85"/>
      <c r="L2100" s="86"/>
      <c r="M2100" s="77" t="str">
        <f>HYPERLINK("http://nsgreg.nga.mil/genc/view?v=867252&amp;end_month=12&amp;end_day=31&amp;end_year=2016","Correlation")</f>
        <v>Correlation</v>
      </c>
    </row>
    <row r="2101" spans="1:13" x14ac:dyDescent="0.2">
      <c r="A2101" s="112" t="s">
        <v>808</v>
      </c>
      <c r="B2101" s="50" t="s">
        <v>5951</v>
      </c>
      <c r="C2101" s="50" t="s">
        <v>2030</v>
      </c>
      <c r="D2101" s="50" t="s">
        <v>5952</v>
      </c>
      <c r="E2101" s="52" t="b">
        <v>1</v>
      </c>
      <c r="F2101" s="78" t="s">
        <v>808</v>
      </c>
      <c r="G2101" s="50" t="s">
        <v>5951</v>
      </c>
      <c r="H2101" s="50" t="s">
        <v>2030</v>
      </c>
      <c r="I2101" s="53" t="s">
        <v>5952</v>
      </c>
      <c r="J2101" s="55"/>
      <c r="K2101" s="55"/>
      <c r="L2101" s="79"/>
      <c r="M2101" s="56" t="str">
        <f>HYPERLINK("http://nsgreg.nga.mil/genc/view?v=864579&amp;end_month=12&amp;end_day=31&amp;end_year=2016","Correlation")</f>
        <v>Correlation</v>
      </c>
    </row>
    <row r="2102" spans="1:13" x14ac:dyDescent="0.2">
      <c r="A2102" s="113"/>
      <c r="B2102" s="58" t="s">
        <v>2029</v>
      </c>
      <c r="C2102" s="58" t="s">
        <v>2030</v>
      </c>
      <c r="D2102" s="58" t="s">
        <v>5953</v>
      </c>
      <c r="E2102" s="60" t="b">
        <v>1</v>
      </c>
      <c r="F2102" s="80" t="s">
        <v>808</v>
      </c>
      <c r="G2102" s="58" t="s">
        <v>2029</v>
      </c>
      <c r="H2102" s="58" t="s">
        <v>2030</v>
      </c>
      <c r="I2102" s="64" t="s">
        <v>5953</v>
      </c>
      <c r="J2102" s="66"/>
      <c r="K2102" s="66"/>
      <c r="L2102" s="68"/>
      <c r="M2102" s="63" t="str">
        <f>HYPERLINK("http://nsgreg.nga.mil/genc/view?v=864583&amp;end_month=12&amp;end_day=31&amp;end_year=2016","Correlation")</f>
        <v>Correlation</v>
      </c>
    </row>
    <row r="2103" spans="1:13" x14ac:dyDescent="0.2">
      <c r="A2103" s="113"/>
      <c r="B2103" s="58" t="s">
        <v>5954</v>
      </c>
      <c r="C2103" s="58" t="s">
        <v>2030</v>
      </c>
      <c r="D2103" s="58" t="s">
        <v>5955</v>
      </c>
      <c r="E2103" s="60" t="b">
        <v>1</v>
      </c>
      <c r="F2103" s="80" t="s">
        <v>808</v>
      </c>
      <c r="G2103" s="58" t="s">
        <v>5954</v>
      </c>
      <c r="H2103" s="58" t="s">
        <v>2030</v>
      </c>
      <c r="I2103" s="64" t="s">
        <v>5955</v>
      </c>
      <c r="J2103" s="66"/>
      <c r="K2103" s="66"/>
      <c r="L2103" s="68"/>
      <c r="M2103" s="63" t="str">
        <f>HYPERLINK("http://nsgreg.nga.mil/genc/view?v=864580&amp;end_month=12&amp;end_day=31&amp;end_year=2016","Correlation")</f>
        <v>Correlation</v>
      </c>
    </row>
    <row r="2104" spans="1:13" x14ac:dyDescent="0.2">
      <c r="A2104" s="113"/>
      <c r="B2104" s="58" t="s">
        <v>5956</v>
      </c>
      <c r="C2104" s="58" t="s">
        <v>2030</v>
      </c>
      <c r="D2104" s="58" t="s">
        <v>5957</v>
      </c>
      <c r="E2104" s="60" t="b">
        <v>1</v>
      </c>
      <c r="F2104" s="80" t="s">
        <v>808</v>
      </c>
      <c r="G2104" s="58" t="s">
        <v>5956</v>
      </c>
      <c r="H2104" s="58" t="s">
        <v>2030</v>
      </c>
      <c r="I2104" s="64" t="s">
        <v>5957</v>
      </c>
      <c r="J2104" s="66"/>
      <c r="K2104" s="66"/>
      <c r="L2104" s="68"/>
      <c r="M2104" s="63" t="str">
        <f>HYPERLINK("http://nsgreg.nga.mil/genc/view?v=864582&amp;end_month=12&amp;end_day=31&amp;end_year=2016","Correlation")</f>
        <v>Correlation</v>
      </c>
    </row>
    <row r="2105" spans="1:13" x14ac:dyDescent="0.2">
      <c r="A2105" s="113"/>
      <c r="B2105" s="58" t="s">
        <v>5958</v>
      </c>
      <c r="C2105" s="58" t="s">
        <v>2030</v>
      </c>
      <c r="D2105" s="58" t="s">
        <v>5959</v>
      </c>
      <c r="E2105" s="60" t="b">
        <v>1</v>
      </c>
      <c r="F2105" s="80" t="s">
        <v>808</v>
      </c>
      <c r="G2105" s="58" t="s">
        <v>5958</v>
      </c>
      <c r="H2105" s="58" t="s">
        <v>2030</v>
      </c>
      <c r="I2105" s="64" t="s">
        <v>5959</v>
      </c>
      <c r="J2105" s="66"/>
      <c r="K2105" s="66"/>
      <c r="L2105" s="68"/>
      <c r="M2105" s="63" t="str">
        <f>HYPERLINK("http://nsgreg.nga.mil/genc/view?v=864581&amp;end_month=12&amp;end_day=31&amp;end_year=2016","Correlation")</f>
        <v>Correlation</v>
      </c>
    </row>
    <row r="2106" spans="1:13" x14ac:dyDescent="0.2">
      <c r="A2106" s="114"/>
      <c r="B2106" s="71" t="s">
        <v>5960</v>
      </c>
      <c r="C2106" s="71" t="s">
        <v>2030</v>
      </c>
      <c r="D2106" s="71" t="s">
        <v>5961</v>
      </c>
      <c r="E2106" s="73" t="b">
        <v>1</v>
      </c>
      <c r="F2106" s="81" t="s">
        <v>808</v>
      </c>
      <c r="G2106" s="71" t="s">
        <v>5960</v>
      </c>
      <c r="H2106" s="71" t="s">
        <v>2030</v>
      </c>
      <c r="I2106" s="74" t="s">
        <v>5961</v>
      </c>
      <c r="J2106" s="76"/>
      <c r="K2106" s="76"/>
      <c r="L2106" s="82"/>
      <c r="M2106" s="77" t="str">
        <f>HYPERLINK("http://nsgreg.nga.mil/genc/view?v=864584&amp;end_month=12&amp;end_day=31&amp;end_year=2016","Correlation")</f>
        <v>Correlation</v>
      </c>
    </row>
    <row r="2107" spans="1:13" x14ac:dyDescent="0.2">
      <c r="A2107" s="112" t="s">
        <v>812</v>
      </c>
      <c r="B2107" s="50" t="s">
        <v>5962</v>
      </c>
      <c r="C2107" s="50" t="s">
        <v>1413</v>
      </c>
      <c r="D2107" s="50" t="s">
        <v>5963</v>
      </c>
      <c r="E2107" s="52" t="b">
        <v>1</v>
      </c>
      <c r="F2107" s="78" t="s">
        <v>812</v>
      </c>
      <c r="G2107" s="50" t="s">
        <v>5962</v>
      </c>
      <c r="H2107" s="50" t="s">
        <v>1728</v>
      </c>
      <c r="I2107" s="53" t="s">
        <v>5963</v>
      </c>
      <c r="J2107" s="55"/>
      <c r="K2107" s="55"/>
      <c r="L2107" s="79"/>
      <c r="M2107" s="56" t="str">
        <f>HYPERLINK("http://nsgreg.nga.mil/genc/view?v=864498&amp;end_month=12&amp;end_day=31&amp;end_year=2016","Correlation")</f>
        <v>Correlation</v>
      </c>
    </row>
    <row r="2108" spans="1:13" x14ac:dyDescent="0.2">
      <c r="A2108" s="113"/>
      <c r="B2108" s="58" t="s">
        <v>5964</v>
      </c>
      <c r="C2108" s="58" t="s">
        <v>1681</v>
      </c>
      <c r="D2108" s="58" t="s">
        <v>5965</v>
      </c>
      <c r="E2108" s="60" t="b">
        <v>1</v>
      </c>
      <c r="F2108" s="80" t="s">
        <v>812</v>
      </c>
      <c r="G2108" s="58" t="s">
        <v>5964</v>
      </c>
      <c r="H2108" s="58" t="s">
        <v>1681</v>
      </c>
      <c r="I2108" s="64" t="s">
        <v>5965</v>
      </c>
      <c r="J2108" s="66"/>
      <c r="K2108" s="66"/>
      <c r="L2108" s="68"/>
      <c r="M2108" s="63" t="str">
        <f>HYPERLINK("http://nsgreg.nga.mil/genc/view?v=864500&amp;end_month=12&amp;end_day=31&amp;end_year=2016","Correlation")</f>
        <v>Correlation</v>
      </c>
    </row>
    <row r="2109" spans="1:13" x14ac:dyDescent="0.2">
      <c r="A2109" s="113"/>
      <c r="B2109" s="58" t="s">
        <v>5966</v>
      </c>
      <c r="C2109" s="58" t="s">
        <v>1413</v>
      </c>
      <c r="D2109" s="58" t="s">
        <v>5967</v>
      </c>
      <c r="E2109" s="60" t="b">
        <v>1</v>
      </c>
      <c r="F2109" s="80" t="s">
        <v>812</v>
      </c>
      <c r="G2109" s="58" t="s">
        <v>5966</v>
      </c>
      <c r="H2109" s="58" t="s">
        <v>1728</v>
      </c>
      <c r="I2109" s="64" t="s">
        <v>5967</v>
      </c>
      <c r="J2109" s="66"/>
      <c r="K2109" s="66"/>
      <c r="L2109" s="68"/>
      <c r="M2109" s="63" t="str">
        <f>HYPERLINK("http://nsgreg.nga.mil/genc/view?v=864499&amp;end_month=12&amp;end_day=31&amp;end_year=2016","Correlation")</f>
        <v>Correlation</v>
      </c>
    </row>
    <row r="2110" spans="1:13" x14ac:dyDescent="0.2">
      <c r="A2110" s="113"/>
      <c r="B2110" s="58" t="s">
        <v>5968</v>
      </c>
      <c r="C2110" s="58" t="s">
        <v>1413</v>
      </c>
      <c r="D2110" s="58" t="s">
        <v>5969</v>
      </c>
      <c r="E2110" s="60" t="b">
        <v>1</v>
      </c>
      <c r="F2110" s="80" t="s">
        <v>812</v>
      </c>
      <c r="G2110" s="58" t="s">
        <v>5968</v>
      </c>
      <c r="H2110" s="58" t="s">
        <v>1728</v>
      </c>
      <c r="I2110" s="64" t="s">
        <v>5969</v>
      </c>
      <c r="J2110" s="66"/>
      <c r="K2110" s="66"/>
      <c r="L2110" s="68"/>
      <c r="M2110" s="63" t="str">
        <f>HYPERLINK("http://nsgreg.nga.mil/genc/view?v=864502&amp;end_month=12&amp;end_day=31&amp;end_year=2016","Correlation")</f>
        <v>Correlation</v>
      </c>
    </row>
    <row r="2111" spans="1:13" x14ac:dyDescent="0.2">
      <c r="A2111" s="113"/>
      <c r="B2111" s="58" t="s">
        <v>5970</v>
      </c>
      <c r="C2111" s="58" t="s">
        <v>1413</v>
      </c>
      <c r="D2111" s="58" t="s">
        <v>5971</v>
      </c>
      <c r="E2111" s="60" t="b">
        <v>1</v>
      </c>
      <c r="F2111" s="80" t="s">
        <v>812</v>
      </c>
      <c r="G2111" s="58" t="s">
        <v>5970</v>
      </c>
      <c r="H2111" s="58" t="s">
        <v>1728</v>
      </c>
      <c r="I2111" s="64" t="s">
        <v>5971</v>
      </c>
      <c r="J2111" s="66"/>
      <c r="K2111" s="66"/>
      <c r="L2111" s="68"/>
      <c r="M2111" s="63" t="str">
        <f>HYPERLINK("http://nsgreg.nga.mil/genc/view?v=864503&amp;end_month=12&amp;end_day=31&amp;end_year=2016","Correlation")</f>
        <v>Correlation</v>
      </c>
    </row>
    <row r="2112" spans="1:13" x14ac:dyDescent="0.2">
      <c r="A2112" s="113"/>
      <c r="B2112" s="58" t="s">
        <v>5972</v>
      </c>
      <c r="C2112" s="58" t="s">
        <v>1681</v>
      </c>
      <c r="D2112" s="58" t="s">
        <v>5973</v>
      </c>
      <c r="E2112" s="60" t="b">
        <v>1</v>
      </c>
      <c r="F2112" s="80" t="s">
        <v>812</v>
      </c>
      <c r="G2112" s="58" t="s">
        <v>5972</v>
      </c>
      <c r="H2112" s="58" t="s">
        <v>1681</v>
      </c>
      <c r="I2112" s="64" t="s">
        <v>5973</v>
      </c>
      <c r="J2112" s="66"/>
      <c r="K2112" s="66"/>
      <c r="L2112" s="68"/>
      <c r="M2112" s="63" t="str">
        <f>HYPERLINK("http://nsgreg.nga.mil/genc/view?v=864501&amp;end_month=12&amp;end_day=31&amp;end_year=2016","Correlation")</f>
        <v>Correlation</v>
      </c>
    </row>
    <row r="2113" spans="1:13" x14ac:dyDescent="0.2">
      <c r="A2113" s="113"/>
      <c r="B2113" s="58" t="s">
        <v>5972</v>
      </c>
      <c r="C2113" s="58" t="s">
        <v>1413</v>
      </c>
      <c r="D2113" s="58" t="s">
        <v>5974</v>
      </c>
      <c r="E2113" s="60" t="b">
        <v>1</v>
      </c>
      <c r="F2113" s="80" t="s">
        <v>812</v>
      </c>
      <c r="G2113" s="58" t="s">
        <v>5972</v>
      </c>
      <c r="H2113" s="58" t="s">
        <v>1728</v>
      </c>
      <c r="I2113" s="64" t="s">
        <v>5974</v>
      </c>
      <c r="J2113" s="66"/>
      <c r="K2113" s="66"/>
      <c r="L2113" s="68"/>
      <c r="M2113" s="63" t="str">
        <f>HYPERLINK("http://nsgreg.nga.mil/genc/view?v=864504&amp;end_month=12&amp;end_day=31&amp;end_year=2016","Correlation")</f>
        <v>Correlation</v>
      </c>
    </row>
    <row r="2114" spans="1:13" x14ac:dyDescent="0.2">
      <c r="A2114" s="113"/>
      <c r="B2114" s="58" t="s">
        <v>5975</v>
      </c>
      <c r="C2114" s="58" t="s">
        <v>1413</v>
      </c>
      <c r="D2114" s="58" t="s">
        <v>5976</v>
      </c>
      <c r="E2114" s="60" t="b">
        <v>1</v>
      </c>
      <c r="F2114" s="80" t="s">
        <v>812</v>
      </c>
      <c r="G2114" s="58" t="s">
        <v>5975</v>
      </c>
      <c r="H2114" s="58" t="s">
        <v>1728</v>
      </c>
      <c r="I2114" s="64" t="s">
        <v>5976</v>
      </c>
      <c r="J2114" s="66"/>
      <c r="K2114" s="66"/>
      <c r="L2114" s="68"/>
      <c r="M2114" s="63" t="str">
        <f>HYPERLINK("http://nsgreg.nga.mil/genc/view?v=864505&amp;end_month=12&amp;end_day=31&amp;end_year=2016","Correlation")</f>
        <v>Correlation</v>
      </c>
    </row>
    <row r="2115" spans="1:13" x14ac:dyDescent="0.2">
      <c r="A2115" s="114"/>
      <c r="B2115" s="71" t="s">
        <v>5977</v>
      </c>
      <c r="C2115" s="71" t="s">
        <v>1413</v>
      </c>
      <c r="D2115" s="71" t="s">
        <v>5978</v>
      </c>
      <c r="E2115" s="73" t="b">
        <v>1</v>
      </c>
      <c r="F2115" s="81" t="s">
        <v>812</v>
      </c>
      <c r="G2115" s="71" t="s">
        <v>5977</v>
      </c>
      <c r="H2115" s="71" t="s">
        <v>1728</v>
      </c>
      <c r="I2115" s="74" t="s">
        <v>5978</v>
      </c>
      <c r="J2115" s="76"/>
      <c r="K2115" s="76"/>
      <c r="L2115" s="82"/>
      <c r="M2115" s="77" t="str">
        <f>HYPERLINK("http://nsgreg.nga.mil/genc/view?v=864506&amp;end_month=12&amp;end_day=31&amp;end_year=2016","Correlation")</f>
        <v>Correlation</v>
      </c>
    </row>
    <row r="2116" spans="1:13" x14ac:dyDescent="0.2">
      <c r="A2116" s="112" t="s">
        <v>816</v>
      </c>
      <c r="B2116" s="50" t="s">
        <v>5979</v>
      </c>
      <c r="C2116" s="50" t="s">
        <v>1413</v>
      </c>
      <c r="D2116" s="50" t="s">
        <v>5980</v>
      </c>
      <c r="E2116" s="52" t="b">
        <v>1</v>
      </c>
      <c r="F2116" s="78" t="s">
        <v>820</v>
      </c>
      <c r="G2116" s="50" t="s">
        <v>5979</v>
      </c>
      <c r="H2116" s="50" t="s">
        <v>1413</v>
      </c>
      <c r="I2116" s="53" t="s">
        <v>5980</v>
      </c>
      <c r="J2116" s="55"/>
      <c r="K2116" s="55"/>
      <c r="L2116" s="79"/>
      <c r="M2116" s="56" t="str">
        <f>HYPERLINK("http://nsgreg.nga.mil/genc/view?v=864602&amp;end_month=12&amp;end_day=31&amp;end_year=2016","Correlation")</f>
        <v>Correlation</v>
      </c>
    </row>
    <row r="2117" spans="1:13" x14ac:dyDescent="0.2">
      <c r="A2117" s="113"/>
      <c r="B2117" s="58" t="s">
        <v>5981</v>
      </c>
      <c r="C2117" s="58" t="s">
        <v>1413</v>
      </c>
      <c r="D2117" s="58" t="s">
        <v>5982</v>
      </c>
      <c r="E2117" s="60" t="b">
        <v>1</v>
      </c>
      <c r="F2117" s="80" t="s">
        <v>820</v>
      </c>
      <c r="G2117" s="58" t="s">
        <v>5981</v>
      </c>
      <c r="H2117" s="58" t="s">
        <v>1413</v>
      </c>
      <c r="I2117" s="64" t="s">
        <v>5982</v>
      </c>
      <c r="J2117" s="66"/>
      <c r="K2117" s="66"/>
      <c r="L2117" s="68"/>
      <c r="M2117" s="63" t="str">
        <f>HYPERLINK("http://nsgreg.nga.mil/genc/view?v=864603&amp;end_month=12&amp;end_day=31&amp;end_year=2016","Correlation")</f>
        <v>Correlation</v>
      </c>
    </row>
    <row r="2118" spans="1:13" x14ac:dyDescent="0.2">
      <c r="A2118" s="113"/>
      <c r="B2118" s="58" t="s">
        <v>5983</v>
      </c>
      <c r="C2118" s="58" t="s">
        <v>1413</v>
      </c>
      <c r="D2118" s="58" t="s">
        <v>5984</v>
      </c>
      <c r="E2118" s="60" t="b">
        <v>1</v>
      </c>
      <c r="F2118" s="80" t="s">
        <v>820</v>
      </c>
      <c r="G2118" s="58" t="s">
        <v>5983</v>
      </c>
      <c r="H2118" s="58" t="s">
        <v>1413</v>
      </c>
      <c r="I2118" s="64" t="s">
        <v>5984</v>
      </c>
      <c r="J2118" s="66"/>
      <c r="K2118" s="66"/>
      <c r="L2118" s="68"/>
      <c r="M2118" s="63" t="str">
        <f>HYPERLINK("http://nsgreg.nga.mil/genc/view?v=864604&amp;end_month=12&amp;end_day=31&amp;end_year=2016","Correlation")</f>
        <v>Correlation</v>
      </c>
    </row>
    <row r="2119" spans="1:13" x14ac:dyDescent="0.2">
      <c r="A2119" s="113"/>
      <c r="B2119" s="58" t="s">
        <v>5985</v>
      </c>
      <c r="C2119" s="58" t="s">
        <v>1413</v>
      </c>
      <c r="D2119" s="58" t="s">
        <v>5986</v>
      </c>
      <c r="E2119" s="60" t="b">
        <v>1</v>
      </c>
      <c r="F2119" s="80" t="s">
        <v>820</v>
      </c>
      <c r="G2119" s="58" t="s">
        <v>5985</v>
      </c>
      <c r="H2119" s="58" t="s">
        <v>1413</v>
      </c>
      <c r="I2119" s="64" t="s">
        <v>5986</v>
      </c>
      <c r="J2119" s="66"/>
      <c r="K2119" s="66"/>
      <c r="L2119" s="68"/>
      <c r="M2119" s="63" t="str">
        <f>HYPERLINK("http://nsgreg.nga.mil/genc/view?v=864605&amp;end_month=12&amp;end_day=31&amp;end_year=2016","Correlation")</f>
        <v>Correlation</v>
      </c>
    </row>
    <row r="2120" spans="1:13" x14ac:dyDescent="0.2">
      <c r="A2120" s="113"/>
      <c r="B2120" s="58" t="s">
        <v>5987</v>
      </c>
      <c r="C2120" s="58" t="s">
        <v>1413</v>
      </c>
      <c r="D2120" s="58" t="s">
        <v>5988</v>
      </c>
      <c r="E2120" s="60" t="b">
        <v>1</v>
      </c>
      <c r="F2120" s="80" t="s">
        <v>820</v>
      </c>
      <c r="G2120" s="58" t="s">
        <v>5987</v>
      </c>
      <c r="H2120" s="58" t="s">
        <v>1413</v>
      </c>
      <c r="I2120" s="64" t="s">
        <v>5988</v>
      </c>
      <c r="J2120" s="66"/>
      <c r="K2120" s="66"/>
      <c r="L2120" s="68"/>
      <c r="M2120" s="63" t="str">
        <f>HYPERLINK("http://nsgreg.nga.mil/genc/view?v=864606&amp;end_month=12&amp;end_day=31&amp;end_year=2016","Correlation")</f>
        <v>Correlation</v>
      </c>
    </row>
    <row r="2121" spans="1:13" x14ac:dyDescent="0.2">
      <c r="A2121" s="113"/>
      <c r="B2121" s="58" t="s">
        <v>5989</v>
      </c>
      <c r="C2121" s="58" t="s">
        <v>1413</v>
      </c>
      <c r="D2121" s="58" t="s">
        <v>5990</v>
      </c>
      <c r="E2121" s="60" t="b">
        <v>1</v>
      </c>
      <c r="F2121" s="80" t="s">
        <v>820</v>
      </c>
      <c r="G2121" s="58" t="s">
        <v>5989</v>
      </c>
      <c r="H2121" s="58" t="s">
        <v>1413</v>
      </c>
      <c r="I2121" s="64" t="s">
        <v>5990</v>
      </c>
      <c r="J2121" s="66"/>
      <c r="K2121" s="66"/>
      <c r="L2121" s="68"/>
      <c r="M2121" s="63" t="str">
        <f>HYPERLINK("http://nsgreg.nga.mil/genc/view?v=864607&amp;end_month=12&amp;end_day=31&amp;end_year=2016","Correlation")</f>
        <v>Correlation</v>
      </c>
    </row>
    <row r="2122" spans="1:13" x14ac:dyDescent="0.2">
      <c r="A2122" s="113"/>
      <c r="B2122" s="58" t="s">
        <v>5991</v>
      </c>
      <c r="C2122" s="58" t="s">
        <v>1413</v>
      </c>
      <c r="D2122" s="58" t="s">
        <v>5992</v>
      </c>
      <c r="E2122" s="60" t="b">
        <v>1</v>
      </c>
      <c r="F2122" s="80" t="s">
        <v>820</v>
      </c>
      <c r="G2122" s="58" t="s">
        <v>5993</v>
      </c>
      <c r="H2122" s="58" t="s">
        <v>1413</v>
      </c>
      <c r="I2122" s="64" t="s">
        <v>5992</v>
      </c>
      <c r="J2122" s="66"/>
      <c r="K2122" s="66"/>
      <c r="L2122" s="68"/>
      <c r="M2122" s="63" t="str">
        <f>HYPERLINK("http://nsgreg.nga.mil/genc/view?v=864608&amp;end_month=12&amp;end_day=31&amp;end_year=2016","Correlation")</f>
        <v>Correlation</v>
      </c>
    </row>
    <row r="2123" spans="1:13" x14ac:dyDescent="0.2">
      <c r="A2123" s="113"/>
      <c r="B2123" s="58" t="s">
        <v>5994</v>
      </c>
      <c r="C2123" s="58" t="s">
        <v>1413</v>
      </c>
      <c r="D2123" s="58" t="s">
        <v>5995</v>
      </c>
      <c r="E2123" s="60" t="b">
        <v>1</v>
      </c>
      <c r="F2123" s="80" t="s">
        <v>820</v>
      </c>
      <c r="G2123" s="58" t="s">
        <v>5994</v>
      </c>
      <c r="H2123" s="58" t="s">
        <v>1413</v>
      </c>
      <c r="I2123" s="64" t="s">
        <v>5995</v>
      </c>
      <c r="J2123" s="66"/>
      <c r="K2123" s="66"/>
      <c r="L2123" s="68"/>
      <c r="M2123" s="63" t="str">
        <f>HYPERLINK("http://nsgreg.nga.mil/genc/view?v=864609&amp;end_month=12&amp;end_day=31&amp;end_year=2016","Correlation")</f>
        <v>Correlation</v>
      </c>
    </row>
    <row r="2124" spans="1:13" x14ac:dyDescent="0.2">
      <c r="A2124" s="113"/>
      <c r="B2124" s="58" t="s">
        <v>5996</v>
      </c>
      <c r="C2124" s="58" t="s">
        <v>1413</v>
      </c>
      <c r="D2124" s="58" t="s">
        <v>5997</v>
      </c>
      <c r="E2124" s="60" t="b">
        <v>1</v>
      </c>
      <c r="F2124" s="80" t="s">
        <v>820</v>
      </c>
      <c r="G2124" s="58" t="s">
        <v>5996</v>
      </c>
      <c r="H2124" s="58" t="s">
        <v>1413</v>
      </c>
      <c r="I2124" s="64" t="s">
        <v>5997</v>
      </c>
      <c r="J2124" s="66"/>
      <c r="K2124" s="66"/>
      <c r="L2124" s="68"/>
      <c r="M2124" s="63" t="str">
        <f>HYPERLINK("http://nsgreg.nga.mil/genc/view?v=864610&amp;end_month=12&amp;end_day=31&amp;end_year=2016","Correlation")</f>
        <v>Correlation</v>
      </c>
    </row>
    <row r="2125" spans="1:13" x14ac:dyDescent="0.2">
      <c r="A2125" s="113"/>
      <c r="B2125" s="58" t="s">
        <v>5998</v>
      </c>
      <c r="C2125" s="58" t="s">
        <v>1413</v>
      </c>
      <c r="D2125" s="58" t="s">
        <v>5999</v>
      </c>
      <c r="E2125" s="60" t="b">
        <v>1</v>
      </c>
      <c r="F2125" s="80" t="s">
        <v>820</v>
      </c>
      <c r="G2125" s="58" t="s">
        <v>5998</v>
      </c>
      <c r="H2125" s="58" t="s">
        <v>1413</v>
      </c>
      <c r="I2125" s="64" t="s">
        <v>5999</v>
      </c>
      <c r="J2125" s="66"/>
      <c r="K2125" s="66"/>
      <c r="L2125" s="68"/>
      <c r="M2125" s="63" t="str">
        <f>HYPERLINK("http://nsgreg.nga.mil/genc/view?v=864611&amp;end_month=12&amp;end_day=31&amp;end_year=2016","Correlation")</f>
        <v>Correlation</v>
      </c>
    </row>
    <row r="2126" spans="1:13" x14ac:dyDescent="0.2">
      <c r="A2126" s="113"/>
      <c r="B2126" s="58" t="s">
        <v>6000</v>
      </c>
      <c r="C2126" s="58" t="s">
        <v>1413</v>
      </c>
      <c r="D2126" s="58" t="s">
        <v>6001</v>
      </c>
      <c r="E2126" s="60" t="b">
        <v>1</v>
      </c>
      <c r="F2126" s="80" t="s">
        <v>820</v>
      </c>
      <c r="G2126" s="58" t="s">
        <v>6000</v>
      </c>
      <c r="H2126" s="58" t="s">
        <v>1413</v>
      </c>
      <c r="I2126" s="64" t="s">
        <v>6001</v>
      </c>
      <c r="J2126" s="66"/>
      <c r="K2126" s="66"/>
      <c r="L2126" s="68"/>
      <c r="M2126" s="63" t="str">
        <f>HYPERLINK("http://nsgreg.nga.mil/genc/view?v=864612&amp;end_month=12&amp;end_day=31&amp;end_year=2016","Correlation")</f>
        <v>Correlation</v>
      </c>
    </row>
    <row r="2127" spans="1:13" x14ac:dyDescent="0.2">
      <c r="A2127" s="113"/>
      <c r="B2127" s="58" t="s">
        <v>6002</v>
      </c>
      <c r="C2127" s="58" t="s">
        <v>1413</v>
      </c>
      <c r="D2127" s="58" t="s">
        <v>6003</v>
      </c>
      <c r="E2127" s="60" t="b">
        <v>1</v>
      </c>
      <c r="F2127" s="80" t="s">
        <v>820</v>
      </c>
      <c r="G2127" s="58" t="s">
        <v>6002</v>
      </c>
      <c r="H2127" s="58" t="s">
        <v>1413</v>
      </c>
      <c r="I2127" s="64" t="s">
        <v>6003</v>
      </c>
      <c r="J2127" s="66"/>
      <c r="K2127" s="66"/>
      <c r="L2127" s="68"/>
      <c r="M2127" s="63" t="str">
        <f>HYPERLINK("http://nsgreg.nga.mil/genc/view?v=864613&amp;end_month=12&amp;end_day=31&amp;end_year=2016","Correlation")</f>
        <v>Correlation</v>
      </c>
    </row>
    <row r="2128" spans="1:13" x14ac:dyDescent="0.2">
      <c r="A2128" s="113"/>
      <c r="B2128" s="58" t="s">
        <v>6004</v>
      </c>
      <c r="C2128" s="58" t="s">
        <v>2925</v>
      </c>
      <c r="D2128" s="58" t="s">
        <v>6005</v>
      </c>
      <c r="E2128" s="60" t="b">
        <v>1</v>
      </c>
      <c r="F2128" s="80" t="s">
        <v>820</v>
      </c>
      <c r="G2128" s="58" t="s">
        <v>6004</v>
      </c>
      <c r="H2128" s="58" t="s">
        <v>2925</v>
      </c>
      <c r="I2128" s="64" t="s">
        <v>6005</v>
      </c>
      <c r="J2128" s="66"/>
      <c r="K2128" s="66"/>
      <c r="L2128" s="68"/>
      <c r="M2128" s="63" t="str">
        <f>HYPERLINK("http://nsgreg.nga.mil/genc/view?v=864615&amp;end_month=12&amp;end_day=31&amp;end_year=2016","Correlation")</f>
        <v>Correlation</v>
      </c>
    </row>
    <row r="2129" spans="1:13" x14ac:dyDescent="0.2">
      <c r="A2129" s="113"/>
      <c r="B2129" s="58" t="s">
        <v>6004</v>
      </c>
      <c r="C2129" s="58" t="s">
        <v>1413</v>
      </c>
      <c r="D2129" s="58" t="s">
        <v>6006</v>
      </c>
      <c r="E2129" s="60" t="b">
        <v>1</v>
      </c>
      <c r="F2129" s="80" t="s">
        <v>820</v>
      </c>
      <c r="G2129" s="58" t="s">
        <v>6004</v>
      </c>
      <c r="H2129" s="58" t="s">
        <v>1413</v>
      </c>
      <c r="I2129" s="64" t="s">
        <v>6006</v>
      </c>
      <c r="J2129" s="66"/>
      <c r="K2129" s="66"/>
      <c r="L2129" s="68"/>
      <c r="M2129" s="63" t="str">
        <f>HYPERLINK("http://nsgreg.nga.mil/genc/view?v=864614&amp;end_month=12&amp;end_day=31&amp;end_year=2016","Correlation")</f>
        <v>Correlation</v>
      </c>
    </row>
    <row r="2130" spans="1:13" x14ac:dyDescent="0.2">
      <c r="A2130" s="113"/>
      <c r="B2130" s="58" t="s">
        <v>6007</v>
      </c>
      <c r="C2130" s="58" t="s">
        <v>1413</v>
      </c>
      <c r="D2130" s="58" t="s">
        <v>6008</v>
      </c>
      <c r="E2130" s="60" t="b">
        <v>1</v>
      </c>
      <c r="F2130" s="80" t="s">
        <v>820</v>
      </c>
      <c r="G2130" s="58" t="s">
        <v>6007</v>
      </c>
      <c r="H2130" s="58" t="s">
        <v>1413</v>
      </c>
      <c r="I2130" s="64" t="s">
        <v>6008</v>
      </c>
      <c r="J2130" s="66"/>
      <c r="K2130" s="66"/>
      <c r="L2130" s="68"/>
      <c r="M2130" s="63" t="str">
        <f>HYPERLINK("http://nsgreg.nga.mil/genc/view?v=864616&amp;end_month=12&amp;end_day=31&amp;end_year=2016","Correlation")</f>
        <v>Correlation</v>
      </c>
    </row>
    <row r="2131" spans="1:13" x14ac:dyDescent="0.2">
      <c r="A2131" s="113"/>
      <c r="B2131" s="58" t="s">
        <v>6009</v>
      </c>
      <c r="C2131" s="58" t="s">
        <v>1413</v>
      </c>
      <c r="D2131" s="58" t="s">
        <v>6010</v>
      </c>
      <c r="E2131" s="60" t="b">
        <v>1</v>
      </c>
      <c r="F2131" s="80" t="s">
        <v>820</v>
      </c>
      <c r="G2131" s="58" t="s">
        <v>6009</v>
      </c>
      <c r="H2131" s="58" t="s">
        <v>1413</v>
      </c>
      <c r="I2131" s="64" t="s">
        <v>6010</v>
      </c>
      <c r="J2131" s="66"/>
      <c r="K2131" s="66"/>
      <c r="L2131" s="68"/>
      <c r="M2131" s="63" t="str">
        <f>HYPERLINK("http://nsgreg.nga.mil/genc/view?v=864619&amp;end_month=12&amp;end_day=31&amp;end_year=2016","Correlation")</f>
        <v>Correlation</v>
      </c>
    </row>
    <row r="2132" spans="1:13" x14ac:dyDescent="0.2">
      <c r="A2132" s="113"/>
      <c r="B2132" s="58" t="s">
        <v>6011</v>
      </c>
      <c r="C2132" s="58" t="s">
        <v>1413</v>
      </c>
      <c r="D2132" s="58" t="s">
        <v>6012</v>
      </c>
      <c r="E2132" s="60" t="b">
        <v>1</v>
      </c>
      <c r="F2132" s="80" t="s">
        <v>820</v>
      </c>
      <c r="G2132" s="58" t="s">
        <v>6011</v>
      </c>
      <c r="H2132" s="58" t="s">
        <v>1413</v>
      </c>
      <c r="I2132" s="64" t="s">
        <v>6012</v>
      </c>
      <c r="J2132" s="66"/>
      <c r="K2132" s="66"/>
      <c r="L2132" s="68"/>
      <c r="M2132" s="63" t="str">
        <f>HYPERLINK("http://nsgreg.nga.mil/genc/view?v=864617&amp;end_month=12&amp;end_day=31&amp;end_year=2016","Correlation")</f>
        <v>Correlation</v>
      </c>
    </row>
    <row r="2133" spans="1:13" x14ac:dyDescent="0.2">
      <c r="A2133" s="114"/>
      <c r="B2133" s="71" t="s">
        <v>6013</v>
      </c>
      <c r="C2133" s="71" t="s">
        <v>1413</v>
      </c>
      <c r="D2133" s="71" t="s">
        <v>6014</v>
      </c>
      <c r="E2133" s="73" t="b">
        <v>1</v>
      </c>
      <c r="F2133" s="81" t="s">
        <v>820</v>
      </c>
      <c r="G2133" s="71" t="s">
        <v>6013</v>
      </c>
      <c r="H2133" s="71" t="s">
        <v>1413</v>
      </c>
      <c r="I2133" s="74" t="s">
        <v>6014</v>
      </c>
      <c r="J2133" s="76"/>
      <c r="K2133" s="76"/>
      <c r="L2133" s="82"/>
      <c r="M2133" s="77" t="str">
        <f>HYPERLINK("http://nsgreg.nga.mil/genc/view?v=864618&amp;end_month=12&amp;end_day=31&amp;end_year=2016","Correlation")</f>
        <v>Correlation</v>
      </c>
    </row>
    <row r="2134" spans="1:13" x14ac:dyDescent="0.2">
      <c r="A2134" s="112" t="s">
        <v>821</v>
      </c>
      <c r="B2134" s="50" t="s">
        <v>6015</v>
      </c>
      <c r="C2134" s="50" t="s">
        <v>1816</v>
      </c>
      <c r="D2134" s="50" t="s">
        <v>6016</v>
      </c>
      <c r="E2134" s="52" t="b">
        <v>1</v>
      </c>
      <c r="F2134" s="78" t="s">
        <v>821</v>
      </c>
      <c r="G2134" s="50" t="s">
        <v>6017</v>
      </c>
      <c r="H2134" s="50" t="s">
        <v>1816</v>
      </c>
      <c r="I2134" s="53" t="s">
        <v>6016</v>
      </c>
      <c r="J2134" s="55"/>
      <c r="K2134" s="55"/>
      <c r="L2134" s="79"/>
      <c r="M2134" s="56" t="str">
        <f>HYPERLINK("http://nsgreg.nga.mil/genc/view?v=864800&amp;end_month=12&amp;end_day=31&amp;end_year=2016","Correlation")</f>
        <v>Correlation</v>
      </c>
    </row>
    <row r="2135" spans="1:13" x14ac:dyDescent="0.2">
      <c r="A2135" s="113"/>
      <c r="B2135" s="58" t="s">
        <v>6018</v>
      </c>
      <c r="C2135" s="58" t="s">
        <v>1816</v>
      </c>
      <c r="D2135" s="58" t="s">
        <v>6019</v>
      </c>
      <c r="E2135" s="60" t="b">
        <v>1</v>
      </c>
      <c r="F2135" s="80" t="s">
        <v>821</v>
      </c>
      <c r="G2135" s="58" t="s">
        <v>6020</v>
      </c>
      <c r="H2135" s="58" t="s">
        <v>1816</v>
      </c>
      <c r="I2135" s="64" t="s">
        <v>6019</v>
      </c>
      <c r="J2135" s="66"/>
      <c r="K2135" s="66"/>
      <c r="L2135" s="68"/>
      <c r="M2135" s="63" t="str">
        <f>HYPERLINK("http://nsgreg.nga.mil/genc/view?v=864790&amp;end_month=12&amp;end_day=31&amp;end_year=2016","Correlation")</f>
        <v>Correlation</v>
      </c>
    </row>
    <row r="2136" spans="1:13" x14ac:dyDescent="0.2">
      <c r="A2136" s="113"/>
      <c r="B2136" s="58" t="s">
        <v>6021</v>
      </c>
      <c r="C2136" s="58" t="s">
        <v>1816</v>
      </c>
      <c r="D2136" s="58" t="s">
        <v>6022</v>
      </c>
      <c r="E2136" s="60" t="b">
        <v>1</v>
      </c>
      <c r="F2136" s="80" t="s">
        <v>821</v>
      </c>
      <c r="G2136" s="58" t="s">
        <v>6023</v>
      </c>
      <c r="H2136" s="58" t="s">
        <v>1816</v>
      </c>
      <c r="I2136" s="64" t="s">
        <v>6022</v>
      </c>
      <c r="J2136" s="66"/>
      <c r="K2136" s="66"/>
      <c r="L2136" s="68"/>
      <c r="M2136" s="63" t="str">
        <f>HYPERLINK("http://nsgreg.nga.mil/genc/view?v=864791&amp;end_month=12&amp;end_day=31&amp;end_year=2016","Correlation")</f>
        <v>Correlation</v>
      </c>
    </row>
    <row r="2137" spans="1:13" x14ac:dyDescent="0.2">
      <c r="A2137" s="113"/>
      <c r="B2137" s="58" t="s">
        <v>6024</v>
      </c>
      <c r="C2137" s="58" t="s">
        <v>1816</v>
      </c>
      <c r="D2137" s="58" t="s">
        <v>6025</v>
      </c>
      <c r="E2137" s="60" t="b">
        <v>1</v>
      </c>
      <c r="F2137" s="80" t="s">
        <v>821</v>
      </c>
      <c r="G2137" s="58" t="s">
        <v>6026</v>
      </c>
      <c r="H2137" s="58" t="s">
        <v>1816</v>
      </c>
      <c r="I2137" s="64" t="s">
        <v>6025</v>
      </c>
      <c r="J2137" s="66"/>
      <c r="K2137" s="66"/>
      <c r="L2137" s="68"/>
      <c r="M2137" s="63" t="str">
        <f>HYPERLINK("http://nsgreg.nga.mil/genc/view?v=864792&amp;end_month=12&amp;end_day=31&amp;end_year=2016","Correlation")</f>
        <v>Correlation</v>
      </c>
    </row>
    <row r="2138" spans="1:13" x14ac:dyDescent="0.2">
      <c r="A2138" s="113"/>
      <c r="B2138" s="58" t="s">
        <v>6027</v>
      </c>
      <c r="C2138" s="58" t="s">
        <v>1816</v>
      </c>
      <c r="D2138" s="58" t="s">
        <v>6028</v>
      </c>
      <c r="E2138" s="60" t="b">
        <v>1</v>
      </c>
      <c r="F2138" s="80" t="s">
        <v>821</v>
      </c>
      <c r="G2138" s="58" t="s">
        <v>6029</v>
      </c>
      <c r="H2138" s="58" t="s">
        <v>1816</v>
      </c>
      <c r="I2138" s="64" t="s">
        <v>6028</v>
      </c>
      <c r="J2138" s="66"/>
      <c r="K2138" s="66"/>
      <c r="L2138" s="68"/>
      <c r="M2138" s="63" t="str">
        <f>HYPERLINK("http://nsgreg.nga.mil/genc/view?v=864793&amp;end_month=12&amp;end_day=31&amp;end_year=2016","Correlation")</f>
        <v>Correlation</v>
      </c>
    </row>
    <row r="2139" spans="1:13" x14ac:dyDescent="0.2">
      <c r="A2139" s="113"/>
      <c r="B2139" s="58" t="s">
        <v>6030</v>
      </c>
      <c r="C2139" s="58" t="s">
        <v>1816</v>
      </c>
      <c r="D2139" s="58" t="s">
        <v>6031</v>
      </c>
      <c r="E2139" s="60" t="b">
        <v>1</v>
      </c>
      <c r="F2139" s="80" t="s">
        <v>821</v>
      </c>
      <c r="G2139" s="58" t="s">
        <v>6032</v>
      </c>
      <c r="H2139" s="58" t="s">
        <v>1816</v>
      </c>
      <c r="I2139" s="64" t="s">
        <v>6031</v>
      </c>
      <c r="J2139" s="66"/>
      <c r="K2139" s="66"/>
      <c r="L2139" s="68"/>
      <c r="M2139" s="63" t="str">
        <f>HYPERLINK("http://nsgreg.nga.mil/genc/view?v=864794&amp;end_month=12&amp;end_day=31&amp;end_year=2016","Correlation")</f>
        <v>Correlation</v>
      </c>
    </row>
    <row r="2140" spans="1:13" x14ac:dyDescent="0.2">
      <c r="A2140" s="113"/>
      <c r="B2140" s="58" t="s">
        <v>6033</v>
      </c>
      <c r="C2140" s="58" t="s">
        <v>1816</v>
      </c>
      <c r="D2140" s="58" t="s">
        <v>6034</v>
      </c>
      <c r="E2140" s="60" t="b">
        <v>1</v>
      </c>
      <c r="F2140" s="80" t="s">
        <v>821</v>
      </c>
      <c r="G2140" s="58" t="s">
        <v>6035</v>
      </c>
      <c r="H2140" s="58" t="s">
        <v>1816</v>
      </c>
      <c r="I2140" s="64" t="s">
        <v>6034</v>
      </c>
      <c r="J2140" s="66"/>
      <c r="K2140" s="66"/>
      <c r="L2140" s="68"/>
      <c r="M2140" s="63" t="str">
        <f>HYPERLINK("http://nsgreg.nga.mil/genc/view?v=864795&amp;end_month=12&amp;end_day=31&amp;end_year=2016","Correlation")</f>
        <v>Correlation</v>
      </c>
    </row>
    <row r="2141" spans="1:13" x14ac:dyDescent="0.2">
      <c r="A2141" s="113"/>
      <c r="B2141" s="58" t="s">
        <v>6036</v>
      </c>
      <c r="C2141" s="58" t="s">
        <v>1816</v>
      </c>
      <c r="D2141" s="58" t="s">
        <v>6037</v>
      </c>
      <c r="E2141" s="60" t="b">
        <v>1</v>
      </c>
      <c r="F2141" s="80" t="s">
        <v>821</v>
      </c>
      <c r="G2141" s="58" t="s">
        <v>6038</v>
      </c>
      <c r="H2141" s="58" t="s">
        <v>1816</v>
      </c>
      <c r="I2141" s="64" t="s">
        <v>6037</v>
      </c>
      <c r="J2141" s="66"/>
      <c r="K2141" s="66"/>
      <c r="L2141" s="68"/>
      <c r="M2141" s="63" t="str">
        <f>HYPERLINK("http://nsgreg.nga.mil/genc/view?v=864796&amp;end_month=12&amp;end_day=31&amp;end_year=2016","Correlation")</f>
        <v>Correlation</v>
      </c>
    </row>
    <row r="2142" spans="1:13" x14ac:dyDescent="0.2">
      <c r="A2142" s="113"/>
      <c r="B2142" s="58" t="s">
        <v>6039</v>
      </c>
      <c r="C2142" s="58" t="s">
        <v>1816</v>
      </c>
      <c r="D2142" s="58" t="s">
        <v>6040</v>
      </c>
      <c r="E2142" s="60" t="b">
        <v>1</v>
      </c>
      <c r="F2142" s="80" t="s">
        <v>821</v>
      </c>
      <c r="G2142" s="58" t="s">
        <v>6041</v>
      </c>
      <c r="H2142" s="58" t="s">
        <v>1816</v>
      </c>
      <c r="I2142" s="64" t="s">
        <v>6040</v>
      </c>
      <c r="J2142" s="66"/>
      <c r="K2142" s="66"/>
      <c r="L2142" s="68"/>
      <c r="M2142" s="63" t="str">
        <f>HYPERLINK("http://nsgreg.nga.mil/genc/view?v=864797&amp;end_month=12&amp;end_day=31&amp;end_year=2016","Correlation")</f>
        <v>Correlation</v>
      </c>
    </row>
    <row r="2143" spans="1:13" x14ac:dyDescent="0.2">
      <c r="A2143" s="113"/>
      <c r="B2143" s="58" t="s">
        <v>6042</v>
      </c>
      <c r="C2143" s="58" t="s">
        <v>1816</v>
      </c>
      <c r="D2143" s="58" t="s">
        <v>6043</v>
      </c>
      <c r="E2143" s="60" t="b">
        <v>1</v>
      </c>
      <c r="F2143" s="80" t="s">
        <v>821</v>
      </c>
      <c r="G2143" s="58" t="s">
        <v>6044</v>
      </c>
      <c r="H2143" s="58" t="s">
        <v>1816</v>
      </c>
      <c r="I2143" s="64" t="s">
        <v>6043</v>
      </c>
      <c r="J2143" s="66"/>
      <c r="K2143" s="66"/>
      <c r="L2143" s="68"/>
      <c r="M2143" s="63" t="str">
        <f>HYPERLINK("http://nsgreg.nga.mil/genc/view?v=864798&amp;end_month=12&amp;end_day=31&amp;end_year=2016","Correlation")</f>
        <v>Correlation</v>
      </c>
    </row>
    <row r="2144" spans="1:13" x14ac:dyDescent="0.2">
      <c r="A2144" s="113"/>
      <c r="B2144" s="58" t="s">
        <v>6045</v>
      </c>
      <c r="C2144" s="58" t="s">
        <v>1816</v>
      </c>
      <c r="D2144" s="58" t="s">
        <v>6046</v>
      </c>
      <c r="E2144" s="60" t="b">
        <v>1</v>
      </c>
      <c r="F2144" s="80" t="s">
        <v>821</v>
      </c>
      <c r="G2144" s="58" t="s">
        <v>6047</v>
      </c>
      <c r="H2144" s="58" t="s">
        <v>1816</v>
      </c>
      <c r="I2144" s="64" t="s">
        <v>6046</v>
      </c>
      <c r="J2144" s="66"/>
      <c r="K2144" s="66"/>
      <c r="L2144" s="68"/>
      <c r="M2144" s="63" t="str">
        <f>HYPERLINK("http://nsgreg.nga.mil/genc/view?v=864799&amp;end_month=12&amp;end_day=31&amp;end_year=2016","Correlation")</f>
        <v>Correlation</v>
      </c>
    </row>
    <row r="2145" spans="1:13" x14ac:dyDescent="0.2">
      <c r="A2145" s="113"/>
      <c r="B2145" s="58" t="s">
        <v>6048</v>
      </c>
      <c r="C2145" s="58" t="s">
        <v>1816</v>
      </c>
      <c r="D2145" s="58" t="s">
        <v>6049</v>
      </c>
      <c r="E2145" s="60" t="b">
        <v>1</v>
      </c>
      <c r="F2145" s="80" t="s">
        <v>821</v>
      </c>
      <c r="G2145" s="58" t="s">
        <v>6050</v>
      </c>
      <c r="H2145" s="58" t="s">
        <v>1816</v>
      </c>
      <c r="I2145" s="64" t="s">
        <v>6049</v>
      </c>
      <c r="J2145" s="66"/>
      <c r="K2145" s="66"/>
      <c r="L2145" s="68"/>
      <c r="M2145" s="63" t="str">
        <f>HYPERLINK("http://nsgreg.nga.mil/genc/view?v=864801&amp;end_month=12&amp;end_day=31&amp;end_year=2016","Correlation")</f>
        <v>Correlation</v>
      </c>
    </row>
    <row r="2146" spans="1:13" x14ac:dyDescent="0.2">
      <c r="A2146" s="113"/>
      <c r="B2146" s="58" t="s">
        <v>6051</v>
      </c>
      <c r="C2146" s="58" t="s">
        <v>1816</v>
      </c>
      <c r="D2146" s="58" t="s">
        <v>6052</v>
      </c>
      <c r="E2146" s="60" t="b">
        <v>1</v>
      </c>
      <c r="F2146" s="80" t="s">
        <v>821</v>
      </c>
      <c r="G2146" s="58" t="s">
        <v>6053</v>
      </c>
      <c r="H2146" s="58" t="s">
        <v>1816</v>
      </c>
      <c r="I2146" s="64" t="s">
        <v>6052</v>
      </c>
      <c r="J2146" s="66"/>
      <c r="K2146" s="66"/>
      <c r="L2146" s="68"/>
      <c r="M2146" s="63" t="str">
        <f>HYPERLINK("http://nsgreg.nga.mil/genc/view?v=864802&amp;end_month=12&amp;end_day=31&amp;end_year=2016","Correlation")</f>
        <v>Correlation</v>
      </c>
    </row>
    <row r="2147" spans="1:13" x14ac:dyDescent="0.2">
      <c r="A2147" s="113"/>
      <c r="B2147" s="58" t="s">
        <v>6054</v>
      </c>
      <c r="C2147" s="58" t="s">
        <v>1816</v>
      </c>
      <c r="D2147" s="58" t="s">
        <v>6055</v>
      </c>
      <c r="E2147" s="60" t="b">
        <v>1</v>
      </c>
      <c r="F2147" s="80" t="s">
        <v>821</v>
      </c>
      <c r="G2147" s="58" t="s">
        <v>6056</v>
      </c>
      <c r="H2147" s="58" t="s">
        <v>1816</v>
      </c>
      <c r="I2147" s="64" t="s">
        <v>6055</v>
      </c>
      <c r="J2147" s="66"/>
      <c r="K2147" s="66"/>
      <c r="L2147" s="68"/>
      <c r="M2147" s="63" t="str">
        <f>HYPERLINK("http://nsgreg.nga.mil/genc/view?v=864803&amp;end_month=12&amp;end_day=31&amp;end_year=2016","Correlation")</f>
        <v>Correlation</v>
      </c>
    </row>
    <row r="2148" spans="1:13" x14ac:dyDescent="0.2">
      <c r="A2148" s="113"/>
      <c r="B2148" s="58" t="s">
        <v>6057</v>
      </c>
      <c r="C2148" s="58" t="s">
        <v>1816</v>
      </c>
      <c r="D2148" s="58" t="s">
        <v>6058</v>
      </c>
      <c r="E2148" s="60" t="b">
        <v>1</v>
      </c>
      <c r="F2148" s="80" t="s">
        <v>821</v>
      </c>
      <c r="G2148" s="58" t="s">
        <v>6059</v>
      </c>
      <c r="H2148" s="58" t="s">
        <v>1816</v>
      </c>
      <c r="I2148" s="64" t="s">
        <v>6058</v>
      </c>
      <c r="J2148" s="66"/>
      <c r="K2148" s="66"/>
      <c r="L2148" s="68"/>
      <c r="M2148" s="63" t="str">
        <f>HYPERLINK("http://nsgreg.nga.mil/genc/view?v=864804&amp;end_month=12&amp;end_day=31&amp;end_year=2016","Correlation")</f>
        <v>Correlation</v>
      </c>
    </row>
    <row r="2149" spans="1:13" x14ac:dyDescent="0.2">
      <c r="A2149" s="113"/>
      <c r="B2149" s="58" t="s">
        <v>6060</v>
      </c>
      <c r="C2149" s="58" t="s">
        <v>1816</v>
      </c>
      <c r="D2149" s="58" t="s">
        <v>6061</v>
      </c>
      <c r="E2149" s="60" t="b">
        <v>1</v>
      </c>
      <c r="F2149" s="80" t="s">
        <v>821</v>
      </c>
      <c r="G2149" s="58" t="s">
        <v>6062</v>
      </c>
      <c r="H2149" s="58" t="s">
        <v>1816</v>
      </c>
      <c r="I2149" s="64" t="s">
        <v>6061</v>
      </c>
      <c r="J2149" s="66"/>
      <c r="K2149" s="66"/>
      <c r="L2149" s="68"/>
      <c r="M2149" s="63" t="str">
        <f>HYPERLINK("http://nsgreg.nga.mil/genc/view?v=864805&amp;end_month=12&amp;end_day=31&amp;end_year=2016","Correlation")</f>
        <v>Correlation</v>
      </c>
    </row>
    <row r="2150" spans="1:13" x14ac:dyDescent="0.2">
      <c r="A2150" s="113"/>
      <c r="B2150" s="58" t="s">
        <v>6063</v>
      </c>
      <c r="C2150" s="58" t="s">
        <v>1816</v>
      </c>
      <c r="D2150" s="58" t="s">
        <v>6064</v>
      </c>
      <c r="E2150" s="60" t="b">
        <v>1</v>
      </c>
      <c r="F2150" s="80" t="s">
        <v>821</v>
      </c>
      <c r="G2150" s="58" t="s">
        <v>6065</v>
      </c>
      <c r="H2150" s="58" t="s">
        <v>1816</v>
      </c>
      <c r="I2150" s="64" t="s">
        <v>6064</v>
      </c>
      <c r="J2150" s="66"/>
      <c r="K2150" s="66"/>
      <c r="L2150" s="68"/>
      <c r="M2150" s="63" t="str">
        <f>HYPERLINK("http://nsgreg.nga.mil/genc/view?v=864806&amp;end_month=12&amp;end_day=31&amp;end_year=2016","Correlation")</f>
        <v>Correlation</v>
      </c>
    </row>
    <row r="2151" spans="1:13" x14ac:dyDescent="0.2">
      <c r="A2151" s="113"/>
      <c r="B2151" s="58" t="s">
        <v>6066</v>
      </c>
      <c r="C2151" s="58" t="s">
        <v>1816</v>
      </c>
      <c r="D2151" s="58" t="s">
        <v>6067</v>
      </c>
      <c r="E2151" s="60" t="b">
        <v>1</v>
      </c>
      <c r="F2151" s="80" t="s">
        <v>821</v>
      </c>
      <c r="G2151" s="58" t="s">
        <v>6068</v>
      </c>
      <c r="H2151" s="58" t="s">
        <v>1816</v>
      </c>
      <c r="I2151" s="64" t="s">
        <v>6067</v>
      </c>
      <c r="J2151" s="66"/>
      <c r="K2151" s="66"/>
      <c r="L2151" s="68"/>
      <c r="M2151" s="63" t="str">
        <f>HYPERLINK("http://nsgreg.nga.mil/genc/view?v=864807&amp;end_month=12&amp;end_day=31&amp;end_year=2016","Correlation")</f>
        <v>Correlation</v>
      </c>
    </row>
    <row r="2152" spans="1:13" x14ac:dyDescent="0.2">
      <c r="A2152" s="113"/>
      <c r="B2152" s="58" t="s">
        <v>6069</v>
      </c>
      <c r="C2152" s="58" t="s">
        <v>1816</v>
      </c>
      <c r="D2152" s="58" t="s">
        <v>6070</v>
      </c>
      <c r="E2152" s="60" t="b">
        <v>1</v>
      </c>
      <c r="F2152" s="80" t="s">
        <v>821</v>
      </c>
      <c r="G2152" s="58" t="s">
        <v>6071</v>
      </c>
      <c r="H2152" s="58" t="s">
        <v>1816</v>
      </c>
      <c r="I2152" s="64" t="s">
        <v>6070</v>
      </c>
      <c r="J2152" s="66"/>
      <c r="K2152" s="66"/>
      <c r="L2152" s="68"/>
      <c r="M2152" s="63" t="str">
        <f>HYPERLINK("http://nsgreg.nga.mil/genc/view?v=864808&amp;end_month=12&amp;end_day=31&amp;end_year=2016","Correlation")</f>
        <v>Correlation</v>
      </c>
    </row>
    <row r="2153" spans="1:13" x14ac:dyDescent="0.2">
      <c r="A2153" s="113"/>
      <c r="B2153" s="58" t="s">
        <v>6072</v>
      </c>
      <c r="C2153" s="58" t="s">
        <v>1816</v>
      </c>
      <c r="D2153" s="58" t="s">
        <v>6073</v>
      </c>
      <c r="E2153" s="60" t="b">
        <v>1</v>
      </c>
      <c r="F2153" s="80" t="s">
        <v>821</v>
      </c>
      <c r="G2153" s="58" t="s">
        <v>6074</v>
      </c>
      <c r="H2153" s="58" t="s">
        <v>1816</v>
      </c>
      <c r="I2153" s="64" t="s">
        <v>6073</v>
      </c>
      <c r="J2153" s="66"/>
      <c r="K2153" s="66"/>
      <c r="L2153" s="68"/>
      <c r="M2153" s="63" t="str">
        <f>HYPERLINK("http://nsgreg.nga.mil/genc/view?v=864809&amp;end_month=12&amp;end_day=31&amp;end_year=2016","Correlation")</f>
        <v>Correlation</v>
      </c>
    </row>
    <row r="2154" spans="1:13" x14ac:dyDescent="0.2">
      <c r="A2154" s="113"/>
      <c r="B2154" s="58" t="s">
        <v>6075</v>
      </c>
      <c r="C2154" s="58" t="s">
        <v>1816</v>
      </c>
      <c r="D2154" s="58" t="s">
        <v>6076</v>
      </c>
      <c r="E2154" s="60" t="b">
        <v>1</v>
      </c>
      <c r="F2154" s="80" t="s">
        <v>821</v>
      </c>
      <c r="G2154" s="58" t="s">
        <v>6077</v>
      </c>
      <c r="H2154" s="58" t="s">
        <v>1816</v>
      </c>
      <c r="I2154" s="64" t="s">
        <v>6076</v>
      </c>
      <c r="J2154" s="66"/>
      <c r="K2154" s="66"/>
      <c r="L2154" s="68"/>
      <c r="M2154" s="63" t="str">
        <f>HYPERLINK("http://nsgreg.nga.mil/genc/view?v=864811&amp;end_month=12&amp;end_day=31&amp;end_year=2016","Correlation")</f>
        <v>Correlation</v>
      </c>
    </row>
    <row r="2155" spans="1:13" x14ac:dyDescent="0.2">
      <c r="A2155" s="113"/>
      <c r="B2155" s="58" t="s">
        <v>6078</v>
      </c>
      <c r="C2155" s="58" t="s">
        <v>1816</v>
      </c>
      <c r="D2155" s="58" t="s">
        <v>6079</v>
      </c>
      <c r="E2155" s="60" t="b">
        <v>1</v>
      </c>
      <c r="F2155" s="80" t="s">
        <v>821</v>
      </c>
      <c r="G2155" s="58" t="s">
        <v>6080</v>
      </c>
      <c r="H2155" s="58" t="s">
        <v>1816</v>
      </c>
      <c r="I2155" s="64" t="s">
        <v>6079</v>
      </c>
      <c r="J2155" s="66"/>
      <c r="K2155" s="66"/>
      <c r="L2155" s="68"/>
      <c r="M2155" s="63" t="str">
        <f>HYPERLINK("http://nsgreg.nga.mil/genc/view?v=864810&amp;end_month=12&amp;end_day=31&amp;end_year=2016","Correlation")</f>
        <v>Correlation</v>
      </c>
    </row>
    <row r="2156" spans="1:13" x14ac:dyDescent="0.2">
      <c r="A2156" s="113"/>
      <c r="B2156" s="58" t="s">
        <v>6081</v>
      </c>
      <c r="C2156" s="58" t="s">
        <v>1816</v>
      </c>
      <c r="D2156" s="58" t="s">
        <v>6082</v>
      </c>
      <c r="E2156" s="60" t="b">
        <v>1</v>
      </c>
      <c r="F2156" s="80" t="s">
        <v>821</v>
      </c>
      <c r="G2156" s="58" t="s">
        <v>6083</v>
      </c>
      <c r="H2156" s="58" t="s">
        <v>1816</v>
      </c>
      <c r="I2156" s="64" t="s">
        <v>6082</v>
      </c>
      <c r="J2156" s="66"/>
      <c r="K2156" s="66"/>
      <c r="L2156" s="68"/>
      <c r="M2156" s="63" t="str">
        <f>HYPERLINK("http://nsgreg.nga.mil/genc/view?v=864812&amp;end_month=12&amp;end_day=31&amp;end_year=2016","Correlation")</f>
        <v>Correlation</v>
      </c>
    </row>
    <row r="2157" spans="1:13" x14ac:dyDescent="0.2">
      <c r="A2157" s="113"/>
      <c r="B2157" s="58" t="s">
        <v>6084</v>
      </c>
      <c r="C2157" s="58" t="s">
        <v>1816</v>
      </c>
      <c r="D2157" s="58" t="s">
        <v>6085</v>
      </c>
      <c r="E2157" s="60" t="b">
        <v>1</v>
      </c>
      <c r="F2157" s="80" t="s">
        <v>821</v>
      </c>
      <c r="G2157" s="58" t="s">
        <v>6086</v>
      </c>
      <c r="H2157" s="58" t="s">
        <v>1816</v>
      </c>
      <c r="I2157" s="64" t="s">
        <v>6085</v>
      </c>
      <c r="J2157" s="66"/>
      <c r="K2157" s="66"/>
      <c r="L2157" s="68"/>
      <c r="M2157" s="63" t="str">
        <f>HYPERLINK("http://nsgreg.nga.mil/genc/view?v=864813&amp;end_month=12&amp;end_day=31&amp;end_year=2016","Correlation")</f>
        <v>Correlation</v>
      </c>
    </row>
    <row r="2158" spans="1:13" x14ac:dyDescent="0.2">
      <c r="A2158" s="113"/>
      <c r="B2158" s="58" t="s">
        <v>6087</v>
      </c>
      <c r="C2158" s="58" t="s">
        <v>6088</v>
      </c>
      <c r="D2158" s="58" t="s">
        <v>6089</v>
      </c>
      <c r="E2158" s="60" t="b">
        <v>1</v>
      </c>
      <c r="F2158" s="80" t="s">
        <v>821</v>
      </c>
      <c r="G2158" s="58" t="s">
        <v>6087</v>
      </c>
      <c r="H2158" s="58" t="s">
        <v>6088</v>
      </c>
      <c r="I2158" s="64" t="s">
        <v>6089</v>
      </c>
      <c r="J2158" s="66"/>
      <c r="K2158" s="66"/>
      <c r="L2158" s="68"/>
      <c r="M2158" s="63" t="str">
        <f>HYPERLINK("http://nsgreg.nga.mil/genc/view?v=864900&amp;end_month=12&amp;end_day=31&amp;end_year=2016","Correlation")</f>
        <v>Correlation</v>
      </c>
    </row>
    <row r="2159" spans="1:13" x14ac:dyDescent="0.2">
      <c r="A2159" s="113"/>
      <c r="B2159" s="58" t="s">
        <v>6090</v>
      </c>
      <c r="C2159" s="58" t="s">
        <v>1816</v>
      </c>
      <c r="D2159" s="58" t="s">
        <v>6091</v>
      </c>
      <c r="E2159" s="60" t="b">
        <v>1</v>
      </c>
      <c r="F2159" s="80" t="s">
        <v>821</v>
      </c>
      <c r="G2159" s="58" t="s">
        <v>6092</v>
      </c>
      <c r="H2159" s="58" t="s">
        <v>1816</v>
      </c>
      <c r="I2159" s="64" t="s">
        <v>6091</v>
      </c>
      <c r="J2159" s="66"/>
      <c r="K2159" s="66"/>
      <c r="L2159" s="68"/>
      <c r="M2159" s="63" t="str">
        <f>HYPERLINK("http://nsgreg.nga.mil/genc/view?v=864814&amp;end_month=12&amp;end_day=31&amp;end_year=2016","Correlation")</f>
        <v>Correlation</v>
      </c>
    </row>
    <row r="2160" spans="1:13" x14ac:dyDescent="0.2">
      <c r="A2160" s="113"/>
      <c r="B2160" s="58" t="s">
        <v>6093</v>
      </c>
      <c r="C2160" s="58" t="s">
        <v>1816</v>
      </c>
      <c r="D2160" s="58" t="s">
        <v>6094</v>
      </c>
      <c r="E2160" s="60" t="b">
        <v>1</v>
      </c>
      <c r="F2160" s="80" t="s">
        <v>821</v>
      </c>
      <c r="G2160" s="58" t="s">
        <v>6095</v>
      </c>
      <c r="H2160" s="58" t="s">
        <v>1816</v>
      </c>
      <c r="I2160" s="64" t="s">
        <v>6094</v>
      </c>
      <c r="J2160" s="66"/>
      <c r="K2160" s="66"/>
      <c r="L2160" s="68"/>
      <c r="M2160" s="63" t="str">
        <f>HYPERLINK("http://nsgreg.nga.mil/genc/view?v=864815&amp;end_month=12&amp;end_day=31&amp;end_year=2016","Correlation")</f>
        <v>Correlation</v>
      </c>
    </row>
    <row r="2161" spans="1:13" x14ac:dyDescent="0.2">
      <c r="A2161" s="113"/>
      <c r="B2161" s="58" t="s">
        <v>6096</v>
      </c>
      <c r="C2161" s="58" t="s">
        <v>1816</v>
      </c>
      <c r="D2161" s="58" t="s">
        <v>6097</v>
      </c>
      <c r="E2161" s="60" t="b">
        <v>1</v>
      </c>
      <c r="F2161" s="80" t="s">
        <v>821</v>
      </c>
      <c r="G2161" s="58" t="s">
        <v>6098</v>
      </c>
      <c r="H2161" s="58" t="s">
        <v>1816</v>
      </c>
      <c r="I2161" s="64" t="s">
        <v>6097</v>
      </c>
      <c r="J2161" s="66"/>
      <c r="K2161" s="66"/>
      <c r="L2161" s="68"/>
      <c r="M2161" s="63" t="str">
        <f>HYPERLINK("http://nsgreg.nga.mil/genc/view?v=864816&amp;end_month=12&amp;end_day=31&amp;end_year=2016","Correlation")</f>
        <v>Correlation</v>
      </c>
    </row>
    <row r="2162" spans="1:13" x14ac:dyDescent="0.2">
      <c r="A2162" s="113"/>
      <c r="B2162" s="58" t="s">
        <v>6099</v>
      </c>
      <c r="C2162" s="58" t="s">
        <v>1816</v>
      </c>
      <c r="D2162" s="58" t="s">
        <v>6100</v>
      </c>
      <c r="E2162" s="60" t="b">
        <v>1</v>
      </c>
      <c r="F2162" s="80" t="s">
        <v>821</v>
      </c>
      <c r="G2162" s="58" t="s">
        <v>6101</v>
      </c>
      <c r="H2162" s="58" t="s">
        <v>1816</v>
      </c>
      <c r="I2162" s="64" t="s">
        <v>6100</v>
      </c>
      <c r="J2162" s="66"/>
      <c r="K2162" s="66"/>
      <c r="L2162" s="68"/>
      <c r="M2162" s="63" t="str">
        <f>HYPERLINK("http://nsgreg.nga.mil/genc/view?v=864817&amp;end_month=12&amp;end_day=31&amp;end_year=2016","Correlation")</f>
        <v>Correlation</v>
      </c>
    </row>
    <row r="2163" spans="1:13" x14ac:dyDescent="0.2">
      <c r="A2163" s="113"/>
      <c r="B2163" s="58" t="s">
        <v>6102</v>
      </c>
      <c r="C2163" s="58" t="s">
        <v>1816</v>
      </c>
      <c r="D2163" s="58" t="s">
        <v>6103</v>
      </c>
      <c r="E2163" s="60" t="b">
        <v>1</v>
      </c>
      <c r="F2163" s="80" t="s">
        <v>821</v>
      </c>
      <c r="G2163" s="58" t="s">
        <v>6104</v>
      </c>
      <c r="H2163" s="58" t="s">
        <v>1816</v>
      </c>
      <c r="I2163" s="64" t="s">
        <v>6103</v>
      </c>
      <c r="J2163" s="66"/>
      <c r="K2163" s="66"/>
      <c r="L2163" s="68"/>
      <c r="M2163" s="63" t="str">
        <f>HYPERLINK("http://nsgreg.nga.mil/genc/view?v=864818&amp;end_month=12&amp;end_day=31&amp;end_year=2016","Correlation")</f>
        <v>Correlation</v>
      </c>
    </row>
    <row r="2164" spans="1:13" x14ac:dyDescent="0.2">
      <c r="A2164" s="113"/>
      <c r="B2164" s="58" t="s">
        <v>6105</v>
      </c>
      <c r="C2164" s="58" t="s">
        <v>1816</v>
      </c>
      <c r="D2164" s="58" t="s">
        <v>6106</v>
      </c>
      <c r="E2164" s="60" t="b">
        <v>1</v>
      </c>
      <c r="F2164" s="80" t="s">
        <v>821</v>
      </c>
      <c r="G2164" s="58" t="s">
        <v>6107</v>
      </c>
      <c r="H2164" s="58" t="s">
        <v>1816</v>
      </c>
      <c r="I2164" s="64" t="s">
        <v>6106</v>
      </c>
      <c r="J2164" s="66"/>
      <c r="K2164" s="66"/>
      <c r="L2164" s="68"/>
      <c r="M2164" s="63" t="str">
        <f>HYPERLINK("http://nsgreg.nga.mil/genc/view?v=864819&amp;end_month=12&amp;end_day=31&amp;end_year=2016","Correlation")</f>
        <v>Correlation</v>
      </c>
    </row>
    <row r="2165" spans="1:13" x14ac:dyDescent="0.2">
      <c r="A2165" s="113"/>
      <c r="B2165" s="58" t="s">
        <v>6108</v>
      </c>
      <c r="C2165" s="58" t="s">
        <v>1816</v>
      </c>
      <c r="D2165" s="58" t="s">
        <v>6109</v>
      </c>
      <c r="E2165" s="60" t="b">
        <v>1</v>
      </c>
      <c r="F2165" s="80" t="s">
        <v>821</v>
      </c>
      <c r="G2165" s="58" t="s">
        <v>6110</v>
      </c>
      <c r="H2165" s="58" t="s">
        <v>1816</v>
      </c>
      <c r="I2165" s="64" t="s">
        <v>6109</v>
      </c>
      <c r="J2165" s="66"/>
      <c r="K2165" s="66"/>
      <c r="L2165" s="68"/>
      <c r="M2165" s="63" t="str">
        <f>HYPERLINK("http://nsgreg.nga.mil/genc/view?v=864820&amp;end_month=12&amp;end_day=31&amp;end_year=2016","Correlation")</f>
        <v>Correlation</v>
      </c>
    </row>
    <row r="2166" spans="1:13" x14ac:dyDescent="0.2">
      <c r="A2166" s="113"/>
      <c r="B2166" s="58" t="s">
        <v>6111</v>
      </c>
      <c r="C2166" s="58" t="s">
        <v>1816</v>
      </c>
      <c r="D2166" s="58" t="s">
        <v>6112</v>
      </c>
      <c r="E2166" s="60" t="b">
        <v>1</v>
      </c>
      <c r="F2166" s="80" t="s">
        <v>821</v>
      </c>
      <c r="G2166" s="58" t="s">
        <v>6113</v>
      </c>
      <c r="H2166" s="58" t="s">
        <v>1816</v>
      </c>
      <c r="I2166" s="64" t="s">
        <v>6112</v>
      </c>
      <c r="J2166" s="66"/>
      <c r="K2166" s="66"/>
      <c r="L2166" s="68"/>
      <c r="M2166" s="63" t="str">
        <f>HYPERLINK("http://nsgreg.nga.mil/genc/view?v=864821&amp;end_month=12&amp;end_day=31&amp;end_year=2016","Correlation")</f>
        <v>Correlation</v>
      </c>
    </row>
    <row r="2167" spans="1:13" x14ac:dyDescent="0.2">
      <c r="A2167" s="113"/>
      <c r="B2167" s="58" t="s">
        <v>6114</v>
      </c>
      <c r="C2167" s="58" t="s">
        <v>1816</v>
      </c>
      <c r="D2167" s="58" t="s">
        <v>6115</v>
      </c>
      <c r="E2167" s="60" t="b">
        <v>1</v>
      </c>
      <c r="F2167" s="80" t="s">
        <v>821</v>
      </c>
      <c r="G2167" s="58" t="s">
        <v>6116</v>
      </c>
      <c r="H2167" s="58" t="s">
        <v>1816</v>
      </c>
      <c r="I2167" s="64" t="s">
        <v>6115</v>
      </c>
      <c r="J2167" s="66"/>
      <c r="K2167" s="66"/>
      <c r="L2167" s="68"/>
      <c r="M2167" s="63" t="str">
        <f>HYPERLINK("http://nsgreg.nga.mil/genc/view?v=864822&amp;end_month=12&amp;end_day=31&amp;end_year=2016","Correlation")</f>
        <v>Correlation</v>
      </c>
    </row>
    <row r="2168" spans="1:13" x14ac:dyDescent="0.2">
      <c r="A2168" s="113"/>
      <c r="B2168" s="58" t="s">
        <v>6117</v>
      </c>
      <c r="C2168" s="58" t="s">
        <v>1816</v>
      </c>
      <c r="D2168" s="58" t="s">
        <v>6118</v>
      </c>
      <c r="E2168" s="60" t="b">
        <v>1</v>
      </c>
      <c r="F2168" s="80" t="s">
        <v>821</v>
      </c>
      <c r="G2168" s="58" t="s">
        <v>6119</v>
      </c>
      <c r="H2168" s="58" t="s">
        <v>1816</v>
      </c>
      <c r="I2168" s="64" t="s">
        <v>6118</v>
      </c>
      <c r="J2168" s="66"/>
      <c r="K2168" s="66"/>
      <c r="L2168" s="68"/>
      <c r="M2168" s="63" t="str">
        <f>HYPERLINK("http://nsgreg.nga.mil/genc/view?v=864823&amp;end_month=12&amp;end_day=31&amp;end_year=2016","Correlation")</f>
        <v>Correlation</v>
      </c>
    </row>
    <row r="2169" spans="1:13" x14ac:dyDescent="0.2">
      <c r="A2169" s="113"/>
      <c r="B2169" s="58" t="s">
        <v>6120</v>
      </c>
      <c r="C2169" s="58" t="s">
        <v>1816</v>
      </c>
      <c r="D2169" s="58" t="s">
        <v>6121</v>
      </c>
      <c r="E2169" s="60" t="b">
        <v>1</v>
      </c>
      <c r="F2169" s="80" t="s">
        <v>821</v>
      </c>
      <c r="G2169" s="58" t="s">
        <v>6122</v>
      </c>
      <c r="H2169" s="58" t="s">
        <v>1816</v>
      </c>
      <c r="I2169" s="64" t="s">
        <v>6121</v>
      </c>
      <c r="J2169" s="66"/>
      <c r="K2169" s="66"/>
      <c r="L2169" s="68"/>
      <c r="M2169" s="63" t="str">
        <f>HYPERLINK("http://nsgreg.nga.mil/genc/view?v=864824&amp;end_month=12&amp;end_day=31&amp;end_year=2016","Correlation")</f>
        <v>Correlation</v>
      </c>
    </row>
    <row r="2170" spans="1:13" x14ac:dyDescent="0.2">
      <c r="A2170" s="113"/>
      <c r="B2170" s="58" t="s">
        <v>6123</v>
      </c>
      <c r="C2170" s="58" t="s">
        <v>1816</v>
      </c>
      <c r="D2170" s="58" t="s">
        <v>6124</v>
      </c>
      <c r="E2170" s="60" t="b">
        <v>1</v>
      </c>
      <c r="F2170" s="80" t="s">
        <v>821</v>
      </c>
      <c r="G2170" s="58" t="s">
        <v>6125</v>
      </c>
      <c r="H2170" s="58" t="s">
        <v>1816</v>
      </c>
      <c r="I2170" s="64" t="s">
        <v>6124</v>
      </c>
      <c r="J2170" s="66"/>
      <c r="K2170" s="66"/>
      <c r="L2170" s="68"/>
      <c r="M2170" s="63" t="str">
        <f>HYPERLINK("http://nsgreg.nga.mil/genc/view?v=864825&amp;end_month=12&amp;end_day=31&amp;end_year=2016","Correlation")</f>
        <v>Correlation</v>
      </c>
    </row>
    <row r="2171" spans="1:13" x14ac:dyDescent="0.2">
      <c r="A2171" s="113"/>
      <c r="B2171" s="58" t="s">
        <v>6126</v>
      </c>
      <c r="C2171" s="58" t="s">
        <v>1816</v>
      </c>
      <c r="D2171" s="58" t="s">
        <v>6127</v>
      </c>
      <c r="E2171" s="60" t="b">
        <v>1</v>
      </c>
      <c r="F2171" s="80" t="s">
        <v>821</v>
      </c>
      <c r="G2171" s="58" t="s">
        <v>6128</v>
      </c>
      <c r="H2171" s="58" t="s">
        <v>1816</v>
      </c>
      <c r="I2171" s="64" t="s">
        <v>6127</v>
      </c>
      <c r="J2171" s="66"/>
      <c r="K2171" s="66"/>
      <c r="L2171" s="68"/>
      <c r="M2171" s="63" t="str">
        <f>HYPERLINK("http://nsgreg.nga.mil/genc/view?v=864826&amp;end_month=12&amp;end_day=31&amp;end_year=2016","Correlation")</f>
        <v>Correlation</v>
      </c>
    </row>
    <row r="2172" spans="1:13" x14ac:dyDescent="0.2">
      <c r="A2172" s="113"/>
      <c r="B2172" s="58" t="s">
        <v>6129</v>
      </c>
      <c r="C2172" s="58" t="s">
        <v>1816</v>
      </c>
      <c r="D2172" s="58" t="s">
        <v>6130</v>
      </c>
      <c r="E2172" s="60" t="b">
        <v>1</v>
      </c>
      <c r="F2172" s="80" t="s">
        <v>821</v>
      </c>
      <c r="G2172" s="58" t="s">
        <v>6131</v>
      </c>
      <c r="H2172" s="58" t="s">
        <v>1816</v>
      </c>
      <c r="I2172" s="64" t="s">
        <v>6130</v>
      </c>
      <c r="J2172" s="66"/>
      <c r="K2172" s="66"/>
      <c r="L2172" s="68"/>
      <c r="M2172" s="63" t="str">
        <f>HYPERLINK("http://nsgreg.nga.mil/genc/view?v=864827&amp;end_month=12&amp;end_day=31&amp;end_year=2016","Correlation")</f>
        <v>Correlation</v>
      </c>
    </row>
    <row r="2173" spans="1:13" x14ac:dyDescent="0.2">
      <c r="A2173" s="113"/>
      <c r="B2173" s="58" t="s">
        <v>6132</v>
      </c>
      <c r="C2173" s="58" t="s">
        <v>1816</v>
      </c>
      <c r="D2173" s="58" t="s">
        <v>6133</v>
      </c>
      <c r="E2173" s="60" t="b">
        <v>1</v>
      </c>
      <c r="F2173" s="80" t="s">
        <v>821</v>
      </c>
      <c r="G2173" s="58" t="s">
        <v>6134</v>
      </c>
      <c r="H2173" s="58" t="s">
        <v>1816</v>
      </c>
      <c r="I2173" s="64" t="s">
        <v>6133</v>
      </c>
      <c r="J2173" s="66"/>
      <c r="K2173" s="66"/>
      <c r="L2173" s="68"/>
      <c r="M2173" s="63" t="str">
        <f>HYPERLINK("http://nsgreg.nga.mil/genc/view?v=864828&amp;end_month=12&amp;end_day=31&amp;end_year=2016","Correlation")</f>
        <v>Correlation</v>
      </c>
    </row>
    <row r="2174" spans="1:13" x14ac:dyDescent="0.2">
      <c r="A2174" s="113"/>
      <c r="B2174" s="58" t="s">
        <v>6135</v>
      </c>
      <c r="C2174" s="58" t="s">
        <v>1816</v>
      </c>
      <c r="D2174" s="58" t="s">
        <v>6136</v>
      </c>
      <c r="E2174" s="60" t="b">
        <v>1</v>
      </c>
      <c r="F2174" s="80" t="s">
        <v>821</v>
      </c>
      <c r="G2174" s="58" t="s">
        <v>6137</v>
      </c>
      <c r="H2174" s="58" t="s">
        <v>1816</v>
      </c>
      <c r="I2174" s="64" t="s">
        <v>6136</v>
      </c>
      <c r="J2174" s="66"/>
      <c r="K2174" s="66"/>
      <c r="L2174" s="68"/>
      <c r="M2174" s="63" t="str">
        <f>HYPERLINK("http://nsgreg.nga.mil/genc/view?v=864829&amp;end_month=12&amp;end_day=31&amp;end_year=2016","Correlation")</f>
        <v>Correlation</v>
      </c>
    </row>
    <row r="2175" spans="1:13" x14ac:dyDescent="0.2">
      <c r="A2175" s="113"/>
      <c r="B2175" s="58" t="s">
        <v>6138</v>
      </c>
      <c r="C2175" s="58" t="s">
        <v>6088</v>
      </c>
      <c r="D2175" s="58" t="s">
        <v>6139</v>
      </c>
      <c r="E2175" s="60" t="b">
        <v>1</v>
      </c>
      <c r="F2175" s="80" t="s">
        <v>821</v>
      </c>
      <c r="G2175" s="58" t="s">
        <v>6138</v>
      </c>
      <c r="H2175" s="58" t="s">
        <v>6088</v>
      </c>
      <c r="I2175" s="64" t="s">
        <v>6139</v>
      </c>
      <c r="J2175" s="66"/>
      <c r="K2175" s="66"/>
      <c r="L2175" s="68"/>
      <c r="M2175" s="63" t="str">
        <f>HYPERLINK("http://nsgreg.nga.mil/genc/view?v=864902&amp;end_month=12&amp;end_day=31&amp;end_year=2016","Correlation")</f>
        <v>Correlation</v>
      </c>
    </row>
    <row r="2176" spans="1:13" x14ac:dyDescent="0.2">
      <c r="A2176" s="113"/>
      <c r="B2176" s="58" t="s">
        <v>6140</v>
      </c>
      <c r="C2176" s="58" t="s">
        <v>1816</v>
      </c>
      <c r="D2176" s="58" t="s">
        <v>6141</v>
      </c>
      <c r="E2176" s="60" t="b">
        <v>1</v>
      </c>
      <c r="F2176" s="80" t="s">
        <v>821</v>
      </c>
      <c r="G2176" s="58" t="s">
        <v>6142</v>
      </c>
      <c r="H2176" s="58" t="s">
        <v>1816</v>
      </c>
      <c r="I2176" s="64" t="s">
        <v>6141</v>
      </c>
      <c r="J2176" s="66"/>
      <c r="K2176" s="66"/>
      <c r="L2176" s="68"/>
      <c r="M2176" s="63" t="str">
        <f>HYPERLINK("http://nsgreg.nga.mil/genc/view?v=864831&amp;end_month=12&amp;end_day=31&amp;end_year=2016","Correlation")</f>
        <v>Correlation</v>
      </c>
    </row>
    <row r="2177" spans="1:13" x14ac:dyDescent="0.2">
      <c r="A2177" s="113"/>
      <c r="B2177" s="58" t="s">
        <v>6143</v>
      </c>
      <c r="C2177" s="58" t="s">
        <v>6088</v>
      </c>
      <c r="D2177" s="58" t="s">
        <v>6144</v>
      </c>
      <c r="E2177" s="60" t="b">
        <v>1</v>
      </c>
      <c r="F2177" s="80" t="s">
        <v>821</v>
      </c>
      <c r="G2177" s="58" t="s">
        <v>6143</v>
      </c>
      <c r="H2177" s="58" t="s">
        <v>6088</v>
      </c>
      <c r="I2177" s="64" t="s">
        <v>6144</v>
      </c>
      <c r="J2177" s="66"/>
      <c r="K2177" s="66"/>
      <c r="L2177" s="68"/>
      <c r="M2177" s="63" t="str">
        <f>HYPERLINK("http://nsgreg.nga.mil/genc/view?v=864901&amp;end_month=12&amp;end_day=31&amp;end_year=2016","Correlation")</f>
        <v>Correlation</v>
      </c>
    </row>
    <row r="2178" spans="1:13" x14ac:dyDescent="0.2">
      <c r="A2178" s="113"/>
      <c r="B2178" s="58" t="s">
        <v>6145</v>
      </c>
      <c r="C2178" s="58" t="s">
        <v>1816</v>
      </c>
      <c r="D2178" s="58" t="s">
        <v>6146</v>
      </c>
      <c r="E2178" s="60" t="b">
        <v>1</v>
      </c>
      <c r="F2178" s="80" t="s">
        <v>821</v>
      </c>
      <c r="G2178" s="58" t="s">
        <v>6147</v>
      </c>
      <c r="H2178" s="58" t="s">
        <v>1816</v>
      </c>
      <c r="I2178" s="64" t="s">
        <v>6146</v>
      </c>
      <c r="J2178" s="66"/>
      <c r="K2178" s="66"/>
      <c r="L2178" s="68"/>
      <c r="M2178" s="63" t="str">
        <f>HYPERLINK("http://nsgreg.nga.mil/genc/view?v=864830&amp;end_month=12&amp;end_day=31&amp;end_year=2016","Correlation")</f>
        <v>Correlation</v>
      </c>
    </row>
    <row r="2179" spans="1:13" x14ac:dyDescent="0.2">
      <c r="A2179" s="113"/>
      <c r="B2179" s="58" t="s">
        <v>6148</v>
      </c>
      <c r="C2179" s="58" t="s">
        <v>6088</v>
      </c>
      <c r="D2179" s="58" t="s">
        <v>6149</v>
      </c>
      <c r="E2179" s="60" t="b">
        <v>1</v>
      </c>
      <c r="F2179" s="80" t="s">
        <v>821</v>
      </c>
      <c r="G2179" s="58" t="s">
        <v>6148</v>
      </c>
      <c r="H2179" s="58" t="s">
        <v>6088</v>
      </c>
      <c r="I2179" s="64" t="s">
        <v>6149</v>
      </c>
      <c r="J2179" s="66"/>
      <c r="K2179" s="66"/>
      <c r="L2179" s="68"/>
      <c r="M2179" s="63" t="str">
        <f>HYPERLINK("http://nsgreg.nga.mil/genc/view?v=864903&amp;end_month=12&amp;end_day=31&amp;end_year=2016","Correlation")</f>
        <v>Correlation</v>
      </c>
    </row>
    <row r="2180" spans="1:13" x14ac:dyDescent="0.2">
      <c r="A2180" s="113"/>
      <c r="B2180" s="58" t="s">
        <v>6150</v>
      </c>
      <c r="C2180" s="58" t="s">
        <v>1816</v>
      </c>
      <c r="D2180" s="58" t="s">
        <v>6151</v>
      </c>
      <c r="E2180" s="60" t="b">
        <v>1</v>
      </c>
      <c r="F2180" s="80" t="s">
        <v>821</v>
      </c>
      <c r="G2180" s="58" t="s">
        <v>6152</v>
      </c>
      <c r="H2180" s="58" t="s">
        <v>1816</v>
      </c>
      <c r="I2180" s="64" t="s">
        <v>6151</v>
      </c>
      <c r="J2180" s="66"/>
      <c r="K2180" s="66"/>
      <c r="L2180" s="68"/>
      <c r="M2180" s="63" t="str">
        <f>HYPERLINK("http://nsgreg.nga.mil/genc/view?v=864832&amp;end_month=12&amp;end_day=31&amp;end_year=2016","Correlation")</f>
        <v>Correlation</v>
      </c>
    </row>
    <row r="2181" spans="1:13" x14ac:dyDescent="0.2">
      <c r="A2181" s="113"/>
      <c r="B2181" s="58" t="s">
        <v>6153</v>
      </c>
      <c r="C2181" s="58" t="s">
        <v>1816</v>
      </c>
      <c r="D2181" s="58" t="s">
        <v>6154</v>
      </c>
      <c r="E2181" s="60" t="b">
        <v>1</v>
      </c>
      <c r="F2181" s="80" t="s">
        <v>821</v>
      </c>
      <c r="G2181" s="58" t="s">
        <v>6155</v>
      </c>
      <c r="H2181" s="58" t="s">
        <v>1816</v>
      </c>
      <c r="I2181" s="64" t="s">
        <v>6154</v>
      </c>
      <c r="J2181" s="66"/>
      <c r="K2181" s="66"/>
      <c r="L2181" s="68"/>
      <c r="M2181" s="63" t="str">
        <f>HYPERLINK("http://nsgreg.nga.mil/genc/view?v=864833&amp;end_month=12&amp;end_day=31&amp;end_year=2016","Correlation")</f>
        <v>Correlation</v>
      </c>
    </row>
    <row r="2182" spans="1:13" x14ac:dyDescent="0.2">
      <c r="A2182" s="113"/>
      <c r="B2182" s="58" t="s">
        <v>6156</v>
      </c>
      <c r="C2182" s="58" t="s">
        <v>1816</v>
      </c>
      <c r="D2182" s="58" t="s">
        <v>6157</v>
      </c>
      <c r="E2182" s="60" t="b">
        <v>1</v>
      </c>
      <c r="F2182" s="80" t="s">
        <v>821</v>
      </c>
      <c r="G2182" s="58" t="s">
        <v>6158</v>
      </c>
      <c r="H2182" s="58" t="s">
        <v>1816</v>
      </c>
      <c r="I2182" s="64" t="s">
        <v>6157</v>
      </c>
      <c r="J2182" s="66"/>
      <c r="K2182" s="66"/>
      <c r="L2182" s="68"/>
      <c r="M2182" s="63" t="str">
        <f>HYPERLINK("http://nsgreg.nga.mil/genc/view?v=864840&amp;end_month=12&amp;end_day=31&amp;end_year=2016","Correlation")</f>
        <v>Correlation</v>
      </c>
    </row>
    <row r="2183" spans="1:13" x14ac:dyDescent="0.2">
      <c r="A2183" s="113"/>
      <c r="B2183" s="58" t="s">
        <v>6159</v>
      </c>
      <c r="C2183" s="58" t="s">
        <v>1816</v>
      </c>
      <c r="D2183" s="58" t="s">
        <v>6160</v>
      </c>
      <c r="E2183" s="60" t="b">
        <v>1</v>
      </c>
      <c r="F2183" s="80" t="s">
        <v>821</v>
      </c>
      <c r="G2183" s="58" t="s">
        <v>6161</v>
      </c>
      <c r="H2183" s="58" t="s">
        <v>1816</v>
      </c>
      <c r="I2183" s="64" t="s">
        <v>6160</v>
      </c>
      <c r="J2183" s="66"/>
      <c r="K2183" s="66"/>
      <c r="L2183" s="68"/>
      <c r="M2183" s="63" t="str">
        <f>HYPERLINK("http://nsgreg.nga.mil/genc/view?v=864841&amp;end_month=12&amp;end_day=31&amp;end_year=2016","Correlation")</f>
        <v>Correlation</v>
      </c>
    </row>
    <row r="2184" spans="1:13" x14ac:dyDescent="0.2">
      <c r="A2184" s="113"/>
      <c r="B2184" s="58" t="s">
        <v>6162</v>
      </c>
      <c r="C2184" s="58" t="s">
        <v>1816</v>
      </c>
      <c r="D2184" s="58" t="s">
        <v>6163</v>
      </c>
      <c r="E2184" s="60" t="b">
        <v>1</v>
      </c>
      <c r="F2184" s="80" t="s">
        <v>821</v>
      </c>
      <c r="G2184" s="58" t="s">
        <v>6164</v>
      </c>
      <c r="H2184" s="58" t="s">
        <v>1816</v>
      </c>
      <c r="I2184" s="64" t="s">
        <v>6163</v>
      </c>
      <c r="J2184" s="66"/>
      <c r="K2184" s="66"/>
      <c r="L2184" s="68"/>
      <c r="M2184" s="63" t="str">
        <f>HYPERLINK("http://nsgreg.nga.mil/genc/view?v=864834&amp;end_month=12&amp;end_day=31&amp;end_year=2016","Correlation")</f>
        <v>Correlation</v>
      </c>
    </row>
    <row r="2185" spans="1:13" x14ac:dyDescent="0.2">
      <c r="A2185" s="113"/>
      <c r="B2185" s="58" t="s">
        <v>6165</v>
      </c>
      <c r="C2185" s="58" t="s">
        <v>1816</v>
      </c>
      <c r="D2185" s="58" t="s">
        <v>6166</v>
      </c>
      <c r="E2185" s="60" t="b">
        <v>1</v>
      </c>
      <c r="F2185" s="80" t="s">
        <v>821</v>
      </c>
      <c r="G2185" s="58" t="s">
        <v>6167</v>
      </c>
      <c r="H2185" s="58" t="s">
        <v>1816</v>
      </c>
      <c r="I2185" s="64" t="s">
        <v>6166</v>
      </c>
      <c r="J2185" s="66"/>
      <c r="K2185" s="66"/>
      <c r="L2185" s="68"/>
      <c r="M2185" s="63" t="str">
        <f>HYPERLINK("http://nsgreg.nga.mil/genc/view?v=864835&amp;end_month=12&amp;end_day=31&amp;end_year=2016","Correlation")</f>
        <v>Correlation</v>
      </c>
    </row>
    <row r="2186" spans="1:13" x14ac:dyDescent="0.2">
      <c r="A2186" s="113"/>
      <c r="B2186" s="58" t="s">
        <v>6168</v>
      </c>
      <c r="C2186" s="58" t="s">
        <v>1816</v>
      </c>
      <c r="D2186" s="58" t="s">
        <v>6169</v>
      </c>
      <c r="E2186" s="60" t="b">
        <v>1</v>
      </c>
      <c r="F2186" s="80" t="s">
        <v>821</v>
      </c>
      <c r="G2186" s="58" t="s">
        <v>6170</v>
      </c>
      <c r="H2186" s="58" t="s">
        <v>1816</v>
      </c>
      <c r="I2186" s="64" t="s">
        <v>6169</v>
      </c>
      <c r="J2186" s="66"/>
      <c r="K2186" s="66"/>
      <c r="L2186" s="68"/>
      <c r="M2186" s="63" t="str">
        <f>HYPERLINK("http://nsgreg.nga.mil/genc/view?v=864836&amp;end_month=12&amp;end_day=31&amp;end_year=2016","Correlation")</f>
        <v>Correlation</v>
      </c>
    </row>
    <row r="2187" spans="1:13" x14ac:dyDescent="0.2">
      <c r="A2187" s="113"/>
      <c r="B2187" s="58" t="s">
        <v>6171</v>
      </c>
      <c r="C2187" s="58" t="s">
        <v>1816</v>
      </c>
      <c r="D2187" s="58" t="s">
        <v>6172</v>
      </c>
      <c r="E2187" s="60" t="b">
        <v>1</v>
      </c>
      <c r="F2187" s="80" t="s">
        <v>821</v>
      </c>
      <c r="G2187" s="58" t="s">
        <v>6173</v>
      </c>
      <c r="H2187" s="58" t="s">
        <v>1816</v>
      </c>
      <c r="I2187" s="64" t="s">
        <v>6172</v>
      </c>
      <c r="J2187" s="66"/>
      <c r="K2187" s="66"/>
      <c r="L2187" s="68"/>
      <c r="M2187" s="63" t="str">
        <f>HYPERLINK("http://nsgreg.nga.mil/genc/view?v=864837&amp;end_month=12&amp;end_day=31&amp;end_year=2016","Correlation")</f>
        <v>Correlation</v>
      </c>
    </row>
    <row r="2188" spans="1:13" x14ac:dyDescent="0.2">
      <c r="A2188" s="113"/>
      <c r="B2188" s="58" t="s">
        <v>6174</v>
      </c>
      <c r="C2188" s="58" t="s">
        <v>1816</v>
      </c>
      <c r="D2188" s="58" t="s">
        <v>6175</v>
      </c>
      <c r="E2188" s="60" t="b">
        <v>1</v>
      </c>
      <c r="F2188" s="80" t="s">
        <v>821</v>
      </c>
      <c r="G2188" s="58" t="s">
        <v>6176</v>
      </c>
      <c r="H2188" s="58" t="s">
        <v>1816</v>
      </c>
      <c r="I2188" s="64" t="s">
        <v>6175</v>
      </c>
      <c r="J2188" s="66"/>
      <c r="K2188" s="66"/>
      <c r="L2188" s="68"/>
      <c r="M2188" s="63" t="str">
        <f>HYPERLINK("http://nsgreg.nga.mil/genc/view?v=864838&amp;end_month=12&amp;end_day=31&amp;end_year=2016","Correlation")</f>
        <v>Correlation</v>
      </c>
    </row>
    <row r="2189" spans="1:13" x14ac:dyDescent="0.2">
      <c r="A2189" s="113"/>
      <c r="B2189" s="58" t="s">
        <v>6177</v>
      </c>
      <c r="C2189" s="58" t="s">
        <v>1816</v>
      </c>
      <c r="D2189" s="58" t="s">
        <v>6178</v>
      </c>
      <c r="E2189" s="60" t="b">
        <v>1</v>
      </c>
      <c r="F2189" s="80" t="s">
        <v>821</v>
      </c>
      <c r="G2189" s="58" t="s">
        <v>6179</v>
      </c>
      <c r="H2189" s="58" t="s">
        <v>1816</v>
      </c>
      <c r="I2189" s="64" t="s">
        <v>6178</v>
      </c>
      <c r="J2189" s="66"/>
      <c r="K2189" s="66"/>
      <c r="L2189" s="68"/>
      <c r="M2189" s="63" t="str">
        <f>HYPERLINK("http://nsgreg.nga.mil/genc/view?v=864839&amp;end_month=12&amp;end_day=31&amp;end_year=2016","Correlation")</f>
        <v>Correlation</v>
      </c>
    </row>
    <row r="2190" spans="1:13" x14ac:dyDescent="0.2">
      <c r="A2190" s="113"/>
      <c r="B2190" s="58" t="s">
        <v>6180</v>
      </c>
      <c r="C2190" s="58" t="s">
        <v>1816</v>
      </c>
      <c r="D2190" s="58" t="s">
        <v>6181</v>
      </c>
      <c r="E2190" s="60" t="b">
        <v>1</v>
      </c>
      <c r="F2190" s="80" t="s">
        <v>821</v>
      </c>
      <c r="G2190" s="58" t="s">
        <v>6182</v>
      </c>
      <c r="H2190" s="58" t="s">
        <v>1816</v>
      </c>
      <c r="I2190" s="64" t="s">
        <v>6181</v>
      </c>
      <c r="J2190" s="66"/>
      <c r="K2190" s="66"/>
      <c r="L2190" s="68"/>
      <c r="M2190" s="63" t="str">
        <f>HYPERLINK("http://nsgreg.nga.mil/genc/view?v=864842&amp;end_month=12&amp;end_day=31&amp;end_year=2016","Correlation")</f>
        <v>Correlation</v>
      </c>
    </row>
    <row r="2191" spans="1:13" x14ac:dyDescent="0.2">
      <c r="A2191" s="113"/>
      <c r="B2191" s="58" t="s">
        <v>6183</v>
      </c>
      <c r="C2191" s="58" t="s">
        <v>6088</v>
      </c>
      <c r="D2191" s="58" t="s">
        <v>6184</v>
      </c>
      <c r="E2191" s="60" t="b">
        <v>1</v>
      </c>
      <c r="F2191" s="80" t="s">
        <v>821</v>
      </c>
      <c r="G2191" s="58" t="s">
        <v>6183</v>
      </c>
      <c r="H2191" s="58" t="s">
        <v>6088</v>
      </c>
      <c r="I2191" s="64" t="s">
        <v>6184</v>
      </c>
      <c r="J2191" s="66"/>
      <c r="K2191" s="66"/>
      <c r="L2191" s="68"/>
      <c r="M2191" s="63" t="str">
        <f>HYPERLINK("http://nsgreg.nga.mil/genc/view?v=864904&amp;end_month=12&amp;end_day=31&amp;end_year=2016","Correlation")</f>
        <v>Correlation</v>
      </c>
    </row>
    <row r="2192" spans="1:13" x14ac:dyDescent="0.2">
      <c r="A2192" s="113"/>
      <c r="B2192" s="58" t="s">
        <v>6185</v>
      </c>
      <c r="C2192" s="58" t="s">
        <v>1816</v>
      </c>
      <c r="D2192" s="58" t="s">
        <v>6186</v>
      </c>
      <c r="E2192" s="60" t="b">
        <v>1</v>
      </c>
      <c r="F2192" s="80" t="s">
        <v>821</v>
      </c>
      <c r="G2192" s="58" t="s">
        <v>6187</v>
      </c>
      <c r="H2192" s="58" t="s">
        <v>1816</v>
      </c>
      <c r="I2192" s="64" t="s">
        <v>6186</v>
      </c>
      <c r="J2192" s="66"/>
      <c r="K2192" s="66"/>
      <c r="L2192" s="68"/>
      <c r="M2192" s="63" t="str">
        <f>HYPERLINK("http://nsgreg.nga.mil/genc/view?v=864844&amp;end_month=12&amp;end_day=31&amp;end_year=2016","Correlation")</f>
        <v>Correlation</v>
      </c>
    </row>
    <row r="2193" spans="1:13" x14ac:dyDescent="0.2">
      <c r="A2193" s="113"/>
      <c r="B2193" s="58" t="s">
        <v>6188</v>
      </c>
      <c r="C2193" s="58" t="s">
        <v>1816</v>
      </c>
      <c r="D2193" s="58" t="s">
        <v>6189</v>
      </c>
      <c r="E2193" s="60" t="b">
        <v>1</v>
      </c>
      <c r="F2193" s="80" t="s">
        <v>821</v>
      </c>
      <c r="G2193" s="58" t="s">
        <v>6190</v>
      </c>
      <c r="H2193" s="58" t="s">
        <v>1816</v>
      </c>
      <c r="I2193" s="64" t="s">
        <v>6189</v>
      </c>
      <c r="J2193" s="66"/>
      <c r="K2193" s="66"/>
      <c r="L2193" s="68"/>
      <c r="M2193" s="63" t="str">
        <f>HYPERLINK("http://nsgreg.nga.mil/genc/view?v=864843&amp;end_month=12&amp;end_day=31&amp;end_year=2016","Correlation")</f>
        <v>Correlation</v>
      </c>
    </row>
    <row r="2194" spans="1:13" x14ac:dyDescent="0.2">
      <c r="A2194" s="113"/>
      <c r="B2194" s="58" t="s">
        <v>6191</v>
      </c>
      <c r="C2194" s="58" t="s">
        <v>1816</v>
      </c>
      <c r="D2194" s="58" t="s">
        <v>6192</v>
      </c>
      <c r="E2194" s="60" t="b">
        <v>1</v>
      </c>
      <c r="F2194" s="80" t="s">
        <v>821</v>
      </c>
      <c r="G2194" s="58" t="s">
        <v>6193</v>
      </c>
      <c r="H2194" s="58" t="s">
        <v>1816</v>
      </c>
      <c r="I2194" s="64" t="s">
        <v>6192</v>
      </c>
      <c r="J2194" s="66"/>
      <c r="K2194" s="66"/>
      <c r="L2194" s="68"/>
      <c r="M2194" s="63" t="str">
        <f>HYPERLINK("http://nsgreg.nga.mil/genc/view?v=864845&amp;end_month=12&amp;end_day=31&amp;end_year=2016","Correlation")</f>
        <v>Correlation</v>
      </c>
    </row>
    <row r="2195" spans="1:13" x14ac:dyDescent="0.2">
      <c r="A2195" s="113"/>
      <c r="B2195" s="58" t="s">
        <v>6194</v>
      </c>
      <c r="C2195" s="58" t="s">
        <v>1816</v>
      </c>
      <c r="D2195" s="58" t="s">
        <v>6195</v>
      </c>
      <c r="E2195" s="60" t="b">
        <v>1</v>
      </c>
      <c r="F2195" s="80" t="s">
        <v>821</v>
      </c>
      <c r="G2195" s="58" t="s">
        <v>6196</v>
      </c>
      <c r="H2195" s="58" t="s">
        <v>1816</v>
      </c>
      <c r="I2195" s="64" t="s">
        <v>6195</v>
      </c>
      <c r="J2195" s="66"/>
      <c r="K2195" s="66"/>
      <c r="L2195" s="68"/>
      <c r="M2195" s="63" t="str">
        <f>HYPERLINK("http://nsgreg.nga.mil/genc/view?v=864846&amp;end_month=12&amp;end_day=31&amp;end_year=2016","Correlation")</f>
        <v>Correlation</v>
      </c>
    </row>
    <row r="2196" spans="1:13" x14ac:dyDescent="0.2">
      <c r="A2196" s="113"/>
      <c r="B2196" s="58" t="s">
        <v>6197</v>
      </c>
      <c r="C2196" s="58" t="s">
        <v>1816</v>
      </c>
      <c r="D2196" s="58" t="s">
        <v>6198</v>
      </c>
      <c r="E2196" s="60" t="b">
        <v>1</v>
      </c>
      <c r="F2196" s="80" t="s">
        <v>821</v>
      </c>
      <c r="G2196" s="58" t="s">
        <v>6199</v>
      </c>
      <c r="H2196" s="58" t="s">
        <v>1816</v>
      </c>
      <c r="I2196" s="64" t="s">
        <v>6198</v>
      </c>
      <c r="J2196" s="66"/>
      <c r="K2196" s="66"/>
      <c r="L2196" s="68"/>
      <c r="M2196" s="63" t="str">
        <f>HYPERLINK("http://nsgreg.nga.mil/genc/view?v=864847&amp;end_month=12&amp;end_day=31&amp;end_year=2016","Correlation")</f>
        <v>Correlation</v>
      </c>
    </row>
    <row r="2197" spans="1:13" x14ac:dyDescent="0.2">
      <c r="A2197" s="113"/>
      <c r="B2197" s="58" t="s">
        <v>6200</v>
      </c>
      <c r="C2197" s="58" t="s">
        <v>1816</v>
      </c>
      <c r="D2197" s="58" t="s">
        <v>6201</v>
      </c>
      <c r="E2197" s="60" t="b">
        <v>1</v>
      </c>
      <c r="F2197" s="80" t="s">
        <v>821</v>
      </c>
      <c r="G2197" s="58" t="s">
        <v>6202</v>
      </c>
      <c r="H2197" s="58" t="s">
        <v>1816</v>
      </c>
      <c r="I2197" s="64" t="s">
        <v>6201</v>
      </c>
      <c r="J2197" s="66"/>
      <c r="K2197" s="66"/>
      <c r="L2197" s="68"/>
      <c r="M2197" s="63" t="str">
        <f>HYPERLINK("http://nsgreg.nga.mil/genc/view?v=864848&amp;end_month=12&amp;end_day=31&amp;end_year=2016","Correlation")</f>
        <v>Correlation</v>
      </c>
    </row>
    <row r="2198" spans="1:13" x14ac:dyDescent="0.2">
      <c r="A2198" s="113"/>
      <c r="B2198" s="58" t="s">
        <v>6203</v>
      </c>
      <c r="C2198" s="58" t="s">
        <v>1816</v>
      </c>
      <c r="D2198" s="58" t="s">
        <v>6204</v>
      </c>
      <c r="E2198" s="60" t="b">
        <v>1</v>
      </c>
      <c r="F2198" s="80" t="s">
        <v>821</v>
      </c>
      <c r="G2198" s="58" t="s">
        <v>6205</v>
      </c>
      <c r="H2198" s="58" t="s">
        <v>1816</v>
      </c>
      <c r="I2198" s="64" t="s">
        <v>6204</v>
      </c>
      <c r="J2198" s="66"/>
      <c r="K2198" s="66"/>
      <c r="L2198" s="68"/>
      <c r="M2198" s="63" t="str">
        <f>HYPERLINK("http://nsgreg.nga.mil/genc/view?v=864850&amp;end_month=12&amp;end_day=31&amp;end_year=2016","Correlation")</f>
        <v>Correlation</v>
      </c>
    </row>
    <row r="2199" spans="1:13" x14ac:dyDescent="0.2">
      <c r="A2199" s="113"/>
      <c r="B2199" s="58" t="s">
        <v>6206</v>
      </c>
      <c r="C2199" s="58" t="s">
        <v>1816</v>
      </c>
      <c r="D2199" s="58" t="s">
        <v>6207</v>
      </c>
      <c r="E2199" s="60" t="b">
        <v>1</v>
      </c>
      <c r="F2199" s="80" t="s">
        <v>821</v>
      </c>
      <c r="G2199" s="58" t="s">
        <v>6208</v>
      </c>
      <c r="H2199" s="58" t="s">
        <v>1816</v>
      </c>
      <c r="I2199" s="64" t="s">
        <v>6207</v>
      </c>
      <c r="J2199" s="66"/>
      <c r="K2199" s="66"/>
      <c r="L2199" s="68"/>
      <c r="M2199" s="63" t="str">
        <f>HYPERLINK("http://nsgreg.nga.mil/genc/view?v=864851&amp;end_month=12&amp;end_day=31&amp;end_year=2016","Correlation")</f>
        <v>Correlation</v>
      </c>
    </row>
    <row r="2200" spans="1:13" x14ac:dyDescent="0.2">
      <c r="A2200" s="113"/>
      <c r="B2200" s="58" t="s">
        <v>6209</v>
      </c>
      <c r="C2200" s="58" t="s">
        <v>1816</v>
      </c>
      <c r="D2200" s="58" t="s">
        <v>6210</v>
      </c>
      <c r="E2200" s="60" t="b">
        <v>1</v>
      </c>
      <c r="F2200" s="80" t="s">
        <v>821</v>
      </c>
      <c r="G2200" s="58" t="s">
        <v>6211</v>
      </c>
      <c r="H2200" s="58" t="s">
        <v>1816</v>
      </c>
      <c r="I2200" s="64" t="s">
        <v>6210</v>
      </c>
      <c r="J2200" s="66"/>
      <c r="K2200" s="66"/>
      <c r="L2200" s="68"/>
      <c r="M2200" s="63" t="str">
        <f>HYPERLINK("http://nsgreg.nga.mil/genc/view?v=864849&amp;end_month=12&amp;end_day=31&amp;end_year=2016","Correlation")</f>
        <v>Correlation</v>
      </c>
    </row>
    <row r="2201" spans="1:13" x14ac:dyDescent="0.2">
      <c r="A2201" s="113"/>
      <c r="B2201" s="58" t="s">
        <v>6212</v>
      </c>
      <c r="C2201" s="58" t="s">
        <v>1816</v>
      </c>
      <c r="D2201" s="58" t="s">
        <v>6213</v>
      </c>
      <c r="E2201" s="60" t="b">
        <v>1</v>
      </c>
      <c r="F2201" s="80" t="s">
        <v>821</v>
      </c>
      <c r="G2201" s="58" t="s">
        <v>6214</v>
      </c>
      <c r="H2201" s="58" t="s">
        <v>1816</v>
      </c>
      <c r="I2201" s="64" t="s">
        <v>6213</v>
      </c>
      <c r="J2201" s="66"/>
      <c r="K2201" s="66"/>
      <c r="L2201" s="68"/>
      <c r="M2201" s="63" t="str">
        <f>HYPERLINK("http://nsgreg.nga.mil/genc/view?v=864852&amp;end_month=12&amp;end_day=31&amp;end_year=2016","Correlation")</f>
        <v>Correlation</v>
      </c>
    </row>
    <row r="2202" spans="1:13" x14ac:dyDescent="0.2">
      <c r="A2202" s="113"/>
      <c r="B2202" s="58" t="s">
        <v>6215</v>
      </c>
      <c r="C2202" s="58" t="s">
        <v>1816</v>
      </c>
      <c r="D2202" s="58" t="s">
        <v>6216</v>
      </c>
      <c r="E2202" s="60" t="b">
        <v>1</v>
      </c>
      <c r="F2202" s="80" t="s">
        <v>821</v>
      </c>
      <c r="G2202" s="58" t="s">
        <v>6217</v>
      </c>
      <c r="H2202" s="58" t="s">
        <v>1816</v>
      </c>
      <c r="I2202" s="64" t="s">
        <v>6216</v>
      </c>
      <c r="J2202" s="66"/>
      <c r="K2202" s="66"/>
      <c r="L2202" s="68"/>
      <c r="M2202" s="63" t="str">
        <f>HYPERLINK("http://nsgreg.nga.mil/genc/view?v=864853&amp;end_month=12&amp;end_day=31&amp;end_year=2016","Correlation")</f>
        <v>Correlation</v>
      </c>
    </row>
    <row r="2203" spans="1:13" x14ac:dyDescent="0.2">
      <c r="A2203" s="113"/>
      <c r="B2203" s="58" t="s">
        <v>6218</v>
      </c>
      <c r="C2203" s="58" t="s">
        <v>1816</v>
      </c>
      <c r="D2203" s="58" t="s">
        <v>6219</v>
      </c>
      <c r="E2203" s="60" t="b">
        <v>1</v>
      </c>
      <c r="F2203" s="80" t="s">
        <v>821</v>
      </c>
      <c r="G2203" s="58" t="s">
        <v>6220</v>
      </c>
      <c r="H2203" s="58" t="s">
        <v>1816</v>
      </c>
      <c r="I2203" s="64" t="s">
        <v>6219</v>
      </c>
      <c r="J2203" s="66"/>
      <c r="K2203" s="66"/>
      <c r="L2203" s="68"/>
      <c r="M2203" s="63" t="str">
        <f>HYPERLINK("http://nsgreg.nga.mil/genc/view?v=864854&amp;end_month=12&amp;end_day=31&amp;end_year=2016","Correlation")</f>
        <v>Correlation</v>
      </c>
    </row>
    <row r="2204" spans="1:13" x14ac:dyDescent="0.2">
      <c r="A2204" s="113"/>
      <c r="B2204" s="58" t="s">
        <v>6221</v>
      </c>
      <c r="C2204" s="58" t="s">
        <v>1816</v>
      </c>
      <c r="D2204" s="58" t="s">
        <v>6222</v>
      </c>
      <c r="E2204" s="60" t="b">
        <v>1</v>
      </c>
      <c r="F2204" s="80" t="s">
        <v>821</v>
      </c>
      <c r="G2204" s="58" t="s">
        <v>6223</v>
      </c>
      <c r="H2204" s="58" t="s">
        <v>1816</v>
      </c>
      <c r="I2204" s="64" t="s">
        <v>6222</v>
      </c>
      <c r="J2204" s="66"/>
      <c r="K2204" s="66"/>
      <c r="L2204" s="68"/>
      <c r="M2204" s="63" t="str">
        <f>HYPERLINK("http://nsgreg.nga.mil/genc/view?v=864855&amp;end_month=12&amp;end_day=31&amp;end_year=2016","Correlation")</f>
        <v>Correlation</v>
      </c>
    </row>
    <row r="2205" spans="1:13" x14ac:dyDescent="0.2">
      <c r="A2205" s="113"/>
      <c r="B2205" s="58" t="s">
        <v>6224</v>
      </c>
      <c r="C2205" s="58" t="s">
        <v>1816</v>
      </c>
      <c r="D2205" s="58" t="s">
        <v>6225</v>
      </c>
      <c r="E2205" s="60" t="b">
        <v>1</v>
      </c>
      <c r="F2205" s="80" t="s">
        <v>821</v>
      </c>
      <c r="G2205" s="58" t="s">
        <v>6226</v>
      </c>
      <c r="H2205" s="58" t="s">
        <v>1816</v>
      </c>
      <c r="I2205" s="64" t="s">
        <v>6225</v>
      </c>
      <c r="J2205" s="66"/>
      <c r="K2205" s="66"/>
      <c r="L2205" s="68"/>
      <c r="M2205" s="63" t="str">
        <f>HYPERLINK("http://nsgreg.nga.mil/genc/view?v=864856&amp;end_month=12&amp;end_day=31&amp;end_year=2016","Correlation")</f>
        <v>Correlation</v>
      </c>
    </row>
    <row r="2206" spans="1:13" x14ac:dyDescent="0.2">
      <c r="A2206" s="113"/>
      <c r="B2206" s="58" t="s">
        <v>6227</v>
      </c>
      <c r="C2206" s="58" t="s">
        <v>1816</v>
      </c>
      <c r="D2206" s="58" t="s">
        <v>6228</v>
      </c>
      <c r="E2206" s="60" t="b">
        <v>1</v>
      </c>
      <c r="F2206" s="80" t="s">
        <v>821</v>
      </c>
      <c r="G2206" s="58" t="s">
        <v>6229</v>
      </c>
      <c r="H2206" s="58" t="s">
        <v>1816</v>
      </c>
      <c r="I2206" s="64" t="s">
        <v>6228</v>
      </c>
      <c r="J2206" s="66"/>
      <c r="K2206" s="66"/>
      <c r="L2206" s="68"/>
      <c r="M2206" s="63" t="str">
        <f>HYPERLINK("http://nsgreg.nga.mil/genc/view?v=864857&amp;end_month=12&amp;end_day=31&amp;end_year=2016","Correlation")</f>
        <v>Correlation</v>
      </c>
    </row>
    <row r="2207" spans="1:13" x14ac:dyDescent="0.2">
      <c r="A2207" s="113"/>
      <c r="B2207" s="58" t="s">
        <v>6230</v>
      </c>
      <c r="C2207" s="58" t="s">
        <v>1816</v>
      </c>
      <c r="D2207" s="58" t="s">
        <v>6231</v>
      </c>
      <c r="E2207" s="60" t="b">
        <v>1</v>
      </c>
      <c r="F2207" s="80" t="s">
        <v>821</v>
      </c>
      <c r="G2207" s="58" t="s">
        <v>6232</v>
      </c>
      <c r="H2207" s="58" t="s">
        <v>1816</v>
      </c>
      <c r="I2207" s="64" t="s">
        <v>6231</v>
      </c>
      <c r="J2207" s="66"/>
      <c r="K2207" s="66"/>
      <c r="L2207" s="68"/>
      <c r="M2207" s="63" t="str">
        <f>HYPERLINK("http://nsgreg.nga.mil/genc/view?v=864858&amp;end_month=12&amp;end_day=31&amp;end_year=2016","Correlation")</f>
        <v>Correlation</v>
      </c>
    </row>
    <row r="2208" spans="1:13" x14ac:dyDescent="0.2">
      <c r="A2208" s="113"/>
      <c r="B2208" s="58" t="s">
        <v>6233</v>
      </c>
      <c r="C2208" s="58" t="s">
        <v>1816</v>
      </c>
      <c r="D2208" s="58" t="s">
        <v>6234</v>
      </c>
      <c r="E2208" s="60" t="b">
        <v>1</v>
      </c>
      <c r="F2208" s="80" t="s">
        <v>821</v>
      </c>
      <c r="G2208" s="58" t="s">
        <v>6235</v>
      </c>
      <c r="H2208" s="58" t="s">
        <v>1816</v>
      </c>
      <c r="I2208" s="64" t="s">
        <v>6234</v>
      </c>
      <c r="J2208" s="66"/>
      <c r="K2208" s="66"/>
      <c r="L2208" s="68"/>
      <c r="M2208" s="63" t="str">
        <f>HYPERLINK("http://nsgreg.nga.mil/genc/view?v=864859&amp;end_month=12&amp;end_day=31&amp;end_year=2016","Correlation")</f>
        <v>Correlation</v>
      </c>
    </row>
    <row r="2209" spans="1:13" x14ac:dyDescent="0.2">
      <c r="A2209" s="113"/>
      <c r="B2209" s="58" t="s">
        <v>6236</v>
      </c>
      <c r="C2209" s="58" t="s">
        <v>1816</v>
      </c>
      <c r="D2209" s="58" t="s">
        <v>6237</v>
      </c>
      <c r="E2209" s="60" t="b">
        <v>1</v>
      </c>
      <c r="F2209" s="80" t="s">
        <v>821</v>
      </c>
      <c r="G2209" s="58" t="s">
        <v>6238</v>
      </c>
      <c r="H2209" s="58" t="s">
        <v>1816</v>
      </c>
      <c r="I2209" s="64" t="s">
        <v>6237</v>
      </c>
      <c r="J2209" s="66"/>
      <c r="K2209" s="66"/>
      <c r="L2209" s="68"/>
      <c r="M2209" s="63" t="str">
        <f>HYPERLINK("http://nsgreg.nga.mil/genc/view?v=864860&amp;end_month=12&amp;end_day=31&amp;end_year=2016","Correlation")</f>
        <v>Correlation</v>
      </c>
    </row>
    <row r="2210" spans="1:13" x14ac:dyDescent="0.2">
      <c r="A2210" s="113"/>
      <c r="B2210" s="58" t="s">
        <v>6239</v>
      </c>
      <c r="C2210" s="58" t="s">
        <v>1816</v>
      </c>
      <c r="D2210" s="58" t="s">
        <v>6240</v>
      </c>
      <c r="E2210" s="60" t="b">
        <v>1</v>
      </c>
      <c r="F2210" s="80" t="s">
        <v>821</v>
      </c>
      <c r="G2210" s="58" t="s">
        <v>6241</v>
      </c>
      <c r="H2210" s="58" t="s">
        <v>1816</v>
      </c>
      <c r="I2210" s="64" t="s">
        <v>6240</v>
      </c>
      <c r="J2210" s="66"/>
      <c r="K2210" s="66"/>
      <c r="L2210" s="68"/>
      <c r="M2210" s="63" t="str">
        <f>HYPERLINK("http://nsgreg.nga.mil/genc/view?v=864861&amp;end_month=12&amp;end_day=31&amp;end_year=2016","Correlation")</f>
        <v>Correlation</v>
      </c>
    </row>
    <row r="2211" spans="1:13" x14ac:dyDescent="0.2">
      <c r="A2211" s="113"/>
      <c r="B2211" s="58" t="s">
        <v>6242</v>
      </c>
      <c r="C2211" s="58" t="s">
        <v>1816</v>
      </c>
      <c r="D2211" s="58" t="s">
        <v>6243</v>
      </c>
      <c r="E2211" s="60" t="b">
        <v>1</v>
      </c>
      <c r="F2211" s="80" t="s">
        <v>821</v>
      </c>
      <c r="G2211" s="58" t="s">
        <v>6244</v>
      </c>
      <c r="H2211" s="58" t="s">
        <v>1816</v>
      </c>
      <c r="I2211" s="64" t="s">
        <v>6243</v>
      </c>
      <c r="J2211" s="66"/>
      <c r="K2211" s="66"/>
      <c r="L2211" s="68"/>
      <c r="M2211" s="63" t="str">
        <f>HYPERLINK("http://nsgreg.nga.mil/genc/view?v=864862&amp;end_month=12&amp;end_day=31&amp;end_year=2016","Correlation")</f>
        <v>Correlation</v>
      </c>
    </row>
    <row r="2212" spans="1:13" x14ac:dyDescent="0.2">
      <c r="A2212" s="113"/>
      <c r="B2212" s="58" t="s">
        <v>6245</v>
      </c>
      <c r="C2212" s="58" t="s">
        <v>1816</v>
      </c>
      <c r="D2212" s="58" t="s">
        <v>6246</v>
      </c>
      <c r="E2212" s="60" t="b">
        <v>1</v>
      </c>
      <c r="F2212" s="80" t="s">
        <v>821</v>
      </c>
      <c r="G2212" s="58" t="s">
        <v>6247</v>
      </c>
      <c r="H2212" s="58" t="s">
        <v>1816</v>
      </c>
      <c r="I2212" s="64" t="s">
        <v>6246</v>
      </c>
      <c r="J2212" s="66"/>
      <c r="K2212" s="66"/>
      <c r="L2212" s="68"/>
      <c r="M2212" s="63" t="str">
        <f>HYPERLINK("http://nsgreg.nga.mil/genc/view?v=864863&amp;end_month=12&amp;end_day=31&amp;end_year=2016","Correlation")</f>
        <v>Correlation</v>
      </c>
    </row>
    <row r="2213" spans="1:13" x14ac:dyDescent="0.2">
      <c r="A2213" s="113"/>
      <c r="B2213" s="58" t="s">
        <v>6248</v>
      </c>
      <c r="C2213" s="58" t="s">
        <v>1816</v>
      </c>
      <c r="D2213" s="58" t="s">
        <v>6249</v>
      </c>
      <c r="E2213" s="60" t="b">
        <v>1</v>
      </c>
      <c r="F2213" s="80" t="s">
        <v>821</v>
      </c>
      <c r="G2213" s="58" t="s">
        <v>6250</v>
      </c>
      <c r="H2213" s="58" t="s">
        <v>1816</v>
      </c>
      <c r="I2213" s="64" t="s">
        <v>6249</v>
      </c>
      <c r="J2213" s="66"/>
      <c r="K2213" s="66"/>
      <c r="L2213" s="68"/>
      <c r="M2213" s="63" t="str">
        <f>HYPERLINK("http://nsgreg.nga.mil/genc/view?v=864864&amp;end_month=12&amp;end_day=31&amp;end_year=2016","Correlation")</f>
        <v>Correlation</v>
      </c>
    </row>
    <row r="2214" spans="1:13" x14ac:dyDescent="0.2">
      <c r="A2214" s="113"/>
      <c r="B2214" s="58" t="s">
        <v>6251</v>
      </c>
      <c r="C2214" s="58" t="s">
        <v>1816</v>
      </c>
      <c r="D2214" s="58" t="s">
        <v>6252</v>
      </c>
      <c r="E2214" s="60" t="b">
        <v>1</v>
      </c>
      <c r="F2214" s="80" t="s">
        <v>821</v>
      </c>
      <c r="G2214" s="58" t="s">
        <v>6253</v>
      </c>
      <c r="H2214" s="58" t="s">
        <v>1816</v>
      </c>
      <c r="I2214" s="64" t="s">
        <v>6252</v>
      </c>
      <c r="J2214" s="66"/>
      <c r="K2214" s="66"/>
      <c r="L2214" s="68"/>
      <c r="M2214" s="63" t="str">
        <f>HYPERLINK("http://nsgreg.nga.mil/genc/view?v=864865&amp;end_month=12&amp;end_day=31&amp;end_year=2016","Correlation")</f>
        <v>Correlation</v>
      </c>
    </row>
    <row r="2215" spans="1:13" x14ac:dyDescent="0.2">
      <c r="A2215" s="113"/>
      <c r="B2215" s="58" t="s">
        <v>6254</v>
      </c>
      <c r="C2215" s="58" t="s">
        <v>6088</v>
      </c>
      <c r="D2215" s="58" t="s">
        <v>6255</v>
      </c>
      <c r="E2215" s="60" t="b">
        <v>1</v>
      </c>
      <c r="F2215" s="80" t="s">
        <v>821</v>
      </c>
      <c r="G2215" s="58" t="s">
        <v>6254</v>
      </c>
      <c r="H2215" s="58" t="s">
        <v>6088</v>
      </c>
      <c r="I2215" s="64" t="s">
        <v>6255</v>
      </c>
      <c r="J2215" s="66"/>
      <c r="K2215" s="66"/>
      <c r="L2215" s="68"/>
      <c r="M2215" s="63" t="str">
        <f>HYPERLINK("http://nsgreg.nga.mil/genc/view?v=864905&amp;end_month=12&amp;end_day=31&amp;end_year=2016","Correlation")</f>
        <v>Correlation</v>
      </c>
    </row>
    <row r="2216" spans="1:13" x14ac:dyDescent="0.2">
      <c r="A2216" s="113"/>
      <c r="B2216" s="58" t="s">
        <v>6256</v>
      </c>
      <c r="C2216" s="58" t="s">
        <v>1816</v>
      </c>
      <c r="D2216" s="58" t="s">
        <v>6257</v>
      </c>
      <c r="E2216" s="60" t="b">
        <v>1</v>
      </c>
      <c r="F2216" s="80" t="s">
        <v>821</v>
      </c>
      <c r="G2216" s="58" t="s">
        <v>6258</v>
      </c>
      <c r="H2216" s="58" t="s">
        <v>1816</v>
      </c>
      <c r="I2216" s="64" t="s">
        <v>6257</v>
      </c>
      <c r="J2216" s="66"/>
      <c r="K2216" s="66"/>
      <c r="L2216" s="68"/>
      <c r="M2216" s="63" t="str">
        <f>HYPERLINK("http://nsgreg.nga.mil/genc/view?v=864866&amp;end_month=12&amp;end_day=31&amp;end_year=2016","Correlation")</f>
        <v>Correlation</v>
      </c>
    </row>
    <row r="2217" spans="1:13" x14ac:dyDescent="0.2">
      <c r="A2217" s="113"/>
      <c r="B2217" s="58" t="s">
        <v>6259</v>
      </c>
      <c r="C2217" s="58" t="s">
        <v>1816</v>
      </c>
      <c r="D2217" s="58" t="s">
        <v>6260</v>
      </c>
      <c r="E2217" s="60" t="b">
        <v>1</v>
      </c>
      <c r="F2217" s="80" t="s">
        <v>821</v>
      </c>
      <c r="G2217" s="58" t="s">
        <v>6261</v>
      </c>
      <c r="H2217" s="58" t="s">
        <v>1816</v>
      </c>
      <c r="I2217" s="64" t="s">
        <v>6260</v>
      </c>
      <c r="J2217" s="66"/>
      <c r="K2217" s="66"/>
      <c r="L2217" s="68"/>
      <c r="M2217" s="63" t="str">
        <f>HYPERLINK("http://nsgreg.nga.mil/genc/view?v=864867&amp;end_month=12&amp;end_day=31&amp;end_year=2016","Correlation")</f>
        <v>Correlation</v>
      </c>
    </row>
    <row r="2218" spans="1:13" x14ac:dyDescent="0.2">
      <c r="A2218" s="113"/>
      <c r="B2218" s="58" t="s">
        <v>6262</v>
      </c>
      <c r="C2218" s="58" t="s">
        <v>6088</v>
      </c>
      <c r="D2218" s="58" t="s">
        <v>6263</v>
      </c>
      <c r="E2218" s="60" t="b">
        <v>1</v>
      </c>
      <c r="F2218" s="80" t="s">
        <v>821</v>
      </c>
      <c r="G2218" s="58" t="s">
        <v>6262</v>
      </c>
      <c r="H2218" s="58" t="s">
        <v>6088</v>
      </c>
      <c r="I2218" s="64" t="s">
        <v>6263</v>
      </c>
      <c r="J2218" s="66"/>
      <c r="K2218" s="66"/>
      <c r="L2218" s="68"/>
      <c r="M2218" s="63" t="str">
        <f>HYPERLINK("http://nsgreg.nga.mil/genc/view?v=864906&amp;end_month=12&amp;end_day=31&amp;end_year=2016","Correlation")</f>
        <v>Correlation</v>
      </c>
    </row>
    <row r="2219" spans="1:13" x14ac:dyDescent="0.2">
      <c r="A2219" s="113"/>
      <c r="B2219" s="58" t="s">
        <v>6264</v>
      </c>
      <c r="C2219" s="58" t="s">
        <v>1816</v>
      </c>
      <c r="D2219" s="58" t="s">
        <v>6265</v>
      </c>
      <c r="E2219" s="60" t="b">
        <v>1</v>
      </c>
      <c r="F2219" s="80" t="s">
        <v>821</v>
      </c>
      <c r="G2219" s="58" t="s">
        <v>6266</v>
      </c>
      <c r="H2219" s="58" t="s">
        <v>1816</v>
      </c>
      <c r="I2219" s="64" t="s">
        <v>6265</v>
      </c>
      <c r="J2219" s="66"/>
      <c r="K2219" s="66"/>
      <c r="L2219" s="68"/>
      <c r="M2219" s="63" t="str">
        <f>HYPERLINK("http://nsgreg.nga.mil/genc/view?v=864868&amp;end_month=12&amp;end_day=31&amp;end_year=2016","Correlation")</f>
        <v>Correlation</v>
      </c>
    </row>
    <row r="2220" spans="1:13" x14ac:dyDescent="0.2">
      <c r="A2220" s="113"/>
      <c r="B2220" s="58" t="s">
        <v>6267</v>
      </c>
      <c r="C2220" s="58" t="s">
        <v>1816</v>
      </c>
      <c r="D2220" s="58" t="s">
        <v>6268</v>
      </c>
      <c r="E2220" s="60" t="b">
        <v>1</v>
      </c>
      <c r="F2220" s="80" t="s">
        <v>821</v>
      </c>
      <c r="G2220" s="58" t="s">
        <v>6269</v>
      </c>
      <c r="H2220" s="58" t="s">
        <v>1816</v>
      </c>
      <c r="I2220" s="64" t="s">
        <v>6268</v>
      </c>
      <c r="J2220" s="66"/>
      <c r="K2220" s="66"/>
      <c r="L2220" s="68"/>
      <c r="M2220" s="63" t="str">
        <f>HYPERLINK("http://nsgreg.nga.mil/genc/view?v=864869&amp;end_month=12&amp;end_day=31&amp;end_year=2016","Correlation")</f>
        <v>Correlation</v>
      </c>
    </row>
    <row r="2221" spans="1:13" x14ac:dyDescent="0.2">
      <c r="A2221" s="113"/>
      <c r="B2221" s="58" t="s">
        <v>6270</v>
      </c>
      <c r="C2221" s="58" t="s">
        <v>1816</v>
      </c>
      <c r="D2221" s="58" t="s">
        <v>6271</v>
      </c>
      <c r="E2221" s="60" t="b">
        <v>1</v>
      </c>
      <c r="F2221" s="80" t="s">
        <v>821</v>
      </c>
      <c r="G2221" s="58" t="s">
        <v>6272</v>
      </c>
      <c r="H2221" s="58" t="s">
        <v>1816</v>
      </c>
      <c r="I2221" s="64" t="s">
        <v>6271</v>
      </c>
      <c r="J2221" s="66"/>
      <c r="K2221" s="66"/>
      <c r="L2221" s="68"/>
      <c r="M2221" s="63" t="str">
        <f>HYPERLINK("http://nsgreg.nga.mil/genc/view?v=864870&amp;end_month=12&amp;end_day=31&amp;end_year=2016","Correlation")</f>
        <v>Correlation</v>
      </c>
    </row>
    <row r="2222" spans="1:13" x14ac:dyDescent="0.2">
      <c r="A2222" s="113"/>
      <c r="B2222" s="58" t="s">
        <v>6273</v>
      </c>
      <c r="C2222" s="58" t="s">
        <v>1816</v>
      </c>
      <c r="D2222" s="58" t="s">
        <v>6274</v>
      </c>
      <c r="E2222" s="60" t="b">
        <v>1</v>
      </c>
      <c r="F2222" s="80" t="s">
        <v>821</v>
      </c>
      <c r="G2222" s="58" t="s">
        <v>6275</v>
      </c>
      <c r="H2222" s="58" t="s">
        <v>1816</v>
      </c>
      <c r="I2222" s="64" t="s">
        <v>6274</v>
      </c>
      <c r="J2222" s="66"/>
      <c r="K2222" s="66"/>
      <c r="L2222" s="68"/>
      <c r="M2222" s="63" t="str">
        <f>HYPERLINK("http://nsgreg.nga.mil/genc/view?v=864871&amp;end_month=12&amp;end_day=31&amp;end_year=2016","Correlation")</f>
        <v>Correlation</v>
      </c>
    </row>
    <row r="2223" spans="1:13" x14ac:dyDescent="0.2">
      <c r="A2223" s="113"/>
      <c r="B2223" s="58" t="s">
        <v>6276</v>
      </c>
      <c r="C2223" s="58" t="s">
        <v>1816</v>
      </c>
      <c r="D2223" s="58" t="s">
        <v>6277</v>
      </c>
      <c r="E2223" s="60" t="b">
        <v>1</v>
      </c>
      <c r="F2223" s="80" t="s">
        <v>821</v>
      </c>
      <c r="G2223" s="58" t="s">
        <v>6278</v>
      </c>
      <c r="H2223" s="58" t="s">
        <v>1816</v>
      </c>
      <c r="I2223" s="64" t="s">
        <v>6277</v>
      </c>
      <c r="J2223" s="66"/>
      <c r="K2223" s="66"/>
      <c r="L2223" s="68"/>
      <c r="M2223" s="63" t="str">
        <f>HYPERLINK("http://nsgreg.nga.mil/genc/view?v=864873&amp;end_month=12&amp;end_day=31&amp;end_year=2016","Correlation")</f>
        <v>Correlation</v>
      </c>
    </row>
    <row r="2224" spans="1:13" x14ac:dyDescent="0.2">
      <c r="A2224" s="113"/>
      <c r="B2224" s="58" t="s">
        <v>6279</v>
      </c>
      <c r="C2224" s="58" t="s">
        <v>1816</v>
      </c>
      <c r="D2224" s="58" t="s">
        <v>6280</v>
      </c>
      <c r="E2224" s="60" t="b">
        <v>1</v>
      </c>
      <c r="F2224" s="80" t="s">
        <v>821</v>
      </c>
      <c r="G2224" s="58" t="s">
        <v>6281</v>
      </c>
      <c r="H2224" s="58" t="s">
        <v>1816</v>
      </c>
      <c r="I2224" s="64" t="s">
        <v>6280</v>
      </c>
      <c r="J2224" s="66"/>
      <c r="K2224" s="66"/>
      <c r="L2224" s="68"/>
      <c r="M2224" s="63" t="str">
        <f>HYPERLINK("http://nsgreg.nga.mil/genc/view?v=864872&amp;end_month=12&amp;end_day=31&amp;end_year=2016","Correlation")</f>
        <v>Correlation</v>
      </c>
    </row>
    <row r="2225" spans="1:13" x14ac:dyDescent="0.2">
      <c r="A2225" s="113"/>
      <c r="B2225" s="58" t="s">
        <v>6282</v>
      </c>
      <c r="C2225" s="58" t="s">
        <v>1816</v>
      </c>
      <c r="D2225" s="58" t="s">
        <v>6283</v>
      </c>
      <c r="E2225" s="60" t="b">
        <v>1</v>
      </c>
      <c r="F2225" s="80" t="s">
        <v>821</v>
      </c>
      <c r="G2225" s="58" t="s">
        <v>6284</v>
      </c>
      <c r="H2225" s="58" t="s">
        <v>1816</v>
      </c>
      <c r="I2225" s="64" t="s">
        <v>6283</v>
      </c>
      <c r="J2225" s="66"/>
      <c r="K2225" s="66"/>
      <c r="L2225" s="68"/>
      <c r="M2225" s="63" t="str">
        <f>HYPERLINK("http://nsgreg.nga.mil/genc/view?v=864875&amp;end_month=12&amp;end_day=31&amp;end_year=2016","Correlation")</f>
        <v>Correlation</v>
      </c>
    </row>
    <row r="2226" spans="1:13" x14ac:dyDescent="0.2">
      <c r="A2226" s="113"/>
      <c r="B2226" s="58" t="s">
        <v>6285</v>
      </c>
      <c r="C2226" s="58" t="s">
        <v>1816</v>
      </c>
      <c r="D2226" s="58" t="s">
        <v>6286</v>
      </c>
      <c r="E2226" s="60" t="b">
        <v>1</v>
      </c>
      <c r="F2226" s="80" t="s">
        <v>821</v>
      </c>
      <c r="G2226" s="58" t="s">
        <v>6287</v>
      </c>
      <c r="H2226" s="58" t="s">
        <v>1816</v>
      </c>
      <c r="I2226" s="64" t="s">
        <v>6286</v>
      </c>
      <c r="J2226" s="66"/>
      <c r="K2226" s="66"/>
      <c r="L2226" s="68"/>
      <c r="M2226" s="63" t="str">
        <f>HYPERLINK("http://nsgreg.nga.mil/genc/view?v=864874&amp;end_month=12&amp;end_day=31&amp;end_year=2016","Correlation")</f>
        <v>Correlation</v>
      </c>
    </row>
    <row r="2227" spans="1:13" x14ac:dyDescent="0.2">
      <c r="A2227" s="113"/>
      <c r="B2227" s="58" t="s">
        <v>6288</v>
      </c>
      <c r="C2227" s="58" t="s">
        <v>1816</v>
      </c>
      <c r="D2227" s="58" t="s">
        <v>6289</v>
      </c>
      <c r="E2227" s="60" t="b">
        <v>1</v>
      </c>
      <c r="F2227" s="80" t="s">
        <v>821</v>
      </c>
      <c r="G2227" s="58" t="s">
        <v>6290</v>
      </c>
      <c r="H2227" s="58" t="s">
        <v>1816</v>
      </c>
      <c r="I2227" s="64" t="s">
        <v>6289</v>
      </c>
      <c r="J2227" s="66"/>
      <c r="K2227" s="66"/>
      <c r="L2227" s="68"/>
      <c r="M2227" s="63" t="str">
        <f>HYPERLINK("http://nsgreg.nga.mil/genc/view?v=864876&amp;end_month=12&amp;end_day=31&amp;end_year=2016","Correlation")</f>
        <v>Correlation</v>
      </c>
    </row>
    <row r="2228" spans="1:13" x14ac:dyDescent="0.2">
      <c r="A2228" s="113"/>
      <c r="B2228" s="58" t="s">
        <v>6291</v>
      </c>
      <c r="C2228" s="58" t="s">
        <v>1816</v>
      </c>
      <c r="D2228" s="58" t="s">
        <v>6292</v>
      </c>
      <c r="E2228" s="60" t="b">
        <v>1</v>
      </c>
      <c r="F2228" s="80" t="s">
        <v>821</v>
      </c>
      <c r="G2228" s="58" t="s">
        <v>6293</v>
      </c>
      <c r="H2228" s="58" t="s">
        <v>1816</v>
      </c>
      <c r="I2228" s="64" t="s">
        <v>6292</v>
      </c>
      <c r="J2228" s="66"/>
      <c r="K2228" s="66"/>
      <c r="L2228" s="68"/>
      <c r="M2228" s="63" t="str">
        <f>HYPERLINK("http://nsgreg.nga.mil/genc/view?v=864877&amp;end_month=12&amp;end_day=31&amp;end_year=2016","Correlation")</f>
        <v>Correlation</v>
      </c>
    </row>
    <row r="2229" spans="1:13" x14ac:dyDescent="0.2">
      <c r="A2229" s="113"/>
      <c r="B2229" s="58" t="s">
        <v>6294</v>
      </c>
      <c r="C2229" s="58" t="s">
        <v>1816</v>
      </c>
      <c r="D2229" s="58" t="s">
        <v>6295</v>
      </c>
      <c r="E2229" s="60" t="b">
        <v>1</v>
      </c>
      <c r="F2229" s="80" t="s">
        <v>821</v>
      </c>
      <c r="G2229" s="58" t="s">
        <v>6296</v>
      </c>
      <c r="H2229" s="58" t="s">
        <v>1816</v>
      </c>
      <c r="I2229" s="64" t="s">
        <v>6295</v>
      </c>
      <c r="J2229" s="66"/>
      <c r="K2229" s="66"/>
      <c r="L2229" s="68"/>
      <c r="M2229" s="63" t="str">
        <f>HYPERLINK("http://nsgreg.nga.mil/genc/view?v=864878&amp;end_month=12&amp;end_day=31&amp;end_year=2016","Correlation")</f>
        <v>Correlation</v>
      </c>
    </row>
    <row r="2230" spans="1:13" x14ac:dyDescent="0.2">
      <c r="A2230" s="113"/>
      <c r="B2230" s="58" t="s">
        <v>6297</v>
      </c>
      <c r="C2230" s="58" t="s">
        <v>1816</v>
      </c>
      <c r="D2230" s="58" t="s">
        <v>6298</v>
      </c>
      <c r="E2230" s="60" t="b">
        <v>1</v>
      </c>
      <c r="F2230" s="80" t="s">
        <v>821</v>
      </c>
      <c r="G2230" s="58" t="s">
        <v>6299</v>
      </c>
      <c r="H2230" s="58" t="s">
        <v>1816</v>
      </c>
      <c r="I2230" s="64" t="s">
        <v>6298</v>
      </c>
      <c r="J2230" s="66"/>
      <c r="K2230" s="66"/>
      <c r="L2230" s="68"/>
      <c r="M2230" s="63" t="str">
        <f>HYPERLINK("http://nsgreg.nga.mil/genc/view?v=864879&amp;end_month=12&amp;end_day=31&amp;end_year=2016","Correlation")</f>
        <v>Correlation</v>
      </c>
    </row>
    <row r="2231" spans="1:13" x14ac:dyDescent="0.2">
      <c r="A2231" s="113"/>
      <c r="B2231" s="58" t="s">
        <v>6300</v>
      </c>
      <c r="C2231" s="58" t="s">
        <v>1816</v>
      </c>
      <c r="D2231" s="58" t="s">
        <v>6301</v>
      </c>
      <c r="E2231" s="60" t="b">
        <v>1</v>
      </c>
      <c r="F2231" s="80" t="s">
        <v>821</v>
      </c>
      <c r="G2231" s="58" t="s">
        <v>6302</v>
      </c>
      <c r="H2231" s="58" t="s">
        <v>1816</v>
      </c>
      <c r="I2231" s="64" t="s">
        <v>6301</v>
      </c>
      <c r="J2231" s="66"/>
      <c r="K2231" s="66"/>
      <c r="L2231" s="68"/>
      <c r="M2231" s="63" t="str">
        <f>HYPERLINK("http://nsgreg.nga.mil/genc/view?v=864880&amp;end_month=12&amp;end_day=31&amp;end_year=2016","Correlation")</f>
        <v>Correlation</v>
      </c>
    </row>
    <row r="2232" spans="1:13" x14ac:dyDescent="0.2">
      <c r="A2232" s="113"/>
      <c r="B2232" s="58" t="s">
        <v>6303</v>
      </c>
      <c r="C2232" s="58" t="s">
        <v>1816</v>
      </c>
      <c r="D2232" s="58" t="s">
        <v>6304</v>
      </c>
      <c r="E2232" s="60" t="b">
        <v>1</v>
      </c>
      <c r="F2232" s="80" t="s">
        <v>821</v>
      </c>
      <c r="G2232" s="58" t="s">
        <v>6305</v>
      </c>
      <c r="H2232" s="58" t="s">
        <v>1816</v>
      </c>
      <c r="I2232" s="64" t="s">
        <v>6304</v>
      </c>
      <c r="J2232" s="66"/>
      <c r="K2232" s="66"/>
      <c r="L2232" s="68"/>
      <c r="M2232" s="63" t="str">
        <f>HYPERLINK("http://nsgreg.nga.mil/genc/view?v=864881&amp;end_month=12&amp;end_day=31&amp;end_year=2016","Correlation")</f>
        <v>Correlation</v>
      </c>
    </row>
    <row r="2233" spans="1:13" x14ac:dyDescent="0.2">
      <c r="A2233" s="113"/>
      <c r="B2233" s="58" t="s">
        <v>6306</v>
      </c>
      <c r="C2233" s="58" t="s">
        <v>1816</v>
      </c>
      <c r="D2233" s="58" t="s">
        <v>6307</v>
      </c>
      <c r="E2233" s="60" t="b">
        <v>1</v>
      </c>
      <c r="F2233" s="80" t="s">
        <v>821</v>
      </c>
      <c r="G2233" s="58" t="s">
        <v>6308</v>
      </c>
      <c r="H2233" s="58" t="s">
        <v>1816</v>
      </c>
      <c r="I2233" s="64" t="s">
        <v>6307</v>
      </c>
      <c r="J2233" s="66"/>
      <c r="K2233" s="66"/>
      <c r="L2233" s="68"/>
      <c r="M2233" s="63" t="str">
        <f>HYPERLINK("http://nsgreg.nga.mil/genc/view?v=864882&amp;end_month=12&amp;end_day=31&amp;end_year=2016","Correlation")</f>
        <v>Correlation</v>
      </c>
    </row>
    <row r="2234" spans="1:13" x14ac:dyDescent="0.2">
      <c r="A2234" s="113"/>
      <c r="B2234" s="58" t="s">
        <v>6309</v>
      </c>
      <c r="C2234" s="58" t="s">
        <v>1816</v>
      </c>
      <c r="D2234" s="58" t="s">
        <v>6310</v>
      </c>
      <c r="E2234" s="60" t="b">
        <v>1</v>
      </c>
      <c r="F2234" s="80" t="s">
        <v>821</v>
      </c>
      <c r="G2234" s="58" t="s">
        <v>6311</v>
      </c>
      <c r="H2234" s="58" t="s">
        <v>1816</v>
      </c>
      <c r="I2234" s="64" t="s">
        <v>6310</v>
      </c>
      <c r="J2234" s="66"/>
      <c r="K2234" s="66"/>
      <c r="L2234" s="68"/>
      <c r="M2234" s="63" t="str">
        <f>HYPERLINK("http://nsgreg.nga.mil/genc/view?v=864883&amp;end_month=12&amp;end_day=31&amp;end_year=2016","Correlation")</f>
        <v>Correlation</v>
      </c>
    </row>
    <row r="2235" spans="1:13" x14ac:dyDescent="0.2">
      <c r="A2235" s="113"/>
      <c r="B2235" s="58" t="s">
        <v>6312</v>
      </c>
      <c r="C2235" s="58" t="s">
        <v>1816</v>
      </c>
      <c r="D2235" s="58" t="s">
        <v>6313</v>
      </c>
      <c r="E2235" s="60" t="b">
        <v>1</v>
      </c>
      <c r="F2235" s="80" t="s">
        <v>821</v>
      </c>
      <c r="G2235" s="58" t="s">
        <v>6314</v>
      </c>
      <c r="H2235" s="58" t="s">
        <v>1816</v>
      </c>
      <c r="I2235" s="64" t="s">
        <v>6313</v>
      </c>
      <c r="J2235" s="66"/>
      <c r="K2235" s="66"/>
      <c r="L2235" s="68"/>
      <c r="M2235" s="63" t="str">
        <f>HYPERLINK("http://nsgreg.nga.mil/genc/view?v=864884&amp;end_month=12&amp;end_day=31&amp;end_year=2016","Correlation")</f>
        <v>Correlation</v>
      </c>
    </row>
    <row r="2236" spans="1:13" x14ac:dyDescent="0.2">
      <c r="A2236" s="113"/>
      <c r="B2236" s="58" t="s">
        <v>6315</v>
      </c>
      <c r="C2236" s="58" t="s">
        <v>1816</v>
      </c>
      <c r="D2236" s="58" t="s">
        <v>6316</v>
      </c>
      <c r="E2236" s="60" t="b">
        <v>1</v>
      </c>
      <c r="F2236" s="80" t="s">
        <v>821</v>
      </c>
      <c r="G2236" s="58" t="s">
        <v>6317</v>
      </c>
      <c r="H2236" s="58" t="s">
        <v>1816</v>
      </c>
      <c r="I2236" s="64" t="s">
        <v>6316</v>
      </c>
      <c r="J2236" s="66"/>
      <c r="K2236" s="66"/>
      <c r="L2236" s="68"/>
      <c r="M2236" s="63" t="str">
        <f>HYPERLINK("http://nsgreg.nga.mil/genc/view?v=864885&amp;end_month=12&amp;end_day=31&amp;end_year=2016","Correlation")</f>
        <v>Correlation</v>
      </c>
    </row>
    <row r="2237" spans="1:13" x14ac:dyDescent="0.2">
      <c r="A2237" s="113"/>
      <c r="B2237" s="58" t="s">
        <v>6318</v>
      </c>
      <c r="C2237" s="58" t="s">
        <v>1816</v>
      </c>
      <c r="D2237" s="58" t="s">
        <v>6319</v>
      </c>
      <c r="E2237" s="60" t="b">
        <v>1</v>
      </c>
      <c r="F2237" s="80" t="s">
        <v>821</v>
      </c>
      <c r="G2237" s="58" t="s">
        <v>6320</v>
      </c>
      <c r="H2237" s="58" t="s">
        <v>1816</v>
      </c>
      <c r="I2237" s="64" t="s">
        <v>6319</v>
      </c>
      <c r="J2237" s="66"/>
      <c r="K2237" s="66"/>
      <c r="L2237" s="68"/>
      <c r="M2237" s="63" t="str">
        <f>HYPERLINK("http://nsgreg.nga.mil/genc/view?v=864886&amp;end_month=12&amp;end_day=31&amp;end_year=2016","Correlation")</f>
        <v>Correlation</v>
      </c>
    </row>
    <row r="2238" spans="1:13" x14ac:dyDescent="0.2">
      <c r="A2238" s="113"/>
      <c r="B2238" s="58" t="s">
        <v>6321</v>
      </c>
      <c r="C2238" s="58" t="s">
        <v>1816</v>
      </c>
      <c r="D2238" s="58" t="s">
        <v>6322</v>
      </c>
      <c r="E2238" s="60" t="b">
        <v>1</v>
      </c>
      <c r="F2238" s="80" t="s">
        <v>821</v>
      </c>
      <c r="G2238" s="58" t="s">
        <v>6323</v>
      </c>
      <c r="H2238" s="58" t="s">
        <v>1816</v>
      </c>
      <c r="I2238" s="64" t="s">
        <v>6322</v>
      </c>
      <c r="J2238" s="66"/>
      <c r="K2238" s="66"/>
      <c r="L2238" s="68"/>
      <c r="M2238" s="63" t="str">
        <f>HYPERLINK("http://nsgreg.nga.mil/genc/view?v=864887&amp;end_month=12&amp;end_day=31&amp;end_year=2016","Correlation")</f>
        <v>Correlation</v>
      </c>
    </row>
    <row r="2239" spans="1:13" x14ac:dyDescent="0.2">
      <c r="A2239" s="113"/>
      <c r="B2239" s="58" t="s">
        <v>6324</v>
      </c>
      <c r="C2239" s="58" t="s">
        <v>1816</v>
      </c>
      <c r="D2239" s="58" t="s">
        <v>6325</v>
      </c>
      <c r="E2239" s="60" t="b">
        <v>1</v>
      </c>
      <c r="F2239" s="80" t="s">
        <v>821</v>
      </c>
      <c r="G2239" s="58" t="s">
        <v>6326</v>
      </c>
      <c r="H2239" s="58" t="s">
        <v>1816</v>
      </c>
      <c r="I2239" s="64" t="s">
        <v>6325</v>
      </c>
      <c r="J2239" s="66"/>
      <c r="K2239" s="66"/>
      <c r="L2239" s="68"/>
      <c r="M2239" s="63" t="str">
        <f>HYPERLINK("http://nsgreg.nga.mil/genc/view?v=864888&amp;end_month=12&amp;end_day=31&amp;end_year=2016","Correlation")</f>
        <v>Correlation</v>
      </c>
    </row>
    <row r="2240" spans="1:13" x14ac:dyDescent="0.2">
      <c r="A2240" s="113"/>
      <c r="B2240" s="58" t="s">
        <v>6327</v>
      </c>
      <c r="C2240" s="58" t="s">
        <v>1816</v>
      </c>
      <c r="D2240" s="58" t="s">
        <v>6328</v>
      </c>
      <c r="E2240" s="60" t="b">
        <v>1</v>
      </c>
      <c r="F2240" s="80" t="s">
        <v>821</v>
      </c>
      <c r="G2240" s="58" t="s">
        <v>6329</v>
      </c>
      <c r="H2240" s="58" t="s">
        <v>1816</v>
      </c>
      <c r="I2240" s="64" t="s">
        <v>6328</v>
      </c>
      <c r="J2240" s="66"/>
      <c r="K2240" s="66"/>
      <c r="L2240" s="68"/>
      <c r="M2240" s="63" t="str">
        <f>HYPERLINK("http://nsgreg.nga.mil/genc/view?v=864889&amp;end_month=12&amp;end_day=31&amp;end_year=2016","Correlation")</f>
        <v>Correlation</v>
      </c>
    </row>
    <row r="2241" spans="1:13" x14ac:dyDescent="0.2">
      <c r="A2241" s="113"/>
      <c r="B2241" s="58" t="s">
        <v>6330</v>
      </c>
      <c r="C2241" s="58" t="s">
        <v>1816</v>
      </c>
      <c r="D2241" s="58" t="s">
        <v>6331</v>
      </c>
      <c r="E2241" s="60" t="b">
        <v>1</v>
      </c>
      <c r="F2241" s="80" t="s">
        <v>821</v>
      </c>
      <c r="G2241" s="58" t="s">
        <v>6332</v>
      </c>
      <c r="H2241" s="58" t="s">
        <v>1816</v>
      </c>
      <c r="I2241" s="64" t="s">
        <v>6331</v>
      </c>
      <c r="J2241" s="66"/>
      <c r="K2241" s="66"/>
      <c r="L2241" s="68"/>
      <c r="M2241" s="63" t="str">
        <f>HYPERLINK("http://nsgreg.nga.mil/genc/view?v=864890&amp;end_month=12&amp;end_day=31&amp;end_year=2016","Correlation")</f>
        <v>Correlation</v>
      </c>
    </row>
    <row r="2242" spans="1:13" x14ac:dyDescent="0.2">
      <c r="A2242" s="113"/>
      <c r="B2242" s="58" t="s">
        <v>6333</v>
      </c>
      <c r="C2242" s="58" t="s">
        <v>6088</v>
      </c>
      <c r="D2242" s="58" t="s">
        <v>6334</v>
      </c>
      <c r="E2242" s="60" t="b">
        <v>1</v>
      </c>
      <c r="F2242" s="80" t="s">
        <v>821</v>
      </c>
      <c r="G2242" s="58" t="s">
        <v>6333</v>
      </c>
      <c r="H2242" s="58" t="s">
        <v>6088</v>
      </c>
      <c r="I2242" s="64" t="s">
        <v>6334</v>
      </c>
      <c r="J2242" s="66"/>
      <c r="K2242" s="66"/>
      <c r="L2242" s="68"/>
      <c r="M2242" s="63" t="str">
        <f>HYPERLINK("http://nsgreg.nga.mil/genc/view?v=864908&amp;end_month=12&amp;end_day=31&amp;end_year=2016","Correlation")</f>
        <v>Correlation</v>
      </c>
    </row>
    <row r="2243" spans="1:13" x14ac:dyDescent="0.2">
      <c r="A2243" s="113"/>
      <c r="B2243" s="58" t="s">
        <v>6335</v>
      </c>
      <c r="C2243" s="58" t="s">
        <v>1816</v>
      </c>
      <c r="D2243" s="58" t="s">
        <v>6336</v>
      </c>
      <c r="E2243" s="60" t="b">
        <v>1</v>
      </c>
      <c r="F2243" s="80" t="s">
        <v>821</v>
      </c>
      <c r="G2243" s="58" t="s">
        <v>6337</v>
      </c>
      <c r="H2243" s="58" t="s">
        <v>1816</v>
      </c>
      <c r="I2243" s="64" t="s">
        <v>6336</v>
      </c>
      <c r="J2243" s="66"/>
      <c r="K2243" s="66"/>
      <c r="L2243" s="68"/>
      <c r="M2243" s="63" t="str">
        <f>HYPERLINK("http://nsgreg.nga.mil/genc/view?v=864891&amp;end_month=12&amp;end_day=31&amp;end_year=2016","Correlation")</f>
        <v>Correlation</v>
      </c>
    </row>
    <row r="2244" spans="1:13" x14ac:dyDescent="0.2">
      <c r="A2244" s="113"/>
      <c r="B2244" s="58" t="s">
        <v>6338</v>
      </c>
      <c r="C2244" s="58" t="s">
        <v>1816</v>
      </c>
      <c r="D2244" s="58" t="s">
        <v>6339</v>
      </c>
      <c r="E2244" s="60" t="b">
        <v>1</v>
      </c>
      <c r="F2244" s="80" t="s">
        <v>821</v>
      </c>
      <c r="G2244" s="58" t="s">
        <v>6340</v>
      </c>
      <c r="H2244" s="58" t="s">
        <v>1816</v>
      </c>
      <c r="I2244" s="64" t="s">
        <v>6339</v>
      </c>
      <c r="J2244" s="66"/>
      <c r="K2244" s="66"/>
      <c r="L2244" s="68"/>
      <c r="M2244" s="63" t="str">
        <f>HYPERLINK("http://nsgreg.nga.mil/genc/view?v=864892&amp;end_month=12&amp;end_day=31&amp;end_year=2016","Correlation")</f>
        <v>Correlation</v>
      </c>
    </row>
    <row r="2245" spans="1:13" x14ac:dyDescent="0.2">
      <c r="A2245" s="113"/>
      <c r="B2245" s="58" t="s">
        <v>6341</v>
      </c>
      <c r="C2245" s="58" t="s">
        <v>1816</v>
      </c>
      <c r="D2245" s="58" t="s">
        <v>6342</v>
      </c>
      <c r="E2245" s="60" t="b">
        <v>1</v>
      </c>
      <c r="F2245" s="80" t="s">
        <v>821</v>
      </c>
      <c r="G2245" s="58" t="s">
        <v>6343</v>
      </c>
      <c r="H2245" s="58" t="s">
        <v>1816</v>
      </c>
      <c r="I2245" s="64" t="s">
        <v>6342</v>
      </c>
      <c r="J2245" s="66"/>
      <c r="K2245" s="66"/>
      <c r="L2245" s="68"/>
      <c r="M2245" s="63" t="str">
        <f>HYPERLINK("http://nsgreg.nga.mil/genc/view?v=864893&amp;end_month=12&amp;end_day=31&amp;end_year=2016","Correlation")</f>
        <v>Correlation</v>
      </c>
    </row>
    <row r="2246" spans="1:13" x14ac:dyDescent="0.2">
      <c r="A2246" s="113"/>
      <c r="B2246" s="58" t="s">
        <v>6344</v>
      </c>
      <c r="C2246" s="58" t="s">
        <v>1816</v>
      </c>
      <c r="D2246" s="58" t="s">
        <v>6345</v>
      </c>
      <c r="E2246" s="60" t="b">
        <v>1</v>
      </c>
      <c r="F2246" s="80" t="s">
        <v>821</v>
      </c>
      <c r="G2246" s="58" t="s">
        <v>6346</v>
      </c>
      <c r="H2246" s="58" t="s">
        <v>1816</v>
      </c>
      <c r="I2246" s="64" t="s">
        <v>6345</v>
      </c>
      <c r="J2246" s="66"/>
      <c r="K2246" s="66"/>
      <c r="L2246" s="68"/>
      <c r="M2246" s="63" t="str">
        <f>HYPERLINK("http://nsgreg.nga.mil/genc/view?v=864894&amp;end_month=12&amp;end_day=31&amp;end_year=2016","Correlation")</f>
        <v>Correlation</v>
      </c>
    </row>
    <row r="2247" spans="1:13" x14ac:dyDescent="0.2">
      <c r="A2247" s="113"/>
      <c r="B2247" s="58" t="s">
        <v>6347</v>
      </c>
      <c r="C2247" s="58" t="s">
        <v>6088</v>
      </c>
      <c r="D2247" s="58" t="s">
        <v>6348</v>
      </c>
      <c r="E2247" s="60" t="b">
        <v>1</v>
      </c>
      <c r="F2247" s="80" t="s">
        <v>821</v>
      </c>
      <c r="G2247" s="58" t="s">
        <v>6347</v>
      </c>
      <c r="H2247" s="58" t="s">
        <v>6088</v>
      </c>
      <c r="I2247" s="64" t="s">
        <v>6348</v>
      </c>
      <c r="J2247" s="66"/>
      <c r="K2247" s="66"/>
      <c r="L2247" s="68"/>
      <c r="M2247" s="63" t="str">
        <f>HYPERLINK("http://nsgreg.nga.mil/genc/view?v=864907&amp;end_month=12&amp;end_day=31&amp;end_year=2016","Correlation")</f>
        <v>Correlation</v>
      </c>
    </row>
    <row r="2248" spans="1:13" x14ac:dyDescent="0.2">
      <c r="A2248" s="113"/>
      <c r="B2248" s="58" t="s">
        <v>6349</v>
      </c>
      <c r="C2248" s="58" t="s">
        <v>1816</v>
      </c>
      <c r="D2248" s="58" t="s">
        <v>6350</v>
      </c>
      <c r="E2248" s="60" t="b">
        <v>1</v>
      </c>
      <c r="F2248" s="80" t="s">
        <v>821</v>
      </c>
      <c r="G2248" s="58" t="s">
        <v>6351</v>
      </c>
      <c r="H2248" s="58" t="s">
        <v>1816</v>
      </c>
      <c r="I2248" s="64" t="s">
        <v>6350</v>
      </c>
      <c r="J2248" s="66"/>
      <c r="K2248" s="66"/>
      <c r="L2248" s="68"/>
      <c r="M2248" s="63" t="str">
        <f>HYPERLINK("http://nsgreg.nga.mil/genc/view?v=864895&amp;end_month=12&amp;end_day=31&amp;end_year=2016","Correlation")</f>
        <v>Correlation</v>
      </c>
    </row>
    <row r="2249" spans="1:13" x14ac:dyDescent="0.2">
      <c r="A2249" s="113"/>
      <c r="B2249" s="58" t="s">
        <v>6352</v>
      </c>
      <c r="C2249" s="58" t="s">
        <v>1816</v>
      </c>
      <c r="D2249" s="58" t="s">
        <v>6353</v>
      </c>
      <c r="E2249" s="60" t="b">
        <v>1</v>
      </c>
      <c r="F2249" s="80" t="s">
        <v>821</v>
      </c>
      <c r="G2249" s="58" t="s">
        <v>6354</v>
      </c>
      <c r="H2249" s="58" t="s">
        <v>1816</v>
      </c>
      <c r="I2249" s="64" t="s">
        <v>6353</v>
      </c>
      <c r="J2249" s="66"/>
      <c r="K2249" s="66"/>
      <c r="L2249" s="68"/>
      <c r="M2249" s="63" t="str">
        <f>HYPERLINK("http://nsgreg.nga.mil/genc/view?v=864896&amp;end_month=12&amp;end_day=31&amp;end_year=2016","Correlation")</f>
        <v>Correlation</v>
      </c>
    </row>
    <row r="2250" spans="1:13" x14ac:dyDescent="0.2">
      <c r="A2250" s="113"/>
      <c r="B2250" s="58" t="s">
        <v>6355</v>
      </c>
      <c r="C2250" s="58" t="s">
        <v>1816</v>
      </c>
      <c r="D2250" s="58" t="s">
        <v>6356</v>
      </c>
      <c r="E2250" s="60" t="b">
        <v>1</v>
      </c>
      <c r="F2250" s="80" t="s">
        <v>821</v>
      </c>
      <c r="G2250" s="58" t="s">
        <v>6357</v>
      </c>
      <c r="H2250" s="58" t="s">
        <v>1816</v>
      </c>
      <c r="I2250" s="64" t="s">
        <v>6356</v>
      </c>
      <c r="J2250" s="66"/>
      <c r="K2250" s="66"/>
      <c r="L2250" s="68"/>
      <c r="M2250" s="63" t="str">
        <f>HYPERLINK("http://nsgreg.nga.mil/genc/view?v=864897&amp;end_month=12&amp;end_day=31&amp;end_year=2016","Correlation")</f>
        <v>Correlation</v>
      </c>
    </row>
    <row r="2251" spans="1:13" x14ac:dyDescent="0.2">
      <c r="A2251" s="113"/>
      <c r="B2251" s="58" t="s">
        <v>6358</v>
      </c>
      <c r="C2251" s="58" t="s">
        <v>1816</v>
      </c>
      <c r="D2251" s="58" t="s">
        <v>6359</v>
      </c>
      <c r="E2251" s="60" t="b">
        <v>1</v>
      </c>
      <c r="F2251" s="80" t="s">
        <v>821</v>
      </c>
      <c r="G2251" s="58" t="s">
        <v>6360</v>
      </c>
      <c r="H2251" s="58" t="s">
        <v>1816</v>
      </c>
      <c r="I2251" s="64" t="s">
        <v>6359</v>
      </c>
      <c r="J2251" s="66"/>
      <c r="K2251" s="66"/>
      <c r="L2251" s="68"/>
      <c r="M2251" s="63" t="str">
        <f>HYPERLINK("http://nsgreg.nga.mil/genc/view?v=864898&amp;end_month=12&amp;end_day=31&amp;end_year=2016","Correlation")</f>
        <v>Correlation</v>
      </c>
    </row>
    <row r="2252" spans="1:13" x14ac:dyDescent="0.2">
      <c r="A2252" s="114"/>
      <c r="B2252" s="71" t="s">
        <v>6361</v>
      </c>
      <c r="C2252" s="71" t="s">
        <v>1816</v>
      </c>
      <c r="D2252" s="71" t="s">
        <v>6362</v>
      </c>
      <c r="E2252" s="73" t="b">
        <v>1</v>
      </c>
      <c r="F2252" s="81" t="s">
        <v>821</v>
      </c>
      <c r="G2252" s="71" t="s">
        <v>6363</v>
      </c>
      <c r="H2252" s="71" t="s">
        <v>1816</v>
      </c>
      <c r="I2252" s="74" t="s">
        <v>6362</v>
      </c>
      <c r="J2252" s="76"/>
      <c r="K2252" s="76"/>
      <c r="L2252" s="82"/>
      <c r="M2252" s="77" t="str">
        <f>HYPERLINK("http://nsgreg.nga.mil/genc/view?v=864899&amp;end_month=12&amp;end_day=31&amp;end_year=2016","Correlation")</f>
        <v>Correlation</v>
      </c>
    </row>
    <row r="2253" spans="1:13" x14ac:dyDescent="0.2">
      <c r="A2253" s="112" t="s">
        <v>825</v>
      </c>
      <c r="B2253" s="50" t="s">
        <v>6364</v>
      </c>
      <c r="C2253" s="50" t="s">
        <v>2030</v>
      </c>
      <c r="D2253" s="50" t="s">
        <v>6365</v>
      </c>
      <c r="E2253" s="52" t="b">
        <v>1</v>
      </c>
      <c r="F2253" s="78" t="s">
        <v>825</v>
      </c>
      <c r="G2253" s="50" t="s">
        <v>6364</v>
      </c>
      <c r="H2253" s="50" t="s">
        <v>2030</v>
      </c>
      <c r="I2253" s="53" t="s">
        <v>6365</v>
      </c>
      <c r="J2253" s="55"/>
      <c r="K2253" s="55"/>
      <c r="L2253" s="79"/>
      <c r="M2253" s="56" t="str">
        <f>HYPERLINK("http://nsgreg.nga.mil/genc/view?v=864620&amp;end_month=12&amp;end_day=31&amp;end_year=2016","Correlation")</f>
        <v>Correlation</v>
      </c>
    </row>
    <row r="2254" spans="1:13" x14ac:dyDescent="0.2">
      <c r="A2254" s="113"/>
      <c r="B2254" s="58" t="s">
        <v>6366</v>
      </c>
      <c r="C2254" s="58" t="s">
        <v>2030</v>
      </c>
      <c r="D2254" s="58" t="s">
        <v>6367</v>
      </c>
      <c r="E2254" s="60" t="b">
        <v>1</v>
      </c>
      <c r="F2254" s="80" t="s">
        <v>825</v>
      </c>
      <c r="G2254" s="58" t="s">
        <v>6366</v>
      </c>
      <c r="H2254" s="58" t="s">
        <v>2030</v>
      </c>
      <c r="I2254" s="64" t="s">
        <v>6367</v>
      </c>
      <c r="J2254" s="66"/>
      <c r="K2254" s="66"/>
      <c r="L2254" s="68"/>
      <c r="M2254" s="63" t="str">
        <f>HYPERLINK("http://nsgreg.nga.mil/genc/view?v=864623&amp;end_month=12&amp;end_day=31&amp;end_year=2016","Correlation")</f>
        <v>Correlation</v>
      </c>
    </row>
    <row r="2255" spans="1:13" x14ac:dyDescent="0.2">
      <c r="A2255" s="113"/>
      <c r="B2255" s="58" t="s">
        <v>6368</v>
      </c>
      <c r="C2255" s="58" t="s">
        <v>2030</v>
      </c>
      <c r="D2255" s="58" t="s">
        <v>6369</v>
      </c>
      <c r="E2255" s="60" t="b">
        <v>1</v>
      </c>
      <c r="F2255" s="80" t="s">
        <v>825</v>
      </c>
      <c r="G2255" s="58" t="s">
        <v>6368</v>
      </c>
      <c r="H2255" s="58" t="s">
        <v>2030</v>
      </c>
      <c r="I2255" s="64" t="s">
        <v>6369</v>
      </c>
      <c r="J2255" s="66"/>
      <c r="K2255" s="66"/>
      <c r="L2255" s="68"/>
      <c r="M2255" s="63" t="str">
        <f>HYPERLINK("http://nsgreg.nga.mil/genc/view?v=864624&amp;end_month=12&amp;end_day=31&amp;end_year=2016","Correlation")</f>
        <v>Correlation</v>
      </c>
    </row>
    <row r="2256" spans="1:13" x14ac:dyDescent="0.2">
      <c r="A2256" s="113"/>
      <c r="B2256" s="58" t="s">
        <v>6370</v>
      </c>
      <c r="C2256" s="58" t="s">
        <v>2030</v>
      </c>
      <c r="D2256" s="58" t="s">
        <v>6371</v>
      </c>
      <c r="E2256" s="60" t="b">
        <v>1</v>
      </c>
      <c r="F2256" s="80" t="s">
        <v>825</v>
      </c>
      <c r="G2256" s="58" t="s">
        <v>6370</v>
      </c>
      <c r="H2256" s="58" t="s">
        <v>2030</v>
      </c>
      <c r="I2256" s="64" t="s">
        <v>6371</v>
      </c>
      <c r="J2256" s="66"/>
      <c r="K2256" s="66"/>
      <c r="L2256" s="68"/>
      <c r="M2256" s="63" t="str">
        <f>HYPERLINK("http://nsgreg.nga.mil/genc/view?v=864622&amp;end_month=12&amp;end_day=31&amp;end_year=2016","Correlation")</f>
        <v>Correlation</v>
      </c>
    </row>
    <row r="2257" spans="1:13" x14ac:dyDescent="0.2">
      <c r="A2257" s="113"/>
      <c r="B2257" s="58" t="s">
        <v>6372</v>
      </c>
      <c r="C2257" s="58" t="s">
        <v>2030</v>
      </c>
      <c r="D2257" s="58" t="s">
        <v>6373</v>
      </c>
      <c r="E2257" s="60" t="b">
        <v>1</v>
      </c>
      <c r="F2257" s="80" t="s">
        <v>825</v>
      </c>
      <c r="G2257" s="58" t="s">
        <v>6372</v>
      </c>
      <c r="H2257" s="58" t="s">
        <v>2030</v>
      </c>
      <c r="I2257" s="64" t="s">
        <v>6373</v>
      </c>
      <c r="J2257" s="66"/>
      <c r="K2257" s="66"/>
      <c r="L2257" s="68"/>
      <c r="M2257" s="63" t="str">
        <f>HYPERLINK("http://nsgreg.nga.mil/genc/view?v=864621&amp;end_month=12&amp;end_day=31&amp;end_year=2016","Correlation")</f>
        <v>Correlation</v>
      </c>
    </row>
    <row r="2258" spans="1:13" x14ac:dyDescent="0.2">
      <c r="A2258" s="113"/>
      <c r="B2258" s="58" t="s">
        <v>6374</v>
      </c>
      <c r="C2258" s="58" t="s">
        <v>2030</v>
      </c>
      <c r="D2258" s="58" t="s">
        <v>6375</v>
      </c>
      <c r="E2258" s="60" t="b">
        <v>1</v>
      </c>
      <c r="F2258" s="80" t="s">
        <v>825</v>
      </c>
      <c r="G2258" s="58" t="s">
        <v>6374</v>
      </c>
      <c r="H2258" s="58" t="s">
        <v>2030</v>
      </c>
      <c r="I2258" s="64" t="s">
        <v>6375</v>
      </c>
      <c r="J2258" s="66"/>
      <c r="K2258" s="66"/>
      <c r="L2258" s="68"/>
      <c r="M2258" s="63" t="str">
        <f>HYPERLINK("http://nsgreg.nga.mil/genc/view?v=864625&amp;end_month=12&amp;end_day=31&amp;end_year=2016","Correlation")</f>
        <v>Correlation</v>
      </c>
    </row>
    <row r="2259" spans="1:13" x14ac:dyDescent="0.2">
      <c r="A2259" s="113"/>
      <c r="B2259" s="58" t="s">
        <v>6376</v>
      </c>
      <c r="C2259" s="58" t="s">
        <v>2030</v>
      </c>
      <c r="D2259" s="58" t="s">
        <v>6377</v>
      </c>
      <c r="E2259" s="60" t="b">
        <v>1</v>
      </c>
      <c r="F2259" s="80" t="s">
        <v>825</v>
      </c>
      <c r="G2259" s="58" t="s">
        <v>6376</v>
      </c>
      <c r="H2259" s="58" t="s">
        <v>2030</v>
      </c>
      <c r="I2259" s="64" t="s">
        <v>6377</v>
      </c>
      <c r="J2259" s="66"/>
      <c r="K2259" s="66"/>
      <c r="L2259" s="68"/>
      <c r="M2259" s="63" t="str">
        <f>HYPERLINK("http://nsgreg.nga.mil/genc/view?v=864626&amp;end_month=12&amp;end_day=31&amp;end_year=2016","Correlation")</f>
        <v>Correlation</v>
      </c>
    </row>
    <row r="2260" spans="1:13" x14ac:dyDescent="0.2">
      <c r="A2260" s="114"/>
      <c r="B2260" s="71" t="s">
        <v>6378</v>
      </c>
      <c r="C2260" s="71" t="s">
        <v>2030</v>
      </c>
      <c r="D2260" s="71" t="s">
        <v>6379</v>
      </c>
      <c r="E2260" s="73" t="b">
        <v>1</v>
      </c>
      <c r="F2260" s="81" t="s">
        <v>825</v>
      </c>
      <c r="G2260" s="71" t="s">
        <v>6378</v>
      </c>
      <c r="H2260" s="71" t="s">
        <v>2030</v>
      </c>
      <c r="I2260" s="74" t="s">
        <v>6379</v>
      </c>
      <c r="J2260" s="76"/>
      <c r="K2260" s="76"/>
      <c r="L2260" s="82"/>
      <c r="M2260" s="77" t="str">
        <f>HYPERLINK("http://nsgreg.nga.mil/genc/view?v=864627&amp;end_month=12&amp;end_day=31&amp;end_year=2016","Correlation")</f>
        <v>Correlation</v>
      </c>
    </row>
    <row r="2261" spans="1:13" x14ac:dyDescent="0.2">
      <c r="A2261" s="112" t="s">
        <v>829</v>
      </c>
      <c r="B2261" s="50" t="s">
        <v>6380</v>
      </c>
      <c r="C2261" s="50" t="s">
        <v>1796</v>
      </c>
      <c r="D2261" s="50" t="s">
        <v>6381</v>
      </c>
      <c r="E2261" s="52" t="b">
        <v>1</v>
      </c>
      <c r="F2261" s="78" t="s">
        <v>829</v>
      </c>
      <c r="G2261" s="50" t="s">
        <v>6380</v>
      </c>
      <c r="H2261" s="50" t="s">
        <v>1796</v>
      </c>
      <c r="I2261" s="53" t="s">
        <v>6381</v>
      </c>
      <c r="J2261" s="55"/>
      <c r="K2261" s="55"/>
      <c r="L2261" s="79"/>
      <c r="M2261" s="56" t="str">
        <f>HYPERLINK("http://nsgreg.nga.mil/genc/view?v=864701&amp;end_month=12&amp;end_day=31&amp;end_year=2016","Correlation")</f>
        <v>Correlation</v>
      </c>
    </row>
    <row r="2262" spans="1:13" x14ac:dyDescent="0.2">
      <c r="A2262" s="113"/>
      <c r="B2262" s="58" t="s">
        <v>6382</v>
      </c>
      <c r="C2262" s="58" t="s">
        <v>1796</v>
      </c>
      <c r="D2262" s="58" t="s">
        <v>6383</v>
      </c>
      <c r="E2262" s="60" t="b">
        <v>1</v>
      </c>
      <c r="F2262" s="80" t="s">
        <v>829</v>
      </c>
      <c r="G2262" s="58" t="s">
        <v>6382</v>
      </c>
      <c r="H2262" s="58" t="s">
        <v>1796</v>
      </c>
      <c r="I2262" s="64" t="s">
        <v>6383</v>
      </c>
      <c r="J2262" s="66"/>
      <c r="K2262" s="66"/>
      <c r="L2262" s="68"/>
      <c r="M2262" s="63" t="str">
        <f>HYPERLINK("http://nsgreg.nga.mil/genc/view?v=864699&amp;end_month=12&amp;end_day=31&amp;end_year=2016","Correlation")</f>
        <v>Correlation</v>
      </c>
    </row>
    <row r="2263" spans="1:13" x14ac:dyDescent="0.2">
      <c r="A2263" s="113"/>
      <c r="B2263" s="58" t="s">
        <v>6384</v>
      </c>
      <c r="C2263" s="58" t="s">
        <v>1796</v>
      </c>
      <c r="D2263" s="58" t="s">
        <v>6385</v>
      </c>
      <c r="E2263" s="60" t="b">
        <v>1</v>
      </c>
      <c r="F2263" s="80" t="s">
        <v>829</v>
      </c>
      <c r="G2263" s="58" t="s">
        <v>6384</v>
      </c>
      <c r="H2263" s="58" t="s">
        <v>1796</v>
      </c>
      <c r="I2263" s="64" t="s">
        <v>6385</v>
      </c>
      <c r="J2263" s="66"/>
      <c r="K2263" s="66"/>
      <c r="L2263" s="68"/>
      <c r="M2263" s="63" t="str">
        <f>HYPERLINK("http://nsgreg.nga.mil/genc/view?v=864700&amp;end_month=12&amp;end_day=31&amp;end_year=2016","Correlation")</f>
        <v>Correlation</v>
      </c>
    </row>
    <row r="2264" spans="1:13" x14ac:dyDescent="0.2">
      <c r="A2264" s="113"/>
      <c r="B2264" s="58" t="s">
        <v>6386</v>
      </c>
      <c r="C2264" s="58" t="s">
        <v>1796</v>
      </c>
      <c r="D2264" s="58" t="s">
        <v>6387</v>
      </c>
      <c r="E2264" s="60" t="b">
        <v>1</v>
      </c>
      <c r="F2264" s="80" t="s">
        <v>829</v>
      </c>
      <c r="G2264" s="58" t="s">
        <v>6386</v>
      </c>
      <c r="H2264" s="58" t="s">
        <v>1796</v>
      </c>
      <c r="I2264" s="64" t="s">
        <v>6387</v>
      </c>
      <c r="J2264" s="66"/>
      <c r="K2264" s="66"/>
      <c r="L2264" s="68"/>
      <c r="M2264" s="63" t="str">
        <f>HYPERLINK("http://nsgreg.nga.mil/genc/view?v=864702&amp;end_month=12&amp;end_day=31&amp;end_year=2016","Correlation")</f>
        <v>Correlation</v>
      </c>
    </row>
    <row r="2265" spans="1:13" x14ac:dyDescent="0.2">
      <c r="A2265" s="113"/>
      <c r="B2265" s="58" t="s">
        <v>6388</v>
      </c>
      <c r="C2265" s="58" t="s">
        <v>1796</v>
      </c>
      <c r="D2265" s="58" t="s">
        <v>6389</v>
      </c>
      <c r="E2265" s="60" t="b">
        <v>1</v>
      </c>
      <c r="F2265" s="80" t="s">
        <v>829</v>
      </c>
      <c r="G2265" s="58" t="s">
        <v>6388</v>
      </c>
      <c r="H2265" s="58" t="s">
        <v>1796</v>
      </c>
      <c r="I2265" s="64" t="s">
        <v>6389</v>
      </c>
      <c r="J2265" s="66"/>
      <c r="K2265" s="66"/>
      <c r="L2265" s="68"/>
      <c r="M2265" s="63" t="str">
        <f>HYPERLINK("http://nsgreg.nga.mil/genc/view?v=864698&amp;end_month=12&amp;end_day=31&amp;end_year=2016","Correlation")</f>
        <v>Correlation</v>
      </c>
    </row>
    <row r="2266" spans="1:13" x14ac:dyDescent="0.2">
      <c r="A2266" s="113"/>
      <c r="B2266" s="58" t="s">
        <v>6390</v>
      </c>
      <c r="C2266" s="58" t="s">
        <v>1796</v>
      </c>
      <c r="D2266" s="58" t="s">
        <v>6391</v>
      </c>
      <c r="E2266" s="60" t="b">
        <v>1</v>
      </c>
      <c r="F2266" s="80" t="s">
        <v>829</v>
      </c>
      <c r="G2266" s="58" t="s">
        <v>6392</v>
      </c>
      <c r="H2266" s="58" t="s">
        <v>1796</v>
      </c>
      <c r="I2266" s="64" t="s">
        <v>6391</v>
      </c>
      <c r="J2266" s="66"/>
      <c r="K2266" s="66"/>
      <c r="L2266" s="68"/>
      <c r="M2266" s="63" t="str">
        <f>HYPERLINK("http://nsgreg.nga.mil/genc/view?v=864703&amp;end_month=12&amp;end_day=31&amp;end_year=2016","Correlation")</f>
        <v>Correlation</v>
      </c>
    </row>
    <row r="2267" spans="1:13" x14ac:dyDescent="0.2">
      <c r="A2267" s="113"/>
      <c r="B2267" s="58" t="s">
        <v>6393</v>
      </c>
      <c r="C2267" s="58" t="s">
        <v>1796</v>
      </c>
      <c r="D2267" s="58" t="s">
        <v>6394</v>
      </c>
      <c r="E2267" s="60" t="b">
        <v>1</v>
      </c>
      <c r="F2267" s="80" t="s">
        <v>829</v>
      </c>
      <c r="G2267" s="58" t="s">
        <v>6393</v>
      </c>
      <c r="H2267" s="58" t="s">
        <v>1796</v>
      </c>
      <c r="I2267" s="64" t="s">
        <v>6394</v>
      </c>
      <c r="J2267" s="66"/>
      <c r="K2267" s="66"/>
      <c r="L2267" s="68"/>
      <c r="M2267" s="63" t="str">
        <f>HYPERLINK("http://nsgreg.nga.mil/genc/view?v=864706&amp;end_month=12&amp;end_day=31&amp;end_year=2016","Correlation")</f>
        <v>Correlation</v>
      </c>
    </row>
    <row r="2268" spans="1:13" x14ac:dyDescent="0.2">
      <c r="A2268" s="113"/>
      <c r="B2268" s="58" t="s">
        <v>6395</v>
      </c>
      <c r="C2268" s="58" t="s">
        <v>1796</v>
      </c>
      <c r="D2268" s="58" t="s">
        <v>6396</v>
      </c>
      <c r="E2268" s="60" t="b">
        <v>1</v>
      </c>
      <c r="F2268" s="80" t="s">
        <v>829</v>
      </c>
      <c r="G2268" s="58" t="s">
        <v>6397</v>
      </c>
      <c r="H2268" s="58" t="s">
        <v>1796</v>
      </c>
      <c r="I2268" s="64" t="s">
        <v>6396</v>
      </c>
      <c r="J2268" s="66"/>
      <c r="K2268" s="66"/>
      <c r="L2268" s="68"/>
      <c r="M2268" s="63" t="str">
        <f>HYPERLINK("http://nsgreg.nga.mil/genc/view?v=864705&amp;end_month=12&amp;end_day=31&amp;end_year=2016","Correlation")</f>
        <v>Correlation</v>
      </c>
    </row>
    <row r="2269" spans="1:13" x14ac:dyDescent="0.2">
      <c r="A2269" s="113"/>
      <c r="B2269" s="58" t="s">
        <v>6398</v>
      </c>
      <c r="C2269" s="58" t="s">
        <v>1796</v>
      </c>
      <c r="D2269" s="58" t="s">
        <v>6399</v>
      </c>
      <c r="E2269" s="60" t="b">
        <v>1</v>
      </c>
      <c r="F2269" s="80" t="s">
        <v>829</v>
      </c>
      <c r="G2269" s="58" t="s">
        <v>6398</v>
      </c>
      <c r="H2269" s="58" t="s">
        <v>1796</v>
      </c>
      <c r="I2269" s="64" t="s">
        <v>6399</v>
      </c>
      <c r="J2269" s="66"/>
      <c r="K2269" s="66"/>
      <c r="L2269" s="68"/>
      <c r="M2269" s="63" t="str">
        <f>HYPERLINK("http://nsgreg.nga.mil/genc/view?v=864704&amp;end_month=12&amp;end_day=31&amp;end_year=2016","Correlation")</f>
        <v>Correlation</v>
      </c>
    </row>
    <row r="2270" spans="1:13" x14ac:dyDescent="0.2">
      <c r="A2270" s="114"/>
      <c r="B2270" s="71" t="s">
        <v>6400</v>
      </c>
      <c r="C2270" s="71" t="s">
        <v>1796</v>
      </c>
      <c r="D2270" s="71" t="s">
        <v>6401</v>
      </c>
      <c r="E2270" s="73" t="b">
        <v>1</v>
      </c>
      <c r="F2270" s="81" t="s">
        <v>829</v>
      </c>
      <c r="G2270" s="71" t="s">
        <v>6400</v>
      </c>
      <c r="H2270" s="71" t="s">
        <v>1796</v>
      </c>
      <c r="I2270" s="74" t="s">
        <v>6401</v>
      </c>
      <c r="J2270" s="76"/>
      <c r="K2270" s="76"/>
      <c r="L2270" s="82"/>
      <c r="M2270" s="77" t="str">
        <f>HYPERLINK("http://nsgreg.nga.mil/genc/view?v=864707&amp;end_month=12&amp;end_day=31&amp;end_year=2016","Correlation")</f>
        <v>Correlation</v>
      </c>
    </row>
    <row r="2271" spans="1:13" x14ac:dyDescent="0.2">
      <c r="A2271" s="112" t="s">
        <v>833</v>
      </c>
      <c r="B2271" s="50" t="s">
        <v>6402</v>
      </c>
      <c r="C2271" s="50" t="s">
        <v>1483</v>
      </c>
      <c r="D2271" s="50" t="s">
        <v>6403</v>
      </c>
      <c r="E2271" s="52" t="b">
        <v>1</v>
      </c>
      <c r="F2271" s="78" t="s">
        <v>833</v>
      </c>
      <c r="G2271" s="50" t="s">
        <v>6402</v>
      </c>
      <c r="H2271" s="50" t="s">
        <v>1483</v>
      </c>
      <c r="I2271" s="53" t="s">
        <v>6403</v>
      </c>
      <c r="J2271" s="55"/>
      <c r="K2271" s="55"/>
      <c r="L2271" s="79"/>
      <c r="M2271" s="56" t="str">
        <f>HYPERLINK("http://nsgreg.nga.mil/genc/view?v=864684&amp;end_month=12&amp;end_day=31&amp;end_year=2016","Correlation")</f>
        <v>Correlation</v>
      </c>
    </row>
    <row r="2272" spans="1:13" x14ac:dyDescent="0.2">
      <c r="A2272" s="113"/>
      <c r="B2272" s="58" t="s">
        <v>6404</v>
      </c>
      <c r="C2272" s="58" t="s">
        <v>1483</v>
      </c>
      <c r="D2272" s="58" t="s">
        <v>6405</v>
      </c>
      <c r="E2272" s="60" t="b">
        <v>1</v>
      </c>
      <c r="F2272" s="80" t="s">
        <v>833</v>
      </c>
      <c r="G2272" s="58" t="s">
        <v>6404</v>
      </c>
      <c r="H2272" s="58" t="s">
        <v>1483</v>
      </c>
      <c r="I2272" s="64" t="s">
        <v>6405</v>
      </c>
      <c r="J2272" s="66"/>
      <c r="K2272" s="66"/>
      <c r="L2272" s="68"/>
      <c r="M2272" s="63" t="str">
        <f>HYPERLINK("http://nsgreg.nga.mil/genc/view?v=864683&amp;end_month=12&amp;end_day=31&amp;end_year=2016","Correlation")</f>
        <v>Correlation</v>
      </c>
    </row>
    <row r="2273" spans="1:13" x14ac:dyDescent="0.2">
      <c r="A2273" s="113"/>
      <c r="B2273" s="58" t="s">
        <v>6406</v>
      </c>
      <c r="C2273" s="58" t="s">
        <v>1483</v>
      </c>
      <c r="D2273" s="58" t="s">
        <v>6407</v>
      </c>
      <c r="E2273" s="60" t="b">
        <v>1</v>
      </c>
      <c r="F2273" s="80" t="s">
        <v>833</v>
      </c>
      <c r="G2273" s="58" t="s">
        <v>6406</v>
      </c>
      <c r="H2273" s="58" t="s">
        <v>1483</v>
      </c>
      <c r="I2273" s="64" t="s">
        <v>6407</v>
      </c>
      <c r="J2273" s="66"/>
      <c r="K2273" s="66"/>
      <c r="L2273" s="68"/>
      <c r="M2273" s="63" t="str">
        <f>HYPERLINK("http://nsgreg.nga.mil/genc/view?v=864689&amp;end_month=12&amp;end_day=31&amp;end_year=2016","Correlation")</f>
        <v>Correlation</v>
      </c>
    </row>
    <row r="2274" spans="1:13" x14ac:dyDescent="0.2">
      <c r="A2274" s="113"/>
      <c r="B2274" s="58" t="s">
        <v>6408</v>
      </c>
      <c r="C2274" s="58" t="s">
        <v>1483</v>
      </c>
      <c r="D2274" s="58" t="s">
        <v>6409</v>
      </c>
      <c r="E2274" s="60" t="b">
        <v>1</v>
      </c>
      <c r="F2274" s="80" t="s">
        <v>833</v>
      </c>
      <c r="G2274" s="58" t="s">
        <v>6408</v>
      </c>
      <c r="H2274" s="58" t="s">
        <v>1483</v>
      </c>
      <c r="I2274" s="64" t="s">
        <v>6409</v>
      </c>
      <c r="J2274" s="66"/>
      <c r="K2274" s="66"/>
      <c r="L2274" s="68"/>
      <c r="M2274" s="63" t="str">
        <f>HYPERLINK("http://nsgreg.nga.mil/genc/view?v=864686&amp;end_month=12&amp;end_day=31&amp;end_year=2016","Correlation")</f>
        <v>Correlation</v>
      </c>
    </row>
    <row r="2275" spans="1:13" x14ac:dyDescent="0.2">
      <c r="A2275" s="113"/>
      <c r="B2275" s="58" t="s">
        <v>6410</v>
      </c>
      <c r="C2275" s="58" t="s">
        <v>1483</v>
      </c>
      <c r="D2275" s="58" t="s">
        <v>6411</v>
      </c>
      <c r="E2275" s="60" t="b">
        <v>1</v>
      </c>
      <c r="F2275" s="80" t="s">
        <v>833</v>
      </c>
      <c r="G2275" s="58" t="s">
        <v>6410</v>
      </c>
      <c r="H2275" s="58" t="s">
        <v>1483</v>
      </c>
      <c r="I2275" s="64" t="s">
        <v>6411</v>
      </c>
      <c r="J2275" s="66"/>
      <c r="K2275" s="66"/>
      <c r="L2275" s="68"/>
      <c r="M2275" s="63" t="str">
        <f>HYPERLINK("http://nsgreg.nga.mil/genc/view?v=864685&amp;end_month=12&amp;end_day=31&amp;end_year=2016","Correlation")</f>
        <v>Correlation</v>
      </c>
    </row>
    <row r="2276" spans="1:13" x14ac:dyDescent="0.2">
      <c r="A2276" s="113"/>
      <c r="B2276" s="58" t="s">
        <v>6412</v>
      </c>
      <c r="C2276" s="58" t="s">
        <v>1483</v>
      </c>
      <c r="D2276" s="58" t="s">
        <v>6413</v>
      </c>
      <c r="E2276" s="60" t="b">
        <v>1</v>
      </c>
      <c r="F2276" s="80" t="s">
        <v>833</v>
      </c>
      <c r="G2276" s="58" t="s">
        <v>6412</v>
      </c>
      <c r="H2276" s="58" t="s">
        <v>1483</v>
      </c>
      <c r="I2276" s="64" t="s">
        <v>6413</v>
      </c>
      <c r="J2276" s="66"/>
      <c r="K2276" s="66"/>
      <c r="L2276" s="68"/>
      <c r="M2276" s="63" t="str">
        <f>HYPERLINK("http://nsgreg.nga.mil/genc/view?v=864687&amp;end_month=12&amp;end_day=31&amp;end_year=2016","Correlation")</f>
        <v>Correlation</v>
      </c>
    </row>
    <row r="2277" spans="1:13" x14ac:dyDescent="0.2">
      <c r="A2277" s="113"/>
      <c r="B2277" s="58" t="s">
        <v>6414</v>
      </c>
      <c r="C2277" s="58" t="s">
        <v>1483</v>
      </c>
      <c r="D2277" s="58" t="s">
        <v>6415</v>
      </c>
      <c r="E2277" s="60" t="b">
        <v>1</v>
      </c>
      <c r="F2277" s="80" t="s">
        <v>833</v>
      </c>
      <c r="G2277" s="58" t="s">
        <v>6414</v>
      </c>
      <c r="H2277" s="58" t="s">
        <v>1483</v>
      </c>
      <c r="I2277" s="64" t="s">
        <v>6415</v>
      </c>
      <c r="J2277" s="66"/>
      <c r="K2277" s="66"/>
      <c r="L2277" s="68"/>
      <c r="M2277" s="63" t="str">
        <f>HYPERLINK("http://nsgreg.nga.mil/genc/view?v=864688&amp;end_month=12&amp;end_day=31&amp;end_year=2016","Correlation")</f>
        <v>Correlation</v>
      </c>
    </row>
    <row r="2278" spans="1:13" x14ac:dyDescent="0.2">
      <c r="A2278" s="113"/>
      <c r="B2278" s="58" t="s">
        <v>6416</v>
      </c>
      <c r="C2278" s="58" t="s">
        <v>1483</v>
      </c>
      <c r="D2278" s="58" t="s">
        <v>6417</v>
      </c>
      <c r="E2278" s="60" t="b">
        <v>1</v>
      </c>
      <c r="F2278" s="80" t="s">
        <v>833</v>
      </c>
      <c r="G2278" s="58" t="s">
        <v>6416</v>
      </c>
      <c r="H2278" s="58" t="s">
        <v>1483</v>
      </c>
      <c r="I2278" s="64" t="s">
        <v>6417</v>
      </c>
      <c r="J2278" s="66"/>
      <c r="K2278" s="66"/>
      <c r="L2278" s="68"/>
      <c r="M2278" s="63" t="str">
        <f>HYPERLINK("http://nsgreg.nga.mil/genc/view?v=864690&amp;end_month=12&amp;end_day=31&amp;end_year=2016","Correlation")</f>
        <v>Correlation</v>
      </c>
    </row>
    <row r="2279" spans="1:13" x14ac:dyDescent="0.2">
      <c r="A2279" s="113"/>
      <c r="B2279" s="58" t="s">
        <v>6418</v>
      </c>
      <c r="C2279" s="58" t="s">
        <v>1483</v>
      </c>
      <c r="D2279" s="58" t="s">
        <v>6419</v>
      </c>
      <c r="E2279" s="60" t="b">
        <v>1</v>
      </c>
      <c r="F2279" s="80" t="s">
        <v>833</v>
      </c>
      <c r="G2279" s="58" t="s">
        <v>6418</v>
      </c>
      <c r="H2279" s="58" t="s">
        <v>1483</v>
      </c>
      <c r="I2279" s="64" t="s">
        <v>6419</v>
      </c>
      <c r="J2279" s="66"/>
      <c r="K2279" s="66"/>
      <c r="L2279" s="68"/>
      <c r="M2279" s="63" t="str">
        <f>HYPERLINK("http://nsgreg.nga.mil/genc/view?v=864691&amp;end_month=12&amp;end_day=31&amp;end_year=2016","Correlation")</f>
        <v>Correlation</v>
      </c>
    </row>
    <row r="2280" spans="1:13" x14ac:dyDescent="0.2">
      <c r="A2280" s="113"/>
      <c r="B2280" s="58" t="s">
        <v>6420</v>
      </c>
      <c r="C2280" s="58" t="s">
        <v>1483</v>
      </c>
      <c r="D2280" s="58" t="s">
        <v>6421</v>
      </c>
      <c r="E2280" s="60" t="b">
        <v>1</v>
      </c>
      <c r="F2280" s="80" t="s">
        <v>833</v>
      </c>
      <c r="G2280" s="58" t="s">
        <v>6420</v>
      </c>
      <c r="H2280" s="58" t="s">
        <v>1483</v>
      </c>
      <c r="I2280" s="64" t="s">
        <v>6421</v>
      </c>
      <c r="J2280" s="66"/>
      <c r="K2280" s="66"/>
      <c r="L2280" s="68"/>
      <c r="M2280" s="63" t="str">
        <f>HYPERLINK("http://nsgreg.nga.mil/genc/view?v=864693&amp;end_month=12&amp;end_day=31&amp;end_year=2016","Correlation")</f>
        <v>Correlation</v>
      </c>
    </row>
    <row r="2281" spans="1:13" x14ac:dyDescent="0.2">
      <c r="A2281" s="113"/>
      <c r="B2281" s="58" t="s">
        <v>6422</v>
      </c>
      <c r="C2281" s="58" t="s">
        <v>1483</v>
      </c>
      <c r="D2281" s="58" t="s">
        <v>6423</v>
      </c>
      <c r="E2281" s="60" t="b">
        <v>1</v>
      </c>
      <c r="F2281" s="80" t="s">
        <v>833</v>
      </c>
      <c r="G2281" s="58" t="s">
        <v>6422</v>
      </c>
      <c r="H2281" s="58" t="s">
        <v>1483</v>
      </c>
      <c r="I2281" s="64" t="s">
        <v>6423</v>
      </c>
      <c r="J2281" s="66"/>
      <c r="K2281" s="66"/>
      <c r="L2281" s="68"/>
      <c r="M2281" s="63" t="str">
        <f>HYPERLINK("http://nsgreg.nga.mil/genc/view?v=864692&amp;end_month=12&amp;end_day=31&amp;end_year=2016","Correlation")</f>
        <v>Correlation</v>
      </c>
    </row>
    <row r="2282" spans="1:13" x14ac:dyDescent="0.2">
      <c r="A2282" s="113"/>
      <c r="B2282" s="58" t="s">
        <v>6424</v>
      </c>
      <c r="C2282" s="58" t="s">
        <v>1483</v>
      </c>
      <c r="D2282" s="58" t="s">
        <v>6425</v>
      </c>
      <c r="E2282" s="60" t="b">
        <v>1</v>
      </c>
      <c r="F2282" s="80" t="s">
        <v>833</v>
      </c>
      <c r="G2282" s="58" t="s">
        <v>6424</v>
      </c>
      <c r="H2282" s="58" t="s">
        <v>1483</v>
      </c>
      <c r="I2282" s="64" t="s">
        <v>6425</v>
      </c>
      <c r="J2282" s="66"/>
      <c r="K2282" s="66"/>
      <c r="L2282" s="68"/>
      <c r="M2282" s="63" t="str">
        <f>HYPERLINK("http://nsgreg.nga.mil/genc/view?v=864694&amp;end_month=12&amp;end_day=31&amp;end_year=2016","Correlation")</f>
        <v>Correlation</v>
      </c>
    </row>
    <row r="2283" spans="1:13" x14ac:dyDescent="0.2">
      <c r="A2283" s="113"/>
      <c r="B2283" s="58" t="s">
        <v>6426</v>
      </c>
      <c r="C2283" s="58" t="s">
        <v>1483</v>
      </c>
      <c r="D2283" s="58" t="s">
        <v>6427</v>
      </c>
      <c r="E2283" s="60" t="b">
        <v>1</v>
      </c>
      <c r="F2283" s="80" t="s">
        <v>833</v>
      </c>
      <c r="G2283" s="58" t="s">
        <v>6426</v>
      </c>
      <c r="H2283" s="58" t="s">
        <v>1483</v>
      </c>
      <c r="I2283" s="64" t="s">
        <v>6427</v>
      </c>
      <c r="J2283" s="66"/>
      <c r="K2283" s="66"/>
      <c r="L2283" s="68"/>
      <c r="M2283" s="63" t="str">
        <f>HYPERLINK("http://nsgreg.nga.mil/genc/view?v=864696&amp;end_month=12&amp;end_day=31&amp;end_year=2016","Correlation")</f>
        <v>Correlation</v>
      </c>
    </row>
    <row r="2284" spans="1:13" x14ac:dyDescent="0.2">
      <c r="A2284" s="113"/>
      <c r="B2284" s="58" t="s">
        <v>6428</v>
      </c>
      <c r="C2284" s="58" t="s">
        <v>1483</v>
      </c>
      <c r="D2284" s="58" t="s">
        <v>6429</v>
      </c>
      <c r="E2284" s="60" t="b">
        <v>1</v>
      </c>
      <c r="F2284" s="80" t="s">
        <v>833</v>
      </c>
      <c r="G2284" s="58" t="s">
        <v>6428</v>
      </c>
      <c r="H2284" s="58" t="s">
        <v>1483</v>
      </c>
      <c r="I2284" s="64" t="s">
        <v>6429</v>
      </c>
      <c r="J2284" s="66"/>
      <c r="K2284" s="66"/>
      <c r="L2284" s="68"/>
      <c r="M2284" s="63" t="str">
        <f>HYPERLINK("http://nsgreg.nga.mil/genc/view?v=864695&amp;end_month=12&amp;end_day=31&amp;end_year=2016","Correlation")</f>
        <v>Correlation</v>
      </c>
    </row>
    <row r="2285" spans="1:13" x14ac:dyDescent="0.2">
      <c r="A2285" s="114"/>
      <c r="B2285" s="71" t="s">
        <v>6430</v>
      </c>
      <c r="C2285" s="71" t="s">
        <v>1483</v>
      </c>
      <c r="D2285" s="71" t="s">
        <v>6431</v>
      </c>
      <c r="E2285" s="73" t="b">
        <v>1</v>
      </c>
      <c r="F2285" s="81" t="s">
        <v>833</v>
      </c>
      <c r="G2285" s="71" t="s">
        <v>6430</v>
      </c>
      <c r="H2285" s="71" t="s">
        <v>1483</v>
      </c>
      <c r="I2285" s="74" t="s">
        <v>6431</v>
      </c>
      <c r="J2285" s="76"/>
      <c r="K2285" s="76"/>
      <c r="L2285" s="82"/>
      <c r="M2285" s="77" t="str">
        <f>HYPERLINK("http://nsgreg.nga.mil/genc/view?v=864697&amp;end_month=12&amp;end_day=31&amp;end_year=2016","Correlation")</f>
        <v>Correlation</v>
      </c>
    </row>
    <row r="2286" spans="1:13" x14ac:dyDescent="0.2">
      <c r="A2286" s="112" t="s">
        <v>837</v>
      </c>
      <c r="B2286" s="50" t="s">
        <v>6432</v>
      </c>
      <c r="C2286" s="50" t="s">
        <v>6433</v>
      </c>
      <c r="D2286" s="50" t="s">
        <v>6434</v>
      </c>
      <c r="E2286" s="52" t="b">
        <v>1</v>
      </c>
      <c r="F2286" s="78" t="s">
        <v>6435</v>
      </c>
      <c r="G2286" s="50" t="s">
        <v>6432</v>
      </c>
      <c r="H2286" s="50" t="s">
        <v>6433</v>
      </c>
      <c r="I2286" s="53" t="s">
        <v>6434</v>
      </c>
      <c r="J2286" s="55"/>
      <c r="K2286" s="55"/>
      <c r="L2286" s="79"/>
      <c r="M2286" s="56" t="str">
        <f>HYPERLINK("http://nsgreg.nga.mil/genc/view?v=864910&amp;end_month=12&amp;end_day=31&amp;end_year=2016","Correlation")</f>
        <v>Correlation</v>
      </c>
    </row>
    <row r="2287" spans="1:13" x14ac:dyDescent="0.2">
      <c r="A2287" s="113"/>
      <c r="B2287" s="58" t="s">
        <v>6436</v>
      </c>
      <c r="C2287" s="58" t="s">
        <v>6433</v>
      </c>
      <c r="D2287" s="58" t="s">
        <v>6437</v>
      </c>
      <c r="E2287" s="60" t="b">
        <v>1</v>
      </c>
      <c r="F2287" s="80" t="s">
        <v>6435</v>
      </c>
      <c r="G2287" s="58" t="s">
        <v>6436</v>
      </c>
      <c r="H2287" s="58" t="s">
        <v>6433</v>
      </c>
      <c r="I2287" s="64" t="s">
        <v>6437</v>
      </c>
      <c r="J2287" s="66"/>
      <c r="K2287" s="66"/>
      <c r="L2287" s="68"/>
      <c r="M2287" s="63" t="str">
        <f>HYPERLINK("http://nsgreg.nga.mil/genc/view?v=864913&amp;end_month=12&amp;end_day=31&amp;end_year=2016","Correlation")</f>
        <v>Correlation</v>
      </c>
    </row>
    <row r="2288" spans="1:13" x14ac:dyDescent="0.2">
      <c r="A2288" s="113"/>
      <c r="B2288" s="58" t="s">
        <v>6438</v>
      </c>
      <c r="C2288" s="58" t="s">
        <v>6433</v>
      </c>
      <c r="D2288" s="58" t="s">
        <v>6439</v>
      </c>
      <c r="E2288" s="60" t="b">
        <v>1</v>
      </c>
      <c r="F2288" s="80" t="s">
        <v>6435</v>
      </c>
      <c r="G2288" s="58" t="s">
        <v>6438</v>
      </c>
      <c r="H2288" s="58" t="s">
        <v>6433</v>
      </c>
      <c r="I2288" s="64" t="s">
        <v>6439</v>
      </c>
      <c r="J2288" s="66"/>
      <c r="K2288" s="66"/>
      <c r="L2288" s="68"/>
      <c r="M2288" s="63" t="str">
        <f>HYPERLINK("http://nsgreg.nga.mil/genc/view?v=864914&amp;end_month=12&amp;end_day=31&amp;end_year=2016","Correlation")</f>
        <v>Correlation</v>
      </c>
    </row>
    <row r="2289" spans="1:13" x14ac:dyDescent="0.2">
      <c r="A2289" s="113"/>
      <c r="B2289" s="58" t="s">
        <v>6440</v>
      </c>
      <c r="C2289" s="58" t="s">
        <v>6433</v>
      </c>
      <c r="D2289" s="58" t="s">
        <v>6441</v>
      </c>
      <c r="E2289" s="60" t="b">
        <v>1</v>
      </c>
      <c r="F2289" s="80" t="s">
        <v>6435</v>
      </c>
      <c r="G2289" s="58" t="s">
        <v>6440</v>
      </c>
      <c r="H2289" s="58" t="s">
        <v>6433</v>
      </c>
      <c r="I2289" s="64" t="s">
        <v>6441</v>
      </c>
      <c r="J2289" s="66"/>
      <c r="K2289" s="66"/>
      <c r="L2289" s="68"/>
      <c r="M2289" s="63" t="str">
        <f>HYPERLINK("http://nsgreg.nga.mil/genc/view?v=864915&amp;end_month=12&amp;end_day=31&amp;end_year=2016","Correlation")</f>
        <v>Correlation</v>
      </c>
    </row>
    <row r="2290" spans="1:13" x14ac:dyDescent="0.2">
      <c r="A2290" s="113"/>
      <c r="B2290" s="58" t="s">
        <v>6442</v>
      </c>
      <c r="C2290" s="58" t="s">
        <v>6433</v>
      </c>
      <c r="D2290" s="58" t="s">
        <v>6443</v>
      </c>
      <c r="E2290" s="60" t="b">
        <v>1</v>
      </c>
      <c r="F2290" s="80" t="s">
        <v>6435</v>
      </c>
      <c r="G2290" s="58" t="s">
        <v>6442</v>
      </c>
      <c r="H2290" s="58" t="s">
        <v>6433</v>
      </c>
      <c r="I2290" s="64" t="s">
        <v>6443</v>
      </c>
      <c r="J2290" s="66"/>
      <c r="K2290" s="66"/>
      <c r="L2290" s="68"/>
      <c r="M2290" s="63" t="str">
        <f>HYPERLINK("http://nsgreg.nga.mil/genc/view?v=864916&amp;end_month=12&amp;end_day=31&amp;end_year=2016","Correlation")</f>
        <v>Correlation</v>
      </c>
    </row>
    <row r="2291" spans="1:13" x14ac:dyDescent="0.2">
      <c r="A2291" s="113"/>
      <c r="B2291" s="58" t="s">
        <v>6444</v>
      </c>
      <c r="C2291" s="58" t="s">
        <v>6433</v>
      </c>
      <c r="D2291" s="58" t="s">
        <v>6445</v>
      </c>
      <c r="E2291" s="60" t="b">
        <v>1</v>
      </c>
      <c r="F2291" s="80" t="s">
        <v>6435</v>
      </c>
      <c r="G2291" s="58" t="s">
        <v>6444</v>
      </c>
      <c r="H2291" s="58" t="s">
        <v>6433</v>
      </c>
      <c r="I2291" s="64" t="s">
        <v>6445</v>
      </c>
      <c r="J2291" s="66"/>
      <c r="K2291" s="66"/>
      <c r="L2291" s="68"/>
      <c r="M2291" s="63" t="str">
        <f>HYPERLINK("http://nsgreg.nga.mil/genc/view?v=864917&amp;end_month=12&amp;end_day=31&amp;end_year=2016","Correlation")</f>
        <v>Correlation</v>
      </c>
    </row>
    <row r="2292" spans="1:13" x14ac:dyDescent="0.2">
      <c r="A2292" s="113"/>
      <c r="B2292" s="58" t="s">
        <v>6446</v>
      </c>
      <c r="C2292" s="58" t="s">
        <v>6433</v>
      </c>
      <c r="D2292" s="58" t="s">
        <v>6447</v>
      </c>
      <c r="E2292" s="60" t="b">
        <v>1</v>
      </c>
      <c r="F2292" s="80" t="s">
        <v>6435</v>
      </c>
      <c r="G2292" s="58" t="s">
        <v>6446</v>
      </c>
      <c r="H2292" s="58" t="s">
        <v>6433</v>
      </c>
      <c r="I2292" s="64" t="s">
        <v>6447</v>
      </c>
      <c r="J2292" s="66"/>
      <c r="K2292" s="66"/>
      <c r="L2292" s="68"/>
      <c r="M2292" s="63" t="str">
        <f>HYPERLINK("http://nsgreg.nga.mil/genc/view?v=864920&amp;end_month=12&amp;end_day=31&amp;end_year=2016","Correlation")</f>
        <v>Correlation</v>
      </c>
    </row>
    <row r="2293" spans="1:13" x14ac:dyDescent="0.2">
      <c r="A2293" s="113"/>
      <c r="B2293" s="58" t="s">
        <v>6448</v>
      </c>
      <c r="C2293" s="58" t="s">
        <v>6433</v>
      </c>
      <c r="D2293" s="58" t="s">
        <v>6449</v>
      </c>
      <c r="E2293" s="60" t="b">
        <v>1</v>
      </c>
      <c r="F2293" s="80" t="s">
        <v>6435</v>
      </c>
      <c r="G2293" s="58" t="s">
        <v>6448</v>
      </c>
      <c r="H2293" s="58" t="s">
        <v>6433</v>
      </c>
      <c r="I2293" s="64" t="s">
        <v>6449</v>
      </c>
      <c r="J2293" s="66"/>
      <c r="K2293" s="66"/>
      <c r="L2293" s="68"/>
      <c r="M2293" s="63" t="str">
        <f>HYPERLINK("http://nsgreg.nga.mil/genc/view?v=864918&amp;end_month=12&amp;end_day=31&amp;end_year=2016","Correlation")</f>
        <v>Correlation</v>
      </c>
    </row>
    <row r="2294" spans="1:13" x14ac:dyDescent="0.2">
      <c r="A2294" s="113"/>
      <c r="B2294" s="58" t="s">
        <v>6450</v>
      </c>
      <c r="C2294" s="58" t="s">
        <v>6433</v>
      </c>
      <c r="D2294" s="58" t="s">
        <v>6451</v>
      </c>
      <c r="E2294" s="60" t="b">
        <v>1</v>
      </c>
      <c r="F2294" s="80" t="s">
        <v>6435</v>
      </c>
      <c r="G2294" s="58" t="s">
        <v>6450</v>
      </c>
      <c r="H2294" s="58" t="s">
        <v>6433</v>
      </c>
      <c r="I2294" s="64" t="s">
        <v>6451</v>
      </c>
      <c r="J2294" s="66"/>
      <c r="K2294" s="66"/>
      <c r="L2294" s="68"/>
      <c r="M2294" s="63" t="str">
        <f>HYPERLINK("http://nsgreg.nga.mil/genc/view?v=864927&amp;end_month=12&amp;end_day=31&amp;end_year=2016","Correlation")</f>
        <v>Correlation</v>
      </c>
    </row>
    <row r="2295" spans="1:13" x14ac:dyDescent="0.2">
      <c r="A2295" s="113"/>
      <c r="B2295" s="58" t="s">
        <v>6452</v>
      </c>
      <c r="C2295" s="58" t="s">
        <v>6433</v>
      </c>
      <c r="D2295" s="58" t="s">
        <v>6453</v>
      </c>
      <c r="E2295" s="60" t="b">
        <v>1</v>
      </c>
      <c r="F2295" s="80" t="s">
        <v>6435</v>
      </c>
      <c r="G2295" s="58" t="s">
        <v>6452</v>
      </c>
      <c r="H2295" s="58" t="s">
        <v>6433</v>
      </c>
      <c r="I2295" s="64" t="s">
        <v>6453</v>
      </c>
      <c r="J2295" s="66"/>
      <c r="K2295" s="66"/>
      <c r="L2295" s="68"/>
      <c r="M2295" s="63" t="str">
        <f>HYPERLINK("http://nsgreg.nga.mil/genc/view?v=864923&amp;end_month=12&amp;end_day=31&amp;end_year=2016","Correlation")</f>
        <v>Correlation</v>
      </c>
    </row>
    <row r="2296" spans="1:13" x14ac:dyDescent="0.2">
      <c r="A2296" s="113"/>
      <c r="B2296" s="58" t="s">
        <v>6454</v>
      </c>
      <c r="C2296" s="58" t="s">
        <v>6433</v>
      </c>
      <c r="D2296" s="58" t="s">
        <v>6455</v>
      </c>
      <c r="E2296" s="60" t="b">
        <v>1</v>
      </c>
      <c r="F2296" s="80" t="s">
        <v>6435</v>
      </c>
      <c r="G2296" s="58" t="s">
        <v>6454</v>
      </c>
      <c r="H2296" s="58" t="s">
        <v>6433</v>
      </c>
      <c r="I2296" s="64" t="s">
        <v>6455</v>
      </c>
      <c r="J2296" s="66"/>
      <c r="K2296" s="66"/>
      <c r="L2296" s="68"/>
      <c r="M2296" s="63" t="str">
        <f>HYPERLINK("http://nsgreg.nga.mil/genc/view?v=864930&amp;end_month=12&amp;end_day=31&amp;end_year=2016","Correlation")</f>
        <v>Correlation</v>
      </c>
    </row>
    <row r="2297" spans="1:13" x14ac:dyDescent="0.2">
      <c r="A2297" s="113"/>
      <c r="B2297" s="58" t="s">
        <v>6456</v>
      </c>
      <c r="C2297" s="58" t="s">
        <v>6433</v>
      </c>
      <c r="D2297" s="58" t="s">
        <v>6457</v>
      </c>
      <c r="E2297" s="60" t="b">
        <v>1</v>
      </c>
      <c r="F2297" s="80" t="s">
        <v>6435</v>
      </c>
      <c r="G2297" s="58" t="s">
        <v>6456</v>
      </c>
      <c r="H2297" s="58" t="s">
        <v>6433</v>
      </c>
      <c r="I2297" s="64" t="s">
        <v>6457</v>
      </c>
      <c r="J2297" s="66"/>
      <c r="K2297" s="66"/>
      <c r="L2297" s="68"/>
      <c r="M2297" s="63" t="str">
        <f>HYPERLINK("http://nsgreg.nga.mil/genc/view?v=864909&amp;end_month=12&amp;end_day=31&amp;end_year=2016","Correlation")</f>
        <v>Correlation</v>
      </c>
    </row>
    <row r="2298" spans="1:13" x14ac:dyDescent="0.2">
      <c r="A2298" s="113"/>
      <c r="B2298" s="58" t="s">
        <v>6458</v>
      </c>
      <c r="C2298" s="58" t="s">
        <v>6433</v>
      </c>
      <c r="D2298" s="58" t="s">
        <v>6459</v>
      </c>
      <c r="E2298" s="60" t="b">
        <v>1</v>
      </c>
      <c r="F2298" s="80" t="s">
        <v>6435</v>
      </c>
      <c r="G2298" s="58" t="s">
        <v>6458</v>
      </c>
      <c r="H2298" s="58" t="s">
        <v>6433</v>
      </c>
      <c r="I2298" s="64" t="s">
        <v>6459</v>
      </c>
      <c r="J2298" s="66"/>
      <c r="K2298" s="66"/>
      <c r="L2298" s="68"/>
      <c r="M2298" s="63" t="str">
        <f>HYPERLINK("http://nsgreg.nga.mil/genc/view?v=864911&amp;end_month=12&amp;end_day=31&amp;end_year=2016","Correlation")</f>
        <v>Correlation</v>
      </c>
    </row>
    <row r="2299" spans="1:13" x14ac:dyDescent="0.2">
      <c r="A2299" s="113"/>
      <c r="B2299" s="58" t="s">
        <v>6460</v>
      </c>
      <c r="C2299" s="58" t="s">
        <v>6433</v>
      </c>
      <c r="D2299" s="58" t="s">
        <v>6461</v>
      </c>
      <c r="E2299" s="60" t="b">
        <v>1</v>
      </c>
      <c r="F2299" s="80" t="s">
        <v>6435</v>
      </c>
      <c r="G2299" s="58" t="s">
        <v>6460</v>
      </c>
      <c r="H2299" s="58" t="s">
        <v>6433</v>
      </c>
      <c r="I2299" s="64" t="s">
        <v>6461</v>
      </c>
      <c r="J2299" s="66"/>
      <c r="K2299" s="66"/>
      <c r="L2299" s="68"/>
      <c r="M2299" s="63" t="str">
        <f>HYPERLINK("http://nsgreg.nga.mil/genc/view?v=864912&amp;end_month=12&amp;end_day=31&amp;end_year=2016","Correlation")</f>
        <v>Correlation</v>
      </c>
    </row>
    <row r="2300" spans="1:13" x14ac:dyDescent="0.2">
      <c r="A2300" s="113"/>
      <c r="B2300" s="58" t="s">
        <v>6462</v>
      </c>
      <c r="C2300" s="58" t="s">
        <v>6433</v>
      </c>
      <c r="D2300" s="58" t="s">
        <v>6463</v>
      </c>
      <c r="E2300" s="60" t="b">
        <v>1</v>
      </c>
      <c r="F2300" s="80" t="s">
        <v>6435</v>
      </c>
      <c r="G2300" s="58" t="s">
        <v>6462</v>
      </c>
      <c r="H2300" s="58" t="s">
        <v>6433</v>
      </c>
      <c r="I2300" s="64" t="s">
        <v>6463</v>
      </c>
      <c r="J2300" s="66"/>
      <c r="K2300" s="66"/>
      <c r="L2300" s="68"/>
      <c r="M2300" s="63" t="str">
        <f>HYPERLINK("http://nsgreg.nga.mil/genc/view?v=864919&amp;end_month=12&amp;end_day=31&amp;end_year=2016","Correlation")</f>
        <v>Correlation</v>
      </c>
    </row>
    <row r="2301" spans="1:13" x14ac:dyDescent="0.2">
      <c r="A2301" s="113"/>
      <c r="B2301" s="58" t="s">
        <v>6464</v>
      </c>
      <c r="C2301" s="58" t="s">
        <v>6433</v>
      </c>
      <c r="D2301" s="58" t="s">
        <v>6465</v>
      </c>
      <c r="E2301" s="60" t="b">
        <v>1</v>
      </c>
      <c r="F2301" s="80" t="s">
        <v>6435</v>
      </c>
      <c r="G2301" s="58" t="s">
        <v>6464</v>
      </c>
      <c r="H2301" s="58" t="s">
        <v>6433</v>
      </c>
      <c r="I2301" s="64" t="s">
        <v>6465</v>
      </c>
      <c r="J2301" s="66"/>
      <c r="K2301" s="66"/>
      <c r="L2301" s="68"/>
      <c r="M2301" s="63" t="str">
        <f>HYPERLINK("http://nsgreg.nga.mil/genc/view?v=864921&amp;end_month=12&amp;end_day=31&amp;end_year=2016","Correlation")</f>
        <v>Correlation</v>
      </c>
    </row>
    <row r="2302" spans="1:13" x14ac:dyDescent="0.2">
      <c r="A2302" s="113"/>
      <c r="B2302" s="58" t="s">
        <v>6466</v>
      </c>
      <c r="C2302" s="58" t="s">
        <v>6433</v>
      </c>
      <c r="D2302" s="58" t="s">
        <v>6467</v>
      </c>
      <c r="E2302" s="60" t="b">
        <v>1</v>
      </c>
      <c r="F2302" s="80" t="s">
        <v>6435</v>
      </c>
      <c r="G2302" s="58" t="s">
        <v>6466</v>
      </c>
      <c r="H2302" s="58" t="s">
        <v>6433</v>
      </c>
      <c r="I2302" s="64" t="s">
        <v>6467</v>
      </c>
      <c r="J2302" s="66"/>
      <c r="K2302" s="66"/>
      <c r="L2302" s="68"/>
      <c r="M2302" s="63" t="str">
        <f>HYPERLINK("http://nsgreg.nga.mil/genc/view?v=864922&amp;end_month=12&amp;end_day=31&amp;end_year=2016","Correlation")</f>
        <v>Correlation</v>
      </c>
    </row>
    <row r="2303" spans="1:13" x14ac:dyDescent="0.2">
      <c r="A2303" s="113"/>
      <c r="B2303" s="58" t="s">
        <v>6468</v>
      </c>
      <c r="C2303" s="58" t="s">
        <v>6433</v>
      </c>
      <c r="D2303" s="58" t="s">
        <v>6469</v>
      </c>
      <c r="E2303" s="60" t="b">
        <v>1</v>
      </c>
      <c r="F2303" s="80" t="s">
        <v>6435</v>
      </c>
      <c r="G2303" s="58" t="s">
        <v>6468</v>
      </c>
      <c r="H2303" s="58" t="s">
        <v>6433</v>
      </c>
      <c r="I2303" s="64" t="s">
        <v>6469</v>
      </c>
      <c r="J2303" s="66"/>
      <c r="K2303" s="66"/>
      <c r="L2303" s="68"/>
      <c r="M2303" s="63" t="str">
        <f>HYPERLINK("http://nsgreg.nga.mil/genc/view?v=864924&amp;end_month=12&amp;end_day=31&amp;end_year=2016","Correlation")</f>
        <v>Correlation</v>
      </c>
    </row>
    <row r="2304" spans="1:13" x14ac:dyDescent="0.2">
      <c r="A2304" s="113"/>
      <c r="B2304" s="58" t="s">
        <v>6470</v>
      </c>
      <c r="C2304" s="58" t="s">
        <v>6433</v>
      </c>
      <c r="D2304" s="58" t="s">
        <v>6471</v>
      </c>
      <c r="E2304" s="60" t="b">
        <v>1</v>
      </c>
      <c r="F2304" s="80" t="s">
        <v>6435</v>
      </c>
      <c r="G2304" s="58" t="s">
        <v>6470</v>
      </c>
      <c r="H2304" s="58" t="s">
        <v>6433</v>
      </c>
      <c r="I2304" s="64" t="s">
        <v>6471</v>
      </c>
      <c r="J2304" s="66"/>
      <c r="K2304" s="66"/>
      <c r="L2304" s="68"/>
      <c r="M2304" s="63" t="str">
        <f>HYPERLINK("http://nsgreg.nga.mil/genc/view?v=864925&amp;end_month=12&amp;end_day=31&amp;end_year=2016","Correlation")</f>
        <v>Correlation</v>
      </c>
    </row>
    <row r="2305" spans="1:13" x14ac:dyDescent="0.2">
      <c r="A2305" s="113"/>
      <c r="B2305" s="58" t="s">
        <v>6472</v>
      </c>
      <c r="C2305" s="58" t="s">
        <v>6433</v>
      </c>
      <c r="D2305" s="58" t="s">
        <v>6473</v>
      </c>
      <c r="E2305" s="60" t="b">
        <v>1</v>
      </c>
      <c r="F2305" s="80" t="s">
        <v>6435</v>
      </c>
      <c r="G2305" s="58" t="s">
        <v>6472</v>
      </c>
      <c r="H2305" s="58" t="s">
        <v>6433</v>
      </c>
      <c r="I2305" s="64" t="s">
        <v>6473</v>
      </c>
      <c r="J2305" s="66"/>
      <c r="K2305" s="66"/>
      <c r="L2305" s="68"/>
      <c r="M2305" s="63" t="str">
        <f>HYPERLINK("http://nsgreg.nga.mil/genc/view?v=864926&amp;end_month=12&amp;end_day=31&amp;end_year=2016","Correlation")</f>
        <v>Correlation</v>
      </c>
    </row>
    <row r="2306" spans="1:13" x14ac:dyDescent="0.2">
      <c r="A2306" s="113"/>
      <c r="B2306" s="58" t="s">
        <v>6474</v>
      </c>
      <c r="C2306" s="58" t="s">
        <v>6433</v>
      </c>
      <c r="D2306" s="58" t="s">
        <v>6475</v>
      </c>
      <c r="E2306" s="60" t="b">
        <v>1</v>
      </c>
      <c r="F2306" s="80" t="s">
        <v>6435</v>
      </c>
      <c r="G2306" s="58" t="s">
        <v>6474</v>
      </c>
      <c r="H2306" s="58" t="s">
        <v>6433</v>
      </c>
      <c r="I2306" s="64" t="s">
        <v>6475</v>
      </c>
      <c r="J2306" s="66"/>
      <c r="K2306" s="66"/>
      <c r="L2306" s="68"/>
      <c r="M2306" s="63" t="str">
        <f>HYPERLINK("http://nsgreg.nga.mil/genc/view?v=864928&amp;end_month=12&amp;end_day=31&amp;end_year=2016","Correlation")</f>
        <v>Correlation</v>
      </c>
    </row>
    <row r="2307" spans="1:13" x14ac:dyDescent="0.2">
      <c r="A2307" s="114"/>
      <c r="B2307" s="71" t="s">
        <v>6476</v>
      </c>
      <c r="C2307" s="71" t="s">
        <v>6433</v>
      </c>
      <c r="D2307" s="71" t="s">
        <v>6477</v>
      </c>
      <c r="E2307" s="73" t="b">
        <v>1</v>
      </c>
      <c r="F2307" s="81" t="s">
        <v>6435</v>
      </c>
      <c r="G2307" s="71" t="s">
        <v>6476</v>
      </c>
      <c r="H2307" s="71" t="s">
        <v>6433</v>
      </c>
      <c r="I2307" s="74" t="s">
        <v>6477</v>
      </c>
      <c r="J2307" s="76"/>
      <c r="K2307" s="76"/>
      <c r="L2307" s="82"/>
      <c r="M2307" s="77" t="str">
        <f>HYPERLINK("http://nsgreg.nga.mil/genc/view?v=864929&amp;end_month=12&amp;end_day=31&amp;end_year=2016","Correlation")</f>
        <v>Correlation</v>
      </c>
    </row>
    <row r="2308" spans="1:13" x14ac:dyDescent="0.2">
      <c r="A2308" s="112" t="s">
        <v>841</v>
      </c>
      <c r="B2308" s="50" t="s">
        <v>6478</v>
      </c>
      <c r="C2308" s="50" t="s">
        <v>2928</v>
      </c>
      <c r="D2308" s="50" t="s">
        <v>6479</v>
      </c>
      <c r="E2308" s="52" t="b">
        <v>1</v>
      </c>
      <c r="F2308" s="78" t="s">
        <v>841</v>
      </c>
      <c r="G2308" s="50" t="s">
        <v>6478</v>
      </c>
      <c r="H2308" s="50" t="s">
        <v>2928</v>
      </c>
      <c r="I2308" s="53" t="s">
        <v>6479</v>
      </c>
      <c r="J2308" s="55"/>
      <c r="K2308" s="55"/>
      <c r="L2308" s="79"/>
      <c r="M2308" s="56" t="str">
        <f>HYPERLINK("http://nsgreg.nga.mil/genc/view?v=864638&amp;end_month=12&amp;end_day=31&amp;end_year=2016","Correlation")</f>
        <v>Correlation</v>
      </c>
    </row>
    <row r="2309" spans="1:13" x14ac:dyDescent="0.2">
      <c r="A2309" s="113"/>
      <c r="B2309" s="58" t="s">
        <v>6480</v>
      </c>
      <c r="C2309" s="58" t="s">
        <v>2928</v>
      </c>
      <c r="D2309" s="58" t="s">
        <v>6481</v>
      </c>
      <c r="E2309" s="60" t="b">
        <v>1</v>
      </c>
      <c r="F2309" s="80" t="s">
        <v>841</v>
      </c>
      <c r="G2309" s="58" t="s">
        <v>6480</v>
      </c>
      <c r="H2309" s="58" t="s">
        <v>2928</v>
      </c>
      <c r="I2309" s="64" t="s">
        <v>6481</v>
      </c>
      <c r="J2309" s="66"/>
      <c r="K2309" s="66"/>
      <c r="L2309" s="68"/>
      <c r="M2309" s="63" t="str">
        <f>HYPERLINK("http://nsgreg.nga.mil/genc/view?v=864639&amp;end_month=12&amp;end_day=31&amp;end_year=2016","Correlation")</f>
        <v>Correlation</v>
      </c>
    </row>
    <row r="2310" spans="1:13" x14ac:dyDescent="0.2">
      <c r="A2310" s="113"/>
      <c r="B2310" s="58" t="s">
        <v>6482</v>
      </c>
      <c r="C2310" s="58" t="s">
        <v>2928</v>
      </c>
      <c r="D2310" s="58" t="s">
        <v>6483</v>
      </c>
      <c r="E2310" s="60" t="b">
        <v>1</v>
      </c>
      <c r="F2310" s="80" t="s">
        <v>841</v>
      </c>
      <c r="G2310" s="58" t="s">
        <v>6482</v>
      </c>
      <c r="H2310" s="58" t="s">
        <v>2928</v>
      </c>
      <c r="I2310" s="64" t="s">
        <v>6483</v>
      </c>
      <c r="J2310" s="66"/>
      <c r="K2310" s="66"/>
      <c r="L2310" s="68"/>
      <c r="M2310" s="63" t="str">
        <f>HYPERLINK("http://nsgreg.nga.mil/genc/view?v=864640&amp;end_month=12&amp;end_day=31&amp;end_year=2016","Correlation")</f>
        <v>Correlation</v>
      </c>
    </row>
    <row r="2311" spans="1:13" x14ac:dyDescent="0.2">
      <c r="A2311" s="113"/>
      <c r="B2311" s="58" t="s">
        <v>6484</v>
      </c>
      <c r="C2311" s="58" t="s">
        <v>2928</v>
      </c>
      <c r="D2311" s="58" t="s">
        <v>6485</v>
      </c>
      <c r="E2311" s="60" t="b">
        <v>1</v>
      </c>
      <c r="F2311" s="80" t="s">
        <v>841</v>
      </c>
      <c r="G2311" s="58" t="s">
        <v>6484</v>
      </c>
      <c r="H2311" s="58" t="s">
        <v>2928</v>
      </c>
      <c r="I2311" s="64" t="s">
        <v>6485</v>
      </c>
      <c r="J2311" s="66"/>
      <c r="K2311" s="66"/>
      <c r="L2311" s="68"/>
      <c r="M2311" s="63" t="str">
        <f>HYPERLINK("http://nsgreg.nga.mil/genc/view?v=864641&amp;end_month=12&amp;end_day=31&amp;end_year=2016","Correlation")</f>
        <v>Correlation</v>
      </c>
    </row>
    <row r="2312" spans="1:13" x14ac:dyDescent="0.2">
      <c r="A2312" s="113"/>
      <c r="B2312" s="58" t="s">
        <v>6486</v>
      </c>
      <c r="C2312" s="58" t="s">
        <v>2928</v>
      </c>
      <c r="D2312" s="58" t="s">
        <v>6487</v>
      </c>
      <c r="E2312" s="60" t="b">
        <v>1</v>
      </c>
      <c r="F2312" s="80" t="s">
        <v>841</v>
      </c>
      <c r="G2312" s="58" t="s">
        <v>6486</v>
      </c>
      <c r="H2312" s="58" t="s">
        <v>2928</v>
      </c>
      <c r="I2312" s="64" t="s">
        <v>6487</v>
      </c>
      <c r="J2312" s="66"/>
      <c r="K2312" s="66"/>
      <c r="L2312" s="68"/>
      <c r="M2312" s="63" t="str">
        <f>HYPERLINK("http://nsgreg.nga.mil/genc/view?v=864642&amp;end_month=12&amp;end_day=31&amp;end_year=2016","Correlation")</f>
        <v>Correlation</v>
      </c>
    </row>
    <row r="2313" spans="1:13" x14ac:dyDescent="0.2">
      <c r="A2313" s="113"/>
      <c r="B2313" s="58" t="s">
        <v>6488</v>
      </c>
      <c r="C2313" s="58" t="s">
        <v>2928</v>
      </c>
      <c r="D2313" s="58" t="s">
        <v>6489</v>
      </c>
      <c r="E2313" s="60" t="b">
        <v>1</v>
      </c>
      <c r="F2313" s="80" t="s">
        <v>841</v>
      </c>
      <c r="G2313" s="58" t="s">
        <v>6488</v>
      </c>
      <c r="H2313" s="58" t="s">
        <v>2928</v>
      </c>
      <c r="I2313" s="64" t="s">
        <v>6489</v>
      </c>
      <c r="J2313" s="66"/>
      <c r="K2313" s="66"/>
      <c r="L2313" s="68"/>
      <c r="M2313" s="63" t="str">
        <f>HYPERLINK("http://nsgreg.nga.mil/genc/view?v=864643&amp;end_month=12&amp;end_day=31&amp;end_year=2016","Correlation")</f>
        <v>Correlation</v>
      </c>
    </row>
    <row r="2314" spans="1:13" x14ac:dyDescent="0.2">
      <c r="A2314" s="113"/>
      <c r="B2314" s="58" t="s">
        <v>6490</v>
      </c>
      <c r="C2314" s="58" t="s">
        <v>2928</v>
      </c>
      <c r="D2314" s="58" t="s">
        <v>6491</v>
      </c>
      <c r="E2314" s="60" t="b">
        <v>1</v>
      </c>
      <c r="F2314" s="80" t="s">
        <v>841</v>
      </c>
      <c r="G2314" s="58" t="s">
        <v>6490</v>
      </c>
      <c r="H2314" s="58" t="s">
        <v>2928</v>
      </c>
      <c r="I2314" s="64" t="s">
        <v>6491</v>
      </c>
      <c r="J2314" s="66"/>
      <c r="K2314" s="66"/>
      <c r="L2314" s="68"/>
      <c r="M2314" s="63" t="str">
        <f>HYPERLINK("http://nsgreg.nga.mil/genc/view?v=864644&amp;end_month=12&amp;end_day=31&amp;end_year=2016","Correlation")</f>
        <v>Correlation</v>
      </c>
    </row>
    <row r="2315" spans="1:13" x14ac:dyDescent="0.2">
      <c r="A2315" s="113"/>
      <c r="B2315" s="58" t="s">
        <v>6492</v>
      </c>
      <c r="C2315" s="58" t="s">
        <v>2928</v>
      </c>
      <c r="D2315" s="58" t="s">
        <v>6493</v>
      </c>
      <c r="E2315" s="60" t="b">
        <v>1</v>
      </c>
      <c r="F2315" s="80" t="s">
        <v>841</v>
      </c>
      <c r="G2315" s="58" t="s">
        <v>6492</v>
      </c>
      <c r="H2315" s="58" t="s">
        <v>2928</v>
      </c>
      <c r="I2315" s="64" t="s">
        <v>6493</v>
      </c>
      <c r="J2315" s="66"/>
      <c r="K2315" s="66"/>
      <c r="L2315" s="68"/>
      <c r="M2315" s="63" t="str">
        <f>HYPERLINK("http://nsgreg.nga.mil/genc/view?v=864645&amp;end_month=12&amp;end_day=31&amp;end_year=2016","Correlation")</f>
        <v>Correlation</v>
      </c>
    </row>
    <row r="2316" spans="1:13" x14ac:dyDescent="0.2">
      <c r="A2316" s="113"/>
      <c r="B2316" s="58" t="s">
        <v>6494</v>
      </c>
      <c r="C2316" s="58" t="s">
        <v>2928</v>
      </c>
      <c r="D2316" s="58" t="s">
        <v>6495</v>
      </c>
      <c r="E2316" s="60" t="b">
        <v>1</v>
      </c>
      <c r="F2316" s="80" t="s">
        <v>841</v>
      </c>
      <c r="G2316" s="58" t="s">
        <v>6494</v>
      </c>
      <c r="H2316" s="58" t="s">
        <v>2928</v>
      </c>
      <c r="I2316" s="64" t="s">
        <v>6495</v>
      </c>
      <c r="J2316" s="66"/>
      <c r="K2316" s="66"/>
      <c r="L2316" s="68"/>
      <c r="M2316" s="63" t="str">
        <f>HYPERLINK("http://nsgreg.nga.mil/genc/view?v=864646&amp;end_month=12&amp;end_day=31&amp;end_year=2016","Correlation")</f>
        <v>Correlation</v>
      </c>
    </row>
    <row r="2317" spans="1:13" x14ac:dyDescent="0.2">
      <c r="A2317" s="113"/>
      <c r="B2317" s="58" t="s">
        <v>6496</v>
      </c>
      <c r="C2317" s="58" t="s">
        <v>2928</v>
      </c>
      <c r="D2317" s="58" t="s">
        <v>6497</v>
      </c>
      <c r="E2317" s="60" t="b">
        <v>1</v>
      </c>
      <c r="F2317" s="80" t="s">
        <v>841</v>
      </c>
      <c r="G2317" s="58" t="s">
        <v>6496</v>
      </c>
      <c r="H2317" s="58" t="s">
        <v>2928</v>
      </c>
      <c r="I2317" s="64" t="s">
        <v>6497</v>
      </c>
      <c r="J2317" s="66"/>
      <c r="K2317" s="66"/>
      <c r="L2317" s="68"/>
      <c r="M2317" s="63" t="str">
        <f>HYPERLINK("http://nsgreg.nga.mil/genc/view?v=864647&amp;end_month=12&amp;end_day=31&amp;end_year=2016","Correlation")</f>
        <v>Correlation</v>
      </c>
    </row>
    <row r="2318" spans="1:13" x14ac:dyDescent="0.2">
      <c r="A2318" s="114"/>
      <c r="B2318" s="71" t="s">
        <v>6498</v>
      </c>
      <c r="C2318" s="71" t="s">
        <v>2928</v>
      </c>
      <c r="D2318" s="71" t="s">
        <v>6499</v>
      </c>
      <c r="E2318" s="73" t="b">
        <v>1</v>
      </c>
      <c r="F2318" s="81" t="s">
        <v>841</v>
      </c>
      <c r="G2318" s="71" t="s">
        <v>6498</v>
      </c>
      <c r="H2318" s="71" t="s">
        <v>2928</v>
      </c>
      <c r="I2318" s="74" t="s">
        <v>6499</v>
      </c>
      <c r="J2318" s="76"/>
      <c r="K2318" s="76"/>
      <c r="L2318" s="82"/>
      <c r="M2318" s="77" t="str">
        <f>HYPERLINK("http://nsgreg.nga.mil/genc/view?v=864648&amp;end_month=12&amp;end_day=31&amp;end_year=2016","Correlation")</f>
        <v>Correlation</v>
      </c>
    </row>
    <row r="2319" spans="1:13" x14ac:dyDescent="0.2">
      <c r="A2319" s="112" t="s">
        <v>845</v>
      </c>
      <c r="B2319" s="50" t="s">
        <v>6500</v>
      </c>
      <c r="C2319" s="50" t="s">
        <v>6501</v>
      </c>
      <c r="D2319" s="50" t="s">
        <v>6502</v>
      </c>
      <c r="E2319" s="52" t="b">
        <v>1</v>
      </c>
      <c r="F2319" s="78" t="s">
        <v>845</v>
      </c>
      <c r="G2319" s="50" t="s">
        <v>6500</v>
      </c>
      <c r="H2319" s="50" t="s">
        <v>6501</v>
      </c>
      <c r="I2319" s="53" t="s">
        <v>6502</v>
      </c>
      <c r="J2319" s="55"/>
      <c r="K2319" s="55"/>
      <c r="L2319" s="79"/>
      <c r="M2319" s="56" t="str">
        <f>HYPERLINK("http://nsgreg.nga.mil/genc/view?v=864708&amp;end_month=12&amp;end_day=31&amp;end_year=2016","Correlation")</f>
        <v>Correlation</v>
      </c>
    </row>
    <row r="2320" spans="1:13" x14ac:dyDescent="0.2">
      <c r="A2320" s="113"/>
      <c r="B2320" s="58" t="s">
        <v>6503</v>
      </c>
      <c r="C2320" s="58" t="s">
        <v>1483</v>
      </c>
      <c r="D2320" s="58" t="s">
        <v>6504</v>
      </c>
      <c r="E2320" s="60" t="b">
        <v>1</v>
      </c>
      <c r="F2320" s="80" t="s">
        <v>845</v>
      </c>
      <c r="G2320" s="58" t="s">
        <v>6505</v>
      </c>
      <c r="H2320" s="58" t="s">
        <v>1483</v>
      </c>
      <c r="I2320" s="64" t="s">
        <v>6504</v>
      </c>
      <c r="J2320" s="66"/>
      <c r="K2320" s="66"/>
      <c r="L2320" s="68"/>
      <c r="M2320" s="63" t="str">
        <f>HYPERLINK("http://nsgreg.nga.mil/genc/view?v=864768&amp;end_month=12&amp;end_day=31&amp;end_year=2016","Correlation")</f>
        <v>Correlation</v>
      </c>
    </row>
    <row r="2321" spans="1:13" x14ac:dyDescent="0.2">
      <c r="A2321" s="113"/>
      <c r="B2321" s="58" t="s">
        <v>6506</v>
      </c>
      <c r="C2321" s="58" t="s">
        <v>6507</v>
      </c>
      <c r="D2321" s="58" t="s">
        <v>6508</v>
      </c>
      <c r="E2321" s="60" t="b">
        <v>1</v>
      </c>
      <c r="F2321" s="80" t="s">
        <v>845</v>
      </c>
      <c r="G2321" s="58" t="s">
        <v>6509</v>
      </c>
      <c r="H2321" s="58" t="s">
        <v>6507</v>
      </c>
      <c r="I2321" s="64" t="s">
        <v>6508</v>
      </c>
      <c r="J2321" s="66"/>
      <c r="K2321" s="66"/>
      <c r="L2321" s="68"/>
      <c r="M2321" s="63" t="str">
        <f>HYPERLINK("http://nsgreg.nga.mil/genc/view?v=864709&amp;end_month=12&amp;end_day=31&amp;end_year=2016","Correlation")</f>
        <v>Correlation</v>
      </c>
    </row>
    <row r="2322" spans="1:13" x14ac:dyDescent="0.2">
      <c r="A2322" s="113"/>
      <c r="B2322" s="58" t="s">
        <v>6510</v>
      </c>
      <c r="C2322" s="58" t="s">
        <v>6501</v>
      </c>
      <c r="D2322" s="58" t="s">
        <v>6511</v>
      </c>
      <c r="E2322" s="60" t="b">
        <v>1</v>
      </c>
      <c r="F2322" s="80" t="s">
        <v>845</v>
      </c>
      <c r="G2322" s="58" t="s">
        <v>6510</v>
      </c>
      <c r="H2322" s="58" t="s">
        <v>6501</v>
      </c>
      <c r="I2322" s="64" t="s">
        <v>6511</v>
      </c>
      <c r="J2322" s="66"/>
      <c r="K2322" s="66"/>
      <c r="L2322" s="68"/>
      <c r="M2322" s="63" t="str">
        <f>HYPERLINK("http://nsgreg.nga.mil/genc/view?v=864710&amp;end_month=12&amp;end_day=31&amp;end_year=2016","Correlation")</f>
        <v>Correlation</v>
      </c>
    </row>
    <row r="2323" spans="1:13" x14ac:dyDescent="0.2">
      <c r="A2323" s="113"/>
      <c r="B2323" s="58" t="s">
        <v>6512</v>
      </c>
      <c r="C2323" s="58" t="s">
        <v>6501</v>
      </c>
      <c r="D2323" s="58" t="s">
        <v>6513</v>
      </c>
      <c r="E2323" s="60" t="b">
        <v>1</v>
      </c>
      <c r="F2323" s="80" t="s">
        <v>845</v>
      </c>
      <c r="G2323" s="58" t="s">
        <v>6512</v>
      </c>
      <c r="H2323" s="58" t="s">
        <v>6501</v>
      </c>
      <c r="I2323" s="64" t="s">
        <v>6513</v>
      </c>
      <c r="J2323" s="66"/>
      <c r="K2323" s="66"/>
      <c r="L2323" s="68"/>
      <c r="M2323" s="63" t="str">
        <f>HYPERLINK("http://nsgreg.nga.mil/genc/view?v=864711&amp;end_month=12&amp;end_day=31&amp;end_year=2016","Correlation")</f>
        <v>Correlation</v>
      </c>
    </row>
    <row r="2324" spans="1:13" x14ac:dyDescent="0.2">
      <c r="A2324" s="113"/>
      <c r="B2324" s="58" t="s">
        <v>6514</v>
      </c>
      <c r="C2324" s="58" t="s">
        <v>1816</v>
      </c>
      <c r="D2324" s="58" t="s">
        <v>6515</v>
      </c>
      <c r="E2324" s="60" t="b">
        <v>1</v>
      </c>
      <c r="F2324" s="80" t="s">
        <v>845</v>
      </c>
      <c r="G2324" s="58" t="s">
        <v>6514</v>
      </c>
      <c r="H2324" s="58" t="s">
        <v>1816</v>
      </c>
      <c r="I2324" s="64" t="s">
        <v>6515</v>
      </c>
      <c r="J2324" s="66"/>
      <c r="K2324" s="66"/>
      <c r="L2324" s="68"/>
      <c r="M2324" s="63" t="str">
        <f>HYPERLINK("http://nsgreg.nga.mil/genc/view?v=864712&amp;end_month=12&amp;end_day=31&amp;end_year=2016","Correlation")</f>
        <v>Correlation</v>
      </c>
    </row>
    <row r="2325" spans="1:13" x14ac:dyDescent="0.2">
      <c r="A2325" s="113"/>
      <c r="B2325" s="58" t="s">
        <v>6516</v>
      </c>
      <c r="C2325" s="58" t="s">
        <v>6501</v>
      </c>
      <c r="D2325" s="58" t="s">
        <v>6517</v>
      </c>
      <c r="E2325" s="60" t="b">
        <v>1</v>
      </c>
      <c r="F2325" s="80" t="s">
        <v>845</v>
      </c>
      <c r="G2325" s="58" t="s">
        <v>6516</v>
      </c>
      <c r="H2325" s="58" t="s">
        <v>6501</v>
      </c>
      <c r="I2325" s="64" t="s">
        <v>6517</v>
      </c>
      <c r="J2325" s="66"/>
      <c r="K2325" s="66"/>
      <c r="L2325" s="68"/>
      <c r="M2325" s="63" t="str">
        <f>HYPERLINK("http://nsgreg.nga.mil/genc/view?v=864713&amp;end_month=12&amp;end_day=31&amp;end_year=2016","Correlation")</f>
        <v>Correlation</v>
      </c>
    </row>
    <row r="2326" spans="1:13" x14ac:dyDescent="0.2">
      <c r="A2326" s="113"/>
      <c r="B2326" s="58" t="s">
        <v>6518</v>
      </c>
      <c r="C2326" s="58" t="s">
        <v>1816</v>
      </c>
      <c r="D2326" s="58" t="s">
        <v>6519</v>
      </c>
      <c r="E2326" s="60" t="b">
        <v>1</v>
      </c>
      <c r="F2326" s="80" t="s">
        <v>845</v>
      </c>
      <c r="G2326" s="58" t="s">
        <v>6518</v>
      </c>
      <c r="H2326" s="58" t="s">
        <v>1816</v>
      </c>
      <c r="I2326" s="64" t="s">
        <v>6519</v>
      </c>
      <c r="J2326" s="66"/>
      <c r="K2326" s="66"/>
      <c r="L2326" s="68"/>
      <c r="M2326" s="63" t="str">
        <f>HYPERLINK("http://nsgreg.nga.mil/genc/view?v=864714&amp;end_month=12&amp;end_day=31&amp;end_year=2016","Correlation")</f>
        <v>Correlation</v>
      </c>
    </row>
    <row r="2327" spans="1:13" x14ac:dyDescent="0.2">
      <c r="A2327" s="113"/>
      <c r="B2327" s="58" t="s">
        <v>6520</v>
      </c>
      <c r="C2327" s="58" t="s">
        <v>1816</v>
      </c>
      <c r="D2327" s="58" t="s">
        <v>6521</v>
      </c>
      <c r="E2327" s="60" t="b">
        <v>1</v>
      </c>
      <c r="F2327" s="80" t="s">
        <v>845</v>
      </c>
      <c r="G2327" s="58" t="s">
        <v>6520</v>
      </c>
      <c r="H2327" s="58" t="s">
        <v>1816</v>
      </c>
      <c r="I2327" s="64" t="s">
        <v>6521</v>
      </c>
      <c r="J2327" s="66"/>
      <c r="K2327" s="66"/>
      <c r="L2327" s="68"/>
      <c r="M2327" s="63" t="str">
        <f>HYPERLINK("http://nsgreg.nga.mil/genc/view?v=864715&amp;end_month=12&amp;end_day=31&amp;end_year=2016","Correlation")</f>
        <v>Correlation</v>
      </c>
    </row>
    <row r="2328" spans="1:13" x14ac:dyDescent="0.2">
      <c r="A2328" s="113"/>
      <c r="B2328" s="58" t="s">
        <v>6522</v>
      </c>
      <c r="C2328" s="58" t="s">
        <v>6501</v>
      </c>
      <c r="D2328" s="58" t="s">
        <v>6523</v>
      </c>
      <c r="E2328" s="60" t="b">
        <v>1</v>
      </c>
      <c r="F2328" s="80" t="s">
        <v>845</v>
      </c>
      <c r="G2328" s="58" t="s">
        <v>6522</v>
      </c>
      <c r="H2328" s="58" t="s">
        <v>6501</v>
      </c>
      <c r="I2328" s="64" t="s">
        <v>6523</v>
      </c>
      <c r="J2328" s="66"/>
      <c r="K2328" s="66"/>
      <c r="L2328" s="68"/>
      <c r="M2328" s="63" t="str">
        <f>HYPERLINK("http://nsgreg.nga.mil/genc/view?v=864716&amp;end_month=12&amp;end_day=31&amp;end_year=2016","Correlation")</f>
        <v>Correlation</v>
      </c>
    </row>
    <row r="2329" spans="1:13" x14ac:dyDescent="0.2">
      <c r="A2329" s="113"/>
      <c r="B2329" s="58" t="s">
        <v>6524</v>
      </c>
      <c r="C2329" s="58" t="s">
        <v>6501</v>
      </c>
      <c r="D2329" s="58" t="s">
        <v>6525</v>
      </c>
      <c r="E2329" s="60" t="b">
        <v>1</v>
      </c>
      <c r="F2329" s="80" t="s">
        <v>845</v>
      </c>
      <c r="G2329" s="58" t="s">
        <v>6524</v>
      </c>
      <c r="H2329" s="58" t="s">
        <v>6501</v>
      </c>
      <c r="I2329" s="64" t="s">
        <v>6525</v>
      </c>
      <c r="J2329" s="66"/>
      <c r="K2329" s="66"/>
      <c r="L2329" s="68"/>
      <c r="M2329" s="63" t="str">
        <f>HYPERLINK("http://nsgreg.nga.mil/genc/view?v=864717&amp;end_month=12&amp;end_day=31&amp;end_year=2016","Correlation")</f>
        <v>Correlation</v>
      </c>
    </row>
    <row r="2330" spans="1:13" x14ac:dyDescent="0.2">
      <c r="A2330" s="113"/>
      <c r="B2330" s="58" t="s">
        <v>6526</v>
      </c>
      <c r="C2330" s="58" t="s">
        <v>6501</v>
      </c>
      <c r="D2330" s="58" t="s">
        <v>6527</v>
      </c>
      <c r="E2330" s="60" t="b">
        <v>1</v>
      </c>
      <c r="F2330" s="80" t="s">
        <v>845</v>
      </c>
      <c r="G2330" s="58" t="s">
        <v>6526</v>
      </c>
      <c r="H2330" s="58" t="s">
        <v>6501</v>
      </c>
      <c r="I2330" s="64" t="s">
        <v>6527</v>
      </c>
      <c r="J2330" s="66"/>
      <c r="K2330" s="66"/>
      <c r="L2330" s="68"/>
      <c r="M2330" s="63" t="str">
        <f>HYPERLINK("http://nsgreg.nga.mil/genc/view?v=864718&amp;end_month=12&amp;end_day=31&amp;end_year=2016","Correlation")</f>
        <v>Correlation</v>
      </c>
    </row>
    <row r="2331" spans="1:13" x14ac:dyDescent="0.2">
      <c r="A2331" s="113"/>
      <c r="B2331" s="58" t="s">
        <v>6528</v>
      </c>
      <c r="C2331" s="58" t="s">
        <v>6501</v>
      </c>
      <c r="D2331" s="58" t="s">
        <v>6529</v>
      </c>
      <c r="E2331" s="60" t="b">
        <v>1</v>
      </c>
      <c r="F2331" s="80" t="s">
        <v>845</v>
      </c>
      <c r="G2331" s="58" t="s">
        <v>6528</v>
      </c>
      <c r="H2331" s="58" t="s">
        <v>6501</v>
      </c>
      <c r="I2331" s="64" t="s">
        <v>6529</v>
      </c>
      <c r="J2331" s="66"/>
      <c r="K2331" s="66"/>
      <c r="L2331" s="68"/>
      <c r="M2331" s="63" t="str">
        <f>HYPERLINK("http://nsgreg.nga.mil/genc/view?v=864719&amp;end_month=12&amp;end_day=31&amp;end_year=2016","Correlation")</f>
        <v>Correlation</v>
      </c>
    </row>
    <row r="2332" spans="1:13" x14ac:dyDescent="0.2">
      <c r="A2332" s="113"/>
      <c r="B2332" s="58" t="s">
        <v>6530</v>
      </c>
      <c r="C2332" s="58" t="s">
        <v>6501</v>
      </c>
      <c r="D2332" s="58" t="s">
        <v>6531</v>
      </c>
      <c r="E2332" s="60" t="b">
        <v>1</v>
      </c>
      <c r="F2332" s="80" t="s">
        <v>845</v>
      </c>
      <c r="G2332" s="58" t="s">
        <v>6530</v>
      </c>
      <c r="H2332" s="58" t="s">
        <v>6501</v>
      </c>
      <c r="I2332" s="64" t="s">
        <v>6531</v>
      </c>
      <c r="J2332" s="66"/>
      <c r="K2332" s="66"/>
      <c r="L2332" s="68"/>
      <c r="M2332" s="63" t="str">
        <f>HYPERLINK("http://nsgreg.nga.mil/genc/view?v=864720&amp;end_month=12&amp;end_day=31&amp;end_year=2016","Correlation")</f>
        <v>Correlation</v>
      </c>
    </row>
    <row r="2333" spans="1:13" x14ac:dyDescent="0.2">
      <c r="A2333" s="113"/>
      <c r="B2333" s="58" t="s">
        <v>6532</v>
      </c>
      <c r="C2333" s="58" t="s">
        <v>1816</v>
      </c>
      <c r="D2333" s="58" t="s">
        <v>6533</v>
      </c>
      <c r="E2333" s="60" t="b">
        <v>1</v>
      </c>
      <c r="F2333" s="80" t="s">
        <v>845</v>
      </c>
      <c r="G2333" s="58" t="s">
        <v>6532</v>
      </c>
      <c r="H2333" s="58" t="s">
        <v>1816</v>
      </c>
      <c r="I2333" s="64" t="s">
        <v>6533</v>
      </c>
      <c r="J2333" s="66"/>
      <c r="K2333" s="66"/>
      <c r="L2333" s="68"/>
      <c r="M2333" s="63" t="str">
        <f>HYPERLINK("http://nsgreg.nga.mil/genc/view?v=864721&amp;end_month=12&amp;end_day=31&amp;end_year=2016","Correlation")</f>
        <v>Correlation</v>
      </c>
    </row>
    <row r="2334" spans="1:13" x14ac:dyDescent="0.2">
      <c r="A2334" s="113"/>
      <c r="B2334" s="58" t="s">
        <v>6534</v>
      </c>
      <c r="C2334" s="58" t="s">
        <v>6501</v>
      </c>
      <c r="D2334" s="58" t="s">
        <v>6535</v>
      </c>
      <c r="E2334" s="60" t="b">
        <v>1</v>
      </c>
      <c r="F2334" s="80" t="s">
        <v>845</v>
      </c>
      <c r="G2334" s="58" t="s">
        <v>6534</v>
      </c>
      <c r="H2334" s="58" t="s">
        <v>6501</v>
      </c>
      <c r="I2334" s="64" t="s">
        <v>6535</v>
      </c>
      <c r="J2334" s="66"/>
      <c r="K2334" s="66"/>
      <c r="L2334" s="68"/>
      <c r="M2334" s="63" t="str">
        <f>HYPERLINK("http://nsgreg.nga.mil/genc/view?v=864723&amp;end_month=12&amp;end_day=31&amp;end_year=2016","Correlation")</f>
        <v>Correlation</v>
      </c>
    </row>
    <row r="2335" spans="1:13" x14ac:dyDescent="0.2">
      <c r="A2335" s="113"/>
      <c r="B2335" s="58" t="s">
        <v>6536</v>
      </c>
      <c r="C2335" s="58" t="s">
        <v>1483</v>
      </c>
      <c r="D2335" s="58" t="s">
        <v>6537</v>
      </c>
      <c r="E2335" s="60" t="b">
        <v>1</v>
      </c>
      <c r="F2335" s="80" t="s">
        <v>845</v>
      </c>
      <c r="G2335" s="58" t="s">
        <v>6538</v>
      </c>
      <c r="H2335" s="58" t="s">
        <v>1483</v>
      </c>
      <c r="I2335" s="64" t="s">
        <v>6537</v>
      </c>
      <c r="J2335" s="66"/>
      <c r="K2335" s="66"/>
      <c r="L2335" s="68"/>
      <c r="M2335" s="63" t="str">
        <f>HYPERLINK("http://nsgreg.nga.mil/genc/view?v=864770&amp;end_month=12&amp;end_day=31&amp;end_year=2016","Correlation")</f>
        <v>Correlation</v>
      </c>
    </row>
    <row r="2336" spans="1:13" x14ac:dyDescent="0.2">
      <c r="A2336" s="113"/>
      <c r="B2336" s="58" t="s">
        <v>6539</v>
      </c>
      <c r="C2336" s="58" t="s">
        <v>6507</v>
      </c>
      <c r="D2336" s="58" t="s">
        <v>6540</v>
      </c>
      <c r="E2336" s="60" t="b">
        <v>1</v>
      </c>
      <c r="F2336" s="80" t="s">
        <v>845</v>
      </c>
      <c r="G2336" s="58" t="s">
        <v>6541</v>
      </c>
      <c r="H2336" s="58" t="s">
        <v>6507</v>
      </c>
      <c r="I2336" s="64" t="s">
        <v>6540</v>
      </c>
      <c r="J2336" s="66"/>
      <c r="K2336" s="66"/>
      <c r="L2336" s="68"/>
      <c r="M2336" s="63" t="str">
        <f>HYPERLINK("http://nsgreg.nga.mil/genc/view?v=864722&amp;end_month=12&amp;end_day=31&amp;end_year=2016","Correlation")</f>
        <v>Correlation</v>
      </c>
    </row>
    <row r="2337" spans="1:13" x14ac:dyDescent="0.2">
      <c r="A2337" s="113"/>
      <c r="B2337" s="58" t="s">
        <v>6542</v>
      </c>
      <c r="C2337" s="58" t="s">
        <v>1816</v>
      </c>
      <c r="D2337" s="58" t="s">
        <v>6543</v>
      </c>
      <c r="E2337" s="60" t="b">
        <v>1</v>
      </c>
      <c r="F2337" s="80" t="s">
        <v>845</v>
      </c>
      <c r="G2337" s="58" t="s">
        <v>6542</v>
      </c>
      <c r="H2337" s="58" t="s">
        <v>1816</v>
      </c>
      <c r="I2337" s="64" t="s">
        <v>6543</v>
      </c>
      <c r="J2337" s="66"/>
      <c r="K2337" s="66"/>
      <c r="L2337" s="68"/>
      <c r="M2337" s="63" t="str">
        <f>HYPERLINK("http://nsgreg.nga.mil/genc/view?v=864724&amp;end_month=12&amp;end_day=31&amp;end_year=2016","Correlation")</f>
        <v>Correlation</v>
      </c>
    </row>
    <row r="2338" spans="1:13" x14ac:dyDescent="0.2">
      <c r="A2338" s="113"/>
      <c r="B2338" s="58" t="s">
        <v>6544</v>
      </c>
      <c r="C2338" s="58" t="s">
        <v>6501</v>
      </c>
      <c r="D2338" s="58" t="s">
        <v>6545</v>
      </c>
      <c r="E2338" s="60" t="b">
        <v>1</v>
      </c>
      <c r="F2338" s="80" t="s">
        <v>845</v>
      </c>
      <c r="G2338" s="58" t="s">
        <v>6544</v>
      </c>
      <c r="H2338" s="58" t="s">
        <v>6501</v>
      </c>
      <c r="I2338" s="64" t="s">
        <v>6545</v>
      </c>
      <c r="J2338" s="66"/>
      <c r="K2338" s="66"/>
      <c r="L2338" s="68"/>
      <c r="M2338" s="63" t="str">
        <f>HYPERLINK("http://nsgreg.nga.mil/genc/view?v=864725&amp;end_month=12&amp;end_day=31&amp;end_year=2016","Correlation")</f>
        <v>Correlation</v>
      </c>
    </row>
    <row r="2339" spans="1:13" x14ac:dyDescent="0.2">
      <c r="A2339" s="113"/>
      <c r="B2339" s="58" t="s">
        <v>6546</v>
      </c>
      <c r="C2339" s="58" t="s">
        <v>6501</v>
      </c>
      <c r="D2339" s="58" t="s">
        <v>6547</v>
      </c>
      <c r="E2339" s="60" t="b">
        <v>1</v>
      </c>
      <c r="F2339" s="80" t="s">
        <v>845</v>
      </c>
      <c r="G2339" s="58" t="s">
        <v>6546</v>
      </c>
      <c r="H2339" s="58" t="s">
        <v>6501</v>
      </c>
      <c r="I2339" s="64" t="s">
        <v>6547</v>
      </c>
      <c r="J2339" s="66"/>
      <c r="K2339" s="66"/>
      <c r="L2339" s="68"/>
      <c r="M2339" s="63" t="str">
        <f>HYPERLINK("http://nsgreg.nga.mil/genc/view?v=864726&amp;end_month=12&amp;end_day=31&amp;end_year=2016","Correlation")</f>
        <v>Correlation</v>
      </c>
    </row>
    <row r="2340" spans="1:13" x14ac:dyDescent="0.2">
      <c r="A2340" s="113"/>
      <c r="B2340" s="58" t="s">
        <v>6548</v>
      </c>
      <c r="C2340" s="58" t="s">
        <v>6501</v>
      </c>
      <c r="D2340" s="58" t="s">
        <v>6549</v>
      </c>
      <c r="E2340" s="60" t="b">
        <v>1</v>
      </c>
      <c r="F2340" s="80" t="s">
        <v>845</v>
      </c>
      <c r="G2340" s="58" t="s">
        <v>6548</v>
      </c>
      <c r="H2340" s="58" t="s">
        <v>6501</v>
      </c>
      <c r="I2340" s="64" t="s">
        <v>6549</v>
      </c>
      <c r="J2340" s="66"/>
      <c r="K2340" s="66"/>
      <c r="L2340" s="68"/>
      <c r="M2340" s="63" t="str">
        <f>HYPERLINK("http://nsgreg.nga.mil/genc/view?v=864728&amp;end_month=12&amp;end_day=31&amp;end_year=2016","Correlation")</f>
        <v>Correlation</v>
      </c>
    </row>
    <row r="2341" spans="1:13" x14ac:dyDescent="0.2">
      <c r="A2341" s="113"/>
      <c r="B2341" s="58" t="s">
        <v>6550</v>
      </c>
      <c r="C2341" s="58" t="s">
        <v>1483</v>
      </c>
      <c r="D2341" s="58" t="s">
        <v>6551</v>
      </c>
      <c r="E2341" s="60" t="b">
        <v>1</v>
      </c>
      <c r="F2341" s="80" t="s">
        <v>845</v>
      </c>
      <c r="G2341" s="58" t="s">
        <v>6552</v>
      </c>
      <c r="H2341" s="58" t="s">
        <v>1483</v>
      </c>
      <c r="I2341" s="64" t="s">
        <v>6551</v>
      </c>
      <c r="J2341" s="66"/>
      <c r="K2341" s="66"/>
      <c r="L2341" s="68"/>
      <c r="M2341" s="63" t="str">
        <f>HYPERLINK("http://nsgreg.nga.mil/genc/view?v=864769&amp;end_month=12&amp;end_day=31&amp;end_year=2016","Correlation")</f>
        <v>Correlation</v>
      </c>
    </row>
    <row r="2342" spans="1:13" x14ac:dyDescent="0.2">
      <c r="A2342" s="113"/>
      <c r="B2342" s="58" t="s">
        <v>6553</v>
      </c>
      <c r="C2342" s="58" t="s">
        <v>6507</v>
      </c>
      <c r="D2342" s="58" t="s">
        <v>6554</v>
      </c>
      <c r="E2342" s="60" t="b">
        <v>1</v>
      </c>
      <c r="F2342" s="80" t="s">
        <v>845</v>
      </c>
      <c r="G2342" s="58" t="s">
        <v>6555</v>
      </c>
      <c r="H2342" s="58" t="s">
        <v>6507</v>
      </c>
      <c r="I2342" s="64" t="s">
        <v>6554</v>
      </c>
      <c r="J2342" s="66"/>
      <c r="K2342" s="66"/>
      <c r="L2342" s="68"/>
      <c r="M2342" s="63" t="str">
        <f>HYPERLINK("http://nsgreg.nga.mil/genc/view?v=864727&amp;end_month=12&amp;end_day=31&amp;end_year=2016","Correlation")</f>
        <v>Correlation</v>
      </c>
    </row>
    <row r="2343" spans="1:13" x14ac:dyDescent="0.2">
      <c r="A2343" s="113"/>
      <c r="B2343" s="58" t="s">
        <v>6556</v>
      </c>
      <c r="C2343" s="58" t="s">
        <v>6501</v>
      </c>
      <c r="D2343" s="58" t="s">
        <v>6557</v>
      </c>
      <c r="E2343" s="60" t="b">
        <v>1</v>
      </c>
      <c r="F2343" s="80" t="s">
        <v>845</v>
      </c>
      <c r="G2343" s="58" t="s">
        <v>6556</v>
      </c>
      <c r="H2343" s="58" t="s">
        <v>6501</v>
      </c>
      <c r="I2343" s="64" t="s">
        <v>6557</v>
      </c>
      <c r="J2343" s="66"/>
      <c r="K2343" s="66"/>
      <c r="L2343" s="68"/>
      <c r="M2343" s="63" t="str">
        <f>HYPERLINK("http://nsgreg.nga.mil/genc/view?v=864729&amp;end_month=12&amp;end_day=31&amp;end_year=2016","Correlation")</f>
        <v>Correlation</v>
      </c>
    </row>
    <row r="2344" spans="1:13" x14ac:dyDescent="0.2">
      <c r="A2344" s="113"/>
      <c r="B2344" s="58" t="s">
        <v>6558</v>
      </c>
      <c r="C2344" s="58" t="s">
        <v>6501</v>
      </c>
      <c r="D2344" s="58" t="s">
        <v>6559</v>
      </c>
      <c r="E2344" s="60" t="b">
        <v>1</v>
      </c>
      <c r="F2344" s="80" t="s">
        <v>845</v>
      </c>
      <c r="G2344" s="58" t="s">
        <v>6558</v>
      </c>
      <c r="H2344" s="58" t="s">
        <v>6501</v>
      </c>
      <c r="I2344" s="64" t="s">
        <v>6559</v>
      </c>
      <c r="J2344" s="66"/>
      <c r="K2344" s="66"/>
      <c r="L2344" s="68"/>
      <c r="M2344" s="63" t="str">
        <f>HYPERLINK("http://nsgreg.nga.mil/genc/view?v=864730&amp;end_month=12&amp;end_day=31&amp;end_year=2016","Correlation")</f>
        <v>Correlation</v>
      </c>
    </row>
    <row r="2345" spans="1:13" x14ac:dyDescent="0.2">
      <c r="A2345" s="113"/>
      <c r="B2345" s="58" t="s">
        <v>6560</v>
      </c>
      <c r="C2345" s="58" t="s">
        <v>6501</v>
      </c>
      <c r="D2345" s="58" t="s">
        <v>6561</v>
      </c>
      <c r="E2345" s="60" t="b">
        <v>1</v>
      </c>
      <c r="F2345" s="80" t="s">
        <v>845</v>
      </c>
      <c r="G2345" s="58" t="s">
        <v>6560</v>
      </c>
      <c r="H2345" s="58" t="s">
        <v>6501</v>
      </c>
      <c r="I2345" s="64" t="s">
        <v>6561</v>
      </c>
      <c r="J2345" s="66"/>
      <c r="K2345" s="66"/>
      <c r="L2345" s="68"/>
      <c r="M2345" s="63" t="str">
        <f>HYPERLINK("http://nsgreg.nga.mil/genc/view?v=864731&amp;end_month=12&amp;end_day=31&amp;end_year=2016","Correlation")</f>
        <v>Correlation</v>
      </c>
    </row>
    <row r="2346" spans="1:13" x14ac:dyDescent="0.2">
      <c r="A2346" s="113"/>
      <c r="B2346" s="58" t="s">
        <v>6562</v>
      </c>
      <c r="C2346" s="58" t="s">
        <v>6501</v>
      </c>
      <c r="D2346" s="58" t="s">
        <v>6563</v>
      </c>
      <c r="E2346" s="60" t="b">
        <v>1</v>
      </c>
      <c r="F2346" s="80" t="s">
        <v>845</v>
      </c>
      <c r="G2346" s="58" t="s">
        <v>6562</v>
      </c>
      <c r="H2346" s="58" t="s">
        <v>6501</v>
      </c>
      <c r="I2346" s="64" t="s">
        <v>6563</v>
      </c>
      <c r="J2346" s="66"/>
      <c r="K2346" s="66"/>
      <c r="L2346" s="68"/>
      <c r="M2346" s="63" t="str">
        <f>HYPERLINK("http://nsgreg.nga.mil/genc/view?v=864732&amp;end_month=12&amp;end_day=31&amp;end_year=2016","Correlation")</f>
        <v>Correlation</v>
      </c>
    </row>
    <row r="2347" spans="1:13" x14ac:dyDescent="0.2">
      <c r="A2347" s="113"/>
      <c r="B2347" s="58" t="s">
        <v>6564</v>
      </c>
      <c r="C2347" s="58" t="s">
        <v>1483</v>
      </c>
      <c r="D2347" s="58" t="s">
        <v>6565</v>
      </c>
      <c r="E2347" s="60" t="b">
        <v>1</v>
      </c>
      <c r="F2347" s="80" t="s">
        <v>845</v>
      </c>
      <c r="G2347" s="58" t="s">
        <v>6566</v>
      </c>
      <c r="H2347" s="58" t="s">
        <v>1483</v>
      </c>
      <c r="I2347" s="64" t="s">
        <v>6565</v>
      </c>
      <c r="J2347" s="66"/>
      <c r="K2347" s="66"/>
      <c r="L2347" s="68"/>
      <c r="M2347" s="63" t="str">
        <f>HYPERLINK("http://nsgreg.nga.mil/genc/view?v=864771&amp;end_month=12&amp;end_day=31&amp;end_year=2016","Correlation")</f>
        <v>Correlation</v>
      </c>
    </row>
    <row r="2348" spans="1:13" x14ac:dyDescent="0.2">
      <c r="A2348" s="113"/>
      <c r="B2348" s="58" t="s">
        <v>6567</v>
      </c>
      <c r="C2348" s="58" t="s">
        <v>6501</v>
      </c>
      <c r="D2348" s="58" t="s">
        <v>6568</v>
      </c>
      <c r="E2348" s="60" t="b">
        <v>1</v>
      </c>
      <c r="F2348" s="80" t="s">
        <v>845</v>
      </c>
      <c r="G2348" s="58" t="s">
        <v>6567</v>
      </c>
      <c r="H2348" s="58" t="s">
        <v>6501</v>
      </c>
      <c r="I2348" s="64" t="s">
        <v>6568</v>
      </c>
      <c r="J2348" s="66"/>
      <c r="K2348" s="66"/>
      <c r="L2348" s="68"/>
      <c r="M2348" s="63" t="str">
        <f>HYPERLINK("http://nsgreg.nga.mil/genc/view?v=864733&amp;end_month=12&amp;end_day=31&amp;end_year=2016","Correlation")</f>
        <v>Correlation</v>
      </c>
    </row>
    <row r="2349" spans="1:13" x14ac:dyDescent="0.2">
      <c r="A2349" s="113"/>
      <c r="B2349" s="58" t="s">
        <v>6569</v>
      </c>
      <c r="C2349" s="58" t="s">
        <v>6501</v>
      </c>
      <c r="D2349" s="58" t="s">
        <v>6570</v>
      </c>
      <c r="E2349" s="60" t="b">
        <v>1</v>
      </c>
      <c r="F2349" s="80" t="s">
        <v>845</v>
      </c>
      <c r="G2349" s="58" t="s">
        <v>6569</v>
      </c>
      <c r="H2349" s="58" t="s">
        <v>6501</v>
      </c>
      <c r="I2349" s="64" t="s">
        <v>6570</v>
      </c>
      <c r="J2349" s="66"/>
      <c r="K2349" s="66"/>
      <c r="L2349" s="68"/>
      <c r="M2349" s="63" t="str">
        <f>HYPERLINK("http://nsgreg.nga.mil/genc/view?v=864734&amp;end_month=12&amp;end_day=31&amp;end_year=2016","Correlation")</f>
        <v>Correlation</v>
      </c>
    </row>
    <row r="2350" spans="1:13" x14ac:dyDescent="0.2">
      <c r="A2350" s="113"/>
      <c r="B2350" s="58" t="s">
        <v>6571</v>
      </c>
      <c r="C2350" s="58" t="s">
        <v>1816</v>
      </c>
      <c r="D2350" s="58" t="s">
        <v>6572</v>
      </c>
      <c r="E2350" s="60" t="b">
        <v>1</v>
      </c>
      <c r="F2350" s="80" t="s">
        <v>845</v>
      </c>
      <c r="G2350" s="58" t="s">
        <v>6571</v>
      </c>
      <c r="H2350" s="58" t="s">
        <v>1816</v>
      </c>
      <c r="I2350" s="64" t="s">
        <v>6572</v>
      </c>
      <c r="J2350" s="66"/>
      <c r="K2350" s="66"/>
      <c r="L2350" s="68"/>
      <c r="M2350" s="63" t="str">
        <f>HYPERLINK("http://nsgreg.nga.mil/genc/view?v=864735&amp;end_month=12&amp;end_day=31&amp;end_year=2016","Correlation")</f>
        <v>Correlation</v>
      </c>
    </row>
    <row r="2351" spans="1:13" x14ac:dyDescent="0.2">
      <c r="A2351" s="113"/>
      <c r="B2351" s="58" t="s">
        <v>6573</v>
      </c>
      <c r="C2351" s="58" t="s">
        <v>1816</v>
      </c>
      <c r="D2351" s="58" t="s">
        <v>6574</v>
      </c>
      <c r="E2351" s="60" t="b">
        <v>1</v>
      </c>
      <c r="F2351" s="80" t="s">
        <v>845</v>
      </c>
      <c r="G2351" s="58" t="s">
        <v>6573</v>
      </c>
      <c r="H2351" s="58" t="s">
        <v>1816</v>
      </c>
      <c r="I2351" s="64" t="s">
        <v>6574</v>
      </c>
      <c r="J2351" s="66"/>
      <c r="K2351" s="66"/>
      <c r="L2351" s="68"/>
      <c r="M2351" s="63" t="str">
        <f>HYPERLINK("http://nsgreg.nga.mil/genc/view?v=864736&amp;end_month=12&amp;end_day=31&amp;end_year=2016","Correlation")</f>
        <v>Correlation</v>
      </c>
    </row>
    <row r="2352" spans="1:13" x14ac:dyDescent="0.2">
      <c r="A2352" s="113"/>
      <c r="B2352" s="58" t="s">
        <v>6575</v>
      </c>
      <c r="C2352" s="58" t="s">
        <v>6501</v>
      </c>
      <c r="D2352" s="58" t="s">
        <v>6576</v>
      </c>
      <c r="E2352" s="60" t="b">
        <v>1</v>
      </c>
      <c r="F2352" s="80" t="s">
        <v>845</v>
      </c>
      <c r="G2352" s="58" t="s">
        <v>6575</v>
      </c>
      <c r="H2352" s="58" t="s">
        <v>6501</v>
      </c>
      <c r="I2352" s="64" t="s">
        <v>6576</v>
      </c>
      <c r="J2352" s="66"/>
      <c r="K2352" s="66"/>
      <c r="L2352" s="68"/>
      <c r="M2352" s="63" t="str">
        <f>HYPERLINK("http://nsgreg.nga.mil/genc/view?v=864737&amp;end_month=12&amp;end_day=31&amp;end_year=2016","Correlation")</f>
        <v>Correlation</v>
      </c>
    </row>
    <row r="2353" spans="1:13" x14ac:dyDescent="0.2">
      <c r="A2353" s="113"/>
      <c r="B2353" s="58" t="s">
        <v>6577</v>
      </c>
      <c r="C2353" s="58" t="s">
        <v>6507</v>
      </c>
      <c r="D2353" s="58" t="s">
        <v>6578</v>
      </c>
      <c r="E2353" s="60" t="b">
        <v>1</v>
      </c>
      <c r="F2353" s="80" t="s">
        <v>845</v>
      </c>
      <c r="G2353" s="58" t="s">
        <v>6579</v>
      </c>
      <c r="H2353" s="58" t="s">
        <v>6507</v>
      </c>
      <c r="I2353" s="64" t="s">
        <v>6578</v>
      </c>
      <c r="J2353" s="66"/>
      <c r="K2353" s="66"/>
      <c r="L2353" s="68"/>
      <c r="M2353" s="63" t="str">
        <f>HYPERLINK("http://nsgreg.nga.mil/genc/view?v=864738&amp;end_month=12&amp;end_day=31&amp;end_year=2016","Correlation")</f>
        <v>Correlation</v>
      </c>
    </row>
    <row r="2354" spans="1:13" x14ac:dyDescent="0.2">
      <c r="A2354" s="113"/>
      <c r="B2354" s="58" t="s">
        <v>6580</v>
      </c>
      <c r="C2354" s="58" t="s">
        <v>1483</v>
      </c>
      <c r="D2354" s="58" t="s">
        <v>6581</v>
      </c>
      <c r="E2354" s="60" t="b">
        <v>1</v>
      </c>
      <c r="F2354" s="80" t="s">
        <v>845</v>
      </c>
      <c r="G2354" s="58" t="s">
        <v>6582</v>
      </c>
      <c r="H2354" s="58" t="s">
        <v>1483</v>
      </c>
      <c r="I2354" s="64" t="s">
        <v>6581</v>
      </c>
      <c r="J2354" s="66"/>
      <c r="K2354" s="66"/>
      <c r="L2354" s="68"/>
      <c r="M2354" s="63" t="str">
        <f>HYPERLINK("http://nsgreg.nga.mil/genc/view?v=864772&amp;end_month=12&amp;end_day=31&amp;end_year=2016","Correlation")</f>
        <v>Correlation</v>
      </c>
    </row>
    <row r="2355" spans="1:13" x14ac:dyDescent="0.2">
      <c r="A2355" s="113"/>
      <c r="B2355" s="58" t="s">
        <v>6583</v>
      </c>
      <c r="C2355" s="58" t="s">
        <v>6507</v>
      </c>
      <c r="D2355" s="58" t="s">
        <v>6584</v>
      </c>
      <c r="E2355" s="60" t="b">
        <v>1</v>
      </c>
      <c r="F2355" s="80" t="s">
        <v>845</v>
      </c>
      <c r="G2355" s="58" t="s">
        <v>6585</v>
      </c>
      <c r="H2355" s="58" t="s">
        <v>6507</v>
      </c>
      <c r="I2355" s="64" t="s">
        <v>6584</v>
      </c>
      <c r="J2355" s="66"/>
      <c r="K2355" s="66"/>
      <c r="L2355" s="68"/>
      <c r="M2355" s="63" t="str">
        <f>HYPERLINK("http://nsgreg.nga.mil/genc/view?v=864739&amp;end_month=12&amp;end_day=31&amp;end_year=2016","Correlation")</f>
        <v>Correlation</v>
      </c>
    </row>
    <row r="2356" spans="1:13" x14ac:dyDescent="0.2">
      <c r="A2356" s="113"/>
      <c r="B2356" s="58" t="s">
        <v>6586</v>
      </c>
      <c r="C2356" s="58" t="s">
        <v>6501</v>
      </c>
      <c r="D2356" s="58" t="s">
        <v>6587</v>
      </c>
      <c r="E2356" s="60" t="b">
        <v>1</v>
      </c>
      <c r="F2356" s="80" t="s">
        <v>845</v>
      </c>
      <c r="G2356" s="58" t="s">
        <v>6586</v>
      </c>
      <c r="H2356" s="58" t="s">
        <v>6501</v>
      </c>
      <c r="I2356" s="64" t="s">
        <v>6587</v>
      </c>
      <c r="J2356" s="66"/>
      <c r="K2356" s="66"/>
      <c r="L2356" s="68"/>
      <c r="M2356" s="63" t="str">
        <f>HYPERLINK("http://nsgreg.nga.mil/genc/view?v=864740&amp;end_month=12&amp;end_day=31&amp;end_year=2016","Correlation")</f>
        <v>Correlation</v>
      </c>
    </row>
    <row r="2357" spans="1:13" x14ac:dyDescent="0.2">
      <c r="A2357" s="113"/>
      <c r="B2357" s="58" t="s">
        <v>6588</v>
      </c>
      <c r="C2357" s="58" t="s">
        <v>6501</v>
      </c>
      <c r="D2357" s="58" t="s">
        <v>6589</v>
      </c>
      <c r="E2357" s="60" t="b">
        <v>1</v>
      </c>
      <c r="F2357" s="80" t="s">
        <v>845</v>
      </c>
      <c r="G2357" s="58" t="s">
        <v>6588</v>
      </c>
      <c r="H2357" s="58" t="s">
        <v>6501</v>
      </c>
      <c r="I2357" s="64" t="s">
        <v>6589</v>
      </c>
      <c r="J2357" s="66"/>
      <c r="K2357" s="66"/>
      <c r="L2357" s="68"/>
      <c r="M2357" s="63" t="str">
        <f>HYPERLINK("http://nsgreg.nga.mil/genc/view?v=864741&amp;end_month=12&amp;end_day=31&amp;end_year=2016","Correlation")</f>
        <v>Correlation</v>
      </c>
    </row>
    <row r="2358" spans="1:13" x14ac:dyDescent="0.2">
      <c r="A2358" s="113"/>
      <c r="B2358" s="58" t="s">
        <v>6590</v>
      </c>
      <c r="C2358" s="58" t="s">
        <v>6501</v>
      </c>
      <c r="D2358" s="58" t="s">
        <v>6591</v>
      </c>
      <c r="E2358" s="60" t="b">
        <v>1</v>
      </c>
      <c r="F2358" s="80" t="s">
        <v>845</v>
      </c>
      <c r="G2358" s="58" t="s">
        <v>6590</v>
      </c>
      <c r="H2358" s="58" t="s">
        <v>6501</v>
      </c>
      <c r="I2358" s="64" t="s">
        <v>6591</v>
      </c>
      <c r="J2358" s="66"/>
      <c r="K2358" s="66"/>
      <c r="L2358" s="68"/>
      <c r="M2358" s="63" t="str">
        <f>HYPERLINK("http://nsgreg.nga.mil/genc/view?v=864742&amp;end_month=12&amp;end_day=31&amp;end_year=2016","Correlation")</f>
        <v>Correlation</v>
      </c>
    </row>
    <row r="2359" spans="1:13" x14ac:dyDescent="0.2">
      <c r="A2359" s="113"/>
      <c r="B2359" s="58" t="s">
        <v>6592</v>
      </c>
      <c r="C2359" s="58" t="s">
        <v>6501</v>
      </c>
      <c r="D2359" s="58" t="s">
        <v>6593</v>
      </c>
      <c r="E2359" s="60" t="b">
        <v>1</v>
      </c>
      <c r="F2359" s="80" t="s">
        <v>845</v>
      </c>
      <c r="G2359" s="58" t="s">
        <v>6592</v>
      </c>
      <c r="H2359" s="58" t="s">
        <v>6501</v>
      </c>
      <c r="I2359" s="64" t="s">
        <v>6593</v>
      </c>
      <c r="J2359" s="66"/>
      <c r="K2359" s="66"/>
      <c r="L2359" s="68"/>
      <c r="M2359" s="63" t="str">
        <f>HYPERLINK("http://nsgreg.nga.mil/genc/view?v=864743&amp;end_month=12&amp;end_day=31&amp;end_year=2016","Correlation")</f>
        <v>Correlation</v>
      </c>
    </row>
    <row r="2360" spans="1:13" x14ac:dyDescent="0.2">
      <c r="A2360" s="113"/>
      <c r="B2360" s="58" t="s">
        <v>6594</v>
      </c>
      <c r="C2360" s="58" t="s">
        <v>6501</v>
      </c>
      <c r="D2360" s="58" t="s">
        <v>6595</v>
      </c>
      <c r="E2360" s="60" t="b">
        <v>1</v>
      </c>
      <c r="F2360" s="80" t="s">
        <v>845</v>
      </c>
      <c r="G2360" s="58" t="s">
        <v>6594</v>
      </c>
      <c r="H2360" s="58" t="s">
        <v>6501</v>
      </c>
      <c r="I2360" s="64" t="s">
        <v>6595</v>
      </c>
      <c r="J2360" s="66"/>
      <c r="K2360" s="66"/>
      <c r="L2360" s="68"/>
      <c r="M2360" s="63" t="str">
        <f>HYPERLINK("http://nsgreg.nga.mil/genc/view?v=864744&amp;end_month=12&amp;end_day=31&amp;end_year=2016","Correlation")</f>
        <v>Correlation</v>
      </c>
    </row>
    <row r="2361" spans="1:13" x14ac:dyDescent="0.2">
      <c r="A2361" s="113"/>
      <c r="B2361" s="58" t="s">
        <v>6596</v>
      </c>
      <c r="C2361" s="58" t="s">
        <v>6501</v>
      </c>
      <c r="D2361" s="58" t="s">
        <v>6597</v>
      </c>
      <c r="E2361" s="60" t="b">
        <v>1</v>
      </c>
      <c r="F2361" s="80" t="s">
        <v>845</v>
      </c>
      <c r="G2361" s="58" t="s">
        <v>6596</v>
      </c>
      <c r="H2361" s="58" t="s">
        <v>6501</v>
      </c>
      <c r="I2361" s="64" t="s">
        <v>6597</v>
      </c>
      <c r="J2361" s="66"/>
      <c r="K2361" s="66"/>
      <c r="L2361" s="68"/>
      <c r="M2361" s="63" t="str">
        <f>HYPERLINK("http://nsgreg.nga.mil/genc/view?v=864745&amp;end_month=12&amp;end_day=31&amp;end_year=2016","Correlation")</f>
        <v>Correlation</v>
      </c>
    </row>
    <row r="2362" spans="1:13" x14ac:dyDescent="0.2">
      <c r="A2362" s="113"/>
      <c r="B2362" s="58" t="s">
        <v>6598</v>
      </c>
      <c r="C2362" s="58" t="s">
        <v>1816</v>
      </c>
      <c r="D2362" s="58" t="s">
        <v>6599</v>
      </c>
      <c r="E2362" s="60" t="b">
        <v>1</v>
      </c>
      <c r="F2362" s="80" t="s">
        <v>845</v>
      </c>
      <c r="G2362" s="58" t="s">
        <v>6598</v>
      </c>
      <c r="H2362" s="58" t="s">
        <v>1816</v>
      </c>
      <c r="I2362" s="64" t="s">
        <v>6599</v>
      </c>
      <c r="J2362" s="66"/>
      <c r="K2362" s="66"/>
      <c r="L2362" s="68"/>
      <c r="M2362" s="63" t="str">
        <f>HYPERLINK("http://nsgreg.nga.mil/genc/view?v=864746&amp;end_month=12&amp;end_day=31&amp;end_year=2016","Correlation")</f>
        <v>Correlation</v>
      </c>
    </row>
    <row r="2363" spans="1:13" x14ac:dyDescent="0.2">
      <c r="A2363" s="113"/>
      <c r="B2363" s="58" t="s">
        <v>6600</v>
      </c>
      <c r="C2363" s="58" t="s">
        <v>6501</v>
      </c>
      <c r="D2363" s="58" t="s">
        <v>6601</v>
      </c>
      <c r="E2363" s="60" t="b">
        <v>1</v>
      </c>
      <c r="F2363" s="80" t="s">
        <v>845</v>
      </c>
      <c r="G2363" s="58" t="s">
        <v>6600</v>
      </c>
      <c r="H2363" s="58" t="s">
        <v>6501</v>
      </c>
      <c r="I2363" s="64" t="s">
        <v>6601</v>
      </c>
      <c r="J2363" s="66"/>
      <c r="K2363" s="66"/>
      <c r="L2363" s="68"/>
      <c r="M2363" s="63" t="str">
        <f>HYPERLINK("http://nsgreg.nga.mil/genc/view?v=864747&amp;end_month=12&amp;end_day=31&amp;end_year=2016","Correlation")</f>
        <v>Correlation</v>
      </c>
    </row>
    <row r="2364" spans="1:13" x14ac:dyDescent="0.2">
      <c r="A2364" s="113"/>
      <c r="B2364" s="58" t="s">
        <v>6602</v>
      </c>
      <c r="C2364" s="58" t="s">
        <v>6501</v>
      </c>
      <c r="D2364" s="58" t="s">
        <v>6603</v>
      </c>
      <c r="E2364" s="60" t="b">
        <v>1</v>
      </c>
      <c r="F2364" s="80" t="s">
        <v>845</v>
      </c>
      <c r="G2364" s="58" t="s">
        <v>6602</v>
      </c>
      <c r="H2364" s="58" t="s">
        <v>6501</v>
      </c>
      <c r="I2364" s="64" t="s">
        <v>6603</v>
      </c>
      <c r="J2364" s="66"/>
      <c r="K2364" s="66"/>
      <c r="L2364" s="68"/>
      <c r="M2364" s="63" t="str">
        <f>HYPERLINK("http://nsgreg.nga.mil/genc/view?v=864748&amp;end_month=12&amp;end_day=31&amp;end_year=2016","Correlation")</f>
        <v>Correlation</v>
      </c>
    </row>
    <row r="2365" spans="1:13" x14ac:dyDescent="0.2">
      <c r="A2365" s="113"/>
      <c r="B2365" s="58" t="s">
        <v>6604</v>
      </c>
      <c r="C2365" s="58" t="s">
        <v>6501</v>
      </c>
      <c r="D2365" s="58" t="s">
        <v>6605</v>
      </c>
      <c r="E2365" s="60" t="b">
        <v>1</v>
      </c>
      <c r="F2365" s="80" t="s">
        <v>845</v>
      </c>
      <c r="G2365" s="58" t="s">
        <v>6604</v>
      </c>
      <c r="H2365" s="58" t="s">
        <v>6501</v>
      </c>
      <c r="I2365" s="64" t="s">
        <v>6605</v>
      </c>
      <c r="J2365" s="66"/>
      <c r="K2365" s="66"/>
      <c r="L2365" s="68"/>
      <c r="M2365" s="63" t="str">
        <f>HYPERLINK("http://nsgreg.nga.mil/genc/view?v=864749&amp;end_month=12&amp;end_day=31&amp;end_year=2016","Correlation")</f>
        <v>Correlation</v>
      </c>
    </row>
    <row r="2366" spans="1:13" x14ac:dyDescent="0.2">
      <c r="A2366" s="113"/>
      <c r="B2366" s="58" t="s">
        <v>6606</v>
      </c>
      <c r="C2366" s="58" t="s">
        <v>6501</v>
      </c>
      <c r="D2366" s="58" t="s">
        <v>6607</v>
      </c>
      <c r="E2366" s="60" t="b">
        <v>1</v>
      </c>
      <c r="F2366" s="80" t="s">
        <v>845</v>
      </c>
      <c r="G2366" s="58" t="s">
        <v>6606</v>
      </c>
      <c r="H2366" s="58" t="s">
        <v>6501</v>
      </c>
      <c r="I2366" s="64" t="s">
        <v>6607</v>
      </c>
      <c r="J2366" s="66"/>
      <c r="K2366" s="66"/>
      <c r="L2366" s="68"/>
      <c r="M2366" s="63" t="str">
        <f>HYPERLINK("http://nsgreg.nga.mil/genc/view?v=864751&amp;end_month=12&amp;end_day=31&amp;end_year=2016","Correlation")</f>
        <v>Correlation</v>
      </c>
    </row>
    <row r="2367" spans="1:13" x14ac:dyDescent="0.2">
      <c r="A2367" s="113"/>
      <c r="B2367" s="58" t="s">
        <v>6608</v>
      </c>
      <c r="C2367" s="58" t="s">
        <v>1483</v>
      </c>
      <c r="D2367" s="58" t="s">
        <v>6609</v>
      </c>
      <c r="E2367" s="60" t="b">
        <v>1</v>
      </c>
      <c r="F2367" s="80" t="s">
        <v>845</v>
      </c>
      <c r="G2367" s="58" t="s">
        <v>6610</v>
      </c>
      <c r="H2367" s="58" t="s">
        <v>1483</v>
      </c>
      <c r="I2367" s="64" t="s">
        <v>6609</v>
      </c>
      <c r="J2367" s="66"/>
      <c r="K2367" s="66"/>
      <c r="L2367" s="68"/>
      <c r="M2367" s="63" t="str">
        <f>HYPERLINK("http://nsgreg.nga.mil/genc/view?v=864773&amp;end_month=12&amp;end_day=31&amp;end_year=2016","Correlation")</f>
        <v>Correlation</v>
      </c>
    </row>
    <row r="2368" spans="1:13" x14ac:dyDescent="0.2">
      <c r="A2368" s="113"/>
      <c r="B2368" s="58" t="s">
        <v>6611</v>
      </c>
      <c r="C2368" s="58" t="s">
        <v>6507</v>
      </c>
      <c r="D2368" s="58" t="s">
        <v>6612</v>
      </c>
      <c r="E2368" s="60" t="b">
        <v>1</v>
      </c>
      <c r="F2368" s="80" t="s">
        <v>845</v>
      </c>
      <c r="G2368" s="58" t="s">
        <v>6613</v>
      </c>
      <c r="H2368" s="58" t="s">
        <v>6507</v>
      </c>
      <c r="I2368" s="64" t="s">
        <v>6612</v>
      </c>
      <c r="J2368" s="66"/>
      <c r="K2368" s="66"/>
      <c r="L2368" s="68"/>
      <c r="M2368" s="63" t="str">
        <f>HYPERLINK("http://nsgreg.nga.mil/genc/view?v=864750&amp;end_month=12&amp;end_day=31&amp;end_year=2016","Correlation")</f>
        <v>Correlation</v>
      </c>
    </row>
    <row r="2369" spans="1:13" x14ac:dyDescent="0.2">
      <c r="A2369" s="113"/>
      <c r="B2369" s="58" t="s">
        <v>6614</v>
      </c>
      <c r="C2369" s="58" t="s">
        <v>6501</v>
      </c>
      <c r="D2369" s="58" t="s">
        <v>6615</v>
      </c>
      <c r="E2369" s="60" t="b">
        <v>1</v>
      </c>
      <c r="F2369" s="80" t="s">
        <v>845</v>
      </c>
      <c r="G2369" s="58" t="s">
        <v>6614</v>
      </c>
      <c r="H2369" s="58" t="s">
        <v>6501</v>
      </c>
      <c r="I2369" s="64" t="s">
        <v>6615</v>
      </c>
      <c r="J2369" s="66"/>
      <c r="K2369" s="66"/>
      <c r="L2369" s="68"/>
      <c r="M2369" s="63" t="str">
        <f>HYPERLINK("http://nsgreg.nga.mil/genc/view?v=864752&amp;end_month=12&amp;end_day=31&amp;end_year=2016","Correlation")</f>
        <v>Correlation</v>
      </c>
    </row>
    <row r="2370" spans="1:13" x14ac:dyDescent="0.2">
      <c r="A2370" s="113"/>
      <c r="B2370" s="58" t="s">
        <v>6616</v>
      </c>
      <c r="C2370" s="58" t="s">
        <v>6501</v>
      </c>
      <c r="D2370" s="58" t="s">
        <v>6617</v>
      </c>
      <c r="E2370" s="60" t="b">
        <v>1</v>
      </c>
      <c r="F2370" s="80" t="s">
        <v>845</v>
      </c>
      <c r="G2370" s="58" t="s">
        <v>6616</v>
      </c>
      <c r="H2370" s="58" t="s">
        <v>6501</v>
      </c>
      <c r="I2370" s="64" t="s">
        <v>6617</v>
      </c>
      <c r="J2370" s="66"/>
      <c r="K2370" s="66"/>
      <c r="L2370" s="68"/>
      <c r="M2370" s="63" t="str">
        <f>HYPERLINK("http://nsgreg.nga.mil/genc/view?v=864753&amp;end_month=12&amp;end_day=31&amp;end_year=2016","Correlation")</f>
        <v>Correlation</v>
      </c>
    </row>
    <row r="2371" spans="1:13" x14ac:dyDescent="0.2">
      <c r="A2371" s="113"/>
      <c r="B2371" s="58" t="s">
        <v>6618</v>
      </c>
      <c r="C2371" s="58" t="s">
        <v>6501</v>
      </c>
      <c r="D2371" s="58" t="s">
        <v>6619</v>
      </c>
      <c r="E2371" s="60" t="b">
        <v>1</v>
      </c>
      <c r="F2371" s="80" t="s">
        <v>845</v>
      </c>
      <c r="G2371" s="58" t="s">
        <v>6618</v>
      </c>
      <c r="H2371" s="58" t="s">
        <v>6501</v>
      </c>
      <c r="I2371" s="64" t="s">
        <v>6619</v>
      </c>
      <c r="J2371" s="66"/>
      <c r="K2371" s="66"/>
      <c r="L2371" s="68"/>
      <c r="M2371" s="63" t="str">
        <f>HYPERLINK("http://nsgreg.nga.mil/genc/view?v=864754&amp;end_month=12&amp;end_day=31&amp;end_year=2016","Correlation")</f>
        <v>Correlation</v>
      </c>
    </row>
    <row r="2372" spans="1:13" x14ac:dyDescent="0.2">
      <c r="A2372" s="113"/>
      <c r="B2372" s="58" t="s">
        <v>6620</v>
      </c>
      <c r="C2372" s="58" t="s">
        <v>6501</v>
      </c>
      <c r="D2372" s="58" t="s">
        <v>6621</v>
      </c>
      <c r="E2372" s="60" t="b">
        <v>1</v>
      </c>
      <c r="F2372" s="80" t="s">
        <v>845</v>
      </c>
      <c r="G2372" s="58" t="s">
        <v>6620</v>
      </c>
      <c r="H2372" s="58" t="s">
        <v>6501</v>
      </c>
      <c r="I2372" s="64" t="s">
        <v>6621</v>
      </c>
      <c r="J2372" s="66"/>
      <c r="K2372" s="66"/>
      <c r="L2372" s="68"/>
      <c r="M2372" s="63" t="str">
        <f>HYPERLINK("http://nsgreg.nga.mil/genc/view?v=864755&amp;end_month=12&amp;end_day=31&amp;end_year=2016","Correlation")</f>
        <v>Correlation</v>
      </c>
    </row>
    <row r="2373" spans="1:13" x14ac:dyDescent="0.2">
      <c r="A2373" s="113"/>
      <c r="B2373" s="58" t="s">
        <v>6622</v>
      </c>
      <c r="C2373" s="58" t="s">
        <v>6501</v>
      </c>
      <c r="D2373" s="58" t="s">
        <v>6623</v>
      </c>
      <c r="E2373" s="60" t="b">
        <v>1</v>
      </c>
      <c r="F2373" s="80" t="s">
        <v>845</v>
      </c>
      <c r="G2373" s="58" t="s">
        <v>6622</v>
      </c>
      <c r="H2373" s="58" t="s">
        <v>6501</v>
      </c>
      <c r="I2373" s="64" t="s">
        <v>6623</v>
      </c>
      <c r="J2373" s="66"/>
      <c r="K2373" s="66"/>
      <c r="L2373" s="68"/>
      <c r="M2373" s="63" t="str">
        <f>HYPERLINK("http://nsgreg.nga.mil/genc/view?v=864756&amp;end_month=12&amp;end_day=31&amp;end_year=2016","Correlation")</f>
        <v>Correlation</v>
      </c>
    </row>
    <row r="2374" spans="1:13" x14ac:dyDescent="0.2">
      <c r="A2374" s="113"/>
      <c r="B2374" s="58" t="s">
        <v>6624</v>
      </c>
      <c r="C2374" s="58" t="s">
        <v>6501</v>
      </c>
      <c r="D2374" s="58" t="s">
        <v>6625</v>
      </c>
      <c r="E2374" s="60" t="b">
        <v>1</v>
      </c>
      <c r="F2374" s="80" t="s">
        <v>845</v>
      </c>
      <c r="G2374" s="58" t="s">
        <v>6624</v>
      </c>
      <c r="H2374" s="58" t="s">
        <v>6501</v>
      </c>
      <c r="I2374" s="64" t="s">
        <v>6625</v>
      </c>
      <c r="J2374" s="66"/>
      <c r="K2374" s="66"/>
      <c r="L2374" s="68"/>
      <c r="M2374" s="63" t="str">
        <f>HYPERLINK("http://nsgreg.nga.mil/genc/view?v=864757&amp;end_month=12&amp;end_day=31&amp;end_year=2016","Correlation")</f>
        <v>Correlation</v>
      </c>
    </row>
    <row r="2375" spans="1:13" x14ac:dyDescent="0.2">
      <c r="A2375" s="113"/>
      <c r="B2375" s="58" t="s">
        <v>6626</v>
      </c>
      <c r="C2375" s="58" t="s">
        <v>1483</v>
      </c>
      <c r="D2375" s="58" t="s">
        <v>6627</v>
      </c>
      <c r="E2375" s="60" t="b">
        <v>1</v>
      </c>
      <c r="F2375" s="80" t="s">
        <v>845</v>
      </c>
      <c r="G2375" s="58" t="s">
        <v>6628</v>
      </c>
      <c r="H2375" s="58" t="s">
        <v>1483</v>
      </c>
      <c r="I2375" s="64" t="s">
        <v>6627</v>
      </c>
      <c r="J2375" s="66"/>
      <c r="K2375" s="66"/>
      <c r="L2375" s="68"/>
      <c r="M2375" s="63" t="str">
        <f>HYPERLINK("http://nsgreg.nga.mil/genc/view?v=864774&amp;end_month=12&amp;end_day=31&amp;end_year=2016","Correlation")</f>
        <v>Correlation</v>
      </c>
    </row>
    <row r="2376" spans="1:13" x14ac:dyDescent="0.2">
      <c r="A2376" s="113"/>
      <c r="B2376" s="58" t="s">
        <v>6629</v>
      </c>
      <c r="C2376" s="58" t="s">
        <v>6501</v>
      </c>
      <c r="D2376" s="58" t="s">
        <v>6630</v>
      </c>
      <c r="E2376" s="60" t="b">
        <v>1</v>
      </c>
      <c r="F2376" s="80" t="s">
        <v>845</v>
      </c>
      <c r="G2376" s="58" t="s">
        <v>6629</v>
      </c>
      <c r="H2376" s="58" t="s">
        <v>6501</v>
      </c>
      <c r="I2376" s="64" t="s">
        <v>6630</v>
      </c>
      <c r="J2376" s="66"/>
      <c r="K2376" s="66"/>
      <c r="L2376" s="68"/>
      <c r="M2376" s="63" t="str">
        <f>HYPERLINK("http://nsgreg.nga.mil/genc/view?v=864758&amp;end_month=12&amp;end_day=31&amp;end_year=2016","Correlation")</f>
        <v>Correlation</v>
      </c>
    </row>
    <row r="2377" spans="1:13" x14ac:dyDescent="0.2">
      <c r="A2377" s="113"/>
      <c r="B2377" s="58" t="s">
        <v>6631</v>
      </c>
      <c r="C2377" s="58" t="s">
        <v>1483</v>
      </c>
      <c r="D2377" s="58" t="s">
        <v>6632</v>
      </c>
      <c r="E2377" s="60" t="b">
        <v>1</v>
      </c>
      <c r="F2377" s="80" t="s">
        <v>845</v>
      </c>
      <c r="G2377" s="58" t="s">
        <v>6633</v>
      </c>
      <c r="H2377" s="58" t="s">
        <v>1483</v>
      </c>
      <c r="I2377" s="64" t="s">
        <v>6632</v>
      </c>
      <c r="J2377" s="66"/>
      <c r="K2377" s="66"/>
      <c r="L2377" s="68"/>
      <c r="M2377" s="63" t="str">
        <f>HYPERLINK("http://nsgreg.nga.mil/genc/view?v=864775&amp;end_month=12&amp;end_day=31&amp;end_year=2016","Correlation")</f>
        <v>Correlation</v>
      </c>
    </row>
    <row r="2378" spans="1:13" x14ac:dyDescent="0.2">
      <c r="A2378" s="113"/>
      <c r="B2378" s="58" t="s">
        <v>6634</v>
      </c>
      <c r="C2378" s="58" t="s">
        <v>6501</v>
      </c>
      <c r="D2378" s="58" t="s">
        <v>6635</v>
      </c>
      <c r="E2378" s="60" t="b">
        <v>1</v>
      </c>
      <c r="F2378" s="80" t="s">
        <v>845</v>
      </c>
      <c r="G2378" s="58" t="s">
        <v>6634</v>
      </c>
      <c r="H2378" s="58" t="s">
        <v>6501</v>
      </c>
      <c r="I2378" s="64" t="s">
        <v>6635</v>
      </c>
      <c r="J2378" s="66"/>
      <c r="K2378" s="66"/>
      <c r="L2378" s="68"/>
      <c r="M2378" s="63" t="str">
        <f>HYPERLINK("http://nsgreg.nga.mil/genc/view?v=864759&amp;end_month=12&amp;end_day=31&amp;end_year=2016","Correlation")</f>
        <v>Correlation</v>
      </c>
    </row>
    <row r="2379" spans="1:13" x14ac:dyDescent="0.2">
      <c r="A2379" s="113"/>
      <c r="B2379" s="58" t="s">
        <v>6636</v>
      </c>
      <c r="C2379" s="58" t="s">
        <v>6501</v>
      </c>
      <c r="D2379" s="58" t="s">
        <v>6637</v>
      </c>
      <c r="E2379" s="60" t="b">
        <v>1</v>
      </c>
      <c r="F2379" s="80" t="s">
        <v>845</v>
      </c>
      <c r="G2379" s="58" t="s">
        <v>6636</v>
      </c>
      <c r="H2379" s="58" t="s">
        <v>6501</v>
      </c>
      <c r="I2379" s="64" t="s">
        <v>6637</v>
      </c>
      <c r="J2379" s="66"/>
      <c r="K2379" s="66"/>
      <c r="L2379" s="68"/>
      <c r="M2379" s="63" t="str">
        <f>HYPERLINK("http://nsgreg.nga.mil/genc/view?v=864760&amp;end_month=12&amp;end_day=31&amp;end_year=2016","Correlation")</f>
        <v>Correlation</v>
      </c>
    </row>
    <row r="2380" spans="1:13" x14ac:dyDescent="0.2">
      <c r="A2380" s="113"/>
      <c r="B2380" s="58" t="s">
        <v>6638</v>
      </c>
      <c r="C2380" s="58" t="s">
        <v>6501</v>
      </c>
      <c r="D2380" s="58" t="s">
        <v>6639</v>
      </c>
      <c r="E2380" s="60" t="b">
        <v>1</v>
      </c>
      <c r="F2380" s="80" t="s">
        <v>845</v>
      </c>
      <c r="G2380" s="58" t="s">
        <v>6638</v>
      </c>
      <c r="H2380" s="58" t="s">
        <v>6501</v>
      </c>
      <c r="I2380" s="64" t="s">
        <v>6639</v>
      </c>
      <c r="J2380" s="66"/>
      <c r="K2380" s="66"/>
      <c r="L2380" s="68"/>
      <c r="M2380" s="63" t="str">
        <f>HYPERLINK("http://nsgreg.nga.mil/genc/view?v=864761&amp;end_month=12&amp;end_day=31&amp;end_year=2016","Correlation")</f>
        <v>Correlation</v>
      </c>
    </row>
    <row r="2381" spans="1:13" x14ac:dyDescent="0.2">
      <c r="A2381" s="113"/>
      <c r="B2381" s="58" t="s">
        <v>6640</v>
      </c>
      <c r="C2381" s="58" t="s">
        <v>1483</v>
      </c>
      <c r="D2381" s="58" t="s">
        <v>6641</v>
      </c>
      <c r="E2381" s="60" t="b">
        <v>1</v>
      </c>
      <c r="F2381" s="80" t="s">
        <v>845</v>
      </c>
      <c r="G2381" s="58" t="s">
        <v>6642</v>
      </c>
      <c r="H2381" s="58" t="s">
        <v>1483</v>
      </c>
      <c r="I2381" s="64" t="s">
        <v>6641</v>
      </c>
      <c r="J2381" s="66"/>
      <c r="K2381" s="66"/>
      <c r="L2381" s="68"/>
      <c r="M2381" s="63" t="str">
        <f>HYPERLINK("http://nsgreg.nga.mil/genc/view?v=864776&amp;end_month=12&amp;end_day=31&amp;end_year=2016","Correlation")</f>
        <v>Correlation</v>
      </c>
    </row>
    <row r="2382" spans="1:13" x14ac:dyDescent="0.2">
      <c r="A2382" s="113"/>
      <c r="B2382" s="58" t="s">
        <v>6643</v>
      </c>
      <c r="C2382" s="58" t="s">
        <v>6501</v>
      </c>
      <c r="D2382" s="58" t="s">
        <v>6644</v>
      </c>
      <c r="E2382" s="60" t="b">
        <v>1</v>
      </c>
      <c r="F2382" s="80" t="s">
        <v>845</v>
      </c>
      <c r="G2382" s="58" t="s">
        <v>6643</v>
      </c>
      <c r="H2382" s="58" t="s">
        <v>6501</v>
      </c>
      <c r="I2382" s="64" t="s">
        <v>6644</v>
      </c>
      <c r="J2382" s="66"/>
      <c r="K2382" s="66"/>
      <c r="L2382" s="68"/>
      <c r="M2382" s="63" t="str">
        <f>HYPERLINK("http://nsgreg.nga.mil/genc/view?v=864762&amp;end_month=12&amp;end_day=31&amp;end_year=2016","Correlation")</f>
        <v>Correlation</v>
      </c>
    </row>
    <row r="2383" spans="1:13" x14ac:dyDescent="0.2">
      <c r="A2383" s="113"/>
      <c r="B2383" s="58" t="s">
        <v>6645</v>
      </c>
      <c r="C2383" s="58" t="s">
        <v>6501</v>
      </c>
      <c r="D2383" s="58" t="s">
        <v>6646</v>
      </c>
      <c r="E2383" s="60" t="b">
        <v>1</v>
      </c>
      <c r="F2383" s="80" t="s">
        <v>845</v>
      </c>
      <c r="G2383" s="58" t="s">
        <v>6645</v>
      </c>
      <c r="H2383" s="58" t="s">
        <v>6501</v>
      </c>
      <c r="I2383" s="64" t="s">
        <v>6646</v>
      </c>
      <c r="J2383" s="66"/>
      <c r="K2383" s="66"/>
      <c r="L2383" s="68"/>
      <c r="M2383" s="63" t="str">
        <f>HYPERLINK("http://nsgreg.nga.mil/genc/view?v=864763&amp;end_month=12&amp;end_day=31&amp;end_year=2016","Correlation")</f>
        <v>Correlation</v>
      </c>
    </row>
    <row r="2384" spans="1:13" x14ac:dyDescent="0.2">
      <c r="A2384" s="113"/>
      <c r="B2384" s="58" t="s">
        <v>6647</v>
      </c>
      <c r="C2384" s="58" t="s">
        <v>1483</v>
      </c>
      <c r="D2384" s="58" t="s">
        <v>6648</v>
      </c>
      <c r="E2384" s="60" t="b">
        <v>1</v>
      </c>
      <c r="F2384" s="80" t="s">
        <v>845</v>
      </c>
      <c r="G2384" s="58" t="s">
        <v>6649</v>
      </c>
      <c r="H2384" s="58" t="s">
        <v>1483</v>
      </c>
      <c r="I2384" s="64" t="s">
        <v>6648</v>
      </c>
      <c r="J2384" s="66"/>
      <c r="K2384" s="66"/>
      <c r="L2384" s="68"/>
      <c r="M2384" s="63" t="str">
        <f>HYPERLINK("http://nsgreg.nga.mil/genc/view?v=864777&amp;end_month=12&amp;end_day=31&amp;end_year=2016","Correlation")</f>
        <v>Correlation</v>
      </c>
    </row>
    <row r="2385" spans="1:13" x14ac:dyDescent="0.2">
      <c r="A2385" s="113"/>
      <c r="B2385" s="58" t="s">
        <v>6650</v>
      </c>
      <c r="C2385" s="58" t="s">
        <v>6507</v>
      </c>
      <c r="D2385" s="58" t="s">
        <v>6651</v>
      </c>
      <c r="E2385" s="60" t="b">
        <v>1</v>
      </c>
      <c r="F2385" s="80" t="s">
        <v>845</v>
      </c>
      <c r="G2385" s="58" t="s">
        <v>6652</v>
      </c>
      <c r="H2385" s="58" t="s">
        <v>6507</v>
      </c>
      <c r="I2385" s="64" t="s">
        <v>6651</v>
      </c>
      <c r="J2385" s="66"/>
      <c r="K2385" s="66"/>
      <c r="L2385" s="68"/>
      <c r="M2385" s="63" t="str">
        <f>HYPERLINK("http://nsgreg.nga.mil/genc/view?v=864764&amp;end_month=12&amp;end_day=31&amp;end_year=2016","Correlation")</f>
        <v>Correlation</v>
      </c>
    </row>
    <row r="2386" spans="1:13" x14ac:dyDescent="0.2">
      <c r="A2386" s="113"/>
      <c r="B2386" s="58" t="s">
        <v>6653</v>
      </c>
      <c r="C2386" s="58" t="s">
        <v>6501</v>
      </c>
      <c r="D2386" s="58" t="s">
        <v>6654</v>
      </c>
      <c r="E2386" s="60" t="b">
        <v>1</v>
      </c>
      <c r="F2386" s="80" t="s">
        <v>845</v>
      </c>
      <c r="G2386" s="58" t="s">
        <v>6653</v>
      </c>
      <c r="H2386" s="58" t="s">
        <v>6501</v>
      </c>
      <c r="I2386" s="64" t="s">
        <v>6654</v>
      </c>
      <c r="J2386" s="66"/>
      <c r="K2386" s="66"/>
      <c r="L2386" s="68"/>
      <c r="M2386" s="63" t="str">
        <f>HYPERLINK("http://nsgreg.nga.mil/genc/view?v=864765&amp;end_month=12&amp;end_day=31&amp;end_year=2016","Correlation")</f>
        <v>Correlation</v>
      </c>
    </row>
    <row r="2387" spans="1:13" x14ac:dyDescent="0.2">
      <c r="A2387" s="113"/>
      <c r="B2387" s="58" t="s">
        <v>6655</v>
      </c>
      <c r="C2387" s="58" t="s">
        <v>1816</v>
      </c>
      <c r="D2387" s="58" t="s">
        <v>6656</v>
      </c>
      <c r="E2387" s="60" t="b">
        <v>1</v>
      </c>
      <c r="F2387" s="80" t="s">
        <v>845</v>
      </c>
      <c r="G2387" s="58" t="s">
        <v>6655</v>
      </c>
      <c r="H2387" s="58" t="s">
        <v>1816</v>
      </c>
      <c r="I2387" s="64" t="s">
        <v>6656</v>
      </c>
      <c r="J2387" s="66"/>
      <c r="K2387" s="66"/>
      <c r="L2387" s="68"/>
      <c r="M2387" s="63" t="str">
        <f>HYPERLINK("http://nsgreg.nga.mil/genc/view?v=864766&amp;end_month=12&amp;end_day=31&amp;end_year=2016","Correlation")</f>
        <v>Correlation</v>
      </c>
    </row>
    <row r="2388" spans="1:13" x14ac:dyDescent="0.2">
      <c r="A2388" s="114"/>
      <c r="B2388" s="71" t="s">
        <v>6657</v>
      </c>
      <c r="C2388" s="71" t="s">
        <v>6501</v>
      </c>
      <c r="D2388" s="71" t="s">
        <v>6658</v>
      </c>
      <c r="E2388" s="73" t="b">
        <v>1</v>
      </c>
      <c r="F2388" s="81" t="s">
        <v>845</v>
      </c>
      <c r="G2388" s="71" t="s">
        <v>6657</v>
      </c>
      <c r="H2388" s="71" t="s">
        <v>6501</v>
      </c>
      <c r="I2388" s="74" t="s">
        <v>6658</v>
      </c>
      <c r="J2388" s="76"/>
      <c r="K2388" s="76"/>
      <c r="L2388" s="82"/>
      <c r="M2388" s="77" t="str">
        <f>HYPERLINK("http://nsgreg.nga.mil/genc/view?v=864767&amp;end_month=12&amp;end_day=31&amp;end_year=2016","Correlation")</f>
        <v>Correlation</v>
      </c>
    </row>
    <row r="2389" spans="1:13" x14ac:dyDescent="0.2">
      <c r="A2389" s="112" t="s">
        <v>849</v>
      </c>
      <c r="B2389" s="50" t="s">
        <v>6659</v>
      </c>
      <c r="C2389" s="50" t="s">
        <v>6660</v>
      </c>
      <c r="D2389" s="50" t="s">
        <v>6661</v>
      </c>
      <c r="E2389" s="52" t="b">
        <v>1</v>
      </c>
      <c r="F2389" s="78" t="s">
        <v>849</v>
      </c>
      <c r="G2389" s="50" t="s">
        <v>6659</v>
      </c>
      <c r="H2389" s="50" t="s">
        <v>6660</v>
      </c>
      <c r="I2389" s="53" t="s">
        <v>6661</v>
      </c>
      <c r="J2389" s="55"/>
      <c r="K2389" s="55"/>
      <c r="L2389" s="79"/>
      <c r="M2389" s="56" t="str">
        <f>HYPERLINK("http://nsgreg.nga.mil/genc/view?v=864778&amp;end_month=12&amp;end_day=31&amp;end_year=2016","Correlation")</f>
        <v>Correlation</v>
      </c>
    </row>
    <row r="2390" spans="1:13" x14ac:dyDescent="0.2">
      <c r="A2390" s="113"/>
      <c r="B2390" s="58" t="s">
        <v>6662</v>
      </c>
      <c r="C2390" s="58" t="s">
        <v>6660</v>
      </c>
      <c r="D2390" s="58" t="s">
        <v>6663</v>
      </c>
      <c r="E2390" s="60" t="b">
        <v>1</v>
      </c>
      <c r="F2390" s="80" t="s">
        <v>849</v>
      </c>
      <c r="G2390" s="58" t="s">
        <v>6662</v>
      </c>
      <c r="H2390" s="58" t="s">
        <v>6660</v>
      </c>
      <c r="I2390" s="64" t="s">
        <v>6663</v>
      </c>
      <c r="J2390" s="66"/>
      <c r="K2390" s="66"/>
      <c r="L2390" s="68"/>
      <c r="M2390" s="63" t="str">
        <f>HYPERLINK("http://nsgreg.nga.mil/genc/view?v=864779&amp;end_month=12&amp;end_day=31&amp;end_year=2016","Correlation")</f>
        <v>Correlation</v>
      </c>
    </row>
    <row r="2391" spans="1:13" x14ac:dyDescent="0.2">
      <c r="A2391" s="113"/>
      <c r="B2391" s="58" t="s">
        <v>6664</v>
      </c>
      <c r="C2391" s="58" t="s">
        <v>6660</v>
      </c>
      <c r="D2391" s="58" t="s">
        <v>6665</v>
      </c>
      <c r="E2391" s="60" t="b">
        <v>1</v>
      </c>
      <c r="F2391" s="80" t="s">
        <v>849</v>
      </c>
      <c r="G2391" s="58" t="s">
        <v>6664</v>
      </c>
      <c r="H2391" s="58" t="s">
        <v>6660</v>
      </c>
      <c r="I2391" s="64" t="s">
        <v>6665</v>
      </c>
      <c r="J2391" s="66"/>
      <c r="K2391" s="66"/>
      <c r="L2391" s="68"/>
      <c r="M2391" s="63" t="str">
        <f>HYPERLINK("http://nsgreg.nga.mil/genc/view?v=864780&amp;end_month=12&amp;end_day=31&amp;end_year=2016","Correlation")</f>
        <v>Correlation</v>
      </c>
    </row>
    <row r="2392" spans="1:13" x14ac:dyDescent="0.2">
      <c r="A2392" s="113"/>
      <c r="B2392" s="58" t="s">
        <v>6666</v>
      </c>
      <c r="C2392" s="58" t="s">
        <v>6660</v>
      </c>
      <c r="D2392" s="58" t="s">
        <v>6667</v>
      </c>
      <c r="E2392" s="60" t="b">
        <v>1</v>
      </c>
      <c r="F2392" s="80" t="s">
        <v>849</v>
      </c>
      <c r="G2392" s="58" t="s">
        <v>6666</v>
      </c>
      <c r="H2392" s="58" t="s">
        <v>6660</v>
      </c>
      <c r="I2392" s="64" t="s">
        <v>6667</v>
      </c>
      <c r="J2392" s="66"/>
      <c r="K2392" s="66"/>
      <c r="L2392" s="68"/>
      <c r="M2392" s="63" t="str">
        <f>HYPERLINK("http://nsgreg.nga.mil/genc/view?v=864781&amp;end_month=12&amp;end_day=31&amp;end_year=2016","Correlation")</f>
        <v>Correlation</v>
      </c>
    </row>
    <row r="2393" spans="1:13" x14ac:dyDescent="0.2">
      <c r="A2393" s="113"/>
      <c r="B2393" s="58" t="s">
        <v>6668</v>
      </c>
      <c r="C2393" s="58" t="s">
        <v>6660</v>
      </c>
      <c r="D2393" s="58" t="s">
        <v>6669</v>
      </c>
      <c r="E2393" s="60" t="b">
        <v>1</v>
      </c>
      <c r="F2393" s="80" t="s">
        <v>849</v>
      </c>
      <c r="G2393" s="58" t="s">
        <v>6668</v>
      </c>
      <c r="H2393" s="58" t="s">
        <v>6660</v>
      </c>
      <c r="I2393" s="64" t="s">
        <v>6669</v>
      </c>
      <c r="J2393" s="66"/>
      <c r="K2393" s="66"/>
      <c r="L2393" s="68"/>
      <c r="M2393" s="63" t="str">
        <f>HYPERLINK("http://nsgreg.nga.mil/genc/view?v=864782&amp;end_month=12&amp;end_day=31&amp;end_year=2016","Correlation")</f>
        <v>Correlation</v>
      </c>
    </row>
    <row r="2394" spans="1:13" x14ac:dyDescent="0.2">
      <c r="A2394" s="113"/>
      <c r="B2394" s="58" t="s">
        <v>6670</v>
      </c>
      <c r="C2394" s="58" t="s">
        <v>6660</v>
      </c>
      <c r="D2394" s="58" t="s">
        <v>6671</v>
      </c>
      <c r="E2394" s="60" t="b">
        <v>1</v>
      </c>
      <c r="F2394" s="80" t="s">
        <v>849</v>
      </c>
      <c r="G2394" s="58" t="s">
        <v>6670</v>
      </c>
      <c r="H2394" s="58" t="s">
        <v>6660</v>
      </c>
      <c r="I2394" s="64" t="s">
        <v>6671</v>
      </c>
      <c r="J2394" s="66"/>
      <c r="K2394" s="66"/>
      <c r="L2394" s="68"/>
      <c r="M2394" s="63" t="str">
        <f>HYPERLINK("http://nsgreg.nga.mil/genc/view?v=864783&amp;end_month=12&amp;end_day=31&amp;end_year=2016","Correlation")</f>
        <v>Correlation</v>
      </c>
    </row>
    <row r="2395" spans="1:13" x14ac:dyDescent="0.2">
      <c r="A2395" s="113"/>
      <c r="B2395" s="58" t="s">
        <v>2268</v>
      </c>
      <c r="C2395" s="58" t="s">
        <v>6660</v>
      </c>
      <c r="D2395" s="58" t="s">
        <v>6672</v>
      </c>
      <c r="E2395" s="60" t="b">
        <v>1</v>
      </c>
      <c r="F2395" s="80" t="s">
        <v>849</v>
      </c>
      <c r="G2395" s="58" t="s">
        <v>2268</v>
      </c>
      <c r="H2395" s="58" t="s">
        <v>6660</v>
      </c>
      <c r="I2395" s="64" t="s">
        <v>6672</v>
      </c>
      <c r="J2395" s="66"/>
      <c r="K2395" s="66"/>
      <c r="L2395" s="68"/>
      <c r="M2395" s="63" t="str">
        <f>HYPERLINK("http://nsgreg.nga.mil/genc/view?v=864784&amp;end_month=12&amp;end_day=31&amp;end_year=2016","Correlation")</f>
        <v>Correlation</v>
      </c>
    </row>
    <row r="2396" spans="1:13" x14ac:dyDescent="0.2">
      <c r="A2396" s="113"/>
      <c r="B2396" s="58" t="s">
        <v>6673</v>
      </c>
      <c r="C2396" s="58" t="s">
        <v>6660</v>
      </c>
      <c r="D2396" s="58" t="s">
        <v>6674</v>
      </c>
      <c r="E2396" s="60" t="b">
        <v>1</v>
      </c>
      <c r="F2396" s="80" t="s">
        <v>849</v>
      </c>
      <c r="G2396" s="58" t="s">
        <v>6673</v>
      </c>
      <c r="H2396" s="58" t="s">
        <v>6660</v>
      </c>
      <c r="I2396" s="64" t="s">
        <v>6674</v>
      </c>
      <c r="J2396" s="66"/>
      <c r="K2396" s="66"/>
      <c r="L2396" s="68"/>
      <c r="M2396" s="63" t="str">
        <f>HYPERLINK("http://nsgreg.nga.mil/genc/view?v=864785&amp;end_month=12&amp;end_day=31&amp;end_year=2016","Correlation")</f>
        <v>Correlation</v>
      </c>
    </row>
    <row r="2397" spans="1:13" x14ac:dyDescent="0.2">
      <c r="A2397" s="113"/>
      <c r="B2397" s="58" t="s">
        <v>6675</v>
      </c>
      <c r="C2397" s="58" t="s">
        <v>6660</v>
      </c>
      <c r="D2397" s="58" t="s">
        <v>6676</v>
      </c>
      <c r="E2397" s="60" t="b">
        <v>1</v>
      </c>
      <c r="F2397" s="80" t="s">
        <v>849</v>
      </c>
      <c r="G2397" s="58" t="s">
        <v>6675</v>
      </c>
      <c r="H2397" s="58" t="s">
        <v>6660</v>
      </c>
      <c r="I2397" s="64" t="s">
        <v>6676</v>
      </c>
      <c r="J2397" s="66"/>
      <c r="K2397" s="66"/>
      <c r="L2397" s="68"/>
      <c r="M2397" s="63" t="str">
        <f>HYPERLINK("http://nsgreg.nga.mil/genc/view?v=864786&amp;end_month=12&amp;end_day=31&amp;end_year=2016","Correlation")</f>
        <v>Correlation</v>
      </c>
    </row>
    <row r="2398" spans="1:13" x14ac:dyDescent="0.2">
      <c r="A2398" s="113"/>
      <c r="B2398" s="58" t="s">
        <v>6677</v>
      </c>
      <c r="C2398" s="58" t="s">
        <v>6660</v>
      </c>
      <c r="D2398" s="58" t="s">
        <v>6678</v>
      </c>
      <c r="E2398" s="60" t="b">
        <v>1</v>
      </c>
      <c r="F2398" s="80" t="s">
        <v>849</v>
      </c>
      <c r="G2398" s="58" t="s">
        <v>6677</v>
      </c>
      <c r="H2398" s="58" t="s">
        <v>6660</v>
      </c>
      <c r="I2398" s="64" t="s">
        <v>6678</v>
      </c>
      <c r="J2398" s="66"/>
      <c r="K2398" s="66"/>
      <c r="L2398" s="68"/>
      <c r="M2398" s="63" t="str">
        <f>HYPERLINK("http://nsgreg.nga.mil/genc/view?v=864787&amp;end_month=12&amp;end_day=31&amp;end_year=2016","Correlation")</f>
        <v>Correlation</v>
      </c>
    </row>
    <row r="2399" spans="1:13" x14ac:dyDescent="0.2">
      <c r="A2399" s="113"/>
      <c r="B2399" s="58" t="s">
        <v>6679</v>
      </c>
      <c r="C2399" s="58" t="s">
        <v>6660</v>
      </c>
      <c r="D2399" s="58" t="s">
        <v>6680</v>
      </c>
      <c r="E2399" s="60" t="b">
        <v>1</v>
      </c>
      <c r="F2399" s="80" t="s">
        <v>849</v>
      </c>
      <c r="G2399" s="58" t="s">
        <v>6679</v>
      </c>
      <c r="H2399" s="58" t="s">
        <v>6660</v>
      </c>
      <c r="I2399" s="64" t="s">
        <v>6680</v>
      </c>
      <c r="J2399" s="66"/>
      <c r="K2399" s="66"/>
      <c r="L2399" s="68"/>
      <c r="M2399" s="63" t="str">
        <f>HYPERLINK("http://nsgreg.nga.mil/genc/view?v=864788&amp;end_month=12&amp;end_day=31&amp;end_year=2016","Correlation")</f>
        <v>Correlation</v>
      </c>
    </row>
    <row r="2400" spans="1:13" x14ac:dyDescent="0.2">
      <c r="A2400" s="114"/>
      <c r="B2400" s="71" t="s">
        <v>6681</v>
      </c>
      <c r="C2400" s="71" t="s">
        <v>6660</v>
      </c>
      <c r="D2400" s="71" t="s">
        <v>6682</v>
      </c>
      <c r="E2400" s="73" t="b">
        <v>1</v>
      </c>
      <c r="F2400" s="81" t="s">
        <v>849</v>
      </c>
      <c r="G2400" s="71" t="s">
        <v>6681</v>
      </c>
      <c r="H2400" s="71" t="s">
        <v>6660</v>
      </c>
      <c r="I2400" s="74" t="s">
        <v>6682</v>
      </c>
      <c r="J2400" s="76"/>
      <c r="K2400" s="76"/>
      <c r="L2400" s="82"/>
      <c r="M2400" s="77" t="str">
        <f>HYPERLINK("http://nsgreg.nga.mil/genc/view?v=864789&amp;end_month=12&amp;end_day=31&amp;end_year=2016","Correlation")</f>
        <v>Correlation</v>
      </c>
    </row>
    <row r="2401" spans="1:13" x14ac:dyDescent="0.2">
      <c r="A2401" s="112" t="s">
        <v>860</v>
      </c>
      <c r="B2401" s="50" t="s">
        <v>6683</v>
      </c>
      <c r="C2401" s="50" t="s">
        <v>1816</v>
      </c>
      <c r="D2401" s="50" t="s">
        <v>6684</v>
      </c>
      <c r="E2401" s="52" t="b">
        <v>1</v>
      </c>
      <c r="F2401" s="78" t="s">
        <v>864</v>
      </c>
      <c r="G2401" s="50" t="s">
        <v>6683</v>
      </c>
      <c r="H2401" s="50" t="s">
        <v>1816</v>
      </c>
      <c r="I2401" s="53" t="s">
        <v>6684</v>
      </c>
      <c r="J2401" s="55"/>
      <c r="K2401" s="55"/>
      <c r="L2401" s="79"/>
      <c r="M2401" s="56" t="str">
        <f>HYPERLINK("http://nsgreg.nga.mil/genc/view?v=865051&amp;end_month=12&amp;end_day=31&amp;end_year=2016","Correlation")</f>
        <v>Correlation</v>
      </c>
    </row>
    <row r="2402" spans="1:13" x14ac:dyDescent="0.2">
      <c r="A2402" s="113"/>
      <c r="B2402" s="58" t="s">
        <v>6685</v>
      </c>
      <c r="C2402" s="58" t="s">
        <v>1816</v>
      </c>
      <c r="D2402" s="58" t="s">
        <v>6686</v>
      </c>
      <c r="E2402" s="60" t="b">
        <v>1</v>
      </c>
      <c r="F2402" s="80" t="s">
        <v>864</v>
      </c>
      <c r="G2402" s="58" t="s">
        <v>6685</v>
      </c>
      <c r="H2402" s="58" t="s">
        <v>1816</v>
      </c>
      <c r="I2402" s="64" t="s">
        <v>6686</v>
      </c>
      <c r="J2402" s="66"/>
      <c r="K2402" s="66"/>
      <c r="L2402" s="68"/>
      <c r="M2402" s="63" t="str">
        <f>HYPERLINK("http://nsgreg.nga.mil/genc/view?v=865052&amp;end_month=12&amp;end_day=31&amp;end_year=2016","Correlation")</f>
        <v>Correlation</v>
      </c>
    </row>
    <row r="2403" spans="1:13" x14ac:dyDescent="0.2">
      <c r="A2403" s="113"/>
      <c r="B2403" s="58" t="s">
        <v>6687</v>
      </c>
      <c r="C2403" s="58" t="s">
        <v>1816</v>
      </c>
      <c r="D2403" s="58" t="s">
        <v>6688</v>
      </c>
      <c r="E2403" s="60" t="b">
        <v>1</v>
      </c>
      <c r="F2403" s="80" t="s">
        <v>864</v>
      </c>
      <c r="G2403" s="58" t="s">
        <v>6687</v>
      </c>
      <c r="H2403" s="58" t="s">
        <v>1816</v>
      </c>
      <c r="I2403" s="64" t="s">
        <v>6688</v>
      </c>
      <c r="J2403" s="66"/>
      <c r="K2403" s="66"/>
      <c r="L2403" s="68"/>
      <c r="M2403" s="63" t="str">
        <f>HYPERLINK("http://nsgreg.nga.mil/genc/view?v=865053&amp;end_month=12&amp;end_day=31&amp;end_year=2016","Correlation")</f>
        <v>Correlation</v>
      </c>
    </row>
    <row r="2404" spans="1:13" x14ac:dyDescent="0.2">
      <c r="A2404" s="113"/>
      <c r="B2404" s="58" t="s">
        <v>6689</v>
      </c>
      <c r="C2404" s="58" t="s">
        <v>1816</v>
      </c>
      <c r="D2404" s="58" t="s">
        <v>6690</v>
      </c>
      <c r="E2404" s="60" t="b">
        <v>1</v>
      </c>
      <c r="F2404" s="80" t="s">
        <v>864</v>
      </c>
      <c r="G2404" s="58" t="s">
        <v>6689</v>
      </c>
      <c r="H2404" s="58" t="s">
        <v>1816</v>
      </c>
      <c r="I2404" s="64" t="s">
        <v>6690</v>
      </c>
      <c r="J2404" s="66"/>
      <c r="K2404" s="66"/>
      <c r="L2404" s="68"/>
      <c r="M2404" s="63" t="str">
        <f>HYPERLINK("http://nsgreg.nga.mil/genc/view?v=865054&amp;end_month=12&amp;end_day=31&amp;end_year=2016","Correlation")</f>
        <v>Correlation</v>
      </c>
    </row>
    <row r="2405" spans="1:13" x14ac:dyDescent="0.2">
      <c r="A2405" s="113"/>
      <c r="B2405" s="58" t="s">
        <v>6691</v>
      </c>
      <c r="C2405" s="58" t="s">
        <v>1816</v>
      </c>
      <c r="D2405" s="58" t="s">
        <v>6692</v>
      </c>
      <c r="E2405" s="60" t="b">
        <v>1</v>
      </c>
      <c r="F2405" s="80" t="s">
        <v>864</v>
      </c>
      <c r="G2405" s="58" t="s">
        <v>6691</v>
      </c>
      <c r="H2405" s="58" t="s">
        <v>1816</v>
      </c>
      <c r="I2405" s="64" t="s">
        <v>6692</v>
      </c>
      <c r="J2405" s="66"/>
      <c r="K2405" s="66"/>
      <c r="L2405" s="68"/>
      <c r="M2405" s="63" t="str">
        <f>HYPERLINK("http://nsgreg.nga.mil/genc/view?v=865055&amp;end_month=12&amp;end_day=31&amp;end_year=2016","Correlation")</f>
        <v>Correlation</v>
      </c>
    </row>
    <row r="2406" spans="1:13" x14ac:dyDescent="0.2">
      <c r="A2406" s="113"/>
      <c r="B2406" s="58" t="s">
        <v>6693</v>
      </c>
      <c r="C2406" s="58" t="s">
        <v>1816</v>
      </c>
      <c r="D2406" s="58" t="s">
        <v>6694</v>
      </c>
      <c r="E2406" s="60" t="b">
        <v>1</v>
      </c>
      <c r="F2406" s="80" t="s">
        <v>864</v>
      </c>
      <c r="G2406" s="58" t="s">
        <v>6693</v>
      </c>
      <c r="H2406" s="58" t="s">
        <v>1816</v>
      </c>
      <c r="I2406" s="64" t="s">
        <v>6694</v>
      </c>
      <c r="J2406" s="66"/>
      <c r="K2406" s="66"/>
      <c r="L2406" s="68"/>
      <c r="M2406" s="63" t="str">
        <f>HYPERLINK("http://nsgreg.nga.mil/genc/view?v=865056&amp;end_month=12&amp;end_day=31&amp;end_year=2016","Correlation")</f>
        <v>Correlation</v>
      </c>
    </row>
    <row r="2407" spans="1:13" x14ac:dyDescent="0.2">
      <c r="A2407" s="113"/>
      <c r="B2407" s="58" t="s">
        <v>6695</v>
      </c>
      <c r="C2407" s="58" t="s">
        <v>1816</v>
      </c>
      <c r="D2407" s="58" t="s">
        <v>6696</v>
      </c>
      <c r="E2407" s="60" t="b">
        <v>1</v>
      </c>
      <c r="F2407" s="80" t="s">
        <v>864</v>
      </c>
      <c r="G2407" s="58" t="s">
        <v>6695</v>
      </c>
      <c r="H2407" s="58" t="s">
        <v>1816</v>
      </c>
      <c r="I2407" s="64" t="s">
        <v>6696</v>
      </c>
      <c r="J2407" s="66"/>
      <c r="K2407" s="66"/>
      <c r="L2407" s="68"/>
      <c r="M2407" s="63" t="str">
        <f>HYPERLINK("http://nsgreg.nga.mil/genc/view?v=865057&amp;end_month=12&amp;end_day=31&amp;end_year=2016","Correlation")</f>
        <v>Correlation</v>
      </c>
    </row>
    <row r="2408" spans="1:13" x14ac:dyDescent="0.2">
      <c r="A2408" s="113"/>
      <c r="B2408" s="58" t="s">
        <v>6697</v>
      </c>
      <c r="C2408" s="58" t="s">
        <v>1816</v>
      </c>
      <c r="D2408" s="58" t="s">
        <v>6698</v>
      </c>
      <c r="E2408" s="60" t="b">
        <v>1</v>
      </c>
      <c r="F2408" s="80" t="s">
        <v>864</v>
      </c>
      <c r="G2408" s="58" t="s">
        <v>6697</v>
      </c>
      <c r="H2408" s="58" t="s">
        <v>1816</v>
      </c>
      <c r="I2408" s="64" t="s">
        <v>6698</v>
      </c>
      <c r="J2408" s="66"/>
      <c r="K2408" s="66"/>
      <c r="L2408" s="68"/>
      <c r="M2408" s="63" t="str">
        <f>HYPERLINK("http://nsgreg.nga.mil/genc/view?v=865117&amp;end_month=12&amp;end_day=31&amp;end_year=2016","Correlation")</f>
        <v>Correlation</v>
      </c>
    </row>
    <row r="2409" spans="1:13" x14ac:dyDescent="0.2">
      <c r="A2409" s="113"/>
      <c r="B2409" s="58" t="s">
        <v>6699</v>
      </c>
      <c r="C2409" s="58" t="s">
        <v>1816</v>
      </c>
      <c r="D2409" s="58" t="s">
        <v>6700</v>
      </c>
      <c r="E2409" s="60" t="b">
        <v>1</v>
      </c>
      <c r="F2409" s="80" t="s">
        <v>864</v>
      </c>
      <c r="G2409" s="58" t="s">
        <v>6699</v>
      </c>
      <c r="H2409" s="58" t="s">
        <v>1816</v>
      </c>
      <c r="I2409" s="64" t="s">
        <v>6700</v>
      </c>
      <c r="J2409" s="66"/>
      <c r="K2409" s="66"/>
      <c r="L2409" s="68"/>
      <c r="M2409" s="63" t="str">
        <f>HYPERLINK("http://nsgreg.nga.mil/genc/view?v=865116&amp;end_month=12&amp;end_day=31&amp;end_year=2016","Correlation")</f>
        <v>Correlation</v>
      </c>
    </row>
    <row r="2410" spans="1:13" x14ac:dyDescent="0.2">
      <c r="A2410" s="113"/>
      <c r="B2410" s="58" t="s">
        <v>6701</v>
      </c>
      <c r="C2410" s="58" t="s">
        <v>1816</v>
      </c>
      <c r="D2410" s="58" t="s">
        <v>6702</v>
      </c>
      <c r="E2410" s="60" t="b">
        <v>1</v>
      </c>
      <c r="F2410" s="80" t="s">
        <v>864</v>
      </c>
      <c r="G2410" s="58" t="s">
        <v>6701</v>
      </c>
      <c r="H2410" s="58" t="s">
        <v>1816</v>
      </c>
      <c r="I2410" s="64" t="s">
        <v>6702</v>
      </c>
      <c r="J2410" s="66"/>
      <c r="K2410" s="66"/>
      <c r="L2410" s="68"/>
      <c r="M2410" s="63" t="str">
        <f>HYPERLINK("http://nsgreg.nga.mil/genc/view?v=865118&amp;end_month=12&amp;end_day=31&amp;end_year=2016","Correlation")</f>
        <v>Correlation</v>
      </c>
    </row>
    <row r="2411" spans="1:13" x14ac:dyDescent="0.2">
      <c r="A2411" s="113"/>
      <c r="B2411" s="58" t="s">
        <v>6703</v>
      </c>
      <c r="C2411" s="58" t="s">
        <v>1816</v>
      </c>
      <c r="D2411" s="58" t="s">
        <v>6704</v>
      </c>
      <c r="E2411" s="60" t="b">
        <v>1</v>
      </c>
      <c r="F2411" s="80" t="s">
        <v>864</v>
      </c>
      <c r="G2411" s="58" t="s">
        <v>6705</v>
      </c>
      <c r="H2411" s="58" t="s">
        <v>1816</v>
      </c>
      <c r="I2411" s="64" t="s">
        <v>6704</v>
      </c>
      <c r="J2411" s="66"/>
      <c r="K2411" s="66"/>
      <c r="L2411" s="68"/>
      <c r="M2411" s="63" t="str">
        <f>HYPERLINK("http://nsgreg.nga.mil/genc/view?v=865119&amp;end_month=12&amp;end_day=31&amp;end_year=2016","Correlation")</f>
        <v>Correlation</v>
      </c>
    </row>
    <row r="2412" spans="1:13" x14ac:dyDescent="0.2">
      <c r="A2412" s="113"/>
      <c r="B2412" s="58" t="s">
        <v>6706</v>
      </c>
      <c r="C2412" s="58" t="s">
        <v>1816</v>
      </c>
      <c r="D2412" s="58" t="s">
        <v>6707</v>
      </c>
      <c r="E2412" s="60" t="b">
        <v>1</v>
      </c>
      <c r="F2412" s="80" t="s">
        <v>864</v>
      </c>
      <c r="G2412" s="58" t="s">
        <v>6706</v>
      </c>
      <c r="H2412" s="58" t="s">
        <v>1816</v>
      </c>
      <c r="I2412" s="64" t="s">
        <v>6707</v>
      </c>
      <c r="J2412" s="66"/>
      <c r="K2412" s="66"/>
      <c r="L2412" s="68"/>
      <c r="M2412" s="63" t="str">
        <f>HYPERLINK("http://nsgreg.nga.mil/genc/view?v=865067&amp;end_month=12&amp;end_day=31&amp;end_year=2016","Correlation")</f>
        <v>Correlation</v>
      </c>
    </row>
    <row r="2413" spans="1:13" x14ac:dyDescent="0.2">
      <c r="A2413" s="113"/>
      <c r="B2413" s="58" t="s">
        <v>6708</v>
      </c>
      <c r="C2413" s="58" t="s">
        <v>1816</v>
      </c>
      <c r="D2413" s="58" t="s">
        <v>6709</v>
      </c>
      <c r="E2413" s="60" t="b">
        <v>1</v>
      </c>
      <c r="F2413" s="80" t="s">
        <v>864</v>
      </c>
      <c r="G2413" s="58" t="s">
        <v>6708</v>
      </c>
      <c r="H2413" s="58" t="s">
        <v>1816</v>
      </c>
      <c r="I2413" s="64" t="s">
        <v>6709</v>
      </c>
      <c r="J2413" s="66"/>
      <c r="K2413" s="66"/>
      <c r="L2413" s="68"/>
      <c r="M2413" s="63" t="str">
        <f>HYPERLINK("http://nsgreg.nga.mil/genc/view?v=865068&amp;end_month=12&amp;end_day=31&amp;end_year=2016","Correlation")</f>
        <v>Correlation</v>
      </c>
    </row>
    <row r="2414" spans="1:13" x14ac:dyDescent="0.2">
      <c r="A2414" s="113"/>
      <c r="B2414" s="58" t="s">
        <v>6710</v>
      </c>
      <c r="C2414" s="58" t="s">
        <v>1816</v>
      </c>
      <c r="D2414" s="58" t="s">
        <v>6711</v>
      </c>
      <c r="E2414" s="60" t="b">
        <v>1</v>
      </c>
      <c r="F2414" s="80" t="s">
        <v>864</v>
      </c>
      <c r="G2414" s="58" t="s">
        <v>6710</v>
      </c>
      <c r="H2414" s="58" t="s">
        <v>1816</v>
      </c>
      <c r="I2414" s="64" t="s">
        <v>6711</v>
      </c>
      <c r="J2414" s="66"/>
      <c r="K2414" s="66"/>
      <c r="L2414" s="68"/>
      <c r="M2414" s="63" t="str">
        <f>HYPERLINK("http://nsgreg.nga.mil/genc/view?v=865069&amp;end_month=12&amp;end_day=31&amp;end_year=2016","Correlation")</f>
        <v>Correlation</v>
      </c>
    </row>
    <row r="2415" spans="1:13" x14ac:dyDescent="0.2">
      <c r="A2415" s="113"/>
      <c r="B2415" s="58" t="s">
        <v>6712</v>
      </c>
      <c r="C2415" s="58" t="s">
        <v>1816</v>
      </c>
      <c r="D2415" s="58" t="s">
        <v>6713</v>
      </c>
      <c r="E2415" s="60" t="b">
        <v>1</v>
      </c>
      <c r="F2415" s="80" t="s">
        <v>864</v>
      </c>
      <c r="G2415" s="58" t="s">
        <v>6712</v>
      </c>
      <c r="H2415" s="58" t="s">
        <v>1816</v>
      </c>
      <c r="I2415" s="64" t="s">
        <v>6713</v>
      </c>
      <c r="J2415" s="66"/>
      <c r="K2415" s="66"/>
      <c r="L2415" s="68"/>
      <c r="M2415" s="63" t="str">
        <f>HYPERLINK("http://nsgreg.nga.mil/genc/view?v=865071&amp;end_month=12&amp;end_day=31&amp;end_year=2016","Correlation")</f>
        <v>Correlation</v>
      </c>
    </row>
    <row r="2416" spans="1:13" x14ac:dyDescent="0.2">
      <c r="A2416" s="113"/>
      <c r="B2416" s="58" t="s">
        <v>6714</v>
      </c>
      <c r="C2416" s="58" t="s">
        <v>1816</v>
      </c>
      <c r="D2416" s="58" t="s">
        <v>6715</v>
      </c>
      <c r="E2416" s="60" t="b">
        <v>1</v>
      </c>
      <c r="F2416" s="80" t="s">
        <v>864</v>
      </c>
      <c r="G2416" s="58" t="s">
        <v>6714</v>
      </c>
      <c r="H2416" s="58" t="s">
        <v>1816</v>
      </c>
      <c r="I2416" s="64" t="s">
        <v>6715</v>
      </c>
      <c r="J2416" s="66"/>
      <c r="K2416" s="66"/>
      <c r="L2416" s="68"/>
      <c r="M2416" s="63" t="str">
        <f>HYPERLINK("http://nsgreg.nga.mil/genc/view?v=865070&amp;end_month=12&amp;end_day=31&amp;end_year=2016","Correlation")</f>
        <v>Correlation</v>
      </c>
    </row>
    <row r="2417" spans="1:13" x14ac:dyDescent="0.2">
      <c r="A2417" s="113"/>
      <c r="B2417" s="58" t="s">
        <v>6716</v>
      </c>
      <c r="C2417" s="58" t="s">
        <v>1816</v>
      </c>
      <c r="D2417" s="58" t="s">
        <v>6717</v>
      </c>
      <c r="E2417" s="60" t="b">
        <v>1</v>
      </c>
      <c r="F2417" s="80" t="s">
        <v>864</v>
      </c>
      <c r="G2417" s="58" t="s">
        <v>6716</v>
      </c>
      <c r="H2417" s="58" t="s">
        <v>1816</v>
      </c>
      <c r="I2417" s="64" t="s">
        <v>6717</v>
      </c>
      <c r="J2417" s="66"/>
      <c r="K2417" s="66"/>
      <c r="L2417" s="68"/>
      <c r="M2417" s="63" t="str">
        <f>HYPERLINK("http://nsgreg.nga.mil/genc/view?v=865072&amp;end_month=12&amp;end_day=31&amp;end_year=2016","Correlation")</f>
        <v>Correlation</v>
      </c>
    </row>
    <row r="2418" spans="1:13" x14ac:dyDescent="0.2">
      <c r="A2418" s="113"/>
      <c r="B2418" s="58" t="s">
        <v>6718</v>
      </c>
      <c r="C2418" s="58" t="s">
        <v>1816</v>
      </c>
      <c r="D2418" s="58" t="s">
        <v>6719</v>
      </c>
      <c r="E2418" s="60" t="b">
        <v>1</v>
      </c>
      <c r="F2418" s="80" t="s">
        <v>864</v>
      </c>
      <c r="G2418" s="58" t="s">
        <v>6718</v>
      </c>
      <c r="H2418" s="58" t="s">
        <v>1816</v>
      </c>
      <c r="I2418" s="64" t="s">
        <v>6719</v>
      </c>
      <c r="J2418" s="66"/>
      <c r="K2418" s="66"/>
      <c r="L2418" s="68"/>
      <c r="M2418" s="63" t="str">
        <f>HYPERLINK("http://nsgreg.nga.mil/genc/view?v=865073&amp;end_month=12&amp;end_day=31&amp;end_year=2016","Correlation")</f>
        <v>Correlation</v>
      </c>
    </row>
    <row r="2419" spans="1:13" x14ac:dyDescent="0.2">
      <c r="A2419" s="113"/>
      <c r="B2419" s="58" t="s">
        <v>6720</v>
      </c>
      <c r="C2419" s="58" t="s">
        <v>1816</v>
      </c>
      <c r="D2419" s="58" t="s">
        <v>6721</v>
      </c>
      <c r="E2419" s="60" t="b">
        <v>1</v>
      </c>
      <c r="F2419" s="80" t="s">
        <v>864</v>
      </c>
      <c r="G2419" s="58" t="s">
        <v>6720</v>
      </c>
      <c r="H2419" s="58" t="s">
        <v>1816</v>
      </c>
      <c r="I2419" s="64" t="s">
        <v>6721</v>
      </c>
      <c r="J2419" s="66"/>
      <c r="K2419" s="66"/>
      <c r="L2419" s="68"/>
      <c r="M2419" s="63" t="str">
        <f>HYPERLINK("http://nsgreg.nga.mil/genc/view?v=865064&amp;end_month=12&amp;end_day=31&amp;end_year=2016","Correlation")</f>
        <v>Correlation</v>
      </c>
    </row>
    <row r="2420" spans="1:13" x14ac:dyDescent="0.2">
      <c r="A2420" s="113"/>
      <c r="B2420" s="58" t="s">
        <v>6722</v>
      </c>
      <c r="C2420" s="58" t="s">
        <v>1816</v>
      </c>
      <c r="D2420" s="58" t="s">
        <v>6723</v>
      </c>
      <c r="E2420" s="60" t="b">
        <v>1</v>
      </c>
      <c r="F2420" s="80" t="s">
        <v>864</v>
      </c>
      <c r="G2420" s="58" t="s">
        <v>6722</v>
      </c>
      <c r="H2420" s="58" t="s">
        <v>1816</v>
      </c>
      <c r="I2420" s="64" t="s">
        <v>6723</v>
      </c>
      <c r="J2420" s="66"/>
      <c r="K2420" s="66"/>
      <c r="L2420" s="68"/>
      <c r="M2420" s="63" t="str">
        <f>HYPERLINK("http://nsgreg.nga.mil/genc/view?v=865065&amp;end_month=12&amp;end_day=31&amp;end_year=2016","Correlation")</f>
        <v>Correlation</v>
      </c>
    </row>
    <row r="2421" spans="1:13" x14ac:dyDescent="0.2">
      <c r="A2421" s="113"/>
      <c r="B2421" s="58" t="s">
        <v>6724</v>
      </c>
      <c r="C2421" s="58" t="s">
        <v>1816</v>
      </c>
      <c r="D2421" s="58" t="s">
        <v>6725</v>
      </c>
      <c r="E2421" s="60" t="b">
        <v>1</v>
      </c>
      <c r="F2421" s="80" t="s">
        <v>864</v>
      </c>
      <c r="G2421" s="58" t="s">
        <v>6724</v>
      </c>
      <c r="H2421" s="58" t="s">
        <v>1816</v>
      </c>
      <c r="I2421" s="64" t="s">
        <v>6725</v>
      </c>
      <c r="J2421" s="66"/>
      <c r="K2421" s="66"/>
      <c r="L2421" s="68"/>
      <c r="M2421" s="63" t="str">
        <f>HYPERLINK("http://nsgreg.nga.mil/genc/view?v=865066&amp;end_month=12&amp;end_day=31&amp;end_year=2016","Correlation")</f>
        <v>Correlation</v>
      </c>
    </row>
    <row r="2422" spans="1:13" x14ac:dyDescent="0.2">
      <c r="A2422" s="113"/>
      <c r="B2422" s="58" t="s">
        <v>6726</v>
      </c>
      <c r="C2422" s="58" t="s">
        <v>1816</v>
      </c>
      <c r="D2422" s="58" t="s">
        <v>6727</v>
      </c>
      <c r="E2422" s="60" t="b">
        <v>1</v>
      </c>
      <c r="F2422" s="80" t="s">
        <v>864</v>
      </c>
      <c r="G2422" s="58" t="s">
        <v>6726</v>
      </c>
      <c r="H2422" s="58" t="s">
        <v>1816</v>
      </c>
      <c r="I2422" s="64" t="s">
        <v>6727</v>
      </c>
      <c r="J2422" s="66"/>
      <c r="K2422" s="66"/>
      <c r="L2422" s="68"/>
      <c r="M2422" s="63" t="str">
        <f>HYPERLINK("http://nsgreg.nga.mil/genc/view?v=865077&amp;end_month=12&amp;end_day=31&amp;end_year=2016","Correlation")</f>
        <v>Correlation</v>
      </c>
    </row>
    <row r="2423" spans="1:13" x14ac:dyDescent="0.2">
      <c r="A2423" s="113"/>
      <c r="B2423" s="58" t="s">
        <v>6728</v>
      </c>
      <c r="C2423" s="58" t="s">
        <v>1816</v>
      </c>
      <c r="D2423" s="58" t="s">
        <v>6729</v>
      </c>
      <c r="E2423" s="60" t="b">
        <v>1</v>
      </c>
      <c r="F2423" s="80" t="s">
        <v>864</v>
      </c>
      <c r="G2423" s="58" t="s">
        <v>6728</v>
      </c>
      <c r="H2423" s="58" t="s">
        <v>1816</v>
      </c>
      <c r="I2423" s="64" t="s">
        <v>6729</v>
      </c>
      <c r="J2423" s="66"/>
      <c r="K2423" s="66"/>
      <c r="L2423" s="68"/>
      <c r="M2423" s="63" t="str">
        <f>HYPERLINK("http://nsgreg.nga.mil/genc/view?v=865078&amp;end_month=12&amp;end_day=31&amp;end_year=2016","Correlation")</f>
        <v>Correlation</v>
      </c>
    </row>
    <row r="2424" spans="1:13" x14ac:dyDescent="0.2">
      <c r="A2424" s="113"/>
      <c r="B2424" s="58" t="s">
        <v>6730</v>
      </c>
      <c r="C2424" s="58" t="s">
        <v>1816</v>
      </c>
      <c r="D2424" s="58" t="s">
        <v>6731</v>
      </c>
      <c r="E2424" s="60" t="b">
        <v>1</v>
      </c>
      <c r="F2424" s="80" t="s">
        <v>864</v>
      </c>
      <c r="G2424" s="58" t="s">
        <v>6730</v>
      </c>
      <c r="H2424" s="58" t="s">
        <v>1816</v>
      </c>
      <c r="I2424" s="64" t="s">
        <v>6731</v>
      </c>
      <c r="J2424" s="66"/>
      <c r="K2424" s="66"/>
      <c r="L2424" s="68"/>
      <c r="M2424" s="63" t="str">
        <f>HYPERLINK("http://nsgreg.nga.mil/genc/view?v=865080&amp;end_month=12&amp;end_day=31&amp;end_year=2016","Correlation")</f>
        <v>Correlation</v>
      </c>
    </row>
    <row r="2425" spans="1:13" x14ac:dyDescent="0.2">
      <c r="A2425" s="113"/>
      <c r="B2425" s="58" t="s">
        <v>6732</v>
      </c>
      <c r="C2425" s="58" t="s">
        <v>1816</v>
      </c>
      <c r="D2425" s="58" t="s">
        <v>6733</v>
      </c>
      <c r="E2425" s="60" t="b">
        <v>1</v>
      </c>
      <c r="F2425" s="80" t="s">
        <v>864</v>
      </c>
      <c r="G2425" s="58" t="s">
        <v>6732</v>
      </c>
      <c r="H2425" s="58" t="s">
        <v>1816</v>
      </c>
      <c r="I2425" s="64" t="s">
        <v>6733</v>
      </c>
      <c r="J2425" s="66"/>
      <c r="K2425" s="66"/>
      <c r="L2425" s="68"/>
      <c r="M2425" s="63" t="str">
        <f>HYPERLINK("http://nsgreg.nga.mil/genc/view?v=865079&amp;end_month=12&amp;end_day=31&amp;end_year=2016","Correlation")</f>
        <v>Correlation</v>
      </c>
    </row>
    <row r="2426" spans="1:13" x14ac:dyDescent="0.2">
      <c r="A2426" s="113"/>
      <c r="B2426" s="58" t="s">
        <v>6734</v>
      </c>
      <c r="C2426" s="58" t="s">
        <v>1816</v>
      </c>
      <c r="D2426" s="58" t="s">
        <v>6735</v>
      </c>
      <c r="E2426" s="60" t="b">
        <v>1</v>
      </c>
      <c r="F2426" s="80" t="s">
        <v>864</v>
      </c>
      <c r="G2426" s="58" t="s">
        <v>6734</v>
      </c>
      <c r="H2426" s="58" t="s">
        <v>1816</v>
      </c>
      <c r="I2426" s="64" t="s">
        <v>6735</v>
      </c>
      <c r="J2426" s="66"/>
      <c r="K2426" s="66"/>
      <c r="L2426" s="68"/>
      <c r="M2426" s="63" t="str">
        <f>HYPERLINK("http://nsgreg.nga.mil/genc/view?v=865081&amp;end_month=12&amp;end_day=31&amp;end_year=2016","Correlation")</f>
        <v>Correlation</v>
      </c>
    </row>
    <row r="2427" spans="1:13" x14ac:dyDescent="0.2">
      <c r="A2427" s="113"/>
      <c r="B2427" s="58" t="s">
        <v>6736</v>
      </c>
      <c r="C2427" s="58" t="s">
        <v>1816</v>
      </c>
      <c r="D2427" s="58" t="s">
        <v>6737</v>
      </c>
      <c r="E2427" s="60" t="b">
        <v>1</v>
      </c>
      <c r="F2427" s="80" t="s">
        <v>864</v>
      </c>
      <c r="G2427" s="58" t="s">
        <v>6736</v>
      </c>
      <c r="H2427" s="58" t="s">
        <v>1816</v>
      </c>
      <c r="I2427" s="64" t="s">
        <v>6737</v>
      </c>
      <c r="J2427" s="66"/>
      <c r="K2427" s="66"/>
      <c r="L2427" s="68"/>
      <c r="M2427" s="63" t="str">
        <f>HYPERLINK("http://nsgreg.nga.mil/genc/view?v=865083&amp;end_month=12&amp;end_day=31&amp;end_year=2016","Correlation")</f>
        <v>Correlation</v>
      </c>
    </row>
    <row r="2428" spans="1:13" x14ac:dyDescent="0.2">
      <c r="A2428" s="113"/>
      <c r="B2428" s="58" t="s">
        <v>6738</v>
      </c>
      <c r="C2428" s="58" t="s">
        <v>1816</v>
      </c>
      <c r="D2428" s="58" t="s">
        <v>6739</v>
      </c>
      <c r="E2428" s="60" t="b">
        <v>1</v>
      </c>
      <c r="F2428" s="80" t="s">
        <v>864</v>
      </c>
      <c r="G2428" s="58" t="s">
        <v>6738</v>
      </c>
      <c r="H2428" s="58" t="s">
        <v>1816</v>
      </c>
      <c r="I2428" s="64" t="s">
        <v>6739</v>
      </c>
      <c r="J2428" s="66"/>
      <c r="K2428" s="66"/>
      <c r="L2428" s="68"/>
      <c r="M2428" s="63" t="str">
        <f>HYPERLINK("http://nsgreg.nga.mil/genc/view?v=865082&amp;end_month=12&amp;end_day=31&amp;end_year=2016","Correlation")</f>
        <v>Correlation</v>
      </c>
    </row>
    <row r="2429" spans="1:13" x14ac:dyDescent="0.2">
      <c r="A2429" s="113"/>
      <c r="B2429" s="58" t="s">
        <v>6740</v>
      </c>
      <c r="C2429" s="58" t="s">
        <v>1816</v>
      </c>
      <c r="D2429" s="58" t="s">
        <v>6741</v>
      </c>
      <c r="E2429" s="60" t="b">
        <v>1</v>
      </c>
      <c r="F2429" s="80" t="s">
        <v>864</v>
      </c>
      <c r="G2429" s="58" t="s">
        <v>6740</v>
      </c>
      <c r="H2429" s="58" t="s">
        <v>1816</v>
      </c>
      <c r="I2429" s="64" t="s">
        <v>6741</v>
      </c>
      <c r="J2429" s="66"/>
      <c r="K2429" s="66"/>
      <c r="L2429" s="68"/>
      <c r="M2429" s="63" t="str">
        <f>HYPERLINK("http://nsgreg.nga.mil/genc/view?v=865084&amp;end_month=12&amp;end_day=31&amp;end_year=2016","Correlation")</f>
        <v>Correlation</v>
      </c>
    </row>
    <row r="2430" spans="1:13" x14ac:dyDescent="0.2">
      <c r="A2430" s="113"/>
      <c r="B2430" s="58" t="s">
        <v>6742</v>
      </c>
      <c r="C2430" s="58" t="s">
        <v>1816</v>
      </c>
      <c r="D2430" s="58" t="s">
        <v>6743</v>
      </c>
      <c r="E2430" s="60" t="b">
        <v>1</v>
      </c>
      <c r="F2430" s="80" t="s">
        <v>864</v>
      </c>
      <c r="G2430" s="58" t="s">
        <v>6742</v>
      </c>
      <c r="H2430" s="58" t="s">
        <v>1816</v>
      </c>
      <c r="I2430" s="64" t="s">
        <v>6743</v>
      </c>
      <c r="J2430" s="66"/>
      <c r="K2430" s="66"/>
      <c r="L2430" s="68"/>
      <c r="M2430" s="63" t="str">
        <f>HYPERLINK("http://nsgreg.nga.mil/genc/view?v=865085&amp;end_month=12&amp;end_day=31&amp;end_year=2016","Correlation")</f>
        <v>Correlation</v>
      </c>
    </row>
    <row r="2431" spans="1:13" x14ac:dyDescent="0.2">
      <c r="A2431" s="113"/>
      <c r="B2431" s="58" t="s">
        <v>6744</v>
      </c>
      <c r="C2431" s="58" t="s">
        <v>1816</v>
      </c>
      <c r="D2431" s="58" t="s">
        <v>6745</v>
      </c>
      <c r="E2431" s="60" t="b">
        <v>1</v>
      </c>
      <c r="F2431" s="80" t="s">
        <v>864</v>
      </c>
      <c r="G2431" s="58" t="s">
        <v>6744</v>
      </c>
      <c r="H2431" s="58" t="s">
        <v>1816</v>
      </c>
      <c r="I2431" s="64" t="s">
        <v>6745</v>
      </c>
      <c r="J2431" s="66"/>
      <c r="K2431" s="66"/>
      <c r="L2431" s="68"/>
      <c r="M2431" s="63" t="str">
        <f>HYPERLINK("http://nsgreg.nga.mil/genc/view?v=865086&amp;end_month=12&amp;end_day=31&amp;end_year=2016","Correlation")</f>
        <v>Correlation</v>
      </c>
    </row>
    <row r="2432" spans="1:13" x14ac:dyDescent="0.2">
      <c r="A2432" s="113"/>
      <c r="B2432" s="58" t="s">
        <v>6746</v>
      </c>
      <c r="C2432" s="58" t="s">
        <v>1816</v>
      </c>
      <c r="D2432" s="58" t="s">
        <v>6747</v>
      </c>
      <c r="E2432" s="60" t="b">
        <v>1</v>
      </c>
      <c r="F2432" s="80" t="s">
        <v>864</v>
      </c>
      <c r="G2432" s="58" t="s">
        <v>6746</v>
      </c>
      <c r="H2432" s="58" t="s">
        <v>1816</v>
      </c>
      <c r="I2432" s="64" t="s">
        <v>6747</v>
      </c>
      <c r="J2432" s="66"/>
      <c r="K2432" s="66"/>
      <c r="L2432" s="68"/>
      <c r="M2432" s="63" t="str">
        <f>HYPERLINK("http://nsgreg.nga.mil/genc/view?v=865087&amp;end_month=12&amp;end_day=31&amp;end_year=2016","Correlation")</f>
        <v>Correlation</v>
      </c>
    </row>
    <row r="2433" spans="1:13" x14ac:dyDescent="0.2">
      <c r="A2433" s="113"/>
      <c r="B2433" s="58" t="s">
        <v>6748</v>
      </c>
      <c r="C2433" s="58" t="s">
        <v>1816</v>
      </c>
      <c r="D2433" s="58" t="s">
        <v>6749</v>
      </c>
      <c r="E2433" s="60" t="b">
        <v>1</v>
      </c>
      <c r="F2433" s="80" t="s">
        <v>864</v>
      </c>
      <c r="G2433" s="58" t="s">
        <v>6748</v>
      </c>
      <c r="H2433" s="58" t="s">
        <v>1816</v>
      </c>
      <c r="I2433" s="64" t="s">
        <v>6749</v>
      </c>
      <c r="J2433" s="66"/>
      <c r="K2433" s="66"/>
      <c r="L2433" s="68"/>
      <c r="M2433" s="63" t="str">
        <f>HYPERLINK("http://nsgreg.nga.mil/genc/view?v=865088&amp;end_month=12&amp;end_day=31&amp;end_year=2016","Correlation")</f>
        <v>Correlation</v>
      </c>
    </row>
    <row r="2434" spans="1:13" x14ac:dyDescent="0.2">
      <c r="A2434" s="113"/>
      <c r="B2434" s="58" t="s">
        <v>6750</v>
      </c>
      <c r="C2434" s="58" t="s">
        <v>1816</v>
      </c>
      <c r="D2434" s="58" t="s">
        <v>6751</v>
      </c>
      <c r="E2434" s="60" t="b">
        <v>1</v>
      </c>
      <c r="F2434" s="80" t="s">
        <v>864</v>
      </c>
      <c r="G2434" s="58" t="s">
        <v>6750</v>
      </c>
      <c r="H2434" s="58" t="s">
        <v>1816</v>
      </c>
      <c r="I2434" s="64" t="s">
        <v>6751</v>
      </c>
      <c r="J2434" s="66"/>
      <c r="K2434" s="66"/>
      <c r="L2434" s="68"/>
      <c r="M2434" s="63" t="str">
        <f>HYPERLINK("http://nsgreg.nga.mil/genc/view?v=865089&amp;end_month=12&amp;end_day=31&amp;end_year=2016","Correlation")</f>
        <v>Correlation</v>
      </c>
    </row>
    <row r="2435" spans="1:13" x14ac:dyDescent="0.2">
      <c r="A2435" s="113"/>
      <c r="B2435" s="58" t="s">
        <v>6752</v>
      </c>
      <c r="C2435" s="58" t="s">
        <v>1816</v>
      </c>
      <c r="D2435" s="58" t="s">
        <v>6753</v>
      </c>
      <c r="E2435" s="60" t="b">
        <v>1</v>
      </c>
      <c r="F2435" s="80" t="s">
        <v>864</v>
      </c>
      <c r="G2435" s="58" t="s">
        <v>6752</v>
      </c>
      <c r="H2435" s="58" t="s">
        <v>1816</v>
      </c>
      <c r="I2435" s="64" t="s">
        <v>6753</v>
      </c>
      <c r="J2435" s="66"/>
      <c r="K2435" s="66"/>
      <c r="L2435" s="68"/>
      <c r="M2435" s="63" t="str">
        <f>HYPERLINK("http://nsgreg.nga.mil/genc/view?v=865090&amp;end_month=12&amp;end_day=31&amp;end_year=2016","Correlation")</f>
        <v>Correlation</v>
      </c>
    </row>
    <row r="2436" spans="1:13" x14ac:dyDescent="0.2">
      <c r="A2436" s="113"/>
      <c r="B2436" s="58" t="s">
        <v>6754</v>
      </c>
      <c r="C2436" s="58" t="s">
        <v>1816</v>
      </c>
      <c r="D2436" s="58" t="s">
        <v>6755</v>
      </c>
      <c r="E2436" s="60" t="b">
        <v>1</v>
      </c>
      <c r="F2436" s="80" t="s">
        <v>864</v>
      </c>
      <c r="G2436" s="58" t="s">
        <v>6754</v>
      </c>
      <c r="H2436" s="58" t="s">
        <v>1816</v>
      </c>
      <c r="I2436" s="64" t="s">
        <v>6755</v>
      </c>
      <c r="J2436" s="66"/>
      <c r="K2436" s="66"/>
      <c r="L2436" s="68"/>
      <c r="M2436" s="63" t="str">
        <f>HYPERLINK("http://nsgreg.nga.mil/genc/view?v=865092&amp;end_month=12&amp;end_day=31&amp;end_year=2016","Correlation")</f>
        <v>Correlation</v>
      </c>
    </row>
    <row r="2437" spans="1:13" x14ac:dyDescent="0.2">
      <c r="A2437" s="113"/>
      <c r="B2437" s="58" t="s">
        <v>6756</v>
      </c>
      <c r="C2437" s="58" t="s">
        <v>1816</v>
      </c>
      <c r="D2437" s="58" t="s">
        <v>6757</v>
      </c>
      <c r="E2437" s="60" t="b">
        <v>1</v>
      </c>
      <c r="F2437" s="80" t="s">
        <v>864</v>
      </c>
      <c r="G2437" s="58" t="s">
        <v>6756</v>
      </c>
      <c r="H2437" s="58" t="s">
        <v>1816</v>
      </c>
      <c r="I2437" s="64" t="s">
        <v>6757</v>
      </c>
      <c r="J2437" s="66"/>
      <c r="K2437" s="66"/>
      <c r="L2437" s="68"/>
      <c r="M2437" s="63" t="str">
        <f>HYPERLINK("http://nsgreg.nga.mil/genc/view?v=865093&amp;end_month=12&amp;end_day=31&amp;end_year=2016","Correlation")</f>
        <v>Correlation</v>
      </c>
    </row>
    <row r="2438" spans="1:13" x14ac:dyDescent="0.2">
      <c r="A2438" s="113"/>
      <c r="B2438" s="58" t="s">
        <v>6758</v>
      </c>
      <c r="C2438" s="58" t="s">
        <v>1816</v>
      </c>
      <c r="D2438" s="58" t="s">
        <v>6759</v>
      </c>
      <c r="E2438" s="60" t="b">
        <v>1</v>
      </c>
      <c r="F2438" s="80" t="s">
        <v>864</v>
      </c>
      <c r="G2438" s="58" t="s">
        <v>6758</v>
      </c>
      <c r="H2438" s="58" t="s">
        <v>1816</v>
      </c>
      <c r="I2438" s="64" t="s">
        <v>6759</v>
      </c>
      <c r="J2438" s="66"/>
      <c r="K2438" s="66"/>
      <c r="L2438" s="68"/>
      <c r="M2438" s="63" t="str">
        <f>HYPERLINK("http://nsgreg.nga.mil/genc/view?v=865091&amp;end_month=12&amp;end_day=31&amp;end_year=2016","Correlation")</f>
        <v>Correlation</v>
      </c>
    </row>
    <row r="2439" spans="1:13" x14ac:dyDescent="0.2">
      <c r="A2439" s="113"/>
      <c r="B2439" s="58" t="s">
        <v>6760</v>
      </c>
      <c r="C2439" s="58" t="s">
        <v>1816</v>
      </c>
      <c r="D2439" s="58" t="s">
        <v>6761</v>
      </c>
      <c r="E2439" s="60" t="b">
        <v>1</v>
      </c>
      <c r="F2439" s="80" t="s">
        <v>864</v>
      </c>
      <c r="G2439" s="58" t="s">
        <v>6760</v>
      </c>
      <c r="H2439" s="58" t="s">
        <v>1816</v>
      </c>
      <c r="I2439" s="64" t="s">
        <v>6761</v>
      </c>
      <c r="J2439" s="66"/>
      <c r="K2439" s="66"/>
      <c r="L2439" s="68"/>
      <c r="M2439" s="63" t="str">
        <f>HYPERLINK("http://nsgreg.nga.mil/genc/view?v=865094&amp;end_month=12&amp;end_day=31&amp;end_year=2016","Correlation")</f>
        <v>Correlation</v>
      </c>
    </row>
    <row r="2440" spans="1:13" x14ac:dyDescent="0.2">
      <c r="A2440" s="113"/>
      <c r="B2440" s="58" t="s">
        <v>6762</v>
      </c>
      <c r="C2440" s="58" t="s">
        <v>1816</v>
      </c>
      <c r="D2440" s="58" t="s">
        <v>6763</v>
      </c>
      <c r="E2440" s="60" t="b">
        <v>1</v>
      </c>
      <c r="F2440" s="80" t="s">
        <v>864</v>
      </c>
      <c r="G2440" s="58" t="s">
        <v>6762</v>
      </c>
      <c r="H2440" s="58" t="s">
        <v>1816</v>
      </c>
      <c r="I2440" s="64" t="s">
        <v>6763</v>
      </c>
      <c r="J2440" s="66"/>
      <c r="K2440" s="66"/>
      <c r="L2440" s="68"/>
      <c r="M2440" s="63" t="str">
        <f>HYPERLINK("http://nsgreg.nga.mil/genc/view?v=865095&amp;end_month=12&amp;end_day=31&amp;end_year=2016","Correlation")</f>
        <v>Correlation</v>
      </c>
    </row>
    <row r="2441" spans="1:13" x14ac:dyDescent="0.2">
      <c r="A2441" s="113"/>
      <c r="B2441" s="58" t="s">
        <v>6764</v>
      </c>
      <c r="C2441" s="58" t="s">
        <v>1816</v>
      </c>
      <c r="D2441" s="58" t="s">
        <v>6765</v>
      </c>
      <c r="E2441" s="60" t="b">
        <v>1</v>
      </c>
      <c r="F2441" s="80" t="s">
        <v>864</v>
      </c>
      <c r="G2441" s="58" t="s">
        <v>6764</v>
      </c>
      <c r="H2441" s="58" t="s">
        <v>1816</v>
      </c>
      <c r="I2441" s="64" t="s">
        <v>6765</v>
      </c>
      <c r="J2441" s="66"/>
      <c r="K2441" s="66"/>
      <c r="L2441" s="68"/>
      <c r="M2441" s="63" t="str">
        <f>HYPERLINK("http://nsgreg.nga.mil/genc/view?v=865096&amp;end_month=12&amp;end_day=31&amp;end_year=2016","Correlation")</f>
        <v>Correlation</v>
      </c>
    </row>
    <row r="2442" spans="1:13" x14ac:dyDescent="0.2">
      <c r="A2442" s="113"/>
      <c r="B2442" s="58" t="s">
        <v>6766</v>
      </c>
      <c r="C2442" s="58" t="s">
        <v>1816</v>
      </c>
      <c r="D2442" s="58" t="s">
        <v>6767</v>
      </c>
      <c r="E2442" s="60" t="b">
        <v>1</v>
      </c>
      <c r="F2442" s="80" t="s">
        <v>864</v>
      </c>
      <c r="G2442" s="58" t="s">
        <v>6766</v>
      </c>
      <c r="H2442" s="58" t="s">
        <v>1816</v>
      </c>
      <c r="I2442" s="64" t="s">
        <v>6767</v>
      </c>
      <c r="J2442" s="66"/>
      <c r="K2442" s="66"/>
      <c r="L2442" s="68"/>
      <c r="M2442" s="63" t="str">
        <f>HYPERLINK("http://nsgreg.nga.mil/genc/view?v=865097&amp;end_month=12&amp;end_day=31&amp;end_year=2016","Correlation")</f>
        <v>Correlation</v>
      </c>
    </row>
    <row r="2443" spans="1:13" x14ac:dyDescent="0.2">
      <c r="A2443" s="113"/>
      <c r="B2443" s="58" t="s">
        <v>6768</v>
      </c>
      <c r="C2443" s="58" t="s">
        <v>1816</v>
      </c>
      <c r="D2443" s="58" t="s">
        <v>6769</v>
      </c>
      <c r="E2443" s="60" t="b">
        <v>1</v>
      </c>
      <c r="F2443" s="80" t="s">
        <v>864</v>
      </c>
      <c r="G2443" s="58" t="s">
        <v>6768</v>
      </c>
      <c r="H2443" s="58" t="s">
        <v>1816</v>
      </c>
      <c r="I2443" s="64" t="s">
        <v>6769</v>
      </c>
      <c r="J2443" s="66"/>
      <c r="K2443" s="66"/>
      <c r="L2443" s="68"/>
      <c r="M2443" s="63" t="str">
        <f>HYPERLINK("http://nsgreg.nga.mil/genc/view?v=865098&amp;end_month=12&amp;end_day=31&amp;end_year=2016","Correlation")</f>
        <v>Correlation</v>
      </c>
    </row>
    <row r="2444" spans="1:13" x14ac:dyDescent="0.2">
      <c r="A2444" s="113"/>
      <c r="B2444" s="58" t="s">
        <v>6770</v>
      </c>
      <c r="C2444" s="58" t="s">
        <v>1816</v>
      </c>
      <c r="D2444" s="58" t="s">
        <v>6771</v>
      </c>
      <c r="E2444" s="60" t="b">
        <v>1</v>
      </c>
      <c r="F2444" s="80" t="s">
        <v>864</v>
      </c>
      <c r="G2444" s="58" t="s">
        <v>6770</v>
      </c>
      <c r="H2444" s="58" t="s">
        <v>1816</v>
      </c>
      <c r="I2444" s="64" t="s">
        <v>6771</v>
      </c>
      <c r="J2444" s="66"/>
      <c r="K2444" s="66"/>
      <c r="L2444" s="68"/>
      <c r="M2444" s="63" t="str">
        <f>HYPERLINK("http://nsgreg.nga.mil/genc/view?v=865100&amp;end_month=12&amp;end_day=31&amp;end_year=2016","Correlation")</f>
        <v>Correlation</v>
      </c>
    </row>
    <row r="2445" spans="1:13" x14ac:dyDescent="0.2">
      <c r="A2445" s="113"/>
      <c r="B2445" s="58" t="s">
        <v>6772</v>
      </c>
      <c r="C2445" s="58" t="s">
        <v>1816</v>
      </c>
      <c r="D2445" s="58" t="s">
        <v>6773</v>
      </c>
      <c r="E2445" s="60" t="b">
        <v>1</v>
      </c>
      <c r="F2445" s="80" t="s">
        <v>864</v>
      </c>
      <c r="G2445" s="58" t="s">
        <v>6772</v>
      </c>
      <c r="H2445" s="58" t="s">
        <v>1816</v>
      </c>
      <c r="I2445" s="64" t="s">
        <v>6773</v>
      </c>
      <c r="J2445" s="66"/>
      <c r="K2445" s="66"/>
      <c r="L2445" s="68"/>
      <c r="M2445" s="63" t="str">
        <f>HYPERLINK("http://nsgreg.nga.mil/genc/view?v=865099&amp;end_month=12&amp;end_day=31&amp;end_year=2016","Correlation")</f>
        <v>Correlation</v>
      </c>
    </row>
    <row r="2446" spans="1:13" x14ac:dyDescent="0.2">
      <c r="A2446" s="113"/>
      <c r="B2446" s="58" t="s">
        <v>6774</v>
      </c>
      <c r="C2446" s="58" t="s">
        <v>1816</v>
      </c>
      <c r="D2446" s="58" t="s">
        <v>6775</v>
      </c>
      <c r="E2446" s="60" t="b">
        <v>1</v>
      </c>
      <c r="F2446" s="80" t="s">
        <v>864</v>
      </c>
      <c r="G2446" s="58" t="s">
        <v>6774</v>
      </c>
      <c r="H2446" s="58" t="s">
        <v>1816</v>
      </c>
      <c r="I2446" s="64" t="s">
        <v>6775</v>
      </c>
      <c r="J2446" s="66"/>
      <c r="K2446" s="66"/>
      <c r="L2446" s="68"/>
      <c r="M2446" s="63" t="str">
        <f>HYPERLINK("http://nsgreg.nga.mil/genc/view?v=865101&amp;end_month=12&amp;end_day=31&amp;end_year=2016","Correlation")</f>
        <v>Correlation</v>
      </c>
    </row>
    <row r="2447" spans="1:13" x14ac:dyDescent="0.2">
      <c r="A2447" s="113"/>
      <c r="B2447" s="58" t="s">
        <v>6776</v>
      </c>
      <c r="C2447" s="58" t="s">
        <v>1816</v>
      </c>
      <c r="D2447" s="58" t="s">
        <v>6777</v>
      </c>
      <c r="E2447" s="60" t="b">
        <v>1</v>
      </c>
      <c r="F2447" s="80" t="s">
        <v>864</v>
      </c>
      <c r="G2447" s="58" t="s">
        <v>6776</v>
      </c>
      <c r="H2447" s="58" t="s">
        <v>1816</v>
      </c>
      <c r="I2447" s="64" t="s">
        <v>6777</v>
      </c>
      <c r="J2447" s="66"/>
      <c r="K2447" s="66"/>
      <c r="L2447" s="68"/>
      <c r="M2447" s="63" t="str">
        <f>HYPERLINK("http://nsgreg.nga.mil/genc/view?v=865102&amp;end_month=12&amp;end_day=31&amp;end_year=2016","Correlation")</f>
        <v>Correlation</v>
      </c>
    </row>
    <row r="2448" spans="1:13" x14ac:dyDescent="0.2">
      <c r="A2448" s="113"/>
      <c r="B2448" s="58" t="s">
        <v>6778</v>
      </c>
      <c r="C2448" s="58" t="s">
        <v>1816</v>
      </c>
      <c r="D2448" s="58" t="s">
        <v>6779</v>
      </c>
      <c r="E2448" s="60" t="b">
        <v>1</v>
      </c>
      <c r="F2448" s="80" t="s">
        <v>864</v>
      </c>
      <c r="G2448" s="58" t="s">
        <v>6778</v>
      </c>
      <c r="H2448" s="58" t="s">
        <v>1816</v>
      </c>
      <c r="I2448" s="64" t="s">
        <v>6779</v>
      </c>
      <c r="J2448" s="66"/>
      <c r="K2448" s="66"/>
      <c r="L2448" s="68"/>
      <c r="M2448" s="63" t="str">
        <f>HYPERLINK("http://nsgreg.nga.mil/genc/view?v=865103&amp;end_month=12&amp;end_day=31&amp;end_year=2016","Correlation")</f>
        <v>Correlation</v>
      </c>
    </row>
    <row r="2449" spans="1:13" x14ac:dyDescent="0.2">
      <c r="A2449" s="113"/>
      <c r="B2449" s="58" t="s">
        <v>6780</v>
      </c>
      <c r="C2449" s="58" t="s">
        <v>1816</v>
      </c>
      <c r="D2449" s="58" t="s">
        <v>6781</v>
      </c>
      <c r="E2449" s="60" t="b">
        <v>1</v>
      </c>
      <c r="F2449" s="80" t="s">
        <v>864</v>
      </c>
      <c r="G2449" s="58" t="s">
        <v>6780</v>
      </c>
      <c r="H2449" s="58" t="s">
        <v>1816</v>
      </c>
      <c r="I2449" s="64" t="s">
        <v>6781</v>
      </c>
      <c r="J2449" s="66"/>
      <c r="K2449" s="66"/>
      <c r="L2449" s="68"/>
      <c r="M2449" s="63" t="str">
        <f>HYPERLINK("http://nsgreg.nga.mil/genc/view?v=865104&amp;end_month=12&amp;end_day=31&amp;end_year=2016","Correlation")</f>
        <v>Correlation</v>
      </c>
    </row>
    <row r="2450" spans="1:13" x14ac:dyDescent="0.2">
      <c r="A2450" s="113"/>
      <c r="B2450" s="58" t="s">
        <v>6782</v>
      </c>
      <c r="C2450" s="58" t="s">
        <v>1816</v>
      </c>
      <c r="D2450" s="58" t="s">
        <v>6783</v>
      </c>
      <c r="E2450" s="60" t="b">
        <v>1</v>
      </c>
      <c r="F2450" s="80" t="s">
        <v>864</v>
      </c>
      <c r="G2450" s="58" t="s">
        <v>6782</v>
      </c>
      <c r="H2450" s="58" t="s">
        <v>1816</v>
      </c>
      <c r="I2450" s="64" t="s">
        <v>6783</v>
      </c>
      <c r="J2450" s="66"/>
      <c r="K2450" s="66"/>
      <c r="L2450" s="68"/>
      <c r="M2450" s="63" t="str">
        <f>HYPERLINK("http://nsgreg.nga.mil/genc/view?v=865105&amp;end_month=12&amp;end_day=31&amp;end_year=2016","Correlation")</f>
        <v>Correlation</v>
      </c>
    </row>
    <row r="2451" spans="1:13" x14ac:dyDescent="0.2">
      <c r="A2451" s="113"/>
      <c r="B2451" s="58" t="s">
        <v>6784</v>
      </c>
      <c r="C2451" s="58" t="s">
        <v>1816</v>
      </c>
      <c r="D2451" s="58" t="s">
        <v>6785</v>
      </c>
      <c r="E2451" s="60" t="b">
        <v>1</v>
      </c>
      <c r="F2451" s="80" t="s">
        <v>864</v>
      </c>
      <c r="G2451" s="58" t="s">
        <v>6784</v>
      </c>
      <c r="H2451" s="58" t="s">
        <v>1816</v>
      </c>
      <c r="I2451" s="64" t="s">
        <v>6785</v>
      </c>
      <c r="J2451" s="66"/>
      <c r="K2451" s="66"/>
      <c r="L2451" s="68"/>
      <c r="M2451" s="63" t="str">
        <f>HYPERLINK("http://nsgreg.nga.mil/genc/view?v=865106&amp;end_month=12&amp;end_day=31&amp;end_year=2016","Correlation")</f>
        <v>Correlation</v>
      </c>
    </row>
    <row r="2452" spans="1:13" x14ac:dyDescent="0.2">
      <c r="A2452" s="113"/>
      <c r="B2452" s="58" t="s">
        <v>6786</v>
      </c>
      <c r="C2452" s="58" t="s">
        <v>1816</v>
      </c>
      <c r="D2452" s="58" t="s">
        <v>6787</v>
      </c>
      <c r="E2452" s="60" t="b">
        <v>1</v>
      </c>
      <c r="F2452" s="80" t="s">
        <v>864</v>
      </c>
      <c r="G2452" s="58" t="s">
        <v>6786</v>
      </c>
      <c r="H2452" s="58" t="s">
        <v>1816</v>
      </c>
      <c r="I2452" s="64" t="s">
        <v>6787</v>
      </c>
      <c r="J2452" s="66"/>
      <c r="K2452" s="66"/>
      <c r="L2452" s="68"/>
      <c r="M2452" s="63" t="str">
        <f>HYPERLINK("http://nsgreg.nga.mil/genc/view?v=865107&amp;end_month=12&amp;end_day=31&amp;end_year=2016","Correlation")</f>
        <v>Correlation</v>
      </c>
    </row>
    <row r="2453" spans="1:13" x14ac:dyDescent="0.2">
      <c r="A2453" s="113"/>
      <c r="B2453" s="58" t="s">
        <v>6788</v>
      </c>
      <c r="C2453" s="58" t="s">
        <v>1681</v>
      </c>
      <c r="D2453" s="58" t="s">
        <v>6789</v>
      </c>
      <c r="E2453" s="60" t="b">
        <v>1</v>
      </c>
      <c r="F2453" s="80" t="s">
        <v>864</v>
      </c>
      <c r="G2453" s="58" t="s">
        <v>6788</v>
      </c>
      <c r="H2453" s="58" t="s">
        <v>1816</v>
      </c>
      <c r="I2453" s="64" t="s">
        <v>6789</v>
      </c>
      <c r="J2453" s="66"/>
      <c r="K2453" s="66"/>
      <c r="L2453" s="68"/>
      <c r="M2453" s="63" t="str">
        <f>HYPERLINK("http://nsgreg.nga.mil/genc/view?v=865121&amp;end_month=12&amp;end_day=31&amp;end_year=2016","Correlation")</f>
        <v>Correlation</v>
      </c>
    </row>
    <row r="2454" spans="1:13" x14ac:dyDescent="0.2">
      <c r="A2454" s="113"/>
      <c r="B2454" s="58" t="s">
        <v>6790</v>
      </c>
      <c r="C2454" s="58" t="s">
        <v>1816</v>
      </c>
      <c r="D2454" s="58" t="s">
        <v>6791</v>
      </c>
      <c r="E2454" s="60" t="b">
        <v>1</v>
      </c>
      <c r="F2454" s="80" t="s">
        <v>864</v>
      </c>
      <c r="G2454" s="58" t="s">
        <v>6790</v>
      </c>
      <c r="H2454" s="58" t="s">
        <v>1816</v>
      </c>
      <c r="I2454" s="64" t="s">
        <v>6791</v>
      </c>
      <c r="J2454" s="66"/>
      <c r="K2454" s="66"/>
      <c r="L2454" s="68"/>
      <c r="M2454" s="63" t="str">
        <f>HYPERLINK("http://nsgreg.nga.mil/genc/view?v=865109&amp;end_month=12&amp;end_day=31&amp;end_year=2016","Correlation")</f>
        <v>Correlation</v>
      </c>
    </row>
    <row r="2455" spans="1:13" x14ac:dyDescent="0.2">
      <c r="A2455" s="113"/>
      <c r="B2455" s="58" t="s">
        <v>6792</v>
      </c>
      <c r="C2455" s="58" t="s">
        <v>1816</v>
      </c>
      <c r="D2455" s="58" t="s">
        <v>6793</v>
      </c>
      <c r="E2455" s="60" t="b">
        <v>1</v>
      </c>
      <c r="F2455" s="80" t="s">
        <v>864</v>
      </c>
      <c r="G2455" s="58" t="s">
        <v>6792</v>
      </c>
      <c r="H2455" s="58" t="s">
        <v>1816</v>
      </c>
      <c r="I2455" s="64" t="s">
        <v>6793</v>
      </c>
      <c r="J2455" s="66"/>
      <c r="K2455" s="66"/>
      <c r="L2455" s="68"/>
      <c r="M2455" s="63" t="str">
        <f>HYPERLINK("http://nsgreg.nga.mil/genc/view?v=865110&amp;end_month=12&amp;end_day=31&amp;end_year=2016","Correlation")</f>
        <v>Correlation</v>
      </c>
    </row>
    <row r="2456" spans="1:13" x14ac:dyDescent="0.2">
      <c r="A2456" s="113"/>
      <c r="B2456" s="58" t="s">
        <v>6794</v>
      </c>
      <c r="C2456" s="58" t="s">
        <v>1816</v>
      </c>
      <c r="D2456" s="58" t="s">
        <v>6795</v>
      </c>
      <c r="E2456" s="60" t="b">
        <v>1</v>
      </c>
      <c r="F2456" s="80" t="s">
        <v>864</v>
      </c>
      <c r="G2456" s="58" t="s">
        <v>6794</v>
      </c>
      <c r="H2456" s="58" t="s">
        <v>1816</v>
      </c>
      <c r="I2456" s="64" t="s">
        <v>6795</v>
      </c>
      <c r="J2456" s="66"/>
      <c r="K2456" s="66"/>
      <c r="L2456" s="68"/>
      <c r="M2456" s="63" t="str">
        <f>HYPERLINK("http://nsgreg.nga.mil/genc/view?v=865120&amp;end_month=12&amp;end_day=31&amp;end_year=2016","Correlation")</f>
        <v>Correlation</v>
      </c>
    </row>
    <row r="2457" spans="1:13" x14ac:dyDescent="0.2">
      <c r="A2457" s="113"/>
      <c r="B2457" s="58" t="s">
        <v>6796</v>
      </c>
      <c r="C2457" s="58" t="s">
        <v>1816</v>
      </c>
      <c r="D2457" s="58" t="s">
        <v>6797</v>
      </c>
      <c r="E2457" s="60" t="b">
        <v>1</v>
      </c>
      <c r="F2457" s="80" t="s">
        <v>864</v>
      </c>
      <c r="G2457" s="58" t="s">
        <v>6796</v>
      </c>
      <c r="H2457" s="58" t="s">
        <v>1816</v>
      </c>
      <c r="I2457" s="64" t="s">
        <v>6797</v>
      </c>
      <c r="J2457" s="66"/>
      <c r="K2457" s="66"/>
      <c r="L2457" s="68"/>
      <c r="M2457" s="63" t="str">
        <f>HYPERLINK("http://nsgreg.nga.mil/genc/view?v=865111&amp;end_month=12&amp;end_day=31&amp;end_year=2016","Correlation")</f>
        <v>Correlation</v>
      </c>
    </row>
    <row r="2458" spans="1:13" x14ac:dyDescent="0.2">
      <c r="A2458" s="113"/>
      <c r="B2458" s="58" t="s">
        <v>6798</v>
      </c>
      <c r="C2458" s="58" t="s">
        <v>1816</v>
      </c>
      <c r="D2458" s="58" t="s">
        <v>6799</v>
      </c>
      <c r="E2458" s="60" t="b">
        <v>1</v>
      </c>
      <c r="F2458" s="80" t="s">
        <v>864</v>
      </c>
      <c r="G2458" s="58" t="s">
        <v>6798</v>
      </c>
      <c r="H2458" s="58" t="s">
        <v>1816</v>
      </c>
      <c r="I2458" s="64" t="s">
        <v>6799</v>
      </c>
      <c r="J2458" s="66"/>
      <c r="K2458" s="66"/>
      <c r="L2458" s="68"/>
      <c r="M2458" s="63" t="str">
        <f>HYPERLINK("http://nsgreg.nga.mil/genc/view?v=865112&amp;end_month=12&amp;end_day=31&amp;end_year=2016","Correlation")</f>
        <v>Correlation</v>
      </c>
    </row>
    <row r="2459" spans="1:13" x14ac:dyDescent="0.2">
      <c r="A2459" s="113"/>
      <c r="B2459" s="58" t="s">
        <v>6800</v>
      </c>
      <c r="C2459" s="58" t="s">
        <v>1816</v>
      </c>
      <c r="D2459" s="58" t="s">
        <v>6801</v>
      </c>
      <c r="E2459" s="60" t="b">
        <v>1</v>
      </c>
      <c r="F2459" s="80" t="s">
        <v>864</v>
      </c>
      <c r="G2459" s="58" t="s">
        <v>6800</v>
      </c>
      <c r="H2459" s="58" t="s">
        <v>1816</v>
      </c>
      <c r="I2459" s="64" t="s">
        <v>6801</v>
      </c>
      <c r="J2459" s="66"/>
      <c r="K2459" s="66"/>
      <c r="L2459" s="68"/>
      <c r="M2459" s="63" t="str">
        <f>HYPERLINK("http://nsgreg.nga.mil/genc/view?v=865113&amp;end_month=12&amp;end_day=31&amp;end_year=2016","Correlation")</f>
        <v>Correlation</v>
      </c>
    </row>
    <row r="2460" spans="1:13" x14ac:dyDescent="0.2">
      <c r="A2460" s="113"/>
      <c r="B2460" s="58" t="s">
        <v>6802</v>
      </c>
      <c r="C2460" s="58" t="s">
        <v>1816</v>
      </c>
      <c r="D2460" s="58" t="s">
        <v>6803</v>
      </c>
      <c r="E2460" s="60" t="b">
        <v>1</v>
      </c>
      <c r="F2460" s="80" t="s">
        <v>864</v>
      </c>
      <c r="G2460" s="58" t="s">
        <v>6802</v>
      </c>
      <c r="H2460" s="58" t="s">
        <v>1816</v>
      </c>
      <c r="I2460" s="64" t="s">
        <v>6803</v>
      </c>
      <c r="J2460" s="66"/>
      <c r="K2460" s="66"/>
      <c r="L2460" s="68"/>
      <c r="M2460" s="63" t="str">
        <f>HYPERLINK("http://nsgreg.nga.mil/genc/view?v=865108&amp;end_month=12&amp;end_day=31&amp;end_year=2016","Correlation")</f>
        <v>Correlation</v>
      </c>
    </row>
    <row r="2461" spans="1:13" x14ac:dyDescent="0.2">
      <c r="A2461" s="113"/>
      <c r="B2461" s="58" t="s">
        <v>6804</v>
      </c>
      <c r="C2461" s="58" t="s">
        <v>1816</v>
      </c>
      <c r="D2461" s="58" t="s">
        <v>6805</v>
      </c>
      <c r="E2461" s="60" t="b">
        <v>1</v>
      </c>
      <c r="F2461" s="80" t="s">
        <v>864</v>
      </c>
      <c r="G2461" s="58" t="s">
        <v>6804</v>
      </c>
      <c r="H2461" s="58" t="s">
        <v>1816</v>
      </c>
      <c r="I2461" s="64" t="s">
        <v>6805</v>
      </c>
      <c r="J2461" s="66"/>
      <c r="K2461" s="66"/>
      <c r="L2461" s="68"/>
      <c r="M2461" s="63" t="str">
        <f>HYPERLINK("http://nsgreg.nga.mil/genc/view?v=865114&amp;end_month=12&amp;end_day=31&amp;end_year=2016","Correlation")</f>
        <v>Correlation</v>
      </c>
    </row>
    <row r="2462" spans="1:13" x14ac:dyDescent="0.2">
      <c r="A2462" s="113"/>
      <c r="B2462" s="58" t="s">
        <v>6806</v>
      </c>
      <c r="C2462" s="58" t="s">
        <v>1816</v>
      </c>
      <c r="D2462" s="58" t="s">
        <v>6807</v>
      </c>
      <c r="E2462" s="60" t="b">
        <v>1</v>
      </c>
      <c r="F2462" s="80" t="s">
        <v>864</v>
      </c>
      <c r="G2462" s="58" t="s">
        <v>6806</v>
      </c>
      <c r="H2462" s="58" t="s">
        <v>1816</v>
      </c>
      <c r="I2462" s="64" t="s">
        <v>6807</v>
      </c>
      <c r="J2462" s="66"/>
      <c r="K2462" s="66"/>
      <c r="L2462" s="68"/>
      <c r="M2462" s="63" t="str">
        <f>HYPERLINK("http://nsgreg.nga.mil/genc/view?v=865115&amp;end_month=12&amp;end_day=31&amp;end_year=2016","Correlation")</f>
        <v>Correlation</v>
      </c>
    </row>
    <row r="2463" spans="1:13" x14ac:dyDescent="0.2">
      <c r="A2463" s="113"/>
      <c r="B2463" s="58" t="s">
        <v>6808</v>
      </c>
      <c r="C2463" s="58" t="s">
        <v>1816</v>
      </c>
      <c r="D2463" s="58" t="s">
        <v>6809</v>
      </c>
      <c r="E2463" s="60" t="b">
        <v>1</v>
      </c>
      <c r="F2463" s="80" t="s">
        <v>864</v>
      </c>
      <c r="G2463" s="58" t="s">
        <v>6808</v>
      </c>
      <c r="H2463" s="58" t="s">
        <v>1816</v>
      </c>
      <c r="I2463" s="64" t="s">
        <v>6809</v>
      </c>
      <c r="J2463" s="66"/>
      <c r="K2463" s="66"/>
      <c r="L2463" s="68"/>
      <c r="M2463" s="63" t="str">
        <f>HYPERLINK("http://nsgreg.nga.mil/genc/view?v=865058&amp;end_month=12&amp;end_day=31&amp;end_year=2016","Correlation")</f>
        <v>Correlation</v>
      </c>
    </row>
    <row r="2464" spans="1:13" x14ac:dyDescent="0.2">
      <c r="A2464" s="113"/>
      <c r="B2464" s="58" t="s">
        <v>6810</v>
      </c>
      <c r="C2464" s="58" t="s">
        <v>1816</v>
      </c>
      <c r="D2464" s="58" t="s">
        <v>6811</v>
      </c>
      <c r="E2464" s="60" t="b">
        <v>1</v>
      </c>
      <c r="F2464" s="80" t="s">
        <v>864</v>
      </c>
      <c r="G2464" s="58" t="s">
        <v>6810</v>
      </c>
      <c r="H2464" s="58" t="s">
        <v>1816</v>
      </c>
      <c r="I2464" s="64" t="s">
        <v>6811</v>
      </c>
      <c r="J2464" s="66"/>
      <c r="K2464" s="66"/>
      <c r="L2464" s="68"/>
      <c r="M2464" s="63" t="str">
        <f>HYPERLINK("http://nsgreg.nga.mil/genc/view?v=865059&amp;end_month=12&amp;end_day=31&amp;end_year=2016","Correlation")</f>
        <v>Correlation</v>
      </c>
    </row>
    <row r="2465" spans="1:13" x14ac:dyDescent="0.2">
      <c r="A2465" s="113"/>
      <c r="B2465" s="58" t="s">
        <v>6812</v>
      </c>
      <c r="C2465" s="58" t="s">
        <v>1816</v>
      </c>
      <c r="D2465" s="58" t="s">
        <v>6813</v>
      </c>
      <c r="E2465" s="60" t="b">
        <v>1</v>
      </c>
      <c r="F2465" s="80" t="s">
        <v>864</v>
      </c>
      <c r="G2465" s="58" t="s">
        <v>6812</v>
      </c>
      <c r="H2465" s="58" t="s">
        <v>1816</v>
      </c>
      <c r="I2465" s="64" t="s">
        <v>6813</v>
      </c>
      <c r="J2465" s="66"/>
      <c r="K2465" s="66"/>
      <c r="L2465" s="68"/>
      <c r="M2465" s="63" t="str">
        <f>HYPERLINK("http://nsgreg.nga.mil/genc/view?v=865061&amp;end_month=12&amp;end_day=31&amp;end_year=2016","Correlation")</f>
        <v>Correlation</v>
      </c>
    </row>
    <row r="2466" spans="1:13" x14ac:dyDescent="0.2">
      <c r="A2466" s="113"/>
      <c r="B2466" s="58" t="s">
        <v>6814</v>
      </c>
      <c r="C2466" s="58" t="s">
        <v>1816</v>
      </c>
      <c r="D2466" s="58" t="s">
        <v>6815</v>
      </c>
      <c r="E2466" s="60" t="b">
        <v>1</v>
      </c>
      <c r="F2466" s="80" t="s">
        <v>864</v>
      </c>
      <c r="G2466" s="58" t="s">
        <v>6814</v>
      </c>
      <c r="H2466" s="58" t="s">
        <v>1816</v>
      </c>
      <c r="I2466" s="64" t="s">
        <v>6815</v>
      </c>
      <c r="J2466" s="66"/>
      <c r="K2466" s="66"/>
      <c r="L2466" s="68"/>
      <c r="M2466" s="63" t="str">
        <f>HYPERLINK("http://nsgreg.nga.mil/genc/view?v=865060&amp;end_month=12&amp;end_day=31&amp;end_year=2016","Correlation")</f>
        <v>Correlation</v>
      </c>
    </row>
    <row r="2467" spans="1:13" x14ac:dyDescent="0.2">
      <c r="A2467" s="113"/>
      <c r="B2467" s="58" t="s">
        <v>6816</v>
      </c>
      <c r="C2467" s="58" t="s">
        <v>1816</v>
      </c>
      <c r="D2467" s="58" t="s">
        <v>6817</v>
      </c>
      <c r="E2467" s="60" t="b">
        <v>1</v>
      </c>
      <c r="F2467" s="80" t="s">
        <v>864</v>
      </c>
      <c r="G2467" s="58" t="s">
        <v>6816</v>
      </c>
      <c r="H2467" s="58" t="s">
        <v>1816</v>
      </c>
      <c r="I2467" s="64" t="s">
        <v>6817</v>
      </c>
      <c r="J2467" s="66"/>
      <c r="K2467" s="66"/>
      <c r="L2467" s="68"/>
      <c r="M2467" s="63" t="str">
        <f>HYPERLINK("http://nsgreg.nga.mil/genc/view?v=865062&amp;end_month=12&amp;end_day=31&amp;end_year=2016","Correlation")</f>
        <v>Correlation</v>
      </c>
    </row>
    <row r="2468" spans="1:13" x14ac:dyDescent="0.2">
      <c r="A2468" s="113"/>
      <c r="B2468" s="58" t="s">
        <v>6818</v>
      </c>
      <c r="C2468" s="58" t="s">
        <v>1816</v>
      </c>
      <c r="D2468" s="58" t="s">
        <v>6819</v>
      </c>
      <c r="E2468" s="60" t="b">
        <v>1</v>
      </c>
      <c r="F2468" s="80" t="s">
        <v>864</v>
      </c>
      <c r="G2468" s="58" t="s">
        <v>6818</v>
      </c>
      <c r="H2468" s="58" t="s">
        <v>1816</v>
      </c>
      <c r="I2468" s="64" t="s">
        <v>6819</v>
      </c>
      <c r="J2468" s="66"/>
      <c r="K2468" s="66"/>
      <c r="L2468" s="68"/>
      <c r="M2468" s="63" t="str">
        <f>HYPERLINK("http://nsgreg.nga.mil/genc/view?v=865063&amp;end_month=12&amp;end_day=31&amp;end_year=2016","Correlation")</f>
        <v>Correlation</v>
      </c>
    </row>
    <row r="2469" spans="1:13" x14ac:dyDescent="0.2">
      <c r="A2469" s="113"/>
      <c r="B2469" s="58" t="s">
        <v>6820</v>
      </c>
      <c r="C2469" s="58" t="s">
        <v>1816</v>
      </c>
      <c r="D2469" s="58" t="s">
        <v>6821</v>
      </c>
      <c r="E2469" s="60" t="b">
        <v>1</v>
      </c>
      <c r="F2469" s="80" t="s">
        <v>864</v>
      </c>
      <c r="G2469" s="58" t="s">
        <v>6820</v>
      </c>
      <c r="H2469" s="58" t="s">
        <v>1816</v>
      </c>
      <c r="I2469" s="64" t="s">
        <v>6821</v>
      </c>
      <c r="J2469" s="66"/>
      <c r="K2469" s="66"/>
      <c r="L2469" s="68"/>
      <c r="M2469" s="63" t="str">
        <f>HYPERLINK("http://nsgreg.nga.mil/genc/view?v=865075&amp;end_month=12&amp;end_day=31&amp;end_year=2016","Correlation")</f>
        <v>Correlation</v>
      </c>
    </row>
    <row r="2470" spans="1:13" x14ac:dyDescent="0.2">
      <c r="A2470" s="113"/>
      <c r="B2470" s="58" t="s">
        <v>6822</v>
      </c>
      <c r="C2470" s="58" t="s">
        <v>1816</v>
      </c>
      <c r="D2470" s="58" t="s">
        <v>6823</v>
      </c>
      <c r="E2470" s="60" t="b">
        <v>1</v>
      </c>
      <c r="F2470" s="80" t="s">
        <v>864</v>
      </c>
      <c r="G2470" s="58" t="s">
        <v>6822</v>
      </c>
      <c r="H2470" s="58" t="s">
        <v>1816</v>
      </c>
      <c r="I2470" s="64" t="s">
        <v>6823</v>
      </c>
      <c r="J2470" s="66"/>
      <c r="K2470" s="66"/>
      <c r="L2470" s="68"/>
      <c r="M2470" s="63" t="str">
        <f>HYPERLINK("http://nsgreg.nga.mil/genc/view?v=865074&amp;end_month=12&amp;end_day=31&amp;end_year=2016","Correlation")</f>
        <v>Correlation</v>
      </c>
    </row>
    <row r="2471" spans="1:13" x14ac:dyDescent="0.2">
      <c r="A2471" s="114"/>
      <c r="B2471" s="71" t="s">
        <v>6824</v>
      </c>
      <c r="C2471" s="71" t="s">
        <v>1816</v>
      </c>
      <c r="D2471" s="71" t="s">
        <v>6825</v>
      </c>
      <c r="E2471" s="73" t="b">
        <v>1</v>
      </c>
      <c r="F2471" s="81" t="s">
        <v>864</v>
      </c>
      <c r="G2471" s="71" t="s">
        <v>6824</v>
      </c>
      <c r="H2471" s="71" t="s">
        <v>1816</v>
      </c>
      <c r="I2471" s="74" t="s">
        <v>6825</v>
      </c>
      <c r="J2471" s="76"/>
      <c r="K2471" s="76"/>
      <c r="L2471" s="82"/>
      <c r="M2471" s="77" t="str">
        <f>HYPERLINK("http://nsgreg.nga.mil/genc/view?v=865076&amp;end_month=12&amp;end_day=31&amp;end_year=2016","Correlation")</f>
        <v>Correlation</v>
      </c>
    </row>
    <row r="2472" spans="1:13" x14ac:dyDescent="0.2">
      <c r="A2472" s="112" t="s">
        <v>865</v>
      </c>
      <c r="B2472" s="50" t="s">
        <v>6826</v>
      </c>
      <c r="C2472" s="50" t="s">
        <v>1413</v>
      </c>
      <c r="D2472" s="50" t="s">
        <v>6827</v>
      </c>
      <c r="E2472" s="52" t="b">
        <v>1</v>
      </c>
      <c r="F2472" s="78" t="s">
        <v>865</v>
      </c>
      <c r="G2472" s="50" t="s">
        <v>6826</v>
      </c>
      <c r="H2472" s="50" t="s">
        <v>1413</v>
      </c>
      <c r="I2472" s="53" t="s">
        <v>6827</v>
      </c>
      <c r="J2472" s="55"/>
      <c r="K2472" s="55"/>
      <c r="L2472" s="79"/>
      <c r="M2472" s="56" t="str">
        <f>HYPERLINK("http://nsgreg.nga.mil/genc/view?v=865023&amp;end_month=12&amp;end_day=31&amp;end_year=2016","Correlation")</f>
        <v>Correlation</v>
      </c>
    </row>
    <row r="2473" spans="1:13" x14ac:dyDescent="0.2">
      <c r="A2473" s="113"/>
      <c r="B2473" s="58" t="s">
        <v>6828</v>
      </c>
      <c r="C2473" s="58" t="s">
        <v>1413</v>
      </c>
      <c r="D2473" s="58" t="s">
        <v>6829</v>
      </c>
      <c r="E2473" s="60" t="b">
        <v>1</v>
      </c>
      <c r="F2473" s="80" t="s">
        <v>865</v>
      </c>
      <c r="G2473" s="58" t="s">
        <v>6828</v>
      </c>
      <c r="H2473" s="58" t="s">
        <v>1413</v>
      </c>
      <c r="I2473" s="64" t="s">
        <v>6829</v>
      </c>
      <c r="J2473" s="66"/>
      <c r="K2473" s="66"/>
      <c r="L2473" s="68"/>
      <c r="M2473" s="63" t="str">
        <f>HYPERLINK("http://nsgreg.nga.mil/genc/view?v=865020&amp;end_month=12&amp;end_day=31&amp;end_year=2016","Correlation")</f>
        <v>Correlation</v>
      </c>
    </row>
    <row r="2474" spans="1:13" x14ac:dyDescent="0.2">
      <c r="A2474" s="113"/>
      <c r="B2474" s="58" t="s">
        <v>6830</v>
      </c>
      <c r="C2474" s="58" t="s">
        <v>1413</v>
      </c>
      <c r="D2474" s="58" t="s">
        <v>6831</v>
      </c>
      <c r="E2474" s="60" t="b">
        <v>1</v>
      </c>
      <c r="F2474" s="80" t="s">
        <v>865</v>
      </c>
      <c r="G2474" s="58" t="s">
        <v>6830</v>
      </c>
      <c r="H2474" s="58" t="s">
        <v>1413</v>
      </c>
      <c r="I2474" s="64" t="s">
        <v>6831</v>
      </c>
      <c r="J2474" s="66"/>
      <c r="K2474" s="66"/>
      <c r="L2474" s="68"/>
      <c r="M2474" s="63" t="str">
        <f>HYPERLINK("http://nsgreg.nga.mil/genc/view?v=865021&amp;end_month=12&amp;end_day=31&amp;end_year=2016","Correlation")</f>
        <v>Correlation</v>
      </c>
    </row>
    <row r="2475" spans="1:13" x14ac:dyDescent="0.2">
      <c r="A2475" s="113"/>
      <c r="B2475" s="58" t="s">
        <v>6832</v>
      </c>
      <c r="C2475" s="58" t="s">
        <v>1413</v>
      </c>
      <c r="D2475" s="58" t="s">
        <v>6833</v>
      </c>
      <c r="E2475" s="60" t="b">
        <v>1</v>
      </c>
      <c r="F2475" s="80" t="s">
        <v>865</v>
      </c>
      <c r="G2475" s="58" t="s">
        <v>6832</v>
      </c>
      <c r="H2475" s="58" t="s">
        <v>1413</v>
      </c>
      <c r="I2475" s="64" t="s">
        <v>6833</v>
      </c>
      <c r="J2475" s="66"/>
      <c r="K2475" s="66"/>
      <c r="L2475" s="68"/>
      <c r="M2475" s="63" t="str">
        <f>HYPERLINK("http://nsgreg.nga.mil/genc/view?v=865022&amp;end_month=12&amp;end_day=31&amp;end_year=2016","Correlation")</f>
        <v>Correlation</v>
      </c>
    </row>
    <row r="2476" spans="1:13" x14ac:dyDescent="0.2">
      <c r="A2476" s="113"/>
      <c r="B2476" s="58" t="s">
        <v>6834</v>
      </c>
      <c r="C2476" s="58" t="s">
        <v>1413</v>
      </c>
      <c r="D2476" s="58" t="s">
        <v>6835</v>
      </c>
      <c r="E2476" s="60" t="b">
        <v>1</v>
      </c>
      <c r="F2476" s="80" t="s">
        <v>865</v>
      </c>
      <c r="G2476" s="58" t="s">
        <v>6834</v>
      </c>
      <c r="H2476" s="58" t="s">
        <v>1413</v>
      </c>
      <c r="I2476" s="64" t="s">
        <v>6835</v>
      </c>
      <c r="J2476" s="66"/>
      <c r="K2476" s="66"/>
      <c r="L2476" s="68"/>
      <c r="M2476" s="63" t="str">
        <f>HYPERLINK("http://nsgreg.nga.mil/genc/view?v=865019&amp;end_month=12&amp;end_day=31&amp;end_year=2016","Correlation")</f>
        <v>Correlation</v>
      </c>
    </row>
    <row r="2477" spans="1:13" x14ac:dyDescent="0.2">
      <c r="A2477" s="114"/>
      <c r="B2477" s="71" t="s">
        <v>6836</v>
      </c>
      <c r="C2477" s="71" t="s">
        <v>1413</v>
      </c>
      <c r="D2477" s="71" t="s">
        <v>6837</v>
      </c>
      <c r="E2477" s="73" t="b">
        <v>1</v>
      </c>
      <c r="F2477" s="81" t="s">
        <v>865</v>
      </c>
      <c r="G2477" s="71" t="s">
        <v>6836</v>
      </c>
      <c r="H2477" s="71" t="s">
        <v>1413</v>
      </c>
      <c r="I2477" s="74" t="s">
        <v>6837</v>
      </c>
      <c r="J2477" s="76"/>
      <c r="K2477" s="76"/>
      <c r="L2477" s="82"/>
      <c r="M2477" s="77" t="str">
        <f>HYPERLINK("http://nsgreg.nga.mil/genc/view?v=865024&amp;end_month=12&amp;end_day=31&amp;end_year=2016","Correlation")</f>
        <v>Correlation</v>
      </c>
    </row>
    <row r="2478" spans="1:13" x14ac:dyDescent="0.2">
      <c r="A2478" s="112" t="s">
        <v>869</v>
      </c>
      <c r="B2478" s="50" t="s">
        <v>6838</v>
      </c>
      <c r="C2478" s="50" t="s">
        <v>1796</v>
      </c>
      <c r="D2478" s="50" t="s">
        <v>6839</v>
      </c>
      <c r="E2478" s="52" t="b">
        <v>1</v>
      </c>
      <c r="F2478" s="78" t="s">
        <v>869</v>
      </c>
      <c r="G2478" s="50" t="s">
        <v>6838</v>
      </c>
      <c r="H2478" s="50" t="s">
        <v>1796</v>
      </c>
      <c r="I2478" s="53" t="s">
        <v>6839</v>
      </c>
      <c r="J2478" s="55"/>
      <c r="K2478" s="55"/>
      <c r="L2478" s="79"/>
      <c r="M2478" s="56" t="str">
        <f>HYPERLINK("http://nsgreg.nga.mil/genc/view?v=865299&amp;end_month=12&amp;end_day=31&amp;end_year=2016","Correlation")</f>
        <v>Correlation</v>
      </c>
    </row>
    <row r="2479" spans="1:13" x14ac:dyDescent="0.2">
      <c r="A2479" s="113"/>
      <c r="B2479" s="58" t="s">
        <v>6840</v>
      </c>
      <c r="C2479" s="58" t="s">
        <v>1796</v>
      </c>
      <c r="D2479" s="58" t="s">
        <v>6841</v>
      </c>
      <c r="E2479" s="60" t="b">
        <v>1</v>
      </c>
      <c r="F2479" s="80" t="s">
        <v>869</v>
      </c>
      <c r="G2479" s="58" t="s">
        <v>6840</v>
      </c>
      <c r="H2479" s="58" t="s">
        <v>1796</v>
      </c>
      <c r="I2479" s="64" t="s">
        <v>6841</v>
      </c>
      <c r="J2479" s="66"/>
      <c r="K2479" s="66"/>
      <c r="L2479" s="68"/>
      <c r="M2479" s="63" t="str">
        <f>HYPERLINK("http://nsgreg.nga.mil/genc/view?v=865300&amp;end_month=12&amp;end_day=31&amp;end_year=2016","Correlation")</f>
        <v>Correlation</v>
      </c>
    </row>
    <row r="2480" spans="1:13" x14ac:dyDescent="0.2">
      <c r="A2480" s="113"/>
      <c r="B2480" s="58" t="s">
        <v>6842</v>
      </c>
      <c r="C2480" s="58" t="s">
        <v>1728</v>
      </c>
      <c r="D2480" s="58" t="s">
        <v>6843</v>
      </c>
      <c r="E2480" s="60" t="b">
        <v>1</v>
      </c>
      <c r="F2480" s="80" t="s">
        <v>869</v>
      </c>
      <c r="G2480" s="58" t="s">
        <v>6842</v>
      </c>
      <c r="H2480" s="58" t="s">
        <v>1728</v>
      </c>
      <c r="I2480" s="64" t="s">
        <v>6843</v>
      </c>
      <c r="J2480" s="66"/>
      <c r="K2480" s="66"/>
      <c r="L2480" s="68"/>
      <c r="M2480" s="63" t="str">
        <f>HYPERLINK("http://nsgreg.nga.mil/genc/view?v=865301&amp;end_month=12&amp;end_day=31&amp;end_year=2016","Correlation")</f>
        <v>Correlation</v>
      </c>
    </row>
    <row r="2481" spans="1:13" x14ac:dyDescent="0.2">
      <c r="A2481" s="113"/>
      <c r="B2481" s="58" t="s">
        <v>6844</v>
      </c>
      <c r="C2481" s="58" t="s">
        <v>1796</v>
      </c>
      <c r="D2481" s="58" t="s">
        <v>6845</v>
      </c>
      <c r="E2481" s="60" t="b">
        <v>1</v>
      </c>
      <c r="F2481" s="80" t="s">
        <v>869</v>
      </c>
      <c r="G2481" s="58" t="s">
        <v>6844</v>
      </c>
      <c r="H2481" s="58" t="s">
        <v>1796</v>
      </c>
      <c r="I2481" s="64" t="s">
        <v>6845</v>
      </c>
      <c r="J2481" s="66"/>
      <c r="K2481" s="66"/>
      <c r="L2481" s="68"/>
      <c r="M2481" s="63" t="str">
        <f>HYPERLINK("http://nsgreg.nga.mil/genc/view?v=865302&amp;end_month=12&amp;end_day=31&amp;end_year=2016","Correlation")</f>
        <v>Correlation</v>
      </c>
    </row>
    <row r="2482" spans="1:13" x14ac:dyDescent="0.2">
      <c r="A2482" s="113"/>
      <c r="B2482" s="58" t="s">
        <v>6846</v>
      </c>
      <c r="C2482" s="58" t="s">
        <v>1796</v>
      </c>
      <c r="D2482" s="58" t="s">
        <v>6847</v>
      </c>
      <c r="E2482" s="60" t="b">
        <v>1</v>
      </c>
      <c r="F2482" s="80" t="s">
        <v>869</v>
      </c>
      <c r="G2482" s="58" t="s">
        <v>6846</v>
      </c>
      <c r="H2482" s="58" t="s">
        <v>1796</v>
      </c>
      <c r="I2482" s="64" t="s">
        <v>6847</v>
      </c>
      <c r="J2482" s="66"/>
      <c r="K2482" s="66"/>
      <c r="L2482" s="68"/>
      <c r="M2482" s="63" t="str">
        <f>HYPERLINK("http://nsgreg.nga.mil/genc/view?v=865303&amp;end_month=12&amp;end_day=31&amp;end_year=2016","Correlation")</f>
        <v>Correlation</v>
      </c>
    </row>
    <row r="2483" spans="1:13" x14ac:dyDescent="0.2">
      <c r="A2483" s="113"/>
      <c r="B2483" s="58" t="s">
        <v>6848</v>
      </c>
      <c r="C2483" s="58" t="s">
        <v>1796</v>
      </c>
      <c r="D2483" s="58" t="s">
        <v>6849</v>
      </c>
      <c r="E2483" s="60" t="b">
        <v>1</v>
      </c>
      <c r="F2483" s="80" t="s">
        <v>869</v>
      </c>
      <c r="G2483" s="58" t="s">
        <v>6848</v>
      </c>
      <c r="H2483" s="58" t="s">
        <v>1796</v>
      </c>
      <c r="I2483" s="64" t="s">
        <v>6849</v>
      </c>
      <c r="J2483" s="66"/>
      <c r="K2483" s="66"/>
      <c r="L2483" s="68"/>
      <c r="M2483" s="63" t="str">
        <f>HYPERLINK("http://nsgreg.nga.mil/genc/view?v=865304&amp;end_month=12&amp;end_day=31&amp;end_year=2016","Correlation")</f>
        <v>Correlation</v>
      </c>
    </row>
    <row r="2484" spans="1:13" x14ac:dyDescent="0.2">
      <c r="A2484" s="113"/>
      <c r="B2484" s="58" t="s">
        <v>6850</v>
      </c>
      <c r="C2484" s="58" t="s">
        <v>1796</v>
      </c>
      <c r="D2484" s="58" t="s">
        <v>6851</v>
      </c>
      <c r="E2484" s="60" t="b">
        <v>1</v>
      </c>
      <c r="F2484" s="80" t="s">
        <v>869</v>
      </c>
      <c r="G2484" s="58" t="s">
        <v>6850</v>
      </c>
      <c r="H2484" s="58" t="s">
        <v>1796</v>
      </c>
      <c r="I2484" s="64" t="s">
        <v>6851</v>
      </c>
      <c r="J2484" s="66"/>
      <c r="K2484" s="66"/>
      <c r="L2484" s="68"/>
      <c r="M2484" s="63" t="str">
        <f>HYPERLINK("http://nsgreg.nga.mil/genc/view?v=865305&amp;end_month=12&amp;end_day=31&amp;end_year=2016","Correlation")</f>
        <v>Correlation</v>
      </c>
    </row>
    <row r="2485" spans="1:13" x14ac:dyDescent="0.2">
      <c r="A2485" s="113"/>
      <c r="B2485" s="58" t="s">
        <v>6852</v>
      </c>
      <c r="C2485" s="58" t="s">
        <v>1796</v>
      </c>
      <c r="D2485" s="58" t="s">
        <v>6853</v>
      </c>
      <c r="E2485" s="60" t="b">
        <v>1</v>
      </c>
      <c r="F2485" s="80" t="s">
        <v>869</v>
      </c>
      <c r="G2485" s="58" t="s">
        <v>6852</v>
      </c>
      <c r="H2485" s="58" t="s">
        <v>1796</v>
      </c>
      <c r="I2485" s="64" t="s">
        <v>6853</v>
      </c>
      <c r="J2485" s="66"/>
      <c r="K2485" s="66"/>
      <c r="L2485" s="68"/>
      <c r="M2485" s="63" t="str">
        <f>HYPERLINK("http://nsgreg.nga.mil/genc/view?v=865306&amp;end_month=12&amp;end_day=31&amp;end_year=2016","Correlation")</f>
        <v>Correlation</v>
      </c>
    </row>
    <row r="2486" spans="1:13" x14ac:dyDescent="0.2">
      <c r="A2486" s="113"/>
      <c r="B2486" s="58" t="s">
        <v>6854</v>
      </c>
      <c r="C2486" s="58" t="s">
        <v>1796</v>
      </c>
      <c r="D2486" s="58" t="s">
        <v>6855</v>
      </c>
      <c r="E2486" s="60" t="b">
        <v>1</v>
      </c>
      <c r="F2486" s="80" t="s">
        <v>869</v>
      </c>
      <c r="G2486" s="58" t="s">
        <v>6854</v>
      </c>
      <c r="H2486" s="58" t="s">
        <v>1796</v>
      </c>
      <c r="I2486" s="64" t="s">
        <v>6855</v>
      </c>
      <c r="J2486" s="66"/>
      <c r="K2486" s="66"/>
      <c r="L2486" s="68"/>
      <c r="M2486" s="63" t="str">
        <f>HYPERLINK("http://nsgreg.nga.mil/genc/view?v=865307&amp;end_month=12&amp;end_day=31&amp;end_year=2016","Correlation")</f>
        <v>Correlation</v>
      </c>
    </row>
    <row r="2487" spans="1:13" x14ac:dyDescent="0.2">
      <c r="A2487" s="113"/>
      <c r="B2487" s="58" t="s">
        <v>6856</v>
      </c>
      <c r="C2487" s="58" t="s">
        <v>1796</v>
      </c>
      <c r="D2487" s="58" t="s">
        <v>6857</v>
      </c>
      <c r="E2487" s="60" t="b">
        <v>1</v>
      </c>
      <c r="F2487" s="80" t="s">
        <v>869</v>
      </c>
      <c r="G2487" s="58" t="s">
        <v>6856</v>
      </c>
      <c r="H2487" s="58" t="s">
        <v>1796</v>
      </c>
      <c r="I2487" s="64" t="s">
        <v>6857</v>
      </c>
      <c r="J2487" s="66"/>
      <c r="K2487" s="66"/>
      <c r="L2487" s="68"/>
      <c r="M2487" s="63" t="str">
        <f>HYPERLINK("http://nsgreg.nga.mil/genc/view?v=865308&amp;end_month=12&amp;end_day=31&amp;end_year=2016","Correlation")</f>
        <v>Correlation</v>
      </c>
    </row>
    <row r="2488" spans="1:13" x14ac:dyDescent="0.2">
      <c r="A2488" s="113"/>
      <c r="B2488" s="58" t="s">
        <v>6858</v>
      </c>
      <c r="C2488" s="58" t="s">
        <v>1796</v>
      </c>
      <c r="D2488" s="58" t="s">
        <v>6859</v>
      </c>
      <c r="E2488" s="60" t="b">
        <v>1</v>
      </c>
      <c r="F2488" s="80" t="s">
        <v>869</v>
      </c>
      <c r="G2488" s="58" t="s">
        <v>6858</v>
      </c>
      <c r="H2488" s="58" t="s">
        <v>1796</v>
      </c>
      <c r="I2488" s="64" t="s">
        <v>6859</v>
      </c>
      <c r="J2488" s="66"/>
      <c r="K2488" s="66"/>
      <c r="L2488" s="68"/>
      <c r="M2488" s="63" t="str">
        <f>HYPERLINK("http://nsgreg.nga.mil/genc/view?v=865310&amp;end_month=12&amp;end_day=31&amp;end_year=2016","Correlation")</f>
        <v>Correlation</v>
      </c>
    </row>
    <row r="2489" spans="1:13" x14ac:dyDescent="0.2">
      <c r="A2489" s="113"/>
      <c r="B2489" s="58" t="s">
        <v>6860</v>
      </c>
      <c r="C2489" s="58" t="s">
        <v>1796</v>
      </c>
      <c r="D2489" s="58" t="s">
        <v>6861</v>
      </c>
      <c r="E2489" s="60" t="b">
        <v>1</v>
      </c>
      <c r="F2489" s="80" t="s">
        <v>869</v>
      </c>
      <c r="G2489" s="58" t="s">
        <v>6860</v>
      </c>
      <c r="H2489" s="58" t="s">
        <v>1796</v>
      </c>
      <c r="I2489" s="64" t="s">
        <v>6861</v>
      </c>
      <c r="J2489" s="66"/>
      <c r="K2489" s="66"/>
      <c r="L2489" s="68"/>
      <c r="M2489" s="63" t="str">
        <f>HYPERLINK("http://nsgreg.nga.mil/genc/view?v=865309&amp;end_month=12&amp;end_day=31&amp;end_year=2016","Correlation")</f>
        <v>Correlation</v>
      </c>
    </row>
    <row r="2490" spans="1:13" x14ac:dyDescent="0.2">
      <c r="A2490" s="113"/>
      <c r="B2490" s="58" t="s">
        <v>6862</v>
      </c>
      <c r="C2490" s="58" t="s">
        <v>1796</v>
      </c>
      <c r="D2490" s="58" t="s">
        <v>6863</v>
      </c>
      <c r="E2490" s="60" t="b">
        <v>1</v>
      </c>
      <c r="F2490" s="80" t="s">
        <v>869</v>
      </c>
      <c r="G2490" s="58" t="s">
        <v>6862</v>
      </c>
      <c r="H2490" s="58" t="s">
        <v>1796</v>
      </c>
      <c r="I2490" s="64" t="s">
        <v>6863</v>
      </c>
      <c r="J2490" s="66"/>
      <c r="K2490" s="66"/>
      <c r="L2490" s="68"/>
      <c r="M2490" s="63" t="str">
        <f>HYPERLINK("http://nsgreg.nga.mil/genc/view?v=865313&amp;end_month=12&amp;end_day=31&amp;end_year=2016","Correlation")</f>
        <v>Correlation</v>
      </c>
    </row>
    <row r="2491" spans="1:13" x14ac:dyDescent="0.2">
      <c r="A2491" s="113"/>
      <c r="B2491" s="58" t="s">
        <v>6864</v>
      </c>
      <c r="C2491" s="58" t="s">
        <v>1796</v>
      </c>
      <c r="D2491" s="58" t="s">
        <v>6865</v>
      </c>
      <c r="E2491" s="60" t="b">
        <v>1</v>
      </c>
      <c r="F2491" s="80" t="s">
        <v>869</v>
      </c>
      <c r="G2491" s="58" t="s">
        <v>6864</v>
      </c>
      <c r="H2491" s="58" t="s">
        <v>1796</v>
      </c>
      <c r="I2491" s="64" t="s">
        <v>6865</v>
      </c>
      <c r="J2491" s="66"/>
      <c r="K2491" s="66"/>
      <c r="L2491" s="68"/>
      <c r="M2491" s="63" t="str">
        <f>HYPERLINK("http://nsgreg.nga.mil/genc/view?v=865312&amp;end_month=12&amp;end_day=31&amp;end_year=2016","Correlation")</f>
        <v>Correlation</v>
      </c>
    </row>
    <row r="2492" spans="1:13" x14ac:dyDescent="0.2">
      <c r="A2492" s="113"/>
      <c r="B2492" s="58" t="s">
        <v>6866</v>
      </c>
      <c r="C2492" s="58" t="s">
        <v>1796</v>
      </c>
      <c r="D2492" s="58" t="s">
        <v>6867</v>
      </c>
      <c r="E2492" s="60" t="b">
        <v>1</v>
      </c>
      <c r="F2492" s="80" t="s">
        <v>869</v>
      </c>
      <c r="G2492" s="58" t="s">
        <v>6866</v>
      </c>
      <c r="H2492" s="58" t="s">
        <v>1796</v>
      </c>
      <c r="I2492" s="64" t="s">
        <v>6867</v>
      </c>
      <c r="J2492" s="66"/>
      <c r="K2492" s="66"/>
      <c r="L2492" s="68"/>
      <c r="M2492" s="63" t="str">
        <f>HYPERLINK("http://nsgreg.nga.mil/genc/view?v=865311&amp;end_month=12&amp;end_day=31&amp;end_year=2016","Correlation")</f>
        <v>Correlation</v>
      </c>
    </row>
    <row r="2493" spans="1:13" x14ac:dyDescent="0.2">
      <c r="A2493" s="113"/>
      <c r="B2493" s="58" t="s">
        <v>6868</v>
      </c>
      <c r="C2493" s="58" t="s">
        <v>1796</v>
      </c>
      <c r="D2493" s="58" t="s">
        <v>6869</v>
      </c>
      <c r="E2493" s="60" t="b">
        <v>1</v>
      </c>
      <c r="F2493" s="80" t="s">
        <v>869</v>
      </c>
      <c r="G2493" s="58" t="s">
        <v>6868</v>
      </c>
      <c r="H2493" s="58" t="s">
        <v>1796</v>
      </c>
      <c r="I2493" s="64" t="s">
        <v>6869</v>
      </c>
      <c r="J2493" s="66"/>
      <c r="K2493" s="66"/>
      <c r="L2493" s="68"/>
      <c r="M2493" s="63" t="str">
        <f>HYPERLINK("http://nsgreg.nga.mil/genc/view?v=865314&amp;end_month=12&amp;end_day=31&amp;end_year=2016","Correlation")</f>
        <v>Correlation</v>
      </c>
    </row>
    <row r="2494" spans="1:13" x14ac:dyDescent="0.2">
      <c r="A2494" s="113"/>
      <c r="B2494" s="58" t="s">
        <v>6870</v>
      </c>
      <c r="C2494" s="58" t="s">
        <v>1796</v>
      </c>
      <c r="D2494" s="58" t="s">
        <v>6871</v>
      </c>
      <c r="E2494" s="60" t="b">
        <v>1</v>
      </c>
      <c r="F2494" s="80" t="s">
        <v>869</v>
      </c>
      <c r="G2494" s="58" t="s">
        <v>6870</v>
      </c>
      <c r="H2494" s="58" t="s">
        <v>1796</v>
      </c>
      <c r="I2494" s="64" t="s">
        <v>6871</v>
      </c>
      <c r="J2494" s="66"/>
      <c r="K2494" s="66"/>
      <c r="L2494" s="68"/>
      <c r="M2494" s="63" t="str">
        <f>HYPERLINK("http://nsgreg.nga.mil/genc/view?v=865315&amp;end_month=12&amp;end_day=31&amp;end_year=2016","Correlation")</f>
        <v>Correlation</v>
      </c>
    </row>
    <row r="2495" spans="1:13" x14ac:dyDescent="0.2">
      <c r="A2495" s="113"/>
      <c r="B2495" s="58" t="s">
        <v>6872</v>
      </c>
      <c r="C2495" s="58" t="s">
        <v>1796</v>
      </c>
      <c r="D2495" s="58" t="s">
        <v>6873</v>
      </c>
      <c r="E2495" s="60" t="b">
        <v>1</v>
      </c>
      <c r="F2495" s="80" t="s">
        <v>869</v>
      </c>
      <c r="G2495" s="58" t="s">
        <v>6872</v>
      </c>
      <c r="H2495" s="58" t="s">
        <v>1796</v>
      </c>
      <c r="I2495" s="64" t="s">
        <v>6873</v>
      </c>
      <c r="J2495" s="66"/>
      <c r="K2495" s="66"/>
      <c r="L2495" s="68"/>
      <c r="M2495" s="63" t="str">
        <f>HYPERLINK("http://nsgreg.nga.mil/genc/view?v=865316&amp;end_month=12&amp;end_day=31&amp;end_year=2016","Correlation")</f>
        <v>Correlation</v>
      </c>
    </row>
    <row r="2496" spans="1:13" x14ac:dyDescent="0.2">
      <c r="A2496" s="113"/>
      <c r="B2496" s="58" t="s">
        <v>6874</v>
      </c>
      <c r="C2496" s="58" t="s">
        <v>1796</v>
      </c>
      <c r="D2496" s="58" t="s">
        <v>6875</v>
      </c>
      <c r="E2496" s="60" t="b">
        <v>1</v>
      </c>
      <c r="F2496" s="80" t="s">
        <v>869</v>
      </c>
      <c r="G2496" s="58" t="s">
        <v>6874</v>
      </c>
      <c r="H2496" s="58" t="s">
        <v>1796</v>
      </c>
      <c r="I2496" s="64" t="s">
        <v>6875</v>
      </c>
      <c r="J2496" s="66"/>
      <c r="K2496" s="66"/>
      <c r="L2496" s="68"/>
      <c r="M2496" s="63" t="str">
        <f>HYPERLINK("http://nsgreg.nga.mil/genc/view?v=865319&amp;end_month=12&amp;end_day=31&amp;end_year=2016","Correlation")</f>
        <v>Correlation</v>
      </c>
    </row>
    <row r="2497" spans="1:13" x14ac:dyDescent="0.2">
      <c r="A2497" s="113"/>
      <c r="B2497" s="58" t="s">
        <v>6876</v>
      </c>
      <c r="C2497" s="58" t="s">
        <v>1796</v>
      </c>
      <c r="D2497" s="58" t="s">
        <v>6877</v>
      </c>
      <c r="E2497" s="60" t="b">
        <v>1</v>
      </c>
      <c r="F2497" s="80" t="s">
        <v>869</v>
      </c>
      <c r="G2497" s="58" t="s">
        <v>6876</v>
      </c>
      <c r="H2497" s="58" t="s">
        <v>1796</v>
      </c>
      <c r="I2497" s="64" t="s">
        <v>6877</v>
      </c>
      <c r="J2497" s="66"/>
      <c r="K2497" s="66"/>
      <c r="L2497" s="68"/>
      <c r="M2497" s="63" t="str">
        <f>HYPERLINK("http://nsgreg.nga.mil/genc/view?v=865318&amp;end_month=12&amp;end_day=31&amp;end_year=2016","Correlation")</f>
        <v>Correlation</v>
      </c>
    </row>
    <row r="2498" spans="1:13" x14ac:dyDescent="0.2">
      <c r="A2498" s="113"/>
      <c r="B2498" s="58" t="s">
        <v>6878</v>
      </c>
      <c r="C2498" s="58" t="s">
        <v>1796</v>
      </c>
      <c r="D2498" s="58" t="s">
        <v>6879</v>
      </c>
      <c r="E2498" s="60" t="b">
        <v>1</v>
      </c>
      <c r="F2498" s="80" t="s">
        <v>869</v>
      </c>
      <c r="G2498" s="58" t="s">
        <v>6878</v>
      </c>
      <c r="H2498" s="58" t="s">
        <v>1796</v>
      </c>
      <c r="I2498" s="64" t="s">
        <v>6879</v>
      </c>
      <c r="J2498" s="66"/>
      <c r="K2498" s="66"/>
      <c r="L2498" s="68"/>
      <c r="M2498" s="63" t="str">
        <f>HYPERLINK("http://nsgreg.nga.mil/genc/view?v=865321&amp;end_month=12&amp;end_day=31&amp;end_year=2016","Correlation")</f>
        <v>Correlation</v>
      </c>
    </row>
    <row r="2499" spans="1:13" x14ac:dyDescent="0.2">
      <c r="A2499" s="113"/>
      <c r="B2499" s="58" t="s">
        <v>6880</v>
      </c>
      <c r="C2499" s="58" t="s">
        <v>1728</v>
      </c>
      <c r="D2499" s="58" t="s">
        <v>6881</v>
      </c>
      <c r="E2499" s="60" t="b">
        <v>1</v>
      </c>
      <c r="F2499" s="80" t="s">
        <v>869</v>
      </c>
      <c r="G2499" s="58" t="s">
        <v>6880</v>
      </c>
      <c r="H2499" s="58" t="s">
        <v>1728</v>
      </c>
      <c r="I2499" s="64" t="s">
        <v>6881</v>
      </c>
      <c r="J2499" s="66"/>
      <c r="K2499" s="66"/>
      <c r="L2499" s="68"/>
      <c r="M2499" s="63" t="str">
        <f>HYPERLINK("http://nsgreg.nga.mil/genc/view?v=865317&amp;end_month=12&amp;end_day=31&amp;end_year=2016","Correlation")</f>
        <v>Correlation</v>
      </c>
    </row>
    <row r="2500" spans="1:13" x14ac:dyDescent="0.2">
      <c r="A2500" s="113"/>
      <c r="B2500" s="58" t="s">
        <v>6882</v>
      </c>
      <c r="C2500" s="58" t="s">
        <v>1796</v>
      </c>
      <c r="D2500" s="58" t="s">
        <v>6883</v>
      </c>
      <c r="E2500" s="60" t="b">
        <v>1</v>
      </c>
      <c r="F2500" s="80" t="s">
        <v>869</v>
      </c>
      <c r="G2500" s="58" t="s">
        <v>6882</v>
      </c>
      <c r="H2500" s="58" t="s">
        <v>1796</v>
      </c>
      <c r="I2500" s="64" t="s">
        <v>6883</v>
      </c>
      <c r="J2500" s="66"/>
      <c r="K2500" s="66"/>
      <c r="L2500" s="68"/>
      <c r="M2500" s="63" t="str">
        <f>HYPERLINK("http://nsgreg.nga.mil/genc/view?v=865322&amp;end_month=12&amp;end_day=31&amp;end_year=2016","Correlation")</f>
        <v>Correlation</v>
      </c>
    </row>
    <row r="2501" spans="1:13" x14ac:dyDescent="0.2">
      <c r="A2501" s="113"/>
      <c r="B2501" s="58" t="s">
        <v>6884</v>
      </c>
      <c r="C2501" s="58" t="s">
        <v>1796</v>
      </c>
      <c r="D2501" s="58" t="s">
        <v>6885</v>
      </c>
      <c r="E2501" s="60" t="b">
        <v>1</v>
      </c>
      <c r="F2501" s="80" t="s">
        <v>869</v>
      </c>
      <c r="G2501" s="58" t="s">
        <v>6884</v>
      </c>
      <c r="H2501" s="58" t="s">
        <v>1796</v>
      </c>
      <c r="I2501" s="64" t="s">
        <v>6885</v>
      </c>
      <c r="J2501" s="66"/>
      <c r="K2501" s="66"/>
      <c r="L2501" s="68"/>
      <c r="M2501" s="63" t="str">
        <f>HYPERLINK("http://nsgreg.nga.mil/genc/view?v=865323&amp;end_month=12&amp;end_day=31&amp;end_year=2016","Correlation")</f>
        <v>Correlation</v>
      </c>
    </row>
    <row r="2502" spans="1:13" x14ac:dyDescent="0.2">
      <c r="A2502" s="113"/>
      <c r="B2502" s="58" t="s">
        <v>6886</v>
      </c>
      <c r="C2502" s="58" t="s">
        <v>1796</v>
      </c>
      <c r="D2502" s="58" t="s">
        <v>6887</v>
      </c>
      <c r="E2502" s="60" t="b">
        <v>1</v>
      </c>
      <c r="F2502" s="80" t="s">
        <v>869</v>
      </c>
      <c r="G2502" s="58" t="s">
        <v>6886</v>
      </c>
      <c r="H2502" s="58" t="s">
        <v>1796</v>
      </c>
      <c r="I2502" s="64" t="s">
        <v>6887</v>
      </c>
      <c r="J2502" s="66"/>
      <c r="K2502" s="66"/>
      <c r="L2502" s="68"/>
      <c r="M2502" s="63" t="str">
        <f>HYPERLINK("http://nsgreg.nga.mil/genc/view?v=865320&amp;end_month=12&amp;end_day=31&amp;end_year=2016","Correlation")</f>
        <v>Correlation</v>
      </c>
    </row>
    <row r="2503" spans="1:13" x14ac:dyDescent="0.2">
      <c r="A2503" s="113"/>
      <c r="B2503" s="58" t="s">
        <v>6888</v>
      </c>
      <c r="C2503" s="58" t="s">
        <v>1796</v>
      </c>
      <c r="D2503" s="58" t="s">
        <v>6889</v>
      </c>
      <c r="E2503" s="60" t="b">
        <v>1</v>
      </c>
      <c r="F2503" s="80" t="s">
        <v>869</v>
      </c>
      <c r="G2503" s="58" t="s">
        <v>6888</v>
      </c>
      <c r="H2503" s="58" t="s">
        <v>1796</v>
      </c>
      <c r="I2503" s="64" t="s">
        <v>6889</v>
      </c>
      <c r="J2503" s="66"/>
      <c r="K2503" s="66"/>
      <c r="L2503" s="68"/>
      <c r="M2503" s="63" t="str">
        <f>HYPERLINK("http://nsgreg.nga.mil/genc/view?v=865324&amp;end_month=12&amp;end_day=31&amp;end_year=2016","Correlation")</f>
        <v>Correlation</v>
      </c>
    </row>
    <row r="2504" spans="1:13" x14ac:dyDescent="0.2">
      <c r="A2504" s="113"/>
      <c r="B2504" s="58" t="s">
        <v>6890</v>
      </c>
      <c r="C2504" s="58" t="s">
        <v>1796</v>
      </c>
      <c r="D2504" s="58" t="s">
        <v>6891</v>
      </c>
      <c r="E2504" s="60" t="b">
        <v>1</v>
      </c>
      <c r="F2504" s="80" t="s">
        <v>869</v>
      </c>
      <c r="G2504" s="58" t="s">
        <v>6890</v>
      </c>
      <c r="H2504" s="58" t="s">
        <v>1796</v>
      </c>
      <c r="I2504" s="64" t="s">
        <v>6891</v>
      </c>
      <c r="J2504" s="66"/>
      <c r="K2504" s="66"/>
      <c r="L2504" s="68"/>
      <c r="M2504" s="63" t="str">
        <f>HYPERLINK("http://nsgreg.nga.mil/genc/view?v=865325&amp;end_month=12&amp;end_day=31&amp;end_year=2016","Correlation")</f>
        <v>Correlation</v>
      </c>
    </row>
    <row r="2505" spans="1:13" x14ac:dyDescent="0.2">
      <c r="A2505" s="113"/>
      <c r="B2505" s="58" t="s">
        <v>6892</v>
      </c>
      <c r="C2505" s="58" t="s">
        <v>1796</v>
      </c>
      <c r="D2505" s="58" t="s">
        <v>6893</v>
      </c>
      <c r="E2505" s="60" t="b">
        <v>1</v>
      </c>
      <c r="F2505" s="80" t="s">
        <v>869</v>
      </c>
      <c r="G2505" s="58" t="s">
        <v>6892</v>
      </c>
      <c r="H2505" s="58" t="s">
        <v>1796</v>
      </c>
      <c r="I2505" s="64" t="s">
        <v>6893</v>
      </c>
      <c r="J2505" s="66"/>
      <c r="K2505" s="66"/>
      <c r="L2505" s="68"/>
      <c r="M2505" s="63" t="str">
        <f>HYPERLINK("http://nsgreg.nga.mil/genc/view?v=865327&amp;end_month=12&amp;end_day=31&amp;end_year=2016","Correlation")</f>
        <v>Correlation</v>
      </c>
    </row>
    <row r="2506" spans="1:13" x14ac:dyDescent="0.2">
      <c r="A2506" s="113"/>
      <c r="B2506" s="58" t="s">
        <v>6894</v>
      </c>
      <c r="C2506" s="58" t="s">
        <v>1728</v>
      </c>
      <c r="D2506" s="58" t="s">
        <v>6895</v>
      </c>
      <c r="E2506" s="60" t="b">
        <v>1</v>
      </c>
      <c r="F2506" s="80" t="s">
        <v>869</v>
      </c>
      <c r="G2506" s="58" t="s">
        <v>6894</v>
      </c>
      <c r="H2506" s="58" t="s">
        <v>1728</v>
      </c>
      <c r="I2506" s="64" t="s">
        <v>6895</v>
      </c>
      <c r="J2506" s="66"/>
      <c r="K2506" s="66"/>
      <c r="L2506" s="68"/>
      <c r="M2506" s="63" t="str">
        <f>HYPERLINK("http://nsgreg.nga.mil/genc/view?v=865326&amp;end_month=12&amp;end_day=31&amp;end_year=2016","Correlation")</f>
        <v>Correlation</v>
      </c>
    </row>
    <row r="2507" spans="1:13" x14ac:dyDescent="0.2">
      <c r="A2507" s="113"/>
      <c r="B2507" s="58" t="s">
        <v>6896</v>
      </c>
      <c r="C2507" s="58" t="s">
        <v>1796</v>
      </c>
      <c r="D2507" s="58" t="s">
        <v>6897</v>
      </c>
      <c r="E2507" s="60" t="b">
        <v>1</v>
      </c>
      <c r="F2507" s="80" t="s">
        <v>869</v>
      </c>
      <c r="G2507" s="58" t="s">
        <v>6896</v>
      </c>
      <c r="H2507" s="58" t="s">
        <v>1796</v>
      </c>
      <c r="I2507" s="64" t="s">
        <v>6897</v>
      </c>
      <c r="J2507" s="66"/>
      <c r="K2507" s="66"/>
      <c r="L2507" s="68"/>
      <c r="M2507" s="63" t="str">
        <f>HYPERLINK("http://nsgreg.nga.mil/genc/view?v=865328&amp;end_month=12&amp;end_day=31&amp;end_year=2016","Correlation")</f>
        <v>Correlation</v>
      </c>
    </row>
    <row r="2508" spans="1:13" x14ac:dyDescent="0.2">
      <c r="A2508" s="114"/>
      <c r="B2508" s="71" t="s">
        <v>6898</v>
      </c>
      <c r="C2508" s="71" t="s">
        <v>1796</v>
      </c>
      <c r="D2508" s="71" t="s">
        <v>6899</v>
      </c>
      <c r="E2508" s="73" t="b">
        <v>1</v>
      </c>
      <c r="F2508" s="81" t="s">
        <v>869</v>
      </c>
      <c r="G2508" s="71" t="s">
        <v>6898</v>
      </c>
      <c r="H2508" s="71" t="s">
        <v>1796</v>
      </c>
      <c r="I2508" s="74" t="s">
        <v>6899</v>
      </c>
      <c r="J2508" s="76"/>
      <c r="K2508" s="76"/>
      <c r="L2508" s="82"/>
      <c r="M2508" s="77" t="str">
        <f>HYPERLINK("http://nsgreg.nga.mil/genc/view?v=865329&amp;end_month=12&amp;end_day=31&amp;end_year=2016","Correlation")</f>
        <v>Correlation</v>
      </c>
    </row>
    <row r="2509" spans="1:13" x14ac:dyDescent="0.2">
      <c r="A2509" s="112" t="s">
        <v>873</v>
      </c>
      <c r="B2509" s="50" t="s">
        <v>6900</v>
      </c>
      <c r="C2509" s="50" t="s">
        <v>1763</v>
      </c>
      <c r="D2509" s="50" t="s">
        <v>6901</v>
      </c>
      <c r="E2509" s="52" t="b">
        <v>1</v>
      </c>
      <c r="F2509" s="78" t="s">
        <v>873</v>
      </c>
      <c r="G2509" s="50" t="s">
        <v>6900</v>
      </c>
      <c r="H2509" s="50" t="s">
        <v>1763</v>
      </c>
      <c r="I2509" s="53" t="s">
        <v>6901</v>
      </c>
      <c r="J2509" s="55"/>
      <c r="K2509" s="55"/>
      <c r="L2509" s="79"/>
      <c r="M2509" s="56" t="str">
        <f>HYPERLINK("http://nsgreg.nga.mil/genc/view?v=865362&amp;end_month=12&amp;end_day=31&amp;end_year=2016","Correlation")</f>
        <v>Correlation</v>
      </c>
    </row>
    <row r="2510" spans="1:13" x14ac:dyDescent="0.2">
      <c r="A2510" s="113"/>
      <c r="B2510" s="58" t="s">
        <v>6902</v>
      </c>
      <c r="C2510" s="58" t="s">
        <v>1763</v>
      </c>
      <c r="D2510" s="58" t="s">
        <v>6903</v>
      </c>
      <c r="E2510" s="60" t="b">
        <v>1</v>
      </c>
      <c r="F2510" s="80" t="s">
        <v>873</v>
      </c>
      <c r="G2510" s="58" t="s">
        <v>6902</v>
      </c>
      <c r="H2510" s="58" t="s">
        <v>1763</v>
      </c>
      <c r="I2510" s="64" t="s">
        <v>6903</v>
      </c>
      <c r="J2510" s="66"/>
      <c r="K2510" s="66"/>
      <c r="L2510" s="68"/>
      <c r="M2510" s="63" t="str">
        <f>HYPERLINK("http://nsgreg.nga.mil/genc/view?v=865363&amp;end_month=12&amp;end_day=31&amp;end_year=2016","Correlation")</f>
        <v>Correlation</v>
      </c>
    </row>
    <row r="2511" spans="1:13" x14ac:dyDescent="0.2">
      <c r="A2511" s="113"/>
      <c r="B2511" s="58" t="s">
        <v>6904</v>
      </c>
      <c r="C2511" s="58" t="s">
        <v>1763</v>
      </c>
      <c r="D2511" s="58" t="s">
        <v>6905</v>
      </c>
      <c r="E2511" s="60" t="b">
        <v>1</v>
      </c>
      <c r="F2511" s="80" t="s">
        <v>873</v>
      </c>
      <c r="G2511" s="58" t="s">
        <v>6904</v>
      </c>
      <c r="H2511" s="58" t="s">
        <v>1763</v>
      </c>
      <c r="I2511" s="64" t="s">
        <v>6905</v>
      </c>
      <c r="J2511" s="66"/>
      <c r="K2511" s="66"/>
      <c r="L2511" s="68"/>
      <c r="M2511" s="63" t="str">
        <f>HYPERLINK("http://nsgreg.nga.mil/genc/view?v=865364&amp;end_month=12&amp;end_day=31&amp;end_year=2016","Correlation")</f>
        <v>Correlation</v>
      </c>
    </row>
    <row r="2512" spans="1:13" x14ac:dyDescent="0.2">
      <c r="A2512" s="113"/>
      <c r="B2512" s="58" t="s">
        <v>6906</v>
      </c>
      <c r="C2512" s="58" t="s">
        <v>6907</v>
      </c>
      <c r="D2512" s="58" t="s">
        <v>6908</v>
      </c>
      <c r="E2512" s="60" t="b">
        <v>1</v>
      </c>
      <c r="F2512" s="80" t="s">
        <v>873</v>
      </c>
      <c r="G2512" s="58" t="s">
        <v>6909</v>
      </c>
      <c r="H2512" s="58" t="s">
        <v>6907</v>
      </c>
      <c r="I2512" s="64" t="s">
        <v>6908</v>
      </c>
      <c r="J2512" s="66"/>
      <c r="K2512" s="66"/>
      <c r="L2512" s="68"/>
      <c r="M2512" s="63" t="str">
        <f>HYPERLINK("http://nsgreg.nga.mil/genc/view?v=865375&amp;end_month=12&amp;end_day=31&amp;end_year=2016","Correlation")</f>
        <v>Correlation</v>
      </c>
    </row>
    <row r="2513" spans="1:13" x14ac:dyDescent="0.2">
      <c r="A2513" s="113"/>
      <c r="B2513" s="58" t="s">
        <v>6910</v>
      </c>
      <c r="C2513" s="58" t="s">
        <v>6907</v>
      </c>
      <c r="D2513" s="58" t="s">
        <v>6911</v>
      </c>
      <c r="E2513" s="60" t="b">
        <v>1</v>
      </c>
      <c r="F2513" s="80" t="s">
        <v>873</v>
      </c>
      <c r="G2513" s="58" t="s">
        <v>6912</v>
      </c>
      <c r="H2513" s="58" t="s">
        <v>6907</v>
      </c>
      <c r="I2513" s="64" t="s">
        <v>6911</v>
      </c>
      <c r="J2513" s="66"/>
      <c r="K2513" s="66"/>
      <c r="L2513" s="68"/>
      <c r="M2513" s="63" t="str">
        <f>HYPERLINK("http://nsgreg.nga.mil/genc/view?v=865376&amp;end_month=12&amp;end_day=31&amp;end_year=2016","Correlation")</f>
        <v>Correlation</v>
      </c>
    </row>
    <row r="2514" spans="1:13" x14ac:dyDescent="0.2">
      <c r="A2514" s="113"/>
      <c r="B2514" s="58" t="s">
        <v>6913</v>
      </c>
      <c r="C2514" s="58" t="s">
        <v>1763</v>
      </c>
      <c r="D2514" s="58" t="s">
        <v>6914</v>
      </c>
      <c r="E2514" s="60" t="b">
        <v>1</v>
      </c>
      <c r="F2514" s="80" t="s">
        <v>873</v>
      </c>
      <c r="G2514" s="58" t="s">
        <v>6913</v>
      </c>
      <c r="H2514" s="58" t="s">
        <v>1763</v>
      </c>
      <c r="I2514" s="64" t="s">
        <v>6914</v>
      </c>
      <c r="J2514" s="66"/>
      <c r="K2514" s="66"/>
      <c r="L2514" s="68"/>
      <c r="M2514" s="63" t="str">
        <f>HYPERLINK("http://nsgreg.nga.mil/genc/view?v=865365&amp;end_month=12&amp;end_day=31&amp;end_year=2016","Correlation")</f>
        <v>Correlation</v>
      </c>
    </row>
    <row r="2515" spans="1:13" x14ac:dyDescent="0.2">
      <c r="A2515" s="113"/>
      <c r="B2515" s="58" t="s">
        <v>6915</v>
      </c>
      <c r="C2515" s="58" t="s">
        <v>1763</v>
      </c>
      <c r="D2515" s="58" t="s">
        <v>6916</v>
      </c>
      <c r="E2515" s="60" t="b">
        <v>1</v>
      </c>
      <c r="F2515" s="80" t="s">
        <v>873</v>
      </c>
      <c r="G2515" s="58" t="s">
        <v>6915</v>
      </c>
      <c r="H2515" s="58" t="s">
        <v>1763</v>
      </c>
      <c r="I2515" s="64" t="s">
        <v>6916</v>
      </c>
      <c r="J2515" s="66"/>
      <c r="K2515" s="66"/>
      <c r="L2515" s="68"/>
      <c r="M2515" s="63" t="str">
        <f>HYPERLINK("http://nsgreg.nga.mil/genc/view?v=865366&amp;end_month=12&amp;end_day=31&amp;end_year=2016","Correlation")</f>
        <v>Correlation</v>
      </c>
    </row>
    <row r="2516" spans="1:13" x14ac:dyDescent="0.2">
      <c r="A2516" s="113"/>
      <c r="B2516" s="58" t="s">
        <v>6917</v>
      </c>
      <c r="C2516" s="58" t="s">
        <v>1763</v>
      </c>
      <c r="D2516" s="58" t="s">
        <v>6918</v>
      </c>
      <c r="E2516" s="60" t="b">
        <v>1</v>
      </c>
      <c r="F2516" s="80" t="s">
        <v>873</v>
      </c>
      <c r="G2516" s="58" t="s">
        <v>6917</v>
      </c>
      <c r="H2516" s="58" t="s">
        <v>1763</v>
      </c>
      <c r="I2516" s="64" t="s">
        <v>6918</v>
      </c>
      <c r="J2516" s="66"/>
      <c r="K2516" s="66"/>
      <c r="L2516" s="68"/>
      <c r="M2516" s="63" t="str">
        <f>HYPERLINK("http://nsgreg.nga.mil/genc/view?v=865367&amp;end_month=12&amp;end_day=31&amp;end_year=2016","Correlation")</f>
        <v>Correlation</v>
      </c>
    </row>
    <row r="2517" spans="1:13" x14ac:dyDescent="0.2">
      <c r="A2517" s="113"/>
      <c r="B2517" s="58" t="s">
        <v>6919</v>
      </c>
      <c r="C2517" s="58" t="s">
        <v>1763</v>
      </c>
      <c r="D2517" s="58" t="s">
        <v>6920</v>
      </c>
      <c r="E2517" s="60" t="b">
        <v>1</v>
      </c>
      <c r="F2517" s="80" t="s">
        <v>873</v>
      </c>
      <c r="G2517" s="58" t="s">
        <v>6919</v>
      </c>
      <c r="H2517" s="58" t="s">
        <v>1763</v>
      </c>
      <c r="I2517" s="64" t="s">
        <v>6920</v>
      </c>
      <c r="J2517" s="66"/>
      <c r="K2517" s="66"/>
      <c r="L2517" s="68"/>
      <c r="M2517" s="63" t="str">
        <f>HYPERLINK("http://nsgreg.nga.mil/genc/view?v=865369&amp;end_month=12&amp;end_day=31&amp;end_year=2016","Correlation")</f>
        <v>Correlation</v>
      </c>
    </row>
    <row r="2518" spans="1:13" x14ac:dyDescent="0.2">
      <c r="A2518" s="113"/>
      <c r="B2518" s="58" t="s">
        <v>6921</v>
      </c>
      <c r="C2518" s="58" t="s">
        <v>1763</v>
      </c>
      <c r="D2518" s="58" t="s">
        <v>6922</v>
      </c>
      <c r="E2518" s="60" t="b">
        <v>1</v>
      </c>
      <c r="F2518" s="80" t="s">
        <v>873</v>
      </c>
      <c r="G2518" s="58" t="s">
        <v>6921</v>
      </c>
      <c r="H2518" s="58" t="s">
        <v>1763</v>
      </c>
      <c r="I2518" s="64" t="s">
        <v>6922</v>
      </c>
      <c r="J2518" s="66"/>
      <c r="K2518" s="66"/>
      <c r="L2518" s="68"/>
      <c r="M2518" s="63" t="str">
        <f>HYPERLINK("http://nsgreg.nga.mil/genc/view?v=865370&amp;end_month=12&amp;end_day=31&amp;end_year=2016","Correlation")</f>
        <v>Correlation</v>
      </c>
    </row>
    <row r="2519" spans="1:13" x14ac:dyDescent="0.2">
      <c r="A2519" s="113"/>
      <c r="B2519" s="58" t="s">
        <v>6923</v>
      </c>
      <c r="C2519" s="58" t="s">
        <v>1763</v>
      </c>
      <c r="D2519" s="58" t="s">
        <v>6924</v>
      </c>
      <c r="E2519" s="60" t="b">
        <v>1</v>
      </c>
      <c r="F2519" s="80" t="s">
        <v>873</v>
      </c>
      <c r="G2519" s="58" t="s">
        <v>6923</v>
      </c>
      <c r="H2519" s="58" t="s">
        <v>1763</v>
      </c>
      <c r="I2519" s="64" t="s">
        <v>6924</v>
      </c>
      <c r="J2519" s="66"/>
      <c r="K2519" s="66"/>
      <c r="L2519" s="68"/>
      <c r="M2519" s="63" t="str">
        <f>HYPERLINK("http://nsgreg.nga.mil/genc/view?v=865368&amp;end_month=12&amp;end_day=31&amp;end_year=2016","Correlation")</f>
        <v>Correlation</v>
      </c>
    </row>
    <row r="2520" spans="1:13" x14ac:dyDescent="0.2">
      <c r="A2520" s="113"/>
      <c r="B2520" s="58" t="s">
        <v>6925</v>
      </c>
      <c r="C2520" s="58" t="s">
        <v>6907</v>
      </c>
      <c r="D2520" s="58" t="s">
        <v>6926</v>
      </c>
      <c r="E2520" s="60" t="b">
        <v>1</v>
      </c>
      <c r="F2520" s="80" t="s">
        <v>873</v>
      </c>
      <c r="G2520" s="58" t="s">
        <v>6927</v>
      </c>
      <c r="H2520" s="58" t="s">
        <v>6907</v>
      </c>
      <c r="I2520" s="64" t="s">
        <v>6926</v>
      </c>
      <c r="J2520" s="66"/>
      <c r="K2520" s="66"/>
      <c r="L2520" s="68"/>
      <c r="M2520" s="63" t="str">
        <f>HYPERLINK("http://nsgreg.nga.mil/genc/view?v=865377&amp;end_month=12&amp;end_day=31&amp;end_year=2016","Correlation")</f>
        <v>Correlation</v>
      </c>
    </row>
    <row r="2521" spans="1:13" x14ac:dyDescent="0.2">
      <c r="A2521" s="113"/>
      <c r="B2521" s="58" t="s">
        <v>6928</v>
      </c>
      <c r="C2521" s="58" t="s">
        <v>1763</v>
      </c>
      <c r="D2521" s="58" t="s">
        <v>6929</v>
      </c>
      <c r="E2521" s="60" t="b">
        <v>1</v>
      </c>
      <c r="F2521" s="80" t="s">
        <v>873</v>
      </c>
      <c r="G2521" s="58" t="s">
        <v>6928</v>
      </c>
      <c r="H2521" s="58" t="s">
        <v>1763</v>
      </c>
      <c r="I2521" s="64" t="s">
        <v>6929</v>
      </c>
      <c r="J2521" s="66"/>
      <c r="K2521" s="66"/>
      <c r="L2521" s="68"/>
      <c r="M2521" s="63" t="str">
        <f>HYPERLINK("http://nsgreg.nga.mil/genc/view?v=865373&amp;end_month=12&amp;end_day=31&amp;end_year=2016","Correlation")</f>
        <v>Correlation</v>
      </c>
    </row>
    <row r="2522" spans="1:13" x14ac:dyDescent="0.2">
      <c r="A2522" s="113"/>
      <c r="B2522" s="58" t="s">
        <v>6930</v>
      </c>
      <c r="C2522" s="58" t="s">
        <v>1763</v>
      </c>
      <c r="D2522" s="58" t="s">
        <v>6931</v>
      </c>
      <c r="E2522" s="60" t="b">
        <v>1</v>
      </c>
      <c r="F2522" s="80" t="s">
        <v>873</v>
      </c>
      <c r="G2522" s="58" t="s">
        <v>6930</v>
      </c>
      <c r="H2522" s="58" t="s">
        <v>1763</v>
      </c>
      <c r="I2522" s="64" t="s">
        <v>6931</v>
      </c>
      <c r="J2522" s="66"/>
      <c r="K2522" s="66"/>
      <c r="L2522" s="68"/>
      <c r="M2522" s="63" t="str">
        <f>HYPERLINK("http://nsgreg.nga.mil/genc/view?v=865374&amp;end_month=12&amp;end_day=31&amp;end_year=2016","Correlation")</f>
        <v>Correlation</v>
      </c>
    </row>
    <row r="2523" spans="1:13" x14ac:dyDescent="0.2">
      <c r="A2523" s="113"/>
      <c r="B2523" s="58" t="s">
        <v>6932</v>
      </c>
      <c r="C2523" s="58" t="s">
        <v>1763</v>
      </c>
      <c r="D2523" s="58" t="s">
        <v>6933</v>
      </c>
      <c r="E2523" s="60" t="b">
        <v>1</v>
      </c>
      <c r="F2523" s="80" t="s">
        <v>873</v>
      </c>
      <c r="G2523" s="58" t="s">
        <v>6932</v>
      </c>
      <c r="H2523" s="58" t="s">
        <v>1763</v>
      </c>
      <c r="I2523" s="64" t="s">
        <v>6933</v>
      </c>
      <c r="J2523" s="66"/>
      <c r="K2523" s="66"/>
      <c r="L2523" s="68"/>
      <c r="M2523" s="63" t="str">
        <f>HYPERLINK("http://nsgreg.nga.mil/genc/view?v=865371&amp;end_month=12&amp;end_day=31&amp;end_year=2016","Correlation")</f>
        <v>Correlation</v>
      </c>
    </row>
    <row r="2524" spans="1:13" x14ac:dyDescent="0.2">
      <c r="A2524" s="114"/>
      <c r="B2524" s="71" t="s">
        <v>6934</v>
      </c>
      <c r="C2524" s="71" t="s">
        <v>1763</v>
      </c>
      <c r="D2524" s="71" t="s">
        <v>6935</v>
      </c>
      <c r="E2524" s="73" t="b">
        <v>1</v>
      </c>
      <c r="F2524" s="81" t="s">
        <v>873</v>
      </c>
      <c r="G2524" s="71" t="s">
        <v>6934</v>
      </c>
      <c r="H2524" s="71" t="s">
        <v>1763</v>
      </c>
      <c r="I2524" s="74" t="s">
        <v>6935</v>
      </c>
      <c r="J2524" s="76"/>
      <c r="K2524" s="76"/>
      <c r="L2524" s="82"/>
      <c r="M2524" s="77" t="str">
        <f>HYPERLINK("http://nsgreg.nga.mil/genc/view?v=865372&amp;end_month=12&amp;end_day=31&amp;end_year=2016","Correlation")</f>
        <v>Correlation</v>
      </c>
    </row>
    <row r="2525" spans="1:13" x14ac:dyDescent="0.2">
      <c r="A2525" s="112" t="s">
        <v>877</v>
      </c>
      <c r="B2525" s="50" t="s">
        <v>6936</v>
      </c>
      <c r="C2525" s="50" t="s">
        <v>6937</v>
      </c>
      <c r="D2525" s="50" t="s">
        <v>6938</v>
      </c>
      <c r="E2525" s="52" t="b">
        <v>1</v>
      </c>
      <c r="F2525" s="78" t="s">
        <v>877</v>
      </c>
      <c r="G2525" s="50" t="s">
        <v>6939</v>
      </c>
      <c r="H2525" s="50" t="s">
        <v>6937</v>
      </c>
      <c r="I2525" s="53" t="s">
        <v>6938</v>
      </c>
      <c r="J2525" s="55"/>
      <c r="K2525" s="55"/>
      <c r="L2525" s="79"/>
      <c r="M2525" s="56" t="str">
        <f>HYPERLINK("http://nsgreg.nga.mil/genc/view?v=865272&amp;end_month=12&amp;end_day=31&amp;end_year=2016","Correlation")</f>
        <v>Correlation</v>
      </c>
    </row>
    <row r="2526" spans="1:13" x14ac:dyDescent="0.2">
      <c r="A2526" s="113"/>
      <c r="B2526" s="58" t="s">
        <v>6940</v>
      </c>
      <c r="C2526" s="58" t="s">
        <v>6937</v>
      </c>
      <c r="D2526" s="58" t="s">
        <v>6941</v>
      </c>
      <c r="E2526" s="60" t="b">
        <v>1</v>
      </c>
      <c r="F2526" s="80" t="s">
        <v>877</v>
      </c>
      <c r="G2526" s="58" t="s">
        <v>6942</v>
      </c>
      <c r="H2526" s="58" t="s">
        <v>6937</v>
      </c>
      <c r="I2526" s="64" t="s">
        <v>6941</v>
      </c>
      <c r="J2526" s="66"/>
      <c r="K2526" s="66"/>
      <c r="L2526" s="68"/>
      <c r="M2526" s="63" t="str">
        <f>HYPERLINK("http://nsgreg.nga.mil/genc/view?v=865271&amp;end_month=12&amp;end_day=31&amp;end_year=2016","Correlation")</f>
        <v>Correlation</v>
      </c>
    </row>
    <row r="2527" spans="1:13" x14ac:dyDescent="0.2">
      <c r="A2527" s="113"/>
      <c r="B2527" s="58" t="s">
        <v>6943</v>
      </c>
      <c r="C2527" s="58" t="s">
        <v>6937</v>
      </c>
      <c r="D2527" s="58" t="s">
        <v>6944</v>
      </c>
      <c r="E2527" s="60" t="b">
        <v>1</v>
      </c>
      <c r="F2527" s="80" t="s">
        <v>877</v>
      </c>
      <c r="G2527" s="58" t="s">
        <v>6945</v>
      </c>
      <c r="H2527" s="58" t="s">
        <v>6937</v>
      </c>
      <c r="I2527" s="64" t="s">
        <v>6944</v>
      </c>
      <c r="J2527" s="66"/>
      <c r="K2527" s="66"/>
      <c r="L2527" s="68"/>
      <c r="M2527" s="63" t="str">
        <f>HYPERLINK("http://nsgreg.nga.mil/genc/view?v=865273&amp;end_month=12&amp;end_day=31&amp;end_year=2016","Correlation")</f>
        <v>Correlation</v>
      </c>
    </row>
    <row r="2528" spans="1:13" x14ac:dyDescent="0.2">
      <c r="A2528" s="113"/>
      <c r="B2528" s="58" t="s">
        <v>6946</v>
      </c>
      <c r="C2528" s="58" t="s">
        <v>1413</v>
      </c>
      <c r="D2528" s="58" t="s">
        <v>6947</v>
      </c>
      <c r="E2528" s="60" t="b">
        <v>1</v>
      </c>
      <c r="F2528" s="80" t="s">
        <v>877</v>
      </c>
      <c r="G2528" s="58" t="s">
        <v>2896</v>
      </c>
      <c r="H2528" s="58" t="s">
        <v>1413</v>
      </c>
      <c r="I2528" s="64" t="s">
        <v>6947</v>
      </c>
      <c r="J2528" s="66"/>
      <c r="K2528" s="66"/>
      <c r="L2528" s="68"/>
      <c r="M2528" s="63" t="str">
        <f>HYPERLINK("http://nsgreg.nga.mil/genc/view?v=865296&amp;end_month=12&amp;end_day=31&amp;end_year=2016","Correlation")</f>
        <v>Correlation</v>
      </c>
    </row>
    <row r="2529" spans="1:13" x14ac:dyDescent="0.2">
      <c r="A2529" s="113"/>
      <c r="B2529" s="58" t="s">
        <v>6948</v>
      </c>
      <c r="C2529" s="58" t="s">
        <v>6937</v>
      </c>
      <c r="D2529" s="58" t="s">
        <v>6949</v>
      </c>
      <c r="E2529" s="60" t="b">
        <v>1</v>
      </c>
      <c r="F2529" s="80" t="s">
        <v>877</v>
      </c>
      <c r="G2529" s="58" t="s">
        <v>6950</v>
      </c>
      <c r="H2529" s="58" t="s">
        <v>6937</v>
      </c>
      <c r="I2529" s="64" t="s">
        <v>6949</v>
      </c>
      <c r="J2529" s="66"/>
      <c r="K2529" s="66"/>
      <c r="L2529" s="68"/>
      <c r="M2529" s="63" t="str">
        <f>HYPERLINK("http://nsgreg.nga.mil/genc/view?v=865274&amp;end_month=12&amp;end_day=31&amp;end_year=2016","Correlation")</f>
        <v>Correlation</v>
      </c>
    </row>
    <row r="2530" spans="1:13" x14ac:dyDescent="0.2">
      <c r="A2530" s="113"/>
      <c r="B2530" s="58" t="s">
        <v>6951</v>
      </c>
      <c r="C2530" s="58" t="s">
        <v>6937</v>
      </c>
      <c r="D2530" s="58" t="s">
        <v>6952</v>
      </c>
      <c r="E2530" s="60" t="b">
        <v>1</v>
      </c>
      <c r="F2530" s="80" t="s">
        <v>877</v>
      </c>
      <c r="G2530" s="58" t="s">
        <v>6953</v>
      </c>
      <c r="H2530" s="58" t="s">
        <v>6937</v>
      </c>
      <c r="I2530" s="64" t="s">
        <v>6952</v>
      </c>
      <c r="J2530" s="66"/>
      <c r="K2530" s="66"/>
      <c r="L2530" s="68"/>
      <c r="M2530" s="63" t="str">
        <f>HYPERLINK("http://nsgreg.nga.mil/genc/view?v=865275&amp;end_month=12&amp;end_day=31&amp;end_year=2016","Correlation")</f>
        <v>Correlation</v>
      </c>
    </row>
    <row r="2531" spans="1:13" x14ac:dyDescent="0.2">
      <c r="A2531" s="113"/>
      <c r="B2531" s="58" t="s">
        <v>6954</v>
      </c>
      <c r="C2531" s="58" t="s">
        <v>6937</v>
      </c>
      <c r="D2531" s="58" t="s">
        <v>6955</v>
      </c>
      <c r="E2531" s="60" t="b">
        <v>1</v>
      </c>
      <c r="F2531" s="80" t="s">
        <v>877</v>
      </c>
      <c r="G2531" s="58" t="s">
        <v>6956</v>
      </c>
      <c r="H2531" s="58" t="s">
        <v>6937</v>
      </c>
      <c r="I2531" s="64" t="s">
        <v>6955</v>
      </c>
      <c r="J2531" s="66"/>
      <c r="K2531" s="66"/>
      <c r="L2531" s="68"/>
      <c r="M2531" s="63" t="str">
        <f>HYPERLINK("http://nsgreg.nga.mil/genc/view?v=865290&amp;end_month=12&amp;end_day=31&amp;end_year=2016","Correlation")</f>
        <v>Correlation</v>
      </c>
    </row>
    <row r="2532" spans="1:13" x14ac:dyDescent="0.2">
      <c r="A2532" s="113"/>
      <c r="B2532" s="58" t="s">
        <v>6957</v>
      </c>
      <c r="C2532" s="58" t="s">
        <v>6937</v>
      </c>
      <c r="D2532" s="58" t="s">
        <v>6958</v>
      </c>
      <c r="E2532" s="60" t="b">
        <v>1</v>
      </c>
      <c r="F2532" s="80" t="s">
        <v>877</v>
      </c>
      <c r="G2532" s="58" t="s">
        <v>6959</v>
      </c>
      <c r="H2532" s="58" t="s">
        <v>6937</v>
      </c>
      <c r="I2532" s="64" t="s">
        <v>6958</v>
      </c>
      <c r="J2532" s="66"/>
      <c r="K2532" s="66"/>
      <c r="L2532" s="68"/>
      <c r="M2532" s="63" t="str">
        <f>HYPERLINK("http://nsgreg.nga.mil/genc/view?v=865276&amp;end_month=12&amp;end_day=31&amp;end_year=2016","Correlation")</f>
        <v>Correlation</v>
      </c>
    </row>
    <row r="2533" spans="1:13" x14ac:dyDescent="0.2">
      <c r="A2533" s="113"/>
      <c r="B2533" s="58" t="s">
        <v>6960</v>
      </c>
      <c r="C2533" s="58" t="s">
        <v>6937</v>
      </c>
      <c r="D2533" s="58" t="s">
        <v>6961</v>
      </c>
      <c r="E2533" s="60" t="b">
        <v>1</v>
      </c>
      <c r="F2533" s="80" t="s">
        <v>877</v>
      </c>
      <c r="G2533" s="58" t="s">
        <v>6962</v>
      </c>
      <c r="H2533" s="58" t="s">
        <v>6937</v>
      </c>
      <c r="I2533" s="64" t="s">
        <v>6961</v>
      </c>
      <c r="J2533" s="66"/>
      <c r="K2533" s="66"/>
      <c r="L2533" s="68"/>
      <c r="M2533" s="63" t="str">
        <f>HYPERLINK("http://nsgreg.nga.mil/genc/view?v=865289&amp;end_month=12&amp;end_day=31&amp;end_year=2016","Correlation")</f>
        <v>Correlation</v>
      </c>
    </row>
    <row r="2534" spans="1:13" x14ac:dyDescent="0.2">
      <c r="A2534" s="113"/>
      <c r="B2534" s="58" t="s">
        <v>6963</v>
      </c>
      <c r="C2534" s="58" t="s">
        <v>6937</v>
      </c>
      <c r="D2534" s="58" t="s">
        <v>6964</v>
      </c>
      <c r="E2534" s="60" t="b">
        <v>1</v>
      </c>
      <c r="F2534" s="80" t="s">
        <v>877</v>
      </c>
      <c r="G2534" s="58" t="s">
        <v>6965</v>
      </c>
      <c r="H2534" s="58" t="s">
        <v>6937</v>
      </c>
      <c r="I2534" s="64" t="s">
        <v>6964</v>
      </c>
      <c r="J2534" s="66"/>
      <c r="K2534" s="66"/>
      <c r="L2534" s="68"/>
      <c r="M2534" s="63" t="str">
        <f>HYPERLINK("http://nsgreg.nga.mil/genc/view?v=865288&amp;end_month=12&amp;end_day=31&amp;end_year=2016","Correlation")</f>
        <v>Correlation</v>
      </c>
    </row>
    <row r="2535" spans="1:13" x14ac:dyDescent="0.2">
      <c r="A2535" s="113"/>
      <c r="B2535" s="58" t="s">
        <v>6966</v>
      </c>
      <c r="C2535" s="58" t="s">
        <v>6937</v>
      </c>
      <c r="D2535" s="58" t="s">
        <v>6967</v>
      </c>
      <c r="E2535" s="60" t="b">
        <v>1</v>
      </c>
      <c r="F2535" s="80" t="s">
        <v>877</v>
      </c>
      <c r="G2535" s="58" t="s">
        <v>6968</v>
      </c>
      <c r="H2535" s="58" t="s">
        <v>6937</v>
      </c>
      <c r="I2535" s="64" t="s">
        <v>6967</v>
      </c>
      <c r="J2535" s="66"/>
      <c r="K2535" s="66"/>
      <c r="L2535" s="68"/>
      <c r="M2535" s="63" t="str">
        <f>HYPERLINK("http://nsgreg.nga.mil/genc/view?v=865278&amp;end_month=12&amp;end_day=31&amp;end_year=2016","Correlation")</f>
        <v>Correlation</v>
      </c>
    </row>
    <row r="2536" spans="1:13" x14ac:dyDescent="0.2">
      <c r="A2536" s="113"/>
      <c r="B2536" s="58" t="s">
        <v>6969</v>
      </c>
      <c r="C2536" s="58" t="s">
        <v>1816</v>
      </c>
      <c r="D2536" s="58" t="s">
        <v>6970</v>
      </c>
      <c r="E2536" s="60" t="b">
        <v>1</v>
      </c>
      <c r="F2536" s="80" t="s">
        <v>877</v>
      </c>
      <c r="G2536" s="58" t="s">
        <v>6971</v>
      </c>
      <c r="H2536" s="58" t="s">
        <v>6972</v>
      </c>
      <c r="I2536" s="64" t="s">
        <v>6970</v>
      </c>
      <c r="J2536" s="66"/>
      <c r="K2536" s="66"/>
      <c r="L2536" s="68"/>
      <c r="M2536" s="63" t="str">
        <f>HYPERLINK("http://nsgreg.nga.mil/genc/view?v=865292&amp;end_month=12&amp;end_day=31&amp;end_year=2016","Correlation")</f>
        <v>Correlation</v>
      </c>
    </row>
    <row r="2537" spans="1:13" x14ac:dyDescent="0.2">
      <c r="A2537" s="113"/>
      <c r="B2537" s="58" t="s">
        <v>6973</v>
      </c>
      <c r="C2537" s="58" t="s">
        <v>6937</v>
      </c>
      <c r="D2537" s="58" t="s">
        <v>6974</v>
      </c>
      <c r="E2537" s="60" t="b">
        <v>1</v>
      </c>
      <c r="F2537" s="80" t="s">
        <v>877</v>
      </c>
      <c r="G2537" s="58" t="s">
        <v>6975</v>
      </c>
      <c r="H2537" s="58" t="s">
        <v>6937</v>
      </c>
      <c r="I2537" s="64" t="s">
        <v>6974</v>
      </c>
      <c r="J2537" s="66"/>
      <c r="K2537" s="66"/>
      <c r="L2537" s="68"/>
      <c r="M2537" s="63" t="str">
        <f>HYPERLINK("http://nsgreg.nga.mil/genc/view?v=865287&amp;end_month=12&amp;end_day=31&amp;end_year=2016","Correlation")</f>
        <v>Correlation</v>
      </c>
    </row>
    <row r="2538" spans="1:13" x14ac:dyDescent="0.2">
      <c r="A2538" s="113"/>
      <c r="B2538" s="58" t="s">
        <v>6976</v>
      </c>
      <c r="C2538" s="58" t="s">
        <v>6937</v>
      </c>
      <c r="D2538" s="58" t="s">
        <v>6977</v>
      </c>
      <c r="E2538" s="60" t="b">
        <v>1</v>
      </c>
      <c r="F2538" s="80" t="s">
        <v>877</v>
      </c>
      <c r="G2538" s="58" t="s">
        <v>6978</v>
      </c>
      <c r="H2538" s="58" t="s">
        <v>6937</v>
      </c>
      <c r="I2538" s="64" t="s">
        <v>6977</v>
      </c>
      <c r="J2538" s="66"/>
      <c r="K2538" s="66"/>
      <c r="L2538" s="68"/>
      <c r="M2538" s="63" t="str">
        <f>HYPERLINK("http://nsgreg.nga.mil/genc/view?v=865283&amp;end_month=12&amp;end_day=31&amp;end_year=2016","Correlation")</f>
        <v>Correlation</v>
      </c>
    </row>
    <row r="2539" spans="1:13" x14ac:dyDescent="0.2">
      <c r="A2539" s="113"/>
      <c r="B2539" s="58" t="s">
        <v>6979</v>
      </c>
      <c r="C2539" s="58" t="s">
        <v>6937</v>
      </c>
      <c r="D2539" s="58" t="s">
        <v>6980</v>
      </c>
      <c r="E2539" s="60" t="b">
        <v>1</v>
      </c>
      <c r="F2539" s="80" t="s">
        <v>877</v>
      </c>
      <c r="G2539" s="58" t="s">
        <v>6981</v>
      </c>
      <c r="H2539" s="58" t="s">
        <v>6937</v>
      </c>
      <c r="I2539" s="64" t="s">
        <v>6980</v>
      </c>
      <c r="J2539" s="66"/>
      <c r="K2539" s="66"/>
      <c r="L2539" s="68"/>
      <c r="M2539" s="63" t="str">
        <f>HYPERLINK("http://nsgreg.nga.mil/genc/view?v=865280&amp;end_month=12&amp;end_day=31&amp;end_year=2016","Correlation")</f>
        <v>Correlation</v>
      </c>
    </row>
    <row r="2540" spans="1:13" x14ac:dyDescent="0.2">
      <c r="A2540" s="113"/>
      <c r="B2540" s="58" t="s">
        <v>6982</v>
      </c>
      <c r="C2540" s="58" t="s">
        <v>1413</v>
      </c>
      <c r="D2540" s="58" t="s">
        <v>6983</v>
      </c>
      <c r="E2540" s="60" t="b">
        <v>1</v>
      </c>
      <c r="F2540" s="80" t="s">
        <v>877</v>
      </c>
      <c r="G2540" s="58" t="s">
        <v>6984</v>
      </c>
      <c r="H2540" s="58" t="s">
        <v>1413</v>
      </c>
      <c r="I2540" s="64" t="s">
        <v>6983</v>
      </c>
      <c r="J2540" s="66"/>
      <c r="K2540" s="66"/>
      <c r="L2540" s="68"/>
      <c r="M2540" s="63" t="str">
        <f>HYPERLINK("http://nsgreg.nga.mil/genc/view?v=865298&amp;end_month=12&amp;end_day=31&amp;end_year=2016","Correlation")</f>
        <v>Correlation</v>
      </c>
    </row>
    <row r="2541" spans="1:13" x14ac:dyDescent="0.2">
      <c r="A2541" s="113"/>
      <c r="B2541" s="58" t="s">
        <v>6985</v>
      </c>
      <c r="C2541" s="58" t="s">
        <v>1413</v>
      </c>
      <c r="D2541" s="58" t="s">
        <v>6986</v>
      </c>
      <c r="E2541" s="60" t="b">
        <v>1</v>
      </c>
      <c r="F2541" s="80" t="s">
        <v>877</v>
      </c>
      <c r="G2541" s="58" t="s">
        <v>6987</v>
      </c>
      <c r="H2541" s="58" t="s">
        <v>1413</v>
      </c>
      <c r="I2541" s="64" t="s">
        <v>6986</v>
      </c>
      <c r="J2541" s="66"/>
      <c r="K2541" s="66"/>
      <c r="L2541" s="68"/>
      <c r="M2541" s="63" t="str">
        <f>HYPERLINK("http://nsgreg.nga.mil/genc/view?v=865297&amp;end_month=12&amp;end_day=31&amp;end_year=2016","Correlation")</f>
        <v>Correlation</v>
      </c>
    </row>
    <row r="2542" spans="1:13" x14ac:dyDescent="0.2">
      <c r="A2542" s="113"/>
      <c r="B2542" s="58" t="s">
        <v>6988</v>
      </c>
      <c r="C2542" s="58" t="s">
        <v>1413</v>
      </c>
      <c r="D2542" s="58" t="s">
        <v>6989</v>
      </c>
      <c r="E2542" s="60" t="b">
        <v>1</v>
      </c>
      <c r="F2542" s="80" t="s">
        <v>877</v>
      </c>
      <c r="G2542" s="58" t="s">
        <v>2411</v>
      </c>
      <c r="H2542" s="58" t="s">
        <v>1413</v>
      </c>
      <c r="I2542" s="64" t="s">
        <v>6989</v>
      </c>
      <c r="J2542" s="66"/>
      <c r="K2542" s="66"/>
      <c r="L2542" s="68"/>
      <c r="M2542" s="63" t="str">
        <f>HYPERLINK("http://nsgreg.nga.mil/genc/view?v=865291&amp;end_month=12&amp;end_day=31&amp;end_year=2016","Correlation")</f>
        <v>Correlation</v>
      </c>
    </row>
    <row r="2543" spans="1:13" x14ac:dyDescent="0.2">
      <c r="A2543" s="113"/>
      <c r="B2543" s="58" t="s">
        <v>6990</v>
      </c>
      <c r="C2543" s="58" t="s">
        <v>1413</v>
      </c>
      <c r="D2543" s="58" t="s">
        <v>6991</v>
      </c>
      <c r="E2543" s="60" t="b">
        <v>1</v>
      </c>
      <c r="F2543" s="80" t="s">
        <v>877</v>
      </c>
      <c r="G2543" s="58" t="s">
        <v>6992</v>
      </c>
      <c r="H2543" s="58" t="s">
        <v>1413</v>
      </c>
      <c r="I2543" s="64" t="s">
        <v>6991</v>
      </c>
      <c r="J2543" s="66"/>
      <c r="K2543" s="66"/>
      <c r="L2543" s="68"/>
      <c r="M2543" s="63" t="str">
        <f>HYPERLINK("http://nsgreg.nga.mil/genc/view?v=865295&amp;end_month=12&amp;end_day=31&amp;end_year=2016","Correlation")</f>
        <v>Correlation</v>
      </c>
    </row>
    <row r="2544" spans="1:13" x14ac:dyDescent="0.2">
      <c r="A2544" s="113"/>
      <c r="B2544" s="58" t="s">
        <v>6993</v>
      </c>
      <c r="C2544" s="58" t="s">
        <v>1413</v>
      </c>
      <c r="D2544" s="58" t="s">
        <v>6994</v>
      </c>
      <c r="E2544" s="60" t="b">
        <v>1</v>
      </c>
      <c r="F2544" s="80" t="s">
        <v>877</v>
      </c>
      <c r="G2544" s="58" t="s">
        <v>6995</v>
      </c>
      <c r="H2544" s="58" t="s">
        <v>1413</v>
      </c>
      <c r="I2544" s="64" t="s">
        <v>6994</v>
      </c>
      <c r="J2544" s="66"/>
      <c r="K2544" s="66"/>
      <c r="L2544" s="68"/>
      <c r="M2544" s="63" t="str">
        <f>HYPERLINK("http://nsgreg.nga.mil/genc/view?v=865293&amp;end_month=12&amp;end_day=31&amp;end_year=2016","Correlation")</f>
        <v>Correlation</v>
      </c>
    </row>
    <row r="2545" spans="1:13" x14ac:dyDescent="0.2">
      <c r="A2545" s="113"/>
      <c r="B2545" s="58" t="s">
        <v>6996</v>
      </c>
      <c r="C2545" s="58" t="s">
        <v>6937</v>
      </c>
      <c r="D2545" s="58" t="s">
        <v>6997</v>
      </c>
      <c r="E2545" s="60" t="b">
        <v>1</v>
      </c>
      <c r="F2545" s="80" t="s">
        <v>877</v>
      </c>
      <c r="G2545" s="58" t="s">
        <v>6998</v>
      </c>
      <c r="H2545" s="58" t="s">
        <v>6937</v>
      </c>
      <c r="I2545" s="64" t="s">
        <v>6997</v>
      </c>
      <c r="J2545" s="66"/>
      <c r="K2545" s="66"/>
      <c r="L2545" s="68"/>
      <c r="M2545" s="63" t="str">
        <f>HYPERLINK("http://nsgreg.nga.mil/genc/view?v=865286&amp;end_month=12&amp;end_day=31&amp;end_year=2016","Correlation")</f>
        <v>Correlation</v>
      </c>
    </row>
    <row r="2546" spans="1:13" x14ac:dyDescent="0.2">
      <c r="A2546" s="113"/>
      <c r="B2546" s="58" t="s">
        <v>6999</v>
      </c>
      <c r="C2546" s="58" t="s">
        <v>6937</v>
      </c>
      <c r="D2546" s="58" t="s">
        <v>7000</v>
      </c>
      <c r="E2546" s="60" t="b">
        <v>1</v>
      </c>
      <c r="F2546" s="80" t="s">
        <v>877</v>
      </c>
      <c r="G2546" s="58" t="s">
        <v>7001</v>
      </c>
      <c r="H2546" s="58" t="s">
        <v>6937</v>
      </c>
      <c r="I2546" s="64" t="s">
        <v>7000</v>
      </c>
      <c r="J2546" s="66"/>
      <c r="K2546" s="66"/>
      <c r="L2546" s="68"/>
      <c r="M2546" s="63" t="str">
        <f>HYPERLINK("http://nsgreg.nga.mil/genc/view?v=865285&amp;end_month=12&amp;end_day=31&amp;end_year=2016","Correlation")</f>
        <v>Correlation</v>
      </c>
    </row>
    <row r="2547" spans="1:13" x14ac:dyDescent="0.2">
      <c r="A2547" s="113"/>
      <c r="B2547" s="58" t="s">
        <v>7002</v>
      </c>
      <c r="C2547" s="58" t="s">
        <v>6937</v>
      </c>
      <c r="D2547" s="58" t="s">
        <v>7003</v>
      </c>
      <c r="E2547" s="60" t="b">
        <v>1</v>
      </c>
      <c r="F2547" s="80" t="s">
        <v>877</v>
      </c>
      <c r="G2547" s="58" t="s">
        <v>7004</v>
      </c>
      <c r="H2547" s="58" t="s">
        <v>6937</v>
      </c>
      <c r="I2547" s="64" t="s">
        <v>7003</v>
      </c>
      <c r="J2547" s="66"/>
      <c r="K2547" s="66"/>
      <c r="L2547" s="68"/>
      <c r="M2547" s="63" t="str">
        <f>HYPERLINK("http://nsgreg.nga.mil/genc/view?v=865279&amp;end_month=12&amp;end_day=31&amp;end_year=2016","Correlation")</f>
        <v>Correlation</v>
      </c>
    </row>
    <row r="2548" spans="1:13" x14ac:dyDescent="0.2">
      <c r="A2548" s="113"/>
      <c r="B2548" s="58" t="s">
        <v>7005</v>
      </c>
      <c r="C2548" s="58" t="s">
        <v>6937</v>
      </c>
      <c r="D2548" s="58" t="s">
        <v>7006</v>
      </c>
      <c r="E2548" s="60" t="b">
        <v>1</v>
      </c>
      <c r="F2548" s="80" t="s">
        <v>877</v>
      </c>
      <c r="G2548" s="58" t="s">
        <v>7007</v>
      </c>
      <c r="H2548" s="58" t="s">
        <v>6937</v>
      </c>
      <c r="I2548" s="64" t="s">
        <v>7006</v>
      </c>
      <c r="J2548" s="66"/>
      <c r="K2548" s="66"/>
      <c r="L2548" s="68"/>
      <c r="M2548" s="63" t="str">
        <f>HYPERLINK("http://nsgreg.nga.mil/genc/view?v=865282&amp;end_month=12&amp;end_day=31&amp;end_year=2016","Correlation")</f>
        <v>Correlation</v>
      </c>
    </row>
    <row r="2549" spans="1:13" x14ac:dyDescent="0.2">
      <c r="A2549" s="113"/>
      <c r="B2549" s="58" t="s">
        <v>7008</v>
      </c>
      <c r="C2549" s="58" t="s">
        <v>6937</v>
      </c>
      <c r="D2549" s="58" t="s">
        <v>7009</v>
      </c>
      <c r="E2549" s="60" t="b">
        <v>1</v>
      </c>
      <c r="F2549" s="80" t="s">
        <v>877</v>
      </c>
      <c r="G2549" s="58" t="s">
        <v>7010</v>
      </c>
      <c r="H2549" s="58" t="s">
        <v>6937</v>
      </c>
      <c r="I2549" s="64" t="s">
        <v>7009</v>
      </c>
      <c r="J2549" s="66"/>
      <c r="K2549" s="66"/>
      <c r="L2549" s="68"/>
      <c r="M2549" s="63" t="str">
        <f>HYPERLINK("http://nsgreg.nga.mil/genc/view?v=865281&amp;end_month=12&amp;end_day=31&amp;end_year=2016","Correlation")</f>
        <v>Correlation</v>
      </c>
    </row>
    <row r="2550" spans="1:13" x14ac:dyDescent="0.2">
      <c r="A2550" s="113"/>
      <c r="B2550" s="58" t="s">
        <v>7011</v>
      </c>
      <c r="C2550" s="58" t="s">
        <v>6937</v>
      </c>
      <c r="D2550" s="58" t="s">
        <v>7012</v>
      </c>
      <c r="E2550" s="60" t="b">
        <v>1</v>
      </c>
      <c r="F2550" s="80" t="s">
        <v>877</v>
      </c>
      <c r="G2550" s="58" t="s">
        <v>7013</v>
      </c>
      <c r="H2550" s="58" t="s">
        <v>6937</v>
      </c>
      <c r="I2550" s="64" t="s">
        <v>7012</v>
      </c>
      <c r="J2550" s="66"/>
      <c r="K2550" s="66"/>
      <c r="L2550" s="68"/>
      <c r="M2550" s="63" t="str">
        <f>HYPERLINK("http://nsgreg.nga.mil/genc/view?v=865284&amp;end_month=12&amp;end_day=31&amp;end_year=2016","Correlation")</f>
        <v>Correlation</v>
      </c>
    </row>
    <row r="2551" spans="1:13" x14ac:dyDescent="0.2">
      <c r="A2551" s="113"/>
      <c r="B2551" s="58" t="s">
        <v>7014</v>
      </c>
      <c r="C2551" s="58" t="s">
        <v>6937</v>
      </c>
      <c r="D2551" s="58" t="s">
        <v>7015</v>
      </c>
      <c r="E2551" s="60" t="b">
        <v>1</v>
      </c>
      <c r="F2551" s="80" t="s">
        <v>877</v>
      </c>
      <c r="G2551" s="58" t="s">
        <v>7016</v>
      </c>
      <c r="H2551" s="58" t="s">
        <v>6937</v>
      </c>
      <c r="I2551" s="64" t="s">
        <v>7015</v>
      </c>
      <c r="J2551" s="66"/>
      <c r="K2551" s="66"/>
      <c r="L2551" s="68"/>
      <c r="M2551" s="63" t="str">
        <f>HYPERLINK("http://nsgreg.nga.mil/genc/view?v=865277&amp;end_month=12&amp;end_day=31&amp;end_year=2016","Correlation")</f>
        <v>Correlation</v>
      </c>
    </row>
    <row r="2552" spans="1:13" x14ac:dyDescent="0.2">
      <c r="A2552" s="114"/>
      <c r="B2552" s="71" t="s">
        <v>7017</v>
      </c>
      <c r="C2552" s="71" t="s">
        <v>1413</v>
      </c>
      <c r="D2552" s="71" t="s">
        <v>7018</v>
      </c>
      <c r="E2552" s="73" t="b">
        <v>1</v>
      </c>
      <c r="F2552" s="81" t="s">
        <v>877</v>
      </c>
      <c r="G2552" s="71" t="s">
        <v>2886</v>
      </c>
      <c r="H2552" s="71" t="s">
        <v>1413</v>
      </c>
      <c r="I2552" s="74" t="s">
        <v>7018</v>
      </c>
      <c r="J2552" s="76"/>
      <c r="K2552" s="76"/>
      <c r="L2552" s="82"/>
      <c r="M2552" s="77" t="str">
        <f>HYPERLINK("http://nsgreg.nga.mil/genc/view?v=865294&amp;end_month=12&amp;end_day=31&amp;end_year=2016","Correlation")</f>
        <v>Correlation</v>
      </c>
    </row>
    <row r="2553" spans="1:13" x14ac:dyDescent="0.2">
      <c r="A2553" s="112" t="s">
        <v>881</v>
      </c>
      <c r="B2553" s="50" t="s">
        <v>7019</v>
      </c>
      <c r="C2553" s="50" t="s">
        <v>1796</v>
      </c>
      <c r="D2553" s="50" t="s">
        <v>7020</v>
      </c>
      <c r="E2553" s="52" t="b">
        <v>1</v>
      </c>
      <c r="F2553" s="78" t="s">
        <v>881</v>
      </c>
      <c r="G2553" s="50" t="s">
        <v>7019</v>
      </c>
      <c r="H2553" s="50" t="s">
        <v>1796</v>
      </c>
      <c r="I2553" s="53" t="s">
        <v>7020</v>
      </c>
      <c r="J2553" s="55"/>
      <c r="K2553" s="55"/>
      <c r="L2553" s="79"/>
      <c r="M2553" s="56" t="str">
        <f>HYPERLINK("http://nsgreg.nga.mil/genc/view?v=865130&amp;end_month=12&amp;end_day=31&amp;end_year=2016","Correlation")</f>
        <v>Correlation</v>
      </c>
    </row>
    <row r="2554" spans="1:13" x14ac:dyDescent="0.2">
      <c r="A2554" s="113"/>
      <c r="B2554" s="58" t="s">
        <v>7021</v>
      </c>
      <c r="C2554" s="58" t="s">
        <v>1728</v>
      </c>
      <c r="D2554" s="58" t="s">
        <v>7022</v>
      </c>
      <c r="E2554" s="60" t="b">
        <v>1</v>
      </c>
      <c r="F2554" s="80" t="s">
        <v>881</v>
      </c>
      <c r="G2554" s="58" t="s">
        <v>7021</v>
      </c>
      <c r="H2554" s="58" t="s">
        <v>1728</v>
      </c>
      <c r="I2554" s="64" t="s">
        <v>7022</v>
      </c>
      <c r="J2554" s="66"/>
      <c r="K2554" s="66"/>
      <c r="L2554" s="68"/>
      <c r="M2554" s="63" t="str">
        <f>HYPERLINK("http://nsgreg.nga.mil/genc/view?v=865128&amp;end_month=12&amp;end_day=31&amp;end_year=2016","Correlation")</f>
        <v>Correlation</v>
      </c>
    </row>
    <row r="2555" spans="1:13" x14ac:dyDescent="0.2">
      <c r="A2555" s="113"/>
      <c r="B2555" s="58" t="s">
        <v>7023</v>
      </c>
      <c r="C2555" s="58" t="s">
        <v>1728</v>
      </c>
      <c r="D2555" s="58" t="s">
        <v>7024</v>
      </c>
      <c r="E2555" s="60" t="b">
        <v>1</v>
      </c>
      <c r="F2555" s="80" t="s">
        <v>881</v>
      </c>
      <c r="G2555" s="58" t="s">
        <v>7023</v>
      </c>
      <c r="H2555" s="58" t="s">
        <v>1728</v>
      </c>
      <c r="I2555" s="64" t="s">
        <v>7024</v>
      </c>
      <c r="J2555" s="66"/>
      <c r="K2555" s="66"/>
      <c r="L2555" s="68"/>
      <c r="M2555" s="63" t="str">
        <f>HYPERLINK("http://nsgreg.nga.mil/genc/view?v=865122&amp;end_month=12&amp;end_day=31&amp;end_year=2016","Correlation")</f>
        <v>Correlation</v>
      </c>
    </row>
    <row r="2556" spans="1:13" x14ac:dyDescent="0.2">
      <c r="A2556" s="113"/>
      <c r="B2556" s="58" t="s">
        <v>7025</v>
      </c>
      <c r="C2556" s="58" t="s">
        <v>1728</v>
      </c>
      <c r="D2556" s="58" t="s">
        <v>7026</v>
      </c>
      <c r="E2556" s="60" t="b">
        <v>1</v>
      </c>
      <c r="F2556" s="80" t="s">
        <v>881</v>
      </c>
      <c r="G2556" s="58" t="s">
        <v>7025</v>
      </c>
      <c r="H2556" s="58" t="s">
        <v>1728</v>
      </c>
      <c r="I2556" s="64" t="s">
        <v>7026</v>
      </c>
      <c r="J2556" s="66"/>
      <c r="K2556" s="66"/>
      <c r="L2556" s="68"/>
      <c r="M2556" s="63" t="str">
        <f>HYPERLINK("http://nsgreg.nga.mil/genc/view?v=865129&amp;end_month=12&amp;end_day=31&amp;end_year=2016","Correlation")</f>
        <v>Correlation</v>
      </c>
    </row>
    <row r="2557" spans="1:13" x14ac:dyDescent="0.2">
      <c r="A2557" s="113"/>
      <c r="B2557" s="58" t="s">
        <v>7027</v>
      </c>
      <c r="C2557" s="58" t="s">
        <v>1728</v>
      </c>
      <c r="D2557" s="58" t="s">
        <v>7028</v>
      </c>
      <c r="E2557" s="60" t="b">
        <v>1</v>
      </c>
      <c r="F2557" s="80" t="s">
        <v>881</v>
      </c>
      <c r="G2557" s="58" t="s">
        <v>7027</v>
      </c>
      <c r="H2557" s="58" t="s">
        <v>1728</v>
      </c>
      <c r="I2557" s="64" t="s">
        <v>7028</v>
      </c>
      <c r="J2557" s="66"/>
      <c r="K2557" s="66"/>
      <c r="L2557" s="68"/>
      <c r="M2557" s="63" t="str">
        <f>HYPERLINK("http://nsgreg.nga.mil/genc/view?v=865123&amp;end_month=12&amp;end_day=31&amp;end_year=2016","Correlation")</f>
        <v>Correlation</v>
      </c>
    </row>
    <row r="2558" spans="1:13" x14ac:dyDescent="0.2">
      <c r="A2558" s="113"/>
      <c r="B2558" s="58" t="s">
        <v>7029</v>
      </c>
      <c r="C2558" s="58" t="s">
        <v>1728</v>
      </c>
      <c r="D2558" s="58" t="s">
        <v>7030</v>
      </c>
      <c r="E2558" s="60" t="b">
        <v>1</v>
      </c>
      <c r="F2558" s="80" t="s">
        <v>881</v>
      </c>
      <c r="G2558" s="58" t="s">
        <v>7029</v>
      </c>
      <c r="H2558" s="58" t="s">
        <v>1728</v>
      </c>
      <c r="I2558" s="64" t="s">
        <v>7030</v>
      </c>
      <c r="J2558" s="66"/>
      <c r="K2558" s="66"/>
      <c r="L2558" s="68"/>
      <c r="M2558" s="63" t="str">
        <f>HYPERLINK("http://nsgreg.nga.mil/genc/view?v=865126&amp;end_month=12&amp;end_day=31&amp;end_year=2016","Correlation")</f>
        <v>Correlation</v>
      </c>
    </row>
    <row r="2559" spans="1:13" x14ac:dyDescent="0.2">
      <c r="A2559" s="113"/>
      <c r="B2559" s="58" t="s">
        <v>7031</v>
      </c>
      <c r="C2559" s="58" t="s">
        <v>1728</v>
      </c>
      <c r="D2559" s="58" t="s">
        <v>7032</v>
      </c>
      <c r="E2559" s="60" t="b">
        <v>1</v>
      </c>
      <c r="F2559" s="80" t="s">
        <v>881</v>
      </c>
      <c r="G2559" s="58" t="s">
        <v>7031</v>
      </c>
      <c r="H2559" s="58" t="s">
        <v>1728</v>
      </c>
      <c r="I2559" s="64" t="s">
        <v>7032</v>
      </c>
      <c r="J2559" s="66"/>
      <c r="K2559" s="66"/>
      <c r="L2559" s="68"/>
      <c r="M2559" s="63" t="str">
        <f>HYPERLINK("http://nsgreg.nga.mil/genc/view?v=865125&amp;end_month=12&amp;end_day=31&amp;end_year=2016","Correlation")</f>
        <v>Correlation</v>
      </c>
    </row>
    <row r="2560" spans="1:13" x14ac:dyDescent="0.2">
      <c r="A2560" s="113"/>
      <c r="B2560" s="58" t="s">
        <v>7033</v>
      </c>
      <c r="C2560" s="58" t="s">
        <v>1728</v>
      </c>
      <c r="D2560" s="58" t="s">
        <v>7034</v>
      </c>
      <c r="E2560" s="60" t="b">
        <v>1</v>
      </c>
      <c r="F2560" s="80" t="s">
        <v>881</v>
      </c>
      <c r="G2560" s="58" t="s">
        <v>7033</v>
      </c>
      <c r="H2560" s="58" t="s">
        <v>1728</v>
      </c>
      <c r="I2560" s="64" t="s">
        <v>7034</v>
      </c>
      <c r="J2560" s="66"/>
      <c r="K2560" s="66"/>
      <c r="L2560" s="68"/>
      <c r="M2560" s="63" t="str">
        <f>HYPERLINK("http://nsgreg.nga.mil/genc/view?v=865124&amp;end_month=12&amp;end_day=31&amp;end_year=2016","Correlation")</f>
        <v>Correlation</v>
      </c>
    </row>
    <row r="2561" spans="1:13" x14ac:dyDescent="0.2">
      <c r="A2561" s="114"/>
      <c r="B2561" s="71" t="s">
        <v>7035</v>
      </c>
      <c r="C2561" s="71" t="s">
        <v>1728</v>
      </c>
      <c r="D2561" s="71" t="s">
        <v>7036</v>
      </c>
      <c r="E2561" s="73" t="b">
        <v>1</v>
      </c>
      <c r="F2561" s="81" t="s">
        <v>881</v>
      </c>
      <c r="G2561" s="71" t="s">
        <v>7035</v>
      </c>
      <c r="H2561" s="71" t="s">
        <v>1728</v>
      </c>
      <c r="I2561" s="74" t="s">
        <v>7036</v>
      </c>
      <c r="J2561" s="76"/>
      <c r="K2561" s="76"/>
      <c r="L2561" s="82"/>
      <c r="M2561" s="77" t="str">
        <f>HYPERLINK("http://nsgreg.nga.mil/genc/view?v=865127&amp;end_month=12&amp;end_day=31&amp;end_year=2016","Correlation")</f>
        <v>Correlation</v>
      </c>
    </row>
    <row r="2562" spans="1:13" x14ac:dyDescent="0.2">
      <c r="A2562" s="112" t="s">
        <v>885</v>
      </c>
      <c r="B2562" s="50" t="s">
        <v>7037</v>
      </c>
      <c r="C2562" s="50" t="s">
        <v>7038</v>
      </c>
      <c r="D2562" s="50" t="s">
        <v>7039</v>
      </c>
      <c r="E2562" s="52" t="b">
        <v>1</v>
      </c>
      <c r="F2562" s="78" t="s">
        <v>885</v>
      </c>
      <c r="G2562" s="50" t="s">
        <v>7037</v>
      </c>
      <c r="H2562" s="50" t="s">
        <v>7040</v>
      </c>
      <c r="I2562" s="53" t="s">
        <v>7039</v>
      </c>
      <c r="J2562" s="55"/>
      <c r="K2562" s="55"/>
      <c r="L2562" s="79"/>
      <c r="M2562" s="56" t="str">
        <f>HYPERLINK("http://nsgreg.nga.mil/genc/view?v=865186&amp;end_month=12&amp;end_day=31&amp;end_year=2016","Correlation")</f>
        <v>Correlation</v>
      </c>
    </row>
    <row r="2563" spans="1:13" x14ac:dyDescent="0.2">
      <c r="A2563" s="113"/>
      <c r="B2563" s="58" t="s">
        <v>7041</v>
      </c>
      <c r="C2563" s="58" t="s">
        <v>7038</v>
      </c>
      <c r="D2563" s="58" t="s">
        <v>7042</v>
      </c>
      <c r="E2563" s="60" t="b">
        <v>1</v>
      </c>
      <c r="F2563" s="80" t="s">
        <v>885</v>
      </c>
      <c r="G2563" s="58" t="s">
        <v>7041</v>
      </c>
      <c r="H2563" s="58" t="s">
        <v>7040</v>
      </c>
      <c r="I2563" s="64" t="s">
        <v>7042</v>
      </c>
      <c r="J2563" s="66"/>
      <c r="K2563" s="66"/>
      <c r="L2563" s="68"/>
      <c r="M2563" s="63" t="str">
        <f>HYPERLINK("http://nsgreg.nga.mil/genc/view?v=865187&amp;end_month=12&amp;end_day=31&amp;end_year=2016","Correlation")</f>
        <v>Correlation</v>
      </c>
    </row>
    <row r="2564" spans="1:13" x14ac:dyDescent="0.2">
      <c r="A2564" s="113"/>
      <c r="B2564" s="58" t="s">
        <v>7043</v>
      </c>
      <c r="C2564" s="58" t="s">
        <v>7038</v>
      </c>
      <c r="D2564" s="58" t="s">
        <v>7044</v>
      </c>
      <c r="E2564" s="60" t="b">
        <v>1</v>
      </c>
      <c r="F2564" s="80" t="s">
        <v>885</v>
      </c>
      <c r="G2564" s="58" t="s">
        <v>7043</v>
      </c>
      <c r="H2564" s="58" t="s">
        <v>7040</v>
      </c>
      <c r="I2564" s="64" t="s">
        <v>7044</v>
      </c>
      <c r="J2564" s="66"/>
      <c r="K2564" s="66"/>
      <c r="L2564" s="68"/>
      <c r="M2564" s="63" t="str">
        <f>HYPERLINK("http://nsgreg.nga.mil/genc/view?v=865188&amp;end_month=12&amp;end_day=31&amp;end_year=2016","Correlation")</f>
        <v>Correlation</v>
      </c>
    </row>
    <row r="2565" spans="1:13" x14ac:dyDescent="0.2">
      <c r="A2565" s="113"/>
      <c r="B2565" s="58" t="s">
        <v>7045</v>
      </c>
      <c r="C2565" s="58" t="s">
        <v>7038</v>
      </c>
      <c r="D2565" s="58" t="s">
        <v>7046</v>
      </c>
      <c r="E2565" s="60" t="b">
        <v>1</v>
      </c>
      <c r="F2565" s="80" t="s">
        <v>885</v>
      </c>
      <c r="G2565" s="58" t="s">
        <v>7045</v>
      </c>
      <c r="H2565" s="58" t="s">
        <v>7040</v>
      </c>
      <c r="I2565" s="64" t="s">
        <v>7046</v>
      </c>
      <c r="J2565" s="66"/>
      <c r="K2565" s="66"/>
      <c r="L2565" s="68"/>
      <c r="M2565" s="63" t="str">
        <f>HYPERLINK("http://nsgreg.nga.mil/genc/view?v=865189&amp;end_month=12&amp;end_day=31&amp;end_year=2016","Correlation")</f>
        <v>Correlation</v>
      </c>
    </row>
    <row r="2566" spans="1:13" x14ac:dyDescent="0.2">
      <c r="A2566" s="113"/>
      <c r="B2566" s="58" t="s">
        <v>7047</v>
      </c>
      <c r="C2566" s="58" t="s">
        <v>7038</v>
      </c>
      <c r="D2566" s="58" t="s">
        <v>7048</v>
      </c>
      <c r="E2566" s="60" t="b">
        <v>1</v>
      </c>
      <c r="F2566" s="80" t="s">
        <v>885</v>
      </c>
      <c r="G2566" s="58" t="s">
        <v>7047</v>
      </c>
      <c r="H2566" s="58" t="s">
        <v>7040</v>
      </c>
      <c r="I2566" s="64" t="s">
        <v>7048</v>
      </c>
      <c r="J2566" s="66"/>
      <c r="K2566" s="66"/>
      <c r="L2566" s="68"/>
      <c r="M2566" s="63" t="str">
        <f>HYPERLINK("http://nsgreg.nga.mil/genc/view?v=865190&amp;end_month=12&amp;end_day=31&amp;end_year=2016","Correlation")</f>
        <v>Correlation</v>
      </c>
    </row>
    <row r="2567" spans="1:13" x14ac:dyDescent="0.2">
      <c r="A2567" s="113"/>
      <c r="B2567" s="58" t="s">
        <v>7049</v>
      </c>
      <c r="C2567" s="58" t="s">
        <v>7038</v>
      </c>
      <c r="D2567" s="58" t="s">
        <v>7050</v>
      </c>
      <c r="E2567" s="60" t="b">
        <v>1</v>
      </c>
      <c r="F2567" s="80" t="s">
        <v>885</v>
      </c>
      <c r="G2567" s="58" t="s">
        <v>7049</v>
      </c>
      <c r="H2567" s="58" t="s">
        <v>7040</v>
      </c>
      <c r="I2567" s="64" t="s">
        <v>7050</v>
      </c>
      <c r="J2567" s="66"/>
      <c r="K2567" s="66"/>
      <c r="L2567" s="68"/>
      <c r="M2567" s="63" t="str">
        <f>HYPERLINK("http://nsgreg.nga.mil/genc/view?v=865191&amp;end_month=12&amp;end_day=31&amp;end_year=2016","Correlation")</f>
        <v>Correlation</v>
      </c>
    </row>
    <row r="2568" spans="1:13" x14ac:dyDescent="0.2">
      <c r="A2568" s="113"/>
      <c r="B2568" s="58" t="s">
        <v>7051</v>
      </c>
      <c r="C2568" s="58" t="s">
        <v>7038</v>
      </c>
      <c r="D2568" s="58" t="s">
        <v>7052</v>
      </c>
      <c r="E2568" s="60" t="b">
        <v>1</v>
      </c>
      <c r="F2568" s="80" t="s">
        <v>885</v>
      </c>
      <c r="G2568" s="58" t="s">
        <v>7051</v>
      </c>
      <c r="H2568" s="58" t="s">
        <v>7040</v>
      </c>
      <c r="I2568" s="64" t="s">
        <v>7052</v>
      </c>
      <c r="J2568" s="66"/>
      <c r="K2568" s="66"/>
      <c r="L2568" s="68"/>
      <c r="M2568" s="63" t="str">
        <f>HYPERLINK("http://nsgreg.nga.mil/genc/view?v=865192&amp;end_month=12&amp;end_day=31&amp;end_year=2016","Correlation")</f>
        <v>Correlation</v>
      </c>
    </row>
    <row r="2569" spans="1:13" x14ac:dyDescent="0.2">
      <c r="A2569" s="113"/>
      <c r="B2569" s="58" t="s">
        <v>7053</v>
      </c>
      <c r="C2569" s="58" t="s">
        <v>7038</v>
      </c>
      <c r="D2569" s="58" t="s">
        <v>7054</v>
      </c>
      <c r="E2569" s="60" t="b">
        <v>1</v>
      </c>
      <c r="F2569" s="80" t="s">
        <v>885</v>
      </c>
      <c r="G2569" s="58" t="s">
        <v>7053</v>
      </c>
      <c r="H2569" s="58" t="s">
        <v>7040</v>
      </c>
      <c r="I2569" s="64" t="s">
        <v>7054</v>
      </c>
      <c r="J2569" s="66"/>
      <c r="K2569" s="66"/>
      <c r="L2569" s="68"/>
      <c r="M2569" s="63" t="str">
        <f>HYPERLINK("http://nsgreg.nga.mil/genc/view?v=865193&amp;end_month=12&amp;end_day=31&amp;end_year=2016","Correlation")</f>
        <v>Correlation</v>
      </c>
    </row>
    <row r="2570" spans="1:13" x14ac:dyDescent="0.2">
      <c r="A2570" s="113"/>
      <c r="B2570" s="58" t="s">
        <v>7055</v>
      </c>
      <c r="C2570" s="58" t="s">
        <v>7038</v>
      </c>
      <c r="D2570" s="58" t="s">
        <v>7056</v>
      </c>
      <c r="E2570" s="60" t="b">
        <v>1</v>
      </c>
      <c r="F2570" s="80" t="s">
        <v>885</v>
      </c>
      <c r="G2570" s="58" t="s">
        <v>7055</v>
      </c>
      <c r="H2570" s="58" t="s">
        <v>7040</v>
      </c>
      <c r="I2570" s="64" t="s">
        <v>7056</v>
      </c>
      <c r="J2570" s="66"/>
      <c r="K2570" s="66"/>
      <c r="L2570" s="68"/>
      <c r="M2570" s="63" t="str">
        <f>HYPERLINK("http://nsgreg.nga.mil/genc/view?v=865194&amp;end_month=12&amp;end_day=31&amp;end_year=2016","Correlation")</f>
        <v>Correlation</v>
      </c>
    </row>
    <row r="2571" spans="1:13" x14ac:dyDescent="0.2">
      <c r="A2571" s="113"/>
      <c r="B2571" s="58" t="s">
        <v>7057</v>
      </c>
      <c r="C2571" s="58" t="s">
        <v>7038</v>
      </c>
      <c r="D2571" s="58" t="s">
        <v>7058</v>
      </c>
      <c r="E2571" s="60" t="b">
        <v>1</v>
      </c>
      <c r="F2571" s="80" t="s">
        <v>885</v>
      </c>
      <c r="G2571" s="58" t="s">
        <v>7057</v>
      </c>
      <c r="H2571" s="58" t="s">
        <v>7040</v>
      </c>
      <c r="I2571" s="64" t="s">
        <v>7058</v>
      </c>
      <c r="J2571" s="66"/>
      <c r="K2571" s="66"/>
      <c r="L2571" s="68"/>
      <c r="M2571" s="63" t="str">
        <f>HYPERLINK("http://nsgreg.nga.mil/genc/view?v=865195&amp;end_month=12&amp;end_day=31&amp;end_year=2016","Correlation")</f>
        <v>Correlation</v>
      </c>
    </row>
    <row r="2572" spans="1:13" x14ac:dyDescent="0.2">
      <c r="A2572" s="113"/>
      <c r="B2572" s="58" t="s">
        <v>7059</v>
      </c>
      <c r="C2572" s="58" t="s">
        <v>7038</v>
      </c>
      <c r="D2572" s="58" t="s">
        <v>7060</v>
      </c>
      <c r="E2572" s="60" t="b">
        <v>1</v>
      </c>
      <c r="F2572" s="80" t="s">
        <v>885</v>
      </c>
      <c r="G2572" s="58" t="s">
        <v>7059</v>
      </c>
      <c r="H2572" s="58" t="s">
        <v>7040</v>
      </c>
      <c r="I2572" s="64" t="s">
        <v>7060</v>
      </c>
      <c r="J2572" s="66"/>
      <c r="K2572" s="66"/>
      <c r="L2572" s="68"/>
      <c r="M2572" s="63" t="str">
        <f>HYPERLINK("http://nsgreg.nga.mil/genc/view?v=865198&amp;end_month=12&amp;end_day=31&amp;end_year=2016","Correlation")</f>
        <v>Correlation</v>
      </c>
    </row>
    <row r="2573" spans="1:13" x14ac:dyDescent="0.2">
      <c r="A2573" s="113"/>
      <c r="B2573" s="58" t="s">
        <v>7061</v>
      </c>
      <c r="C2573" s="58" t="s">
        <v>7038</v>
      </c>
      <c r="D2573" s="58" t="s">
        <v>7062</v>
      </c>
      <c r="E2573" s="60" t="b">
        <v>1</v>
      </c>
      <c r="F2573" s="80" t="s">
        <v>885</v>
      </c>
      <c r="G2573" s="58" t="s">
        <v>7061</v>
      </c>
      <c r="H2573" s="58" t="s">
        <v>7040</v>
      </c>
      <c r="I2573" s="64" t="s">
        <v>7062</v>
      </c>
      <c r="J2573" s="66"/>
      <c r="K2573" s="66"/>
      <c r="L2573" s="68"/>
      <c r="M2573" s="63" t="str">
        <f>HYPERLINK("http://nsgreg.nga.mil/genc/view?v=865199&amp;end_month=12&amp;end_day=31&amp;end_year=2016","Correlation")</f>
        <v>Correlation</v>
      </c>
    </row>
    <row r="2574" spans="1:13" x14ac:dyDescent="0.2">
      <c r="A2574" s="113"/>
      <c r="B2574" s="58" t="s">
        <v>7063</v>
      </c>
      <c r="C2574" s="58" t="s">
        <v>7038</v>
      </c>
      <c r="D2574" s="58" t="s">
        <v>7064</v>
      </c>
      <c r="E2574" s="60" t="b">
        <v>1</v>
      </c>
      <c r="F2574" s="80" t="s">
        <v>885</v>
      </c>
      <c r="G2574" s="58" t="s">
        <v>7063</v>
      </c>
      <c r="H2574" s="58" t="s">
        <v>7040</v>
      </c>
      <c r="I2574" s="64" t="s">
        <v>7064</v>
      </c>
      <c r="J2574" s="66"/>
      <c r="K2574" s="66"/>
      <c r="L2574" s="68"/>
      <c r="M2574" s="63" t="str">
        <f>HYPERLINK("http://nsgreg.nga.mil/genc/view?v=865200&amp;end_month=12&amp;end_day=31&amp;end_year=2016","Correlation")</f>
        <v>Correlation</v>
      </c>
    </row>
    <row r="2575" spans="1:13" x14ac:dyDescent="0.2">
      <c r="A2575" s="113"/>
      <c r="B2575" s="58" t="s">
        <v>7065</v>
      </c>
      <c r="C2575" s="58" t="s">
        <v>7038</v>
      </c>
      <c r="D2575" s="58" t="s">
        <v>7066</v>
      </c>
      <c r="E2575" s="60" t="b">
        <v>1</v>
      </c>
      <c r="F2575" s="80" t="s">
        <v>885</v>
      </c>
      <c r="G2575" s="58" t="s">
        <v>7065</v>
      </c>
      <c r="H2575" s="58" t="s">
        <v>7040</v>
      </c>
      <c r="I2575" s="64" t="s">
        <v>7066</v>
      </c>
      <c r="J2575" s="66"/>
      <c r="K2575" s="66"/>
      <c r="L2575" s="68"/>
      <c r="M2575" s="63" t="str">
        <f>HYPERLINK("http://nsgreg.nga.mil/genc/view?v=865201&amp;end_month=12&amp;end_day=31&amp;end_year=2016","Correlation")</f>
        <v>Correlation</v>
      </c>
    </row>
    <row r="2576" spans="1:13" x14ac:dyDescent="0.2">
      <c r="A2576" s="113"/>
      <c r="B2576" s="58" t="s">
        <v>7067</v>
      </c>
      <c r="C2576" s="58" t="s">
        <v>7038</v>
      </c>
      <c r="D2576" s="58" t="s">
        <v>7068</v>
      </c>
      <c r="E2576" s="60" t="b">
        <v>1</v>
      </c>
      <c r="F2576" s="80" t="s">
        <v>885</v>
      </c>
      <c r="G2576" s="58" t="s">
        <v>7067</v>
      </c>
      <c r="H2576" s="58" t="s">
        <v>7040</v>
      </c>
      <c r="I2576" s="64" t="s">
        <v>7068</v>
      </c>
      <c r="J2576" s="66"/>
      <c r="K2576" s="66"/>
      <c r="L2576" s="68"/>
      <c r="M2576" s="63" t="str">
        <f>HYPERLINK("http://nsgreg.nga.mil/genc/view?v=865202&amp;end_month=12&amp;end_day=31&amp;end_year=2016","Correlation")</f>
        <v>Correlation</v>
      </c>
    </row>
    <row r="2577" spans="1:13" x14ac:dyDescent="0.2">
      <c r="A2577" s="113"/>
      <c r="B2577" s="58" t="s">
        <v>7069</v>
      </c>
      <c r="C2577" s="58" t="s">
        <v>7038</v>
      </c>
      <c r="D2577" s="58" t="s">
        <v>7070</v>
      </c>
      <c r="E2577" s="60" t="b">
        <v>1</v>
      </c>
      <c r="F2577" s="80" t="s">
        <v>885</v>
      </c>
      <c r="G2577" s="58" t="s">
        <v>7069</v>
      </c>
      <c r="H2577" s="58" t="s">
        <v>7040</v>
      </c>
      <c r="I2577" s="64" t="s">
        <v>7070</v>
      </c>
      <c r="J2577" s="66"/>
      <c r="K2577" s="66"/>
      <c r="L2577" s="68"/>
      <c r="M2577" s="63" t="str">
        <f>HYPERLINK("http://nsgreg.nga.mil/genc/view?v=865196&amp;end_month=12&amp;end_day=31&amp;end_year=2016","Correlation")</f>
        <v>Correlation</v>
      </c>
    </row>
    <row r="2578" spans="1:13" x14ac:dyDescent="0.2">
      <c r="A2578" s="113"/>
      <c r="B2578" s="58" t="s">
        <v>7071</v>
      </c>
      <c r="C2578" s="58" t="s">
        <v>7038</v>
      </c>
      <c r="D2578" s="58" t="s">
        <v>7072</v>
      </c>
      <c r="E2578" s="60" t="b">
        <v>1</v>
      </c>
      <c r="F2578" s="80" t="s">
        <v>885</v>
      </c>
      <c r="G2578" s="58" t="s">
        <v>7071</v>
      </c>
      <c r="H2578" s="58" t="s">
        <v>7040</v>
      </c>
      <c r="I2578" s="64" t="s">
        <v>7072</v>
      </c>
      <c r="J2578" s="66"/>
      <c r="K2578" s="66"/>
      <c r="L2578" s="68"/>
      <c r="M2578" s="63" t="str">
        <f>HYPERLINK("http://nsgreg.nga.mil/genc/view?v=865197&amp;end_month=12&amp;end_day=31&amp;end_year=2016","Correlation")</f>
        <v>Correlation</v>
      </c>
    </row>
    <row r="2579" spans="1:13" x14ac:dyDescent="0.2">
      <c r="A2579" s="113"/>
      <c r="B2579" s="58" t="s">
        <v>7073</v>
      </c>
      <c r="C2579" s="58" t="s">
        <v>7038</v>
      </c>
      <c r="D2579" s="58" t="s">
        <v>7074</v>
      </c>
      <c r="E2579" s="60" t="b">
        <v>1</v>
      </c>
      <c r="F2579" s="80" t="s">
        <v>885</v>
      </c>
      <c r="G2579" s="58" t="s">
        <v>7073</v>
      </c>
      <c r="H2579" s="58" t="s">
        <v>7040</v>
      </c>
      <c r="I2579" s="64" t="s">
        <v>7074</v>
      </c>
      <c r="J2579" s="66"/>
      <c r="K2579" s="66"/>
      <c r="L2579" s="68"/>
      <c r="M2579" s="63" t="str">
        <f>HYPERLINK("http://nsgreg.nga.mil/genc/view?v=865203&amp;end_month=12&amp;end_day=31&amp;end_year=2016","Correlation")</f>
        <v>Correlation</v>
      </c>
    </row>
    <row r="2580" spans="1:13" x14ac:dyDescent="0.2">
      <c r="A2580" s="113"/>
      <c r="B2580" s="58" t="s">
        <v>7075</v>
      </c>
      <c r="C2580" s="58" t="s">
        <v>7038</v>
      </c>
      <c r="D2580" s="58" t="s">
        <v>7076</v>
      </c>
      <c r="E2580" s="60" t="b">
        <v>1</v>
      </c>
      <c r="F2580" s="80" t="s">
        <v>885</v>
      </c>
      <c r="G2580" s="58" t="s">
        <v>7075</v>
      </c>
      <c r="H2580" s="58" t="s">
        <v>7040</v>
      </c>
      <c r="I2580" s="64" t="s">
        <v>7076</v>
      </c>
      <c r="J2580" s="66"/>
      <c r="K2580" s="66"/>
      <c r="L2580" s="68"/>
      <c r="M2580" s="63" t="str">
        <f>HYPERLINK("http://nsgreg.nga.mil/genc/view?v=865204&amp;end_month=12&amp;end_day=31&amp;end_year=2016","Correlation")</f>
        <v>Correlation</v>
      </c>
    </row>
    <row r="2581" spans="1:13" x14ac:dyDescent="0.2">
      <c r="A2581" s="113"/>
      <c r="B2581" s="58" t="s">
        <v>7077</v>
      </c>
      <c r="C2581" s="58" t="s">
        <v>7038</v>
      </c>
      <c r="D2581" s="58" t="s">
        <v>7078</v>
      </c>
      <c r="E2581" s="60" t="b">
        <v>1</v>
      </c>
      <c r="F2581" s="80" t="s">
        <v>885</v>
      </c>
      <c r="G2581" s="58" t="s">
        <v>7079</v>
      </c>
      <c r="H2581" s="58" t="s">
        <v>7040</v>
      </c>
      <c r="I2581" s="64" t="s">
        <v>7078</v>
      </c>
      <c r="J2581" s="66"/>
      <c r="K2581" s="66"/>
      <c r="L2581" s="68"/>
      <c r="M2581" s="63" t="str">
        <f>HYPERLINK("http://nsgreg.nga.mil/genc/view?v=865214&amp;end_month=12&amp;end_day=31&amp;end_year=2016","Correlation")</f>
        <v>Correlation</v>
      </c>
    </row>
    <row r="2582" spans="1:13" x14ac:dyDescent="0.2">
      <c r="A2582" s="113"/>
      <c r="B2582" s="58" t="s">
        <v>7080</v>
      </c>
      <c r="C2582" s="58" t="s">
        <v>7038</v>
      </c>
      <c r="D2582" s="58" t="s">
        <v>7081</v>
      </c>
      <c r="E2582" s="60" t="b">
        <v>1</v>
      </c>
      <c r="F2582" s="80" t="s">
        <v>885</v>
      </c>
      <c r="G2582" s="58" t="s">
        <v>7082</v>
      </c>
      <c r="H2582" s="58" t="s">
        <v>7040</v>
      </c>
      <c r="I2582" s="64" t="s">
        <v>7081</v>
      </c>
      <c r="J2582" s="66"/>
      <c r="K2582" s="66"/>
      <c r="L2582" s="68"/>
      <c r="M2582" s="63" t="str">
        <f>HYPERLINK("http://nsgreg.nga.mil/genc/view?v=865216&amp;end_month=12&amp;end_day=31&amp;end_year=2016","Correlation")</f>
        <v>Correlation</v>
      </c>
    </row>
    <row r="2583" spans="1:13" x14ac:dyDescent="0.2">
      <c r="A2583" s="113"/>
      <c r="B2583" s="58" t="s">
        <v>7083</v>
      </c>
      <c r="C2583" s="58" t="s">
        <v>7038</v>
      </c>
      <c r="D2583" s="58" t="s">
        <v>7084</v>
      </c>
      <c r="E2583" s="60" t="b">
        <v>1</v>
      </c>
      <c r="F2583" s="80" t="s">
        <v>885</v>
      </c>
      <c r="G2583" s="58" t="s">
        <v>7085</v>
      </c>
      <c r="H2583" s="58" t="s">
        <v>7040</v>
      </c>
      <c r="I2583" s="64" t="s">
        <v>7084</v>
      </c>
      <c r="J2583" s="66"/>
      <c r="K2583" s="66"/>
      <c r="L2583" s="68"/>
      <c r="M2583" s="63" t="str">
        <f>HYPERLINK("http://nsgreg.nga.mil/genc/view?v=865218&amp;end_month=12&amp;end_day=31&amp;end_year=2016","Correlation")</f>
        <v>Correlation</v>
      </c>
    </row>
    <row r="2584" spans="1:13" x14ac:dyDescent="0.2">
      <c r="A2584" s="113"/>
      <c r="B2584" s="58" t="s">
        <v>7086</v>
      </c>
      <c r="C2584" s="58" t="s">
        <v>7038</v>
      </c>
      <c r="D2584" s="58" t="s">
        <v>7087</v>
      </c>
      <c r="E2584" s="60" t="b">
        <v>1</v>
      </c>
      <c r="F2584" s="80" t="s">
        <v>885</v>
      </c>
      <c r="G2584" s="58" t="s">
        <v>7088</v>
      </c>
      <c r="H2584" s="58" t="s">
        <v>7040</v>
      </c>
      <c r="I2584" s="64" t="s">
        <v>7087</v>
      </c>
      <c r="J2584" s="66"/>
      <c r="K2584" s="66"/>
      <c r="L2584" s="68"/>
      <c r="M2584" s="63" t="str">
        <f>HYPERLINK("http://nsgreg.nga.mil/genc/view?v=865219&amp;end_month=12&amp;end_day=31&amp;end_year=2016","Correlation")</f>
        <v>Correlation</v>
      </c>
    </row>
    <row r="2585" spans="1:13" x14ac:dyDescent="0.2">
      <c r="A2585" s="113"/>
      <c r="B2585" s="58" t="s">
        <v>7089</v>
      </c>
      <c r="C2585" s="58" t="s">
        <v>7038</v>
      </c>
      <c r="D2585" s="58" t="s">
        <v>7090</v>
      </c>
      <c r="E2585" s="60" t="b">
        <v>1</v>
      </c>
      <c r="F2585" s="80" t="s">
        <v>885</v>
      </c>
      <c r="G2585" s="58" t="s">
        <v>7091</v>
      </c>
      <c r="H2585" s="58" t="s">
        <v>7040</v>
      </c>
      <c r="I2585" s="64" t="s">
        <v>7090</v>
      </c>
      <c r="J2585" s="66"/>
      <c r="K2585" s="66"/>
      <c r="L2585" s="68"/>
      <c r="M2585" s="63" t="str">
        <f>HYPERLINK("http://nsgreg.nga.mil/genc/view?v=865220&amp;end_month=12&amp;end_day=31&amp;end_year=2016","Correlation")</f>
        <v>Correlation</v>
      </c>
    </row>
    <row r="2586" spans="1:13" x14ac:dyDescent="0.2">
      <c r="A2586" s="113"/>
      <c r="B2586" s="58" t="s">
        <v>7092</v>
      </c>
      <c r="C2586" s="58" t="s">
        <v>7038</v>
      </c>
      <c r="D2586" s="58" t="s">
        <v>7093</v>
      </c>
      <c r="E2586" s="60" t="b">
        <v>1</v>
      </c>
      <c r="F2586" s="80" t="s">
        <v>885</v>
      </c>
      <c r="G2586" s="58" t="s">
        <v>7092</v>
      </c>
      <c r="H2586" s="58" t="s">
        <v>7040</v>
      </c>
      <c r="I2586" s="64" t="s">
        <v>7093</v>
      </c>
      <c r="J2586" s="66"/>
      <c r="K2586" s="66"/>
      <c r="L2586" s="68"/>
      <c r="M2586" s="63" t="str">
        <f>HYPERLINK("http://nsgreg.nga.mil/genc/view?v=865205&amp;end_month=12&amp;end_day=31&amp;end_year=2016","Correlation")</f>
        <v>Correlation</v>
      </c>
    </row>
    <row r="2587" spans="1:13" x14ac:dyDescent="0.2">
      <c r="A2587" s="113"/>
      <c r="B2587" s="58" t="s">
        <v>7094</v>
      </c>
      <c r="C2587" s="58" t="s">
        <v>7038</v>
      </c>
      <c r="D2587" s="58" t="s">
        <v>7095</v>
      </c>
      <c r="E2587" s="60" t="b">
        <v>1</v>
      </c>
      <c r="F2587" s="80" t="s">
        <v>885</v>
      </c>
      <c r="G2587" s="58" t="s">
        <v>7094</v>
      </c>
      <c r="H2587" s="58" t="s">
        <v>7040</v>
      </c>
      <c r="I2587" s="64" t="s">
        <v>7095</v>
      </c>
      <c r="J2587" s="66"/>
      <c r="K2587" s="66"/>
      <c r="L2587" s="68"/>
      <c r="M2587" s="63" t="str">
        <f>HYPERLINK("http://nsgreg.nga.mil/genc/view?v=865206&amp;end_month=12&amp;end_day=31&amp;end_year=2016","Correlation")</f>
        <v>Correlation</v>
      </c>
    </row>
    <row r="2588" spans="1:13" x14ac:dyDescent="0.2">
      <c r="A2588" s="113"/>
      <c r="B2588" s="58" t="s">
        <v>7096</v>
      </c>
      <c r="C2588" s="58" t="s">
        <v>7038</v>
      </c>
      <c r="D2588" s="58" t="s">
        <v>7097</v>
      </c>
      <c r="E2588" s="60" t="b">
        <v>1</v>
      </c>
      <c r="F2588" s="80" t="s">
        <v>885</v>
      </c>
      <c r="G2588" s="58" t="s">
        <v>7096</v>
      </c>
      <c r="H2588" s="58" t="s">
        <v>7040</v>
      </c>
      <c r="I2588" s="64" t="s">
        <v>7097</v>
      </c>
      <c r="J2588" s="66"/>
      <c r="K2588" s="66"/>
      <c r="L2588" s="68"/>
      <c r="M2588" s="63" t="str">
        <f>HYPERLINK("http://nsgreg.nga.mil/genc/view?v=865207&amp;end_month=12&amp;end_day=31&amp;end_year=2016","Correlation")</f>
        <v>Correlation</v>
      </c>
    </row>
    <row r="2589" spans="1:13" x14ac:dyDescent="0.2">
      <c r="A2589" s="113"/>
      <c r="B2589" s="58" t="s">
        <v>7098</v>
      </c>
      <c r="C2589" s="58" t="s">
        <v>7038</v>
      </c>
      <c r="D2589" s="58" t="s">
        <v>7099</v>
      </c>
      <c r="E2589" s="60" t="b">
        <v>1</v>
      </c>
      <c r="F2589" s="80" t="s">
        <v>885</v>
      </c>
      <c r="G2589" s="58" t="s">
        <v>7098</v>
      </c>
      <c r="H2589" s="58" t="s">
        <v>7040</v>
      </c>
      <c r="I2589" s="64" t="s">
        <v>7099</v>
      </c>
      <c r="J2589" s="66"/>
      <c r="K2589" s="66"/>
      <c r="L2589" s="68"/>
      <c r="M2589" s="63" t="str">
        <f>HYPERLINK("http://nsgreg.nga.mil/genc/view?v=865208&amp;end_month=12&amp;end_day=31&amp;end_year=2016","Correlation")</f>
        <v>Correlation</v>
      </c>
    </row>
    <row r="2590" spans="1:13" x14ac:dyDescent="0.2">
      <c r="A2590" s="113"/>
      <c r="B2590" s="58" t="s">
        <v>7100</v>
      </c>
      <c r="C2590" s="58" t="s">
        <v>7038</v>
      </c>
      <c r="D2590" s="58" t="s">
        <v>7101</v>
      </c>
      <c r="E2590" s="60" t="b">
        <v>1</v>
      </c>
      <c r="F2590" s="80" t="s">
        <v>885</v>
      </c>
      <c r="G2590" s="58" t="s">
        <v>7100</v>
      </c>
      <c r="H2590" s="58" t="s">
        <v>7040</v>
      </c>
      <c r="I2590" s="64" t="s">
        <v>7101</v>
      </c>
      <c r="J2590" s="66"/>
      <c r="K2590" s="66"/>
      <c r="L2590" s="68"/>
      <c r="M2590" s="63" t="str">
        <f>HYPERLINK("http://nsgreg.nga.mil/genc/view?v=865209&amp;end_month=12&amp;end_day=31&amp;end_year=2016","Correlation")</f>
        <v>Correlation</v>
      </c>
    </row>
    <row r="2591" spans="1:13" x14ac:dyDescent="0.2">
      <c r="A2591" s="113"/>
      <c r="B2591" s="58" t="s">
        <v>7102</v>
      </c>
      <c r="C2591" s="58" t="s">
        <v>7038</v>
      </c>
      <c r="D2591" s="58" t="s">
        <v>7103</v>
      </c>
      <c r="E2591" s="60" t="b">
        <v>1</v>
      </c>
      <c r="F2591" s="80" t="s">
        <v>885</v>
      </c>
      <c r="G2591" s="58" t="s">
        <v>7102</v>
      </c>
      <c r="H2591" s="58" t="s">
        <v>7040</v>
      </c>
      <c r="I2591" s="64" t="s">
        <v>7103</v>
      </c>
      <c r="J2591" s="66"/>
      <c r="K2591" s="66"/>
      <c r="L2591" s="68"/>
      <c r="M2591" s="63" t="str">
        <f>HYPERLINK("http://nsgreg.nga.mil/genc/view?v=865210&amp;end_month=12&amp;end_day=31&amp;end_year=2016","Correlation")</f>
        <v>Correlation</v>
      </c>
    </row>
    <row r="2592" spans="1:13" x14ac:dyDescent="0.2">
      <c r="A2592" s="113"/>
      <c r="B2592" s="58" t="s">
        <v>7104</v>
      </c>
      <c r="C2592" s="58" t="s">
        <v>7038</v>
      </c>
      <c r="D2592" s="58" t="s">
        <v>7105</v>
      </c>
      <c r="E2592" s="60" t="b">
        <v>1</v>
      </c>
      <c r="F2592" s="80" t="s">
        <v>885</v>
      </c>
      <c r="G2592" s="58" t="s">
        <v>7104</v>
      </c>
      <c r="H2592" s="58" t="s">
        <v>7040</v>
      </c>
      <c r="I2592" s="64" t="s">
        <v>7105</v>
      </c>
      <c r="J2592" s="66"/>
      <c r="K2592" s="66"/>
      <c r="L2592" s="68"/>
      <c r="M2592" s="63" t="str">
        <f>HYPERLINK("http://nsgreg.nga.mil/genc/view?v=865211&amp;end_month=12&amp;end_day=31&amp;end_year=2016","Correlation")</f>
        <v>Correlation</v>
      </c>
    </row>
    <row r="2593" spans="1:13" x14ac:dyDescent="0.2">
      <c r="A2593" s="113"/>
      <c r="B2593" s="58" t="s">
        <v>7106</v>
      </c>
      <c r="C2593" s="58" t="s">
        <v>7038</v>
      </c>
      <c r="D2593" s="58" t="s">
        <v>7107</v>
      </c>
      <c r="E2593" s="60" t="b">
        <v>1</v>
      </c>
      <c r="F2593" s="80" t="s">
        <v>885</v>
      </c>
      <c r="G2593" s="58" t="s">
        <v>7106</v>
      </c>
      <c r="H2593" s="58" t="s">
        <v>7040</v>
      </c>
      <c r="I2593" s="64" t="s">
        <v>7107</v>
      </c>
      <c r="J2593" s="66"/>
      <c r="K2593" s="66"/>
      <c r="L2593" s="68"/>
      <c r="M2593" s="63" t="str">
        <f>HYPERLINK("http://nsgreg.nga.mil/genc/view?v=865212&amp;end_month=12&amp;end_day=31&amp;end_year=2016","Correlation")</f>
        <v>Correlation</v>
      </c>
    </row>
    <row r="2594" spans="1:13" x14ac:dyDescent="0.2">
      <c r="A2594" s="113"/>
      <c r="B2594" s="58" t="s">
        <v>7108</v>
      </c>
      <c r="C2594" s="58" t="s">
        <v>7038</v>
      </c>
      <c r="D2594" s="58" t="s">
        <v>7109</v>
      </c>
      <c r="E2594" s="60" t="b">
        <v>1</v>
      </c>
      <c r="F2594" s="80" t="s">
        <v>885</v>
      </c>
      <c r="G2594" s="58" t="s">
        <v>7108</v>
      </c>
      <c r="H2594" s="58" t="s">
        <v>7040</v>
      </c>
      <c r="I2594" s="64" t="s">
        <v>7109</v>
      </c>
      <c r="J2594" s="66"/>
      <c r="K2594" s="66"/>
      <c r="L2594" s="68"/>
      <c r="M2594" s="63" t="str">
        <f>HYPERLINK("http://nsgreg.nga.mil/genc/view?v=865213&amp;end_month=12&amp;end_day=31&amp;end_year=2016","Correlation")</f>
        <v>Correlation</v>
      </c>
    </row>
    <row r="2595" spans="1:13" x14ac:dyDescent="0.2">
      <c r="A2595" s="113"/>
      <c r="B2595" s="58" t="s">
        <v>7110</v>
      </c>
      <c r="C2595" s="58" t="s">
        <v>7038</v>
      </c>
      <c r="D2595" s="58" t="s">
        <v>7111</v>
      </c>
      <c r="E2595" s="60" t="b">
        <v>1</v>
      </c>
      <c r="F2595" s="80" t="s">
        <v>885</v>
      </c>
      <c r="G2595" s="58" t="s">
        <v>7110</v>
      </c>
      <c r="H2595" s="58" t="s">
        <v>7040</v>
      </c>
      <c r="I2595" s="64" t="s">
        <v>7111</v>
      </c>
      <c r="J2595" s="66"/>
      <c r="K2595" s="66"/>
      <c r="L2595" s="68"/>
      <c r="M2595" s="63" t="str">
        <f>HYPERLINK("http://nsgreg.nga.mil/genc/view?v=865215&amp;end_month=12&amp;end_day=31&amp;end_year=2016","Correlation")</f>
        <v>Correlation</v>
      </c>
    </row>
    <row r="2596" spans="1:13" x14ac:dyDescent="0.2">
      <c r="A2596" s="113"/>
      <c r="B2596" s="58" t="s">
        <v>7112</v>
      </c>
      <c r="C2596" s="58" t="s">
        <v>7038</v>
      </c>
      <c r="D2596" s="58" t="s">
        <v>7113</v>
      </c>
      <c r="E2596" s="60" t="b">
        <v>1</v>
      </c>
      <c r="F2596" s="80" t="s">
        <v>885</v>
      </c>
      <c r="G2596" s="58" t="s">
        <v>7112</v>
      </c>
      <c r="H2596" s="58" t="s">
        <v>7040</v>
      </c>
      <c r="I2596" s="64" t="s">
        <v>7113</v>
      </c>
      <c r="J2596" s="66"/>
      <c r="K2596" s="66"/>
      <c r="L2596" s="68"/>
      <c r="M2596" s="63" t="str">
        <f>HYPERLINK("http://nsgreg.nga.mil/genc/view?v=865217&amp;end_month=12&amp;end_day=31&amp;end_year=2016","Correlation")</f>
        <v>Correlation</v>
      </c>
    </row>
    <row r="2597" spans="1:13" x14ac:dyDescent="0.2">
      <c r="A2597" s="113"/>
      <c r="B2597" s="58" t="s">
        <v>7114</v>
      </c>
      <c r="C2597" s="58" t="s">
        <v>7038</v>
      </c>
      <c r="D2597" s="58" t="s">
        <v>7115</v>
      </c>
      <c r="E2597" s="60" t="b">
        <v>1</v>
      </c>
      <c r="F2597" s="80" t="s">
        <v>885</v>
      </c>
      <c r="G2597" s="58" t="s">
        <v>7114</v>
      </c>
      <c r="H2597" s="58" t="s">
        <v>7040</v>
      </c>
      <c r="I2597" s="64" t="s">
        <v>7115</v>
      </c>
      <c r="J2597" s="66"/>
      <c r="K2597" s="66"/>
      <c r="L2597" s="68"/>
      <c r="M2597" s="63" t="str">
        <f>HYPERLINK("http://nsgreg.nga.mil/genc/view?v=865221&amp;end_month=12&amp;end_day=31&amp;end_year=2016","Correlation")</f>
        <v>Correlation</v>
      </c>
    </row>
    <row r="2598" spans="1:13" x14ac:dyDescent="0.2">
      <c r="A2598" s="113"/>
      <c r="B2598" s="58" t="s">
        <v>7116</v>
      </c>
      <c r="C2598" s="58" t="s">
        <v>7038</v>
      </c>
      <c r="D2598" s="58" t="s">
        <v>7117</v>
      </c>
      <c r="E2598" s="60" t="b">
        <v>1</v>
      </c>
      <c r="F2598" s="80" t="s">
        <v>885</v>
      </c>
      <c r="G2598" s="58" t="s">
        <v>7116</v>
      </c>
      <c r="H2598" s="58" t="s">
        <v>7040</v>
      </c>
      <c r="I2598" s="64" t="s">
        <v>7117</v>
      </c>
      <c r="J2598" s="66"/>
      <c r="K2598" s="66"/>
      <c r="L2598" s="68"/>
      <c r="M2598" s="63" t="str">
        <f>HYPERLINK("http://nsgreg.nga.mil/genc/view?v=865222&amp;end_month=12&amp;end_day=31&amp;end_year=2016","Correlation")</f>
        <v>Correlation</v>
      </c>
    </row>
    <row r="2599" spans="1:13" x14ac:dyDescent="0.2">
      <c r="A2599" s="113"/>
      <c r="B2599" s="58" t="s">
        <v>7118</v>
      </c>
      <c r="C2599" s="58" t="s">
        <v>7038</v>
      </c>
      <c r="D2599" s="58" t="s">
        <v>7119</v>
      </c>
      <c r="E2599" s="60" t="b">
        <v>1</v>
      </c>
      <c r="F2599" s="80" t="s">
        <v>885</v>
      </c>
      <c r="G2599" s="58" t="s">
        <v>7118</v>
      </c>
      <c r="H2599" s="58" t="s">
        <v>7040</v>
      </c>
      <c r="I2599" s="64" t="s">
        <v>7119</v>
      </c>
      <c r="J2599" s="66"/>
      <c r="K2599" s="66"/>
      <c r="L2599" s="68"/>
      <c r="M2599" s="63" t="str">
        <f>HYPERLINK("http://nsgreg.nga.mil/genc/view?v=865223&amp;end_month=12&amp;end_day=31&amp;end_year=2016","Correlation")</f>
        <v>Correlation</v>
      </c>
    </row>
    <row r="2600" spans="1:13" x14ac:dyDescent="0.2">
      <c r="A2600" s="113"/>
      <c r="B2600" s="58" t="s">
        <v>7120</v>
      </c>
      <c r="C2600" s="58" t="s">
        <v>7038</v>
      </c>
      <c r="D2600" s="58" t="s">
        <v>7121</v>
      </c>
      <c r="E2600" s="60" t="b">
        <v>1</v>
      </c>
      <c r="F2600" s="80" t="s">
        <v>885</v>
      </c>
      <c r="G2600" s="58" t="s">
        <v>7120</v>
      </c>
      <c r="H2600" s="58" t="s">
        <v>7040</v>
      </c>
      <c r="I2600" s="64" t="s">
        <v>7121</v>
      </c>
      <c r="J2600" s="66"/>
      <c r="K2600" s="66"/>
      <c r="L2600" s="68"/>
      <c r="M2600" s="63" t="str">
        <f>HYPERLINK("http://nsgreg.nga.mil/genc/view?v=865224&amp;end_month=12&amp;end_day=31&amp;end_year=2016","Correlation")</f>
        <v>Correlation</v>
      </c>
    </row>
    <row r="2601" spans="1:13" x14ac:dyDescent="0.2">
      <c r="A2601" s="113"/>
      <c r="B2601" s="58" t="s">
        <v>2325</v>
      </c>
      <c r="C2601" s="58" t="s">
        <v>7038</v>
      </c>
      <c r="D2601" s="58" t="s">
        <v>7122</v>
      </c>
      <c r="E2601" s="60" t="b">
        <v>1</v>
      </c>
      <c r="F2601" s="80" t="s">
        <v>885</v>
      </c>
      <c r="G2601" s="58" t="s">
        <v>2325</v>
      </c>
      <c r="H2601" s="58" t="s">
        <v>7040</v>
      </c>
      <c r="I2601" s="64" t="s">
        <v>7122</v>
      </c>
      <c r="J2601" s="66"/>
      <c r="K2601" s="66"/>
      <c r="L2601" s="68"/>
      <c r="M2601" s="63" t="str">
        <f>HYPERLINK("http://nsgreg.nga.mil/genc/view?v=865225&amp;end_month=12&amp;end_day=31&amp;end_year=2016","Correlation")</f>
        <v>Correlation</v>
      </c>
    </row>
    <row r="2602" spans="1:13" x14ac:dyDescent="0.2">
      <c r="A2602" s="113"/>
      <c r="B2602" s="58" t="s">
        <v>7123</v>
      </c>
      <c r="C2602" s="58" t="s">
        <v>7038</v>
      </c>
      <c r="D2602" s="58" t="s">
        <v>7124</v>
      </c>
      <c r="E2602" s="60" t="b">
        <v>1</v>
      </c>
      <c r="F2602" s="80" t="s">
        <v>885</v>
      </c>
      <c r="G2602" s="58" t="s">
        <v>7123</v>
      </c>
      <c r="H2602" s="58" t="s">
        <v>7040</v>
      </c>
      <c r="I2602" s="64" t="s">
        <v>7124</v>
      </c>
      <c r="J2602" s="66"/>
      <c r="K2602" s="66"/>
      <c r="L2602" s="68"/>
      <c r="M2602" s="63" t="str">
        <f>HYPERLINK("http://nsgreg.nga.mil/genc/view?v=865226&amp;end_month=12&amp;end_day=31&amp;end_year=2016","Correlation")</f>
        <v>Correlation</v>
      </c>
    </row>
    <row r="2603" spans="1:13" x14ac:dyDescent="0.2">
      <c r="A2603" s="113"/>
      <c r="B2603" s="58" t="s">
        <v>7125</v>
      </c>
      <c r="C2603" s="58" t="s">
        <v>7038</v>
      </c>
      <c r="D2603" s="58" t="s">
        <v>7126</v>
      </c>
      <c r="E2603" s="60" t="b">
        <v>1</v>
      </c>
      <c r="F2603" s="80" t="s">
        <v>885</v>
      </c>
      <c r="G2603" s="58" t="s">
        <v>7125</v>
      </c>
      <c r="H2603" s="58" t="s">
        <v>7040</v>
      </c>
      <c r="I2603" s="64" t="s">
        <v>7126</v>
      </c>
      <c r="J2603" s="66"/>
      <c r="K2603" s="66"/>
      <c r="L2603" s="68"/>
      <c r="M2603" s="63" t="str">
        <f>HYPERLINK("http://nsgreg.nga.mil/genc/view?v=865227&amp;end_month=12&amp;end_day=31&amp;end_year=2016","Correlation")</f>
        <v>Correlation</v>
      </c>
    </row>
    <row r="2604" spans="1:13" x14ac:dyDescent="0.2">
      <c r="A2604" s="113"/>
      <c r="B2604" s="58" t="s">
        <v>7127</v>
      </c>
      <c r="C2604" s="58" t="s">
        <v>7038</v>
      </c>
      <c r="D2604" s="58" t="s">
        <v>7128</v>
      </c>
      <c r="E2604" s="60" t="b">
        <v>1</v>
      </c>
      <c r="F2604" s="80" t="s">
        <v>885</v>
      </c>
      <c r="G2604" s="58" t="s">
        <v>7127</v>
      </c>
      <c r="H2604" s="58" t="s">
        <v>7040</v>
      </c>
      <c r="I2604" s="64" t="s">
        <v>7128</v>
      </c>
      <c r="J2604" s="66"/>
      <c r="K2604" s="66"/>
      <c r="L2604" s="68"/>
      <c r="M2604" s="63" t="str">
        <f>HYPERLINK("http://nsgreg.nga.mil/genc/view?v=865228&amp;end_month=12&amp;end_day=31&amp;end_year=2016","Correlation")</f>
        <v>Correlation</v>
      </c>
    </row>
    <row r="2605" spans="1:13" x14ac:dyDescent="0.2">
      <c r="A2605" s="113"/>
      <c r="B2605" s="58" t="s">
        <v>7129</v>
      </c>
      <c r="C2605" s="58" t="s">
        <v>7038</v>
      </c>
      <c r="D2605" s="58" t="s">
        <v>7130</v>
      </c>
      <c r="E2605" s="60" t="b">
        <v>1</v>
      </c>
      <c r="F2605" s="80" t="s">
        <v>885</v>
      </c>
      <c r="G2605" s="58" t="s">
        <v>7129</v>
      </c>
      <c r="H2605" s="58" t="s">
        <v>7040</v>
      </c>
      <c r="I2605" s="64" t="s">
        <v>7130</v>
      </c>
      <c r="J2605" s="66"/>
      <c r="K2605" s="66"/>
      <c r="L2605" s="68"/>
      <c r="M2605" s="63" t="str">
        <f>HYPERLINK("http://nsgreg.nga.mil/genc/view?v=865229&amp;end_month=12&amp;end_day=31&amp;end_year=2016","Correlation")</f>
        <v>Correlation</v>
      </c>
    </row>
    <row r="2606" spans="1:13" x14ac:dyDescent="0.2">
      <c r="A2606" s="113"/>
      <c r="B2606" s="58" t="s">
        <v>7131</v>
      </c>
      <c r="C2606" s="58" t="s">
        <v>7038</v>
      </c>
      <c r="D2606" s="58" t="s">
        <v>7132</v>
      </c>
      <c r="E2606" s="60" t="b">
        <v>1</v>
      </c>
      <c r="F2606" s="80" t="s">
        <v>885</v>
      </c>
      <c r="G2606" s="58" t="s">
        <v>7133</v>
      </c>
      <c r="H2606" s="58" t="s">
        <v>7040</v>
      </c>
      <c r="I2606" s="64" t="s">
        <v>7132</v>
      </c>
      <c r="J2606" s="66"/>
      <c r="K2606" s="66"/>
      <c r="L2606" s="68"/>
      <c r="M2606" s="63" t="str">
        <f>HYPERLINK("http://nsgreg.nga.mil/genc/view?v=865231&amp;end_month=12&amp;end_day=31&amp;end_year=2016","Correlation")</f>
        <v>Correlation</v>
      </c>
    </row>
    <row r="2607" spans="1:13" x14ac:dyDescent="0.2">
      <c r="A2607" s="113"/>
      <c r="B2607" s="58" t="s">
        <v>7134</v>
      </c>
      <c r="C2607" s="58" t="s">
        <v>7038</v>
      </c>
      <c r="D2607" s="58" t="s">
        <v>7135</v>
      </c>
      <c r="E2607" s="60" t="b">
        <v>1</v>
      </c>
      <c r="F2607" s="80" t="s">
        <v>885</v>
      </c>
      <c r="G2607" s="58" t="s">
        <v>7136</v>
      </c>
      <c r="H2607" s="58" t="s">
        <v>7040</v>
      </c>
      <c r="I2607" s="64" t="s">
        <v>7135</v>
      </c>
      <c r="J2607" s="66"/>
      <c r="K2607" s="66"/>
      <c r="L2607" s="68"/>
      <c r="M2607" s="63" t="str">
        <f>HYPERLINK("http://nsgreg.nga.mil/genc/view?v=865230&amp;end_month=12&amp;end_day=31&amp;end_year=2016","Correlation")</f>
        <v>Correlation</v>
      </c>
    </row>
    <row r="2608" spans="1:13" x14ac:dyDescent="0.2">
      <c r="A2608" s="113"/>
      <c r="B2608" s="58" t="s">
        <v>7137</v>
      </c>
      <c r="C2608" s="58" t="s">
        <v>7038</v>
      </c>
      <c r="D2608" s="58" t="s">
        <v>7138</v>
      </c>
      <c r="E2608" s="60" t="b">
        <v>1</v>
      </c>
      <c r="F2608" s="80" t="s">
        <v>885</v>
      </c>
      <c r="G2608" s="58" t="s">
        <v>7137</v>
      </c>
      <c r="H2608" s="58" t="s">
        <v>7040</v>
      </c>
      <c r="I2608" s="64" t="s">
        <v>7138</v>
      </c>
      <c r="J2608" s="66"/>
      <c r="K2608" s="66"/>
      <c r="L2608" s="68"/>
      <c r="M2608" s="63" t="str">
        <f>HYPERLINK("http://nsgreg.nga.mil/genc/view?v=865232&amp;end_month=12&amp;end_day=31&amp;end_year=2016","Correlation")</f>
        <v>Correlation</v>
      </c>
    </row>
    <row r="2609" spans="1:13" x14ac:dyDescent="0.2">
      <c r="A2609" s="113"/>
      <c r="B2609" s="58" t="s">
        <v>7139</v>
      </c>
      <c r="C2609" s="58" t="s">
        <v>7038</v>
      </c>
      <c r="D2609" s="58" t="s">
        <v>7140</v>
      </c>
      <c r="E2609" s="60" t="b">
        <v>1</v>
      </c>
      <c r="F2609" s="80" t="s">
        <v>885</v>
      </c>
      <c r="G2609" s="58" t="s">
        <v>7139</v>
      </c>
      <c r="H2609" s="58" t="s">
        <v>7040</v>
      </c>
      <c r="I2609" s="64" t="s">
        <v>7140</v>
      </c>
      <c r="J2609" s="66"/>
      <c r="K2609" s="66"/>
      <c r="L2609" s="68"/>
      <c r="M2609" s="63" t="str">
        <f>HYPERLINK("http://nsgreg.nga.mil/genc/view?v=865233&amp;end_month=12&amp;end_day=31&amp;end_year=2016","Correlation")</f>
        <v>Correlation</v>
      </c>
    </row>
    <row r="2610" spans="1:13" x14ac:dyDescent="0.2">
      <c r="A2610" s="113"/>
      <c r="B2610" s="58" t="s">
        <v>7141</v>
      </c>
      <c r="C2610" s="58" t="s">
        <v>7038</v>
      </c>
      <c r="D2610" s="58" t="s">
        <v>7142</v>
      </c>
      <c r="E2610" s="60" t="b">
        <v>1</v>
      </c>
      <c r="F2610" s="80" t="s">
        <v>885</v>
      </c>
      <c r="G2610" s="58" t="s">
        <v>7141</v>
      </c>
      <c r="H2610" s="58" t="s">
        <v>7040</v>
      </c>
      <c r="I2610" s="64" t="s">
        <v>7142</v>
      </c>
      <c r="J2610" s="66"/>
      <c r="K2610" s="66"/>
      <c r="L2610" s="68"/>
      <c r="M2610" s="63" t="str">
        <f>HYPERLINK("http://nsgreg.nga.mil/genc/view?v=865234&amp;end_month=12&amp;end_day=31&amp;end_year=2016","Correlation")</f>
        <v>Correlation</v>
      </c>
    </row>
    <row r="2611" spans="1:13" x14ac:dyDescent="0.2">
      <c r="A2611" s="113"/>
      <c r="B2611" s="58" t="s">
        <v>7143</v>
      </c>
      <c r="C2611" s="58" t="s">
        <v>7038</v>
      </c>
      <c r="D2611" s="58" t="s">
        <v>7144</v>
      </c>
      <c r="E2611" s="60" t="b">
        <v>1</v>
      </c>
      <c r="F2611" s="80" t="s">
        <v>885</v>
      </c>
      <c r="G2611" s="58" t="s">
        <v>7143</v>
      </c>
      <c r="H2611" s="58" t="s">
        <v>7040</v>
      </c>
      <c r="I2611" s="64" t="s">
        <v>7144</v>
      </c>
      <c r="J2611" s="66"/>
      <c r="K2611" s="66"/>
      <c r="L2611" s="68"/>
      <c r="M2611" s="63" t="str">
        <f>HYPERLINK("http://nsgreg.nga.mil/genc/view?v=865235&amp;end_month=12&amp;end_day=31&amp;end_year=2016","Correlation")</f>
        <v>Correlation</v>
      </c>
    </row>
    <row r="2612" spans="1:13" x14ac:dyDescent="0.2">
      <c r="A2612" s="113"/>
      <c r="B2612" s="58" t="s">
        <v>7145</v>
      </c>
      <c r="C2612" s="58" t="s">
        <v>7038</v>
      </c>
      <c r="D2612" s="58" t="s">
        <v>7146</v>
      </c>
      <c r="E2612" s="60" t="b">
        <v>1</v>
      </c>
      <c r="F2612" s="80" t="s">
        <v>885</v>
      </c>
      <c r="G2612" s="58" t="s">
        <v>7145</v>
      </c>
      <c r="H2612" s="58" t="s">
        <v>7040</v>
      </c>
      <c r="I2612" s="64" t="s">
        <v>7146</v>
      </c>
      <c r="J2612" s="66"/>
      <c r="K2612" s="66"/>
      <c r="L2612" s="68"/>
      <c r="M2612" s="63" t="str">
        <f>HYPERLINK("http://nsgreg.nga.mil/genc/view?v=865237&amp;end_month=12&amp;end_day=31&amp;end_year=2016","Correlation")</f>
        <v>Correlation</v>
      </c>
    </row>
    <row r="2613" spans="1:13" x14ac:dyDescent="0.2">
      <c r="A2613" s="113"/>
      <c r="B2613" s="58" t="s">
        <v>7147</v>
      </c>
      <c r="C2613" s="58" t="s">
        <v>7038</v>
      </c>
      <c r="D2613" s="58" t="s">
        <v>7148</v>
      </c>
      <c r="E2613" s="60" t="b">
        <v>1</v>
      </c>
      <c r="F2613" s="80" t="s">
        <v>885</v>
      </c>
      <c r="G2613" s="58" t="s">
        <v>7147</v>
      </c>
      <c r="H2613" s="58" t="s">
        <v>7040</v>
      </c>
      <c r="I2613" s="64" t="s">
        <v>7148</v>
      </c>
      <c r="J2613" s="66"/>
      <c r="K2613" s="66"/>
      <c r="L2613" s="68"/>
      <c r="M2613" s="63" t="str">
        <f>HYPERLINK("http://nsgreg.nga.mil/genc/view?v=865236&amp;end_month=12&amp;end_day=31&amp;end_year=2016","Correlation")</f>
        <v>Correlation</v>
      </c>
    </row>
    <row r="2614" spans="1:13" x14ac:dyDescent="0.2">
      <c r="A2614" s="113"/>
      <c r="B2614" s="58" t="s">
        <v>7149</v>
      </c>
      <c r="C2614" s="58" t="s">
        <v>7038</v>
      </c>
      <c r="D2614" s="58" t="s">
        <v>7150</v>
      </c>
      <c r="E2614" s="60" t="b">
        <v>1</v>
      </c>
      <c r="F2614" s="80" t="s">
        <v>885</v>
      </c>
      <c r="G2614" s="58" t="s">
        <v>7149</v>
      </c>
      <c r="H2614" s="58" t="s">
        <v>7040</v>
      </c>
      <c r="I2614" s="64" t="s">
        <v>7150</v>
      </c>
      <c r="J2614" s="66"/>
      <c r="K2614" s="66"/>
      <c r="L2614" s="68"/>
      <c r="M2614" s="63" t="str">
        <f>HYPERLINK("http://nsgreg.nga.mil/genc/view?v=865238&amp;end_month=12&amp;end_day=31&amp;end_year=2016","Correlation")</f>
        <v>Correlation</v>
      </c>
    </row>
    <row r="2615" spans="1:13" x14ac:dyDescent="0.2">
      <c r="A2615" s="113"/>
      <c r="B2615" s="58" t="s">
        <v>7151</v>
      </c>
      <c r="C2615" s="58" t="s">
        <v>7038</v>
      </c>
      <c r="D2615" s="58" t="s">
        <v>7152</v>
      </c>
      <c r="E2615" s="60" t="b">
        <v>1</v>
      </c>
      <c r="F2615" s="80" t="s">
        <v>885</v>
      </c>
      <c r="G2615" s="58" t="s">
        <v>7151</v>
      </c>
      <c r="H2615" s="58" t="s">
        <v>7040</v>
      </c>
      <c r="I2615" s="64" t="s">
        <v>7152</v>
      </c>
      <c r="J2615" s="66"/>
      <c r="K2615" s="66"/>
      <c r="L2615" s="68"/>
      <c r="M2615" s="63" t="str">
        <f>HYPERLINK("http://nsgreg.nga.mil/genc/view?v=865239&amp;end_month=12&amp;end_day=31&amp;end_year=2016","Correlation")</f>
        <v>Correlation</v>
      </c>
    </row>
    <row r="2616" spans="1:13" x14ac:dyDescent="0.2">
      <c r="A2616" s="113"/>
      <c r="B2616" s="58" t="s">
        <v>7153</v>
      </c>
      <c r="C2616" s="58" t="s">
        <v>7038</v>
      </c>
      <c r="D2616" s="58" t="s">
        <v>7154</v>
      </c>
      <c r="E2616" s="60" t="b">
        <v>1</v>
      </c>
      <c r="F2616" s="80" t="s">
        <v>885</v>
      </c>
      <c r="G2616" s="58" t="s">
        <v>7153</v>
      </c>
      <c r="H2616" s="58" t="s">
        <v>7040</v>
      </c>
      <c r="I2616" s="64" t="s">
        <v>7154</v>
      </c>
      <c r="J2616" s="66"/>
      <c r="K2616" s="66"/>
      <c r="L2616" s="68"/>
      <c r="M2616" s="63" t="str">
        <f>HYPERLINK("http://nsgreg.nga.mil/genc/view?v=865240&amp;end_month=12&amp;end_day=31&amp;end_year=2016","Correlation")</f>
        <v>Correlation</v>
      </c>
    </row>
    <row r="2617" spans="1:13" x14ac:dyDescent="0.2">
      <c r="A2617" s="113"/>
      <c r="B2617" s="58" t="s">
        <v>7155</v>
      </c>
      <c r="C2617" s="58" t="s">
        <v>7038</v>
      </c>
      <c r="D2617" s="58" t="s">
        <v>7156</v>
      </c>
      <c r="E2617" s="60" t="b">
        <v>1</v>
      </c>
      <c r="F2617" s="80" t="s">
        <v>885</v>
      </c>
      <c r="G2617" s="58" t="s">
        <v>7155</v>
      </c>
      <c r="H2617" s="58" t="s">
        <v>7040</v>
      </c>
      <c r="I2617" s="64" t="s">
        <v>7156</v>
      </c>
      <c r="J2617" s="66"/>
      <c r="K2617" s="66"/>
      <c r="L2617" s="68"/>
      <c r="M2617" s="63" t="str">
        <f>HYPERLINK("http://nsgreg.nga.mil/genc/view?v=865241&amp;end_month=12&amp;end_day=31&amp;end_year=2016","Correlation")</f>
        <v>Correlation</v>
      </c>
    </row>
    <row r="2618" spans="1:13" x14ac:dyDescent="0.2">
      <c r="A2618" s="113"/>
      <c r="B2618" s="58" t="s">
        <v>7157</v>
      </c>
      <c r="C2618" s="58" t="s">
        <v>7038</v>
      </c>
      <c r="D2618" s="58" t="s">
        <v>7158</v>
      </c>
      <c r="E2618" s="60" t="b">
        <v>1</v>
      </c>
      <c r="F2618" s="80" t="s">
        <v>885</v>
      </c>
      <c r="G2618" s="58" t="s">
        <v>7157</v>
      </c>
      <c r="H2618" s="58" t="s">
        <v>7040</v>
      </c>
      <c r="I2618" s="64" t="s">
        <v>7158</v>
      </c>
      <c r="J2618" s="66"/>
      <c r="K2618" s="66"/>
      <c r="L2618" s="68"/>
      <c r="M2618" s="63" t="str">
        <f>HYPERLINK("http://nsgreg.nga.mil/genc/view?v=865242&amp;end_month=12&amp;end_day=31&amp;end_year=2016","Correlation")</f>
        <v>Correlation</v>
      </c>
    </row>
    <row r="2619" spans="1:13" x14ac:dyDescent="0.2">
      <c r="A2619" s="113"/>
      <c r="B2619" s="58" t="s">
        <v>7159</v>
      </c>
      <c r="C2619" s="58" t="s">
        <v>7038</v>
      </c>
      <c r="D2619" s="58" t="s">
        <v>7160</v>
      </c>
      <c r="E2619" s="60" t="b">
        <v>1</v>
      </c>
      <c r="F2619" s="80" t="s">
        <v>885</v>
      </c>
      <c r="G2619" s="58" t="s">
        <v>7159</v>
      </c>
      <c r="H2619" s="58" t="s">
        <v>7040</v>
      </c>
      <c r="I2619" s="64" t="s">
        <v>7160</v>
      </c>
      <c r="J2619" s="66"/>
      <c r="K2619" s="66"/>
      <c r="L2619" s="68"/>
      <c r="M2619" s="63" t="str">
        <f>HYPERLINK("http://nsgreg.nga.mil/genc/view?v=865244&amp;end_month=12&amp;end_day=31&amp;end_year=2016","Correlation")</f>
        <v>Correlation</v>
      </c>
    </row>
    <row r="2620" spans="1:13" x14ac:dyDescent="0.2">
      <c r="A2620" s="113"/>
      <c r="B2620" s="58" t="s">
        <v>7161</v>
      </c>
      <c r="C2620" s="58" t="s">
        <v>7038</v>
      </c>
      <c r="D2620" s="58" t="s">
        <v>7162</v>
      </c>
      <c r="E2620" s="60" t="b">
        <v>1</v>
      </c>
      <c r="F2620" s="80" t="s">
        <v>885</v>
      </c>
      <c r="G2620" s="58" t="s">
        <v>7161</v>
      </c>
      <c r="H2620" s="58" t="s">
        <v>7040</v>
      </c>
      <c r="I2620" s="64" t="s">
        <v>7162</v>
      </c>
      <c r="J2620" s="66"/>
      <c r="K2620" s="66"/>
      <c r="L2620" s="68"/>
      <c r="M2620" s="63" t="str">
        <f>HYPERLINK("http://nsgreg.nga.mil/genc/view?v=865243&amp;end_month=12&amp;end_day=31&amp;end_year=2016","Correlation")</f>
        <v>Correlation</v>
      </c>
    </row>
    <row r="2621" spans="1:13" x14ac:dyDescent="0.2">
      <c r="A2621" s="113"/>
      <c r="B2621" s="58" t="s">
        <v>7163</v>
      </c>
      <c r="C2621" s="58" t="s">
        <v>7038</v>
      </c>
      <c r="D2621" s="58" t="s">
        <v>7164</v>
      </c>
      <c r="E2621" s="60" t="b">
        <v>1</v>
      </c>
      <c r="F2621" s="80" t="s">
        <v>885</v>
      </c>
      <c r="G2621" s="58" t="s">
        <v>7163</v>
      </c>
      <c r="H2621" s="58" t="s">
        <v>7040</v>
      </c>
      <c r="I2621" s="64" t="s">
        <v>7164</v>
      </c>
      <c r="J2621" s="66"/>
      <c r="K2621" s="66"/>
      <c r="L2621" s="68"/>
      <c r="M2621" s="63" t="str">
        <f>HYPERLINK("http://nsgreg.nga.mil/genc/view?v=865245&amp;end_month=12&amp;end_day=31&amp;end_year=2016","Correlation")</f>
        <v>Correlation</v>
      </c>
    </row>
    <row r="2622" spans="1:13" x14ac:dyDescent="0.2">
      <c r="A2622" s="113"/>
      <c r="B2622" s="58" t="s">
        <v>7165</v>
      </c>
      <c r="C2622" s="58" t="s">
        <v>7038</v>
      </c>
      <c r="D2622" s="58" t="s">
        <v>7166</v>
      </c>
      <c r="E2622" s="60" t="b">
        <v>1</v>
      </c>
      <c r="F2622" s="80" t="s">
        <v>885</v>
      </c>
      <c r="G2622" s="58" t="s">
        <v>7165</v>
      </c>
      <c r="H2622" s="58" t="s">
        <v>7040</v>
      </c>
      <c r="I2622" s="64" t="s">
        <v>7166</v>
      </c>
      <c r="J2622" s="66"/>
      <c r="K2622" s="66"/>
      <c r="L2622" s="68"/>
      <c r="M2622" s="63" t="str">
        <f>HYPERLINK("http://nsgreg.nga.mil/genc/view?v=865246&amp;end_month=12&amp;end_day=31&amp;end_year=2016","Correlation")</f>
        <v>Correlation</v>
      </c>
    </row>
    <row r="2623" spans="1:13" x14ac:dyDescent="0.2">
      <c r="A2623" s="113"/>
      <c r="B2623" s="58" t="s">
        <v>7167</v>
      </c>
      <c r="C2623" s="58" t="s">
        <v>7038</v>
      </c>
      <c r="D2623" s="58" t="s">
        <v>7168</v>
      </c>
      <c r="E2623" s="60" t="b">
        <v>1</v>
      </c>
      <c r="F2623" s="80" t="s">
        <v>885</v>
      </c>
      <c r="G2623" s="58" t="s">
        <v>7167</v>
      </c>
      <c r="H2623" s="58" t="s">
        <v>7040</v>
      </c>
      <c r="I2623" s="64" t="s">
        <v>7168</v>
      </c>
      <c r="J2623" s="66"/>
      <c r="K2623" s="66"/>
      <c r="L2623" s="68"/>
      <c r="M2623" s="63" t="str">
        <f>HYPERLINK("http://nsgreg.nga.mil/genc/view?v=865247&amp;end_month=12&amp;end_day=31&amp;end_year=2016","Correlation")</f>
        <v>Correlation</v>
      </c>
    </row>
    <row r="2624" spans="1:13" x14ac:dyDescent="0.2">
      <c r="A2624" s="113"/>
      <c r="B2624" s="58" t="s">
        <v>7169</v>
      </c>
      <c r="C2624" s="58" t="s">
        <v>7038</v>
      </c>
      <c r="D2624" s="58" t="s">
        <v>7170</v>
      </c>
      <c r="E2624" s="60" t="b">
        <v>1</v>
      </c>
      <c r="F2624" s="80" t="s">
        <v>885</v>
      </c>
      <c r="G2624" s="58" t="s">
        <v>7169</v>
      </c>
      <c r="H2624" s="58" t="s">
        <v>7040</v>
      </c>
      <c r="I2624" s="64" t="s">
        <v>7170</v>
      </c>
      <c r="J2624" s="66"/>
      <c r="K2624" s="66"/>
      <c r="L2624" s="68"/>
      <c r="M2624" s="63" t="str">
        <f>HYPERLINK("http://nsgreg.nga.mil/genc/view?v=865248&amp;end_month=12&amp;end_day=31&amp;end_year=2016","Correlation")</f>
        <v>Correlation</v>
      </c>
    </row>
    <row r="2625" spans="1:13" x14ac:dyDescent="0.2">
      <c r="A2625" s="113"/>
      <c r="B2625" s="58" t="s">
        <v>7171</v>
      </c>
      <c r="C2625" s="58" t="s">
        <v>7038</v>
      </c>
      <c r="D2625" s="58" t="s">
        <v>7172</v>
      </c>
      <c r="E2625" s="60" t="b">
        <v>1</v>
      </c>
      <c r="F2625" s="80" t="s">
        <v>885</v>
      </c>
      <c r="G2625" s="58" t="s">
        <v>7171</v>
      </c>
      <c r="H2625" s="58" t="s">
        <v>7040</v>
      </c>
      <c r="I2625" s="64" t="s">
        <v>7172</v>
      </c>
      <c r="J2625" s="66"/>
      <c r="K2625" s="66"/>
      <c r="L2625" s="68"/>
      <c r="M2625" s="63" t="str">
        <f>HYPERLINK("http://nsgreg.nga.mil/genc/view?v=865249&amp;end_month=12&amp;end_day=31&amp;end_year=2016","Correlation")</f>
        <v>Correlation</v>
      </c>
    </row>
    <row r="2626" spans="1:13" x14ac:dyDescent="0.2">
      <c r="A2626" s="113"/>
      <c r="B2626" s="58" t="s">
        <v>7173</v>
      </c>
      <c r="C2626" s="58" t="s">
        <v>7038</v>
      </c>
      <c r="D2626" s="58" t="s">
        <v>7174</v>
      </c>
      <c r="E2626" s="60" t="b">
        <v>1</v>
      </c>
      <c r="F2626" s="80" t="s">
        <v>885</v>
      </c>
      <c r="G2626" s="58" t="s">
        <v>7175</v>
      </c>
      <c r="H2626" s="58" t="s">
        <v>7040</v>
      </c>
      <c r="I2626" s="64" t="s">
        <v>7174</v>
      </c>
      <c r="J2626" s="66"/>
      <c r="K2626" s="66"/>
      <c r="L2626" s="68"/>
      <c r="M2626" s="63" t="str">
        <f>HYPERLINK("http://nsgreg.nga.mil/genc/view?v=865251&amp;end_month=12&amp;end_day=31&amp;end_year=2016","Correlation")</f>
        <v>Correlation</v>
      </c>
    </row>
    <row r="2627" spans="1:13" x14ac:dyDescent="0.2">
      <c r="A2627" s="113"/>
      <c r="B2627" s="58" t="s">
        <v>7176</v>
      </c>
      <c r="C2627" s="58" t="s">
        <v>7038</v>
      </c>
      <c r="D2627" s="58" t="s">
        <v>7177</v>
      </c>
      <c r="E2627" s="60" t="b">
        <v>1</v>
      </c>
      <c r="F2627" s="80" t="s">
        <v>885</v>
      </c>
      <c r="G2627" s="58" t="s">
        <v>7178</v>
      </c>
      <c r="H2627" s="58" t="s">
        <v>7040</v>
      </c>
      <c r="I2627" s="64" t="s">
        <v>7177</v>
      </c>
      <c r="J2627" s="66"/>
      <c r="K2627" s="66"/>
      <c r="L2627" s="68"/>
      <c r="M2627" s="63" t="str">
        <f>HYPERLINK("http://nsgreg.nga.mil/genc/view?v=865250&amp;end_month=12&amp;end_day=31&amp;end_year=2016","Correlation")</f>
        <v>Correlation</v>
      </c>
    </row>
    <row r="2628" spans="1:13" x14ac:dyDescent="0.2">
      <c r="A2628" s="113"/>
      <c r="B2628" s="58" t="s">
        <v>7179</v>
      </c>
      <c r="C2628" s="58" t="s">
        <v>7038</v>
      </c>
      <c r="D2628" s="58" t="s">
        <v>7180</v>
      </c>
      <c r="E2628" s="60" t="b">
        <v>1</v>
      </c>
      <c r="F2628" s="80" t="s">
        <v>885</v>
      </c>
      <c r="G2628" s="58" t="s">
        <v>7179</v>
      </c>
      <c r="H2628" s="58" t="s">
        <v>7040</v>
      </c>
      <c r="I2628" s="64" t="s">
        <v>7180</v>
      </c>
      <c r="J2628" s="66"/>
      <c r="K2628" s="66"/>
      <c r="L2628" s="68"/>
      <c r="M2628" s="63" t="str">
        <f>HYPERLINK("http://nsgreg.nga.mil/genc/view?v=865252&amp;end_month=12&amp;end_day=31&amp;end_year=2016","Correlation")</f>
        <v>Correlation</v>
      </c>
    </row>
    <row r="2629" spans="1:13" x14ac:dyDescent="0.2">
      <c r="A2629" s="114"/>
      <c r="B2629" s="71" t="s">
        <v>7181</v>
      </c>
      <c r="C2629" s="71" t="s">
        <v>7038</v>
      </c>
      <c r="D2629" s="71" t="s">
        <v>7182</v>
      </c>
      <c r="E2629" s="73" t="b">
        <v>1</v>
      </c>
      <c r="F2629" s="81" t="s">
        <v>885</v>
      </c>
      <c r="G2629" s="71" t="s">
        <v>7181</v>
      </c>
      <c r="H2629" s="71" t="s">
        <v>7040</v>
      </c>
      <c r="I2629" s="74" t="s">
        <v>7182</v>
      </c>
      <c r="J2629" s="76"/>
      <c r="K2629" s="76"/>
      <c r="L2629" s="82"/>
      <c r="M2629" s="77" t="str">
        <f>HYPERLINK("http://nsgreg.nga.mil/genc/view?v=865253&amp;end_month=12&amp;end_day=31&amp;end_year=2016","Correlation")</f>
        <v>Correlation</v>
      </c>
    </row>
    <row r="2630" spans="1:13" x14ac:dyDescent="0.2">
      <c r="A2630" s="112" t="s">
        <v>889</v>
      </c>
      <c r="B2630" s="50" t="s">
        <v>7183</v>
      </c>
      <c r="C2630" s="50" t="s">
        <v>1816</v>
      </c>
      <c r="D2630" s="50" t="s">
        <v>7184</v>
      </c>
      <c r="E2630" s="52" t="b">
        <v>1</v>
      </c>
      <c r="F2630" s="78" t="s">
        <v>889</v>
      </c>
      <c r="G2630" s="50" t="s">
        <v>7183</v>
      </c>
      <c r="H2630" s="50" t="s">
        <v>1816</v>
      </c>
      <c r="I2630" s="53" t="s">
        <v>7184</v>
      </c>
      <c r="J2630" s="55"/>
      <c r="K2630" s="55"/>
      <c r="L2630" s="79"/>
      <c r="M2630" s="56" t="str">
        <f>HYPERLINK("http://nsgreg.nga.mil/genc/view?v=865026&amp;end_month=12&amp;end_day=31&amp;end_year=2016","Correlation")</f>
        <v>Correlation</v>
      </c>
    </row>
    <row r="2631" spans="1:13" x14ac:dyDescent="0.2">
      <c r="A2631" s="113"/>
      <c r="B2631" s="58" t="s">
        <v>7185</v>
      </c>
      <c r="C2631" s="58" t="s">
        <v>1816</v>
      </c>
      <c r="D2631" s="58" t="s">
        <v>7186</v>
      </c>
      <c r="E2631" s="60" t="b">
        <v>1</v>
      </c>
      <c r="F2631" s="80" t="s">
        <v>889</v>
      </c>
      <c r="G2631" s="58" t="s">
        <v>7185</v>
      </c>
      <c r="H2631" s="58" t="s">
        <v>1816</v>
      </c>
      <c r="I2631" s="64" t="s">
        <v>7186</v>
      </c>
      <c r="J2631" s="66"/>
      <c r="K2631" s="66"/>
      <c r="L2631" s="68"/>
      <c r="M2631" s="63" t="str">
        <f>HYPERLINK("http://nsgreg.nga.mil/genc/view?v=865025&amp;end_month=12&amp;end_day=31&amp;end_year=2016","Correlation")</f>
        <v>Correlation</v>
      </c>
    </row>
    <row r="2632" spans="1:13" x14ac:dyDescent="0.2">
      <c r="A2632" s="113"/>
      <c r="B2632" s="58" t="s">
        <v>7187</v>
      </c>
      <c r="C2632" s="58" t="s">
        <v>1816</v>
      </c>
      <c r="D2632" s="58" t="s">
        <v>7188</v>
      </c>
      <c r="E2632" s="60" t="b">
        <v>1</v>
      </c>
      <c r="F2632" s="80" t="s">
        <v>889</v>
      </c>
      <c r="G2632" s="58" t="s">
        <v>7187</v>
      </c>
      <c r="H2632" s="58" t="s">
        <v>1816</v>
      </c>
      <c r="I2632" s="64" t="s">
        <v>7188</v>
      </c>
      <c r="J2632" s="66"/>
      <c r="K2632" s="66"/>
      <c r="L2632" s="68"/>
      <c r="M2632" s="63" t="str">
        <f>HYPERLINK("http://nsgreg.nga.mil/genc/view?v=865027&amp;end_month=12&amp;end_day=31&amp;end_year=2016","Correlation")</f>
        <v>Correlation</v>
      </c>
    </row>
    <row r="2633" spans="1:13" x14ac:dyDescent="0.2">
      <c r="A2633" s="113"/>
      <c r="B2633" s="58" t="s">
        <v>7189</v>
      </c>
      <c r="C2633" s="58" t="s">
        <v>1816</v>
      </c>
      <c r="D2633" s="58" t="s">
        <v>7190</v>
      </c>
      <c r="E2633" s="60" t="b">
        <v>1</v>
      </c>
      <c r="F2633" s="80" t="s">
        <v>889</v>
      </c>
      <c r="G2633" s="58" t="s">
        <v>7189</v>
      </c>
      <c r="H2633" s="58" t="s">
        <v>1816</v>
      </c>
      <c r="I2633" s="64" t="s">
        <v>7190</v>
      </c>
      <c r="J2633" s="66"/>
      <c r="K2633" s="66"/>
      <c r="L2633" s="68"/>
      <c r="M2633" s="63" t="str">
        <f>HYPERLINK("http://nsgreg.nga.mil/genc/view?v=865028&amp;end_month=12&amp;end_day=31&amp;end_year=2016","Correlation")</f>
        <v>Correlation</v>
      </c>
    </row>
    <row r="2634" spans="1:13" x14ac:dyDescent="0.2">
      <c r="A2634" s="113"/>
      <c r="B2634" s="58" t="s">
        <v>7191</v>
      </c>
      <c r="C2634" s="58" t="s">
        <v>1816</v>
      </c>
      <c r="D2634" s="58" t="s">
        <v>7192</v>
      </c>
      <c r="E2634" s="60" t="b">
        <v>1</v>
      </c>
      <c r="F2634" s="80" t="s">
        <v>889</v>
      </c>
      <c r="G2634" s="58" t="s">
        <v>7193</v>
      </c>
      <c r="H2634" s="58" t="s">
        <v>1816</v>
      </c>
      <c r="I2634" s="64" t="s">
        <v>7192</v>
      </c>
      <c r="J2634" s="66"/>
      <c r="K2634" s="66"/>
      <c r="L2634" s="68"/>
      <c r="M2634" s="63" t="str">
        <f>HYPERLINK("http://nsgreg.nga.mil/genc/view?v=865033&amp;end_month=12&amp;end_day=31&amp;end_year=2016","Correlation")</f>
        <v>Correlation</v>
      </c>
    </row>
    <row r="2635" spans="1:13" x14ac:dyDescent="0.2">
      <c r="A2635" s="113"/>
      <c r="B2635" s="58" t="s">
        <v>7194</v>
      </c>
      <c r="C2635" s="58" t="s">
        <v>1816</v>
      </c>
      <c r="D2635" s="58" t="s">
        <v>7195</v>
      </c>
      <c r="E2635" s="60" t="b">
        <v>1</v>
      </c>
      <c r="F2635" s="80" t="s">
        <v>889</v>
      </c>
      <c r="G2635" s="58" t="s">
        <v>7194</v>
      </c>
      <c r="H2635" s="58" t="s">
        <v>1816</v>
      </c>
      <c r="I2635" s="64" t="s">
        <v>7195</v>
      </c>
      <c r="J2635" s="66"/>
      <c r="K2635" s="66"/>
      <c r="L2635" s="68"/>
      <c r="M2635" s="63" t="str">
        <f>HYPERLINK("http://nsgreg.nga.mil/genc/view?v=865029&amp;end_month=12&amp;end_day=31&amp;end_year=2016","Correlation")</f>
        <v>Correlation</v>
      </c>
    </row>
    <row r="2636" spans="1:13" x14ac:dyDescent="0.2">
      <c r="A2636" s="113"/>
      <c r="B2636" s="58" t="s">
        <v>7196</v>
      </c>
      <c r="C2636" s="58" t="s">
        <v>1816</v>
      </c>
      <c r="D2636" s="58" t="s">
        <v>7197</v>
      </c>
      <c r="E2636" s="60" t="b">
        <v>1</v>
      </c>
      <c r="F2636" s="80" t="s">
        <v>889</v>
      </c>
      <c r="G2636" s="58" t="s">
        <v>7198</v>
      </c>
      <c r="H2636" s="58" t="s">
        <v>1816</v>
      </c>
      <c r="I2636" s="64" t="s">
        <v>7197</v>
      </c>
      <c r="J2636" s="66"/>
      <c r="K2636" s="66"/>
      <c r="L2636" s="68"/>
      <c r="M2636" s="63" t="str">
        <f>HYPERLINK("http://nsgreg.nga.mil/genc/view?v=865030&amp;end_month=12&amp;end_day=31&amp;end_year=2016","Correlation")</f>
        <v>Correlation</v>
      </c>
    </row>
    <row r="2637" spans="1:13" x14ac:dyDescent="0.2">
      <c r="A2637" s="113"/>
      <c r="B2637" s="58" t="s">
        <v>7199</v>
      </c>
      <c r="C2637" s="58" t="s">
        <v>1816</v>
      </c>
      <c r="D2637" s="58" t="s">
        <v>7200</v>
      </c>
      <c r="E2637" s="60" t="b">
        <v>1</v>
      </c>
      <c r="F2637" s="80" t="s">
        <v>889</v>
      </c>
      <c r="G2637" s="58" t="s">
        <v>7199</v>
      </c>
      <c r="H2637" s="58" t="s">
        <v>1816</v>
      </c>
      <c r="I2637" s="64" t="s">
        <v>7200</v>
      </c>
      <c r="J2637" s="66"/>
      <c r="K2637" s="66"/>
      <c r="L2637" s="68"/>
      <c r="M2637" s="63" t="str">
        <f>HYPERLINK("http://nsgreg.nga.mil/genc/view?v=865031&amp;end_month=12&amp;end_day=31&amp;end_year=2016","Correlation")</f>
        <v>Correlation</v>
      </c>
    </row>
    <row r="2638" spans="1:13" x14ac:dyDescent="0.2">
      <c r="A2638" s="113"/>
      <c r="B2638" s="58" t="s">
        <v>7201</v>
      </c>
      <c r="C2638" s="58" t="s">
        <v>1816</v>
      </c>
      <c r="D2638" s="58" t="s">
        <v>7202</v>
      </c>
      <c r="E2638" s="60" t="b">
        <v>1</v>
      </c>
      <c r="F2638" s="80" t="s">
        <v>889</v>
      </c>
      <c r="G2638" s="58" t="s">
        <v>7201</v>
      </c>
      <c r="H2638" s="58" t="s">
        <v>1816</v>
      </c>
      <c r="I2638" s="64" t="s">
        <v>7202</v>
      </c>
      <c r="J2638" s="66"/>
      <c r="K2638" s="66"/>
      <c r="L2638" s="68"/>
      <c r="M2638" s="63" t="str">
        <f>HYPERLINK("http://nsgreg.nga.mil/genc/view?v=865032&amp;end_month=12&amp;end_day=31&amp;end_year=2016","Correlation")</f>
        <v>Correlation</v>
      </c>
    </row>
    <row r="2639" spans="1:13" x14ac:dyDescent="0.2">
      <c r="A2639" s="113"/>
      <c r="B2639" s="58" t="s">
        <v>7203</v>
      </c>
      <c r="C2639" s="58" t="s">
        <v>1816</v>
      </c>
      <c r="D2639" s="58" t="s">
        <v>7204</v>
      </c>
      <c r="E2639" s="60" t="b">
        <v>1</v>
      </c>
      <c r="F2639" s="80" t="s">
        <v>889</v>
      </c>
      <c r="G2639" s="58" t="s">
        <v>7203</v>
      </c>
      <c r="H2639" s="58" t="s">
        <v>1816</v>
      </c>
      <c r="I2639" s="64" t="s">
        <v>7204</v>
      </c>
      <c r="J2639" s="66"/>
      <c r="K2639" s="66"/>
      <c r="L2639" s="68"/>
      <c r="M2639" s="63" t="str">
        <f>HYPERLINK("http://nsgreg.nga.mil/genc/view?v=865034&amp;end_month=12&amp;end_day=31&amp;end_year=2016","Correlation")</f>
        <v>Correlation</v>
      </c>
    </row>
    <row r="2640" spans="1:13" x14ac:dyDescent="0.2">
      <c r="A2640" s="113"/>
      <c r="B2640" s="58" t="s">
        <v>7205</v>
      </c>
      <c r="C2640" s="58" t="s">
        <v>1816</v>
      </c>
      <c r="D2640" s="58" t="s">
        <v>7206</v>
      </c>
      <c r="E2640" s="60" t="b">
        <v>1</v>
      </c>
      <c r="F2640" s="80" t="s">
        <v>889</v>
      </c>
      <c r="G2640" s="58" t="s">
        <v>7205</v>
      </c>
      <c r="H2640" s="58" t="s">
        <v>1816</v>
      </c>
      <c r="I2640" s="64" t="s">
        <v>7206</v>
      </c>
      <c r="J2640" s="66"/>
      <c r="K2640" s="66"/>
      <c r="L2640" s="68"/>
      <c r="M2640" s="63" t="str">
        <f>HYPERLINK("http://nsgreg.nga.mil/genc/view?v=865036&amp;end_month=12&amp;end_day=31&amp;end_year=2016","Correlation")</f>
        <v>Correlation</v>
      </c>
    </row>
    <row r="2641" spans="1:13" x14ac:dyDescent="0.2">
      <c r="A2641" s="113"/>
      <c r="B2641" s="58" t="s">
        <v>7207</v>
      </c>
      <c r="C2641" s="58" t="s">
        <v>1816</v>
      </c>
      <c r="D2641" s="58" t="s">
        <v>7208</v>
      </c>
      <c r="E2641" s="60" t="b">
        <v>1</v>
      </c>
      <c r="F2641" s="80" t="s">
        <v>889</v>
      </c>
      <c r="G2641" s="58" t="s">
        <v>7207</v>
      </c>
      <c r="H2641" s="58" t="s">
        <v>1816</v>
      </c>
      <c r="I2641" s="64" t="s">
        <v>7208</v>
      </c>
      <c r="J2641" s="66"/>
      <c r="K2641" s="66"/>
      <c r="L2641" s="68"/>
      <c r="M2641" s="63" t="str">
        <f>HYPERLINK("http://nsgreg.nga.mil/genc/view?v=865037&amp;end_month=12&amp;end_day=31&amp;end_year=2016","Correlation")</f>
        <v>Correlation</v>
      </c>
    </row>
    <row r="2642" spans="1:13" x14ac:dyDescent="0.2">
      <c r="A2642" s="113"/>
      <c r="B2642" s="58" t="s">
        <v>7209</v>
      </c>
      <c r="C2642" s="58" t="s">
        <v>1816</v>
      </c>
      <c r="D2642" s="58" t="s">
        <v>7210</v>
      </c>
      <c r="E2642" s="60" t="b">
        <v>1</v>
      </c>
      <c r="F2642" s="80" t="s">
        <v>889</v>
      </c>
      <c r="G2642" s="58" t="s">
        <v>7209</v>
      </c>
      <c r="H2642" s="58" t="s">
        <v>1816</v>
      </c>
      <c r="I2642" s="64" t="s">
        <v>7210</v>
      </c>
      <c r="J2642" s="66"/>
      <c r="K2642" s="66"/>
      <c r="L2642" s="68"/>
      <c r="M2642" s="63" t="str">
        <f>HYPERLINK("http://nsgreg.nga.mil/genc/view?v=865038&amp;end_month=12&amp;end_day=31&amp;end_year=2016","Correlation")</f>
        <v>Correlation</v>
      </c>
    </row>
    <row r="2643" spans="1:13" x14ac:dyDescent="0.2">
      <c r="A2643" s="113"/>
      <c r="B2643" s="58" t="s">
        <v>7211</v>
      </c>
      <c r="C2643" s="58" t="s">
        <v>1816</v>
      </c>
      <c r="D2643" s="58" t="s">
        <v>7212</v>
      </c>
      <c r="E2643" s="60" t="b">
        <v>1</v>
      </c>
      <c r="F2643" s="80" t="s">
        <v>889</v>
      </c>
      <c r="G2643" s="58" t="s">
        <v>7211</v>
      </c>
      <c r="H2643" s="58" t="s">
        <v>1816</v>
      </c>
      <c r="I2643" s="64" t="s">
        <v>7212</v>
      </c>
      <c r="J2643" s="66"/>
      <c r="K2643" s="66"/>
      <c r="L2643" s="68"/>
      <c r="M2643" s="63" t="str">
        <f>HYPERLINK("http://nsgreg.nga.mil/genc/view?v=865039&amp;end_month=12&amp;end_day=31&amp;end_year=2016","Correlation")</f>
        <v>Correlation</v>
      </c>
    </row>
    <row r="2644" spans="1:13" x14ac:dyDescent="0.2">
      <c r="A2644" s="113"/>
      <c r="B2644" s="58" t="s">
        <v>7213</v>
      </c>
      <c r="C2644" s="58" t="s">
        <v>1816</v>
      </c>
      <c r="D2644" s="58" t="s">
        <v>7214</v>
      </c>
      <c r="E2644" s="60" t="b">
        <v>1</v>
      </c>
      <c r="F2644" s="80" t="s">
        <v>889</v>
      </c>
      <c r="G2644" s="58" t="s">
        <v>7213</v>
      </c>
      <c r="H2644" s="58" t="s">
        <v>1816</v>
      </c>
      <c r="I2644" s="64" t="s">
        <v>7214</v>
      </c>
      <c r="J2644" s="66"/>
      <c r="K2644" s="66"/>
      <c r="L2644" s="68"/>
      <c r="M2644" s="63" t="str">
        <f>HYPERLINK("http://nsgreg.nga.mil/genc/view?v=865040&amp;end_month=12&amp;end_day=31&amp;end_year=2016","Correlation")</f>
        <v>Correlation</v>
      </c>
    </row>
    <row r="2645" spans="1:13" x14ac:dyDescent="0.2">
      <c r="A2645" s="113"/>
      <c r="B2645" s="58" t="s">
        <v>7215</v>
      </c>
      <c r="C2645" s="58" t="s">
        <v>1816</v>
      </c>
      <c r="D2645" s="58" t="s">
        <v>7216</v>
      </c>
      <c r="E2645" s="60" t="b">
        <v>1</v>
      </c>
      <c r="F2645" s="80" t="s">
        <v>889</v>
      </c>
      <c r="G2645" s="58" t="s">
        <v>7215</v>
      </c>
      <c r="H2645" s="58" t="s">
        <v>1816</v>
      </c>
      <c r="I2645" s="64" t="s">
        <v>7216</v>
      </c>
      <c r="J2645" s="66"/>
      <c r="K2645" s="66"/>
      <c r="L2645" s="68"/>
      <c r="M2645" s="63" t="str">
        <f>HYPERLINK("http://nsgreg.nga.mil/genc/view?v=865041&amp;end_month=12&amp;end_day=31&amp;end_year=2016","Correlation")</f>
        <v>Correlation</v>
      </c>
    </row>
    <row r="2646" spans="1:13" x14ac:dyDescent="0.2">
      <c r="A2646" s="113"/>
      <c r="B2646" s="58" t="s">
        <v>7217</v>
      </c>
      <c r="C2646" s="58" t="s">
        <v>1816</v>
      </c>
      <c r="D2646" s="58" t="s">
        <v>7218</v>
      </c>
      <c r="E2646" s="60" t="b">
        <v>1</v>
      </c>
      <c r="F2646" s="80" t="s">
        <v>889</v>
      </c>
      <c r="G2646" s="58" t="s">
        <v>7217</v>
      </c>
      <c r="H2646" s="58" t="s">
        <v>1816</v>
      </c>
      <c r="I2646" s="64" t="s">
        <v>7218</v>
      </c>
      <c r="J2646" s="66"/>
      <c r="K2646" s="66"/>
      <c r="L2646" s="68"/>
      <c r="M2646" s="63" t="str">
        <f>HYPERLINK("http://nsgreg.nga.mil/genc/view?v=865042&amp;end_month=12&amp;end_day=31&amp;end_year=2016","Correlation")</f>
        <v>Correlation</v>
      </c>
    </row>
    <row r="2647" spans="1:13" x14ac:dyDescent="0.2">
      <c r="A2647" s="113"/>
      <c r="B2647" s="58" t="s">
        <v>7219</v>
      </c>
      <c r="C2647" s="58" t="s">
        <v>1816</v>
      </c>
      <c r="D2647" s="58" t="s">
        <v>7220</v>
      </c>
      <c r="E2647" s="60" t="b">
        <v>1</v>
      </c>
      <c r="F2647" s="80" t="s">
        <v>889</v>
      </c>
      <c r="G2647" s="58" t="s">
        <v>7219</v>
      </c>
      <c r="H2647" s="58" t="s">
        <v>1816</v>
      </c>
      <c r="I2647" s="64" t="s">
        <v>7220</v>
      </c>
      <c r="J2647" s="66"/>
      <c r="K2647" s="66"/>
      <c r="L2647" s="68"/>
      <c r="M2647" s="63" t="str">
        <f>HYPERLINK("http://nsgreg.nga.mil/genc/view?v=865043&amp;end_month=12&amp;end_day=31&amp;end_year=2016","Correlation")</f>
        <v>Correlation</v>
      </c>
    </row>
    <row r="2648" spans="1:13" x14ac:dyDescent="0.2">
      <c r="A2648" s="113"/>
      <c r="B2648" s="58" t="s">
        <v>7221</v>
      </c>
      <c r="C2648" s="58" t="s">
        <v>1816</v>
      </c>
      <c r="D2648" s="58" t="s">
        <v>7222</v>
      </c>
      <c r="E2648" s="60" t="b">
        <v>1</v>
      </c>
      <c r="F2648" s="80" t="s">
        <v>889</v>
      </c>
      <c r="G2648" s="58" t="s">
        <v>7221</v>
      </c>
      <c r="H2648" s="58" t="s">
        <v>1816</v>
      </c>
      <c r="I2648" s="64" t="s">
        <v>7222</v>
      </c>
      <c r="J2648" s="66"/>
      <c r="K2648" s="66"/>
      <c r="L2648" s="68"/>
      <c r="M2648" s="63" t="str">
        <f>HYPERLINK("http://nsgreg.nga.mil/genc/view?v=865044&amp;end_month=12&amp;end_day=31&amp;end_year=2016","Correlation")</f>
        <v>Correlation</v>
      </c>
    </row>
    <row r="2649" spans="1:13" x14ac:dyDescent="0.2">
      <c r="A2649" s="113"/>
      <c r="B2649" s="58" t="s">
        <v>7223</v>
      </c>
      <c r="C2649" s="58" t="s">
        <v>7224</v>
      </c>
      <c r="D2649" s="58" t="s">
        <v>7225</v>
      </c>
      <c r="E2649" s="60" t="b">
        <v>1</v>
      </c>
      <c r="F2649" s="80" t="s">
        <v>889</v>
      </c>
      <c r="G2649" s="58" t="s">
        <v>7226</v>
      </c>
      <c r="H2649" s="58" t="s">
        <v>7224</v>
      </c>
      <c r="I2649" s="64" t="s">
        <v>7225</v>
      </c>
      <c r="J2649" s="66"/>
      <c r="K2649" s="66"/>
      <c r="L2649" s="68"/>
      <c r="M2649" s="63" t="str">
        <f>HYPERLINK("http://nsgreg.nga.mil/genc/view?v=865035&amp;end_month=12&amp;end_day=31&amp;end_year=2016","Correlation")</f>
        <v>Correlation</v>
      </c>
    </row>
    <row r="2650" spans="1:13" x14ac:dyDescent="0.2">
      <c r="A2650" s="113"/>
      <c r="B2650" s="58" t="s">
        <v>7227</v>
      </c>
      <c r="C2650" s="58" t="s">
        <v>7224</v>
      </c>
      <c r="D2650" s="58" t="s">
        <v>7228</v>
      </c>
      <c r="E2650" s="60" t="b">
        <v>1</v>
      </c>
      <c r="F2650" s="80" t="s">
        <v>889</v>
      </c>
      <c r="G2650" s="58" t="s">
        <v>7229</v>
      </c>
      <c r="H2650" s="58" t="s">
        <v>7224</v>
      </c>
      <c r="I2650" s="64" t="s">
        <v>7228</v>
      </c>
      <c r="J2650" s="66"/>
      <c r="K2650" s="66"/>
      <c r="L2650" s="68"/>
      <c r="M2650" s="63" t="str">
        <f>HYPERLINK("http://nsgreg.nga.mil/genc/view?v=865046&amp;end_month=12&amp;end_day=31&amp;end_year=2016","Correlation")</f>
        <v>Correlation</v>
      </c>
    </row>
    <row r="2651" spans="1:13" x14ac:dyDescent="0.2">
      <c r="A2651" s="113"/>
      <c r="B2651" s="58" t="s">
        <v>7230</v>
      </c>
      <c r="C2651" s="58" t="s">
        <v>1816</v>
      </c>
      <c r="D2651" s="58" t="s">
        <v>7231</v>
      </c>
      <c r="E2651" s="60" t="b">
        <v>1</v>
      </c>
      <c r="F2651" s="80" t="s">
        <v>889</v>
      </c>
      <c r="G2651" s="58" t="s">
        <v>7230</v>
      </c>
      <c r="H2651" s="58" t="s">
        <v>1816</v>
      </c>
      <c r="I2651" s="64" t="s">
        <v>7231</v>
      </c>
      <c r="J2651" s="66"/>
      <c r="K2651" s="66"/>
      <c r="L2651" s="68"/>
      <c r="M2651" s="63" t="str">
        <f>HYPERLINK("http://nsgreg.nga.mil/genc/view?v=865045&amp;end_month=12&amp;end_day=31&amp;end_year=2016","Correlation")</f>
        <v>Correlation</v>
      </c>
    </row>
    <row r="2652" spans="1:13" x14ac:dyDescent="0.2">
      <c r="A2652" s="113"/>
      <c r="B2652" s="58" t="s">
        <v>7232</v>
      </c>
      <c r="C2652" s="58" t="s">
        <v>1816</v>
      </c>
      <c r="D2652" s="58" t="s">
        <v>7233</v>
      </c>
      <c r="E2652" s="60" t="b">
        <v>1</v>
      </c>
      <c r="F2652" s="80" t="s">
        <v>889</v>
      </c>
      <c r="G2652" s="58" t="s">
        <v>7232</v>
      </c>
      <c r="H2652" s="58" t="s">
        <v>1816</v>
      </c>
      <c r="I2652" s="64" t="s">
        <v>7233</v>
      </c>
      <c r="J2652" s="66"/>
      <c r="K2652" s="66"/>
      <c r="L2652" s="68"/>
      <c r="M2652" s="63" t="str">
        <f>HYPERLINK("http://nsgreg.nga.mil/genc/view?v=865047&amp;end_month=12&amp;end_day=31&amp;end_year=2016","Correlation")</f>
        <v>Correlation</v>
      </c>
    </row>
    <row r="2653" spans="1:13" x14ac:dyDescent="0.2">
      <c r="A2653" s="113"/>
      <c r="B2653" s="58" t="s">
        <v>7234</v>
      </c>
      <c r="C2653" s="58" t="s">
        <v>1816</v>
      </c>
      <c r="D2653" s="58" t="s">
        <v>7235</v>
      </c>
      <c r="E2653" s="60" t="b">
        <v>1</v>
      </c>
      <c r="F2653" s="80" t="s">
        <v>889</v>
      </c>
      <c r="G2653" s="58" t="s">
        <v>7234</v>
      </c>
      <c r="H2653" s="58" t="s">
        <v>1816</v>
      </c>
      <c r="I2653" s="64" t="s">
        <v>7235</v>
      </c>
      <c r="J2653" s="66"/>
      <c r="K2653" s="66"/>
      <c r="L2653" s="68"/>
      <c r="M2653" s="63" t="str">
        <f>HYPERLINK("http://nsgreg.nga.mil/genc/view?v=865048&amp;end_month=12&amp;end_day=31&amp;end_year=2016","Correlation")</f>
        <v>Correlation</v>
      </c>
    </row>
    <row r="2654" spans="1:13" x14ac:dyDescent="0.2">
      <c r="A2654" s="113"/>
      <c r="B2654" s="58" t="s">
        <v>7236</v>
      </c>
      <c r="C2654" s="58" t="s">
        <v>1816</v>
      </c>
      <c r="D2654" s="58" t="s">
        <v>7237</v>
      </c>
      <c r="E2654" s="60" t="b">
        <v>1</v>
      </c>
      <c r="F2654" s="80" t="s">
        <v>889</v>
      </c>
      <c r="G2654" s="58" t="s">
        <v>7236</v>
      </c>
      <c r="H2654" s="58" t="s">
        <v>1816</v>
      </c>
      <c r="I2654" s="64" t="s">
        <v>7237</v>
      </c>
      <c r="J2654" s="66"/>
      <c r="K2654" s="66"/>
      <c r="L2654" s="68"/>
      <c r="M2654" s="63" t="str">
        <f>HYPERLINK("http://nsgreg.nga.mil/genc/view?v=865049&amp;end_month=12&amp;end_day=31&amp;end_year=2016","Correlation")</f>
        <v>Correlation</v>
      </c>
    </row>
    <row r="2655" spans="1:13" x14ac:dyDescent="0.2">
      <c r="A2655" s="114"/>
      <c r="B2655" s="71" t="s">
        <v>7238</v>
      </c>
      <c r="C2655" s="71" t="s">
        <v>1816</v>
      </c>
      <c r="D2655" s="71" t="s">
        <v>7239</v>
      </c>
      <c r="E2655" s="73" t="b">
        <v>1</v>
      </c>
      <c r="F2655" s="81" t="s">
        <v>889</v>
      </c>
      <c r="G2655" s="71" t="s">
        <v>7238</v>
      </c>
      <c r="H2655" s="71" t="s">
        <v>1816</v>
      </c>
      <c r="I2655" s="74" t="s">
        <v>7239</v>
      </c>
      <c r="J2655" s="76"/>
      <c r="K2655" s="76"/>
      <c r="L2655" s="82"/>
      <c r="M2655" s="77" t="str">
        <f>HYPERLINK("http://nsgreg.nga.mil/genc/view?v=865050&amp;end_month=12&amp;end_day=31&amp;end_year=2016","Correlation")</f>
        <v>Correlation</v>
      </c>
    </row>
    <row r="2656" spans="1:13" x14ac:dyDescent="0.2">
      <c r="A2656" s="112" t="s">
        <v>899</v>
      </c>
      <c r="B2656" s="50" t="s">
        <v>1507</v>
      </c>
      <c r="C2656" s="50" t="s">
        <v>1728</v>
      </c>
      <c r="D2656" s="50" t="s">
        <v>7240</v>
      </c>
      <c r="E2656" s="52" t="b">
        <v>1</v>
      </c>
      <c r="F2656" s="78" t="s">
        <v>899</v>
      </c>
      <c r="G2656" s="50" t="s">
        <v>1507</v>
      </c>
      <c r="H2656" s="50" t="s">
        <v>1728</v>
      </c>
      <c r="I2656" s="53" t="s">
        <v>7240</v>
      </c>
      <c r="J2656" s="55"/>
      <c r="K2656" s="55"/>
      <c r="L2656" s="79"/>
      <c r="M2656" s="56" t="str">
        <f>HYPERLINK("http://nsgreg.nga.mil/genc/view?v=865174&amp;end_month=12&amp;end_day=31&amp;end_year=2016","Correlation")</f>
        <v>Correlation</v>
      </c>
    </row>
    <row r="2657" spans="1:13" x14ac:dyDescent="0.2">
      <c r="A2657" s="113"/>
      <c r="B2657" s="58" t="s">
        <v>7241</v>
      </c>
      <c r="C2657" s="58" t="s">
        <v>1728</v>
      </c>
      <c r="D2657" s="58" t="s">
        <v>7242</v>
      </c>
      <c r="E2657" s="60" t="b">
        <v>1</v>
      </c>
      <c r="F2657" s="80" t="s">
        <v>899</v>
      </c>
      <c r="G2657" s="58" t="s">
        <v>7241</v>
      </c>
      <c r="H2657" s="58" t="s">
        <v>1728</v>
      </c>
      <c r="I2657" s="64" t="s">
        <v>7242</v>
      </c>
      <c r="J2657" s="66"/>
      <c r="K2657" s="66"/>
      <c r="L2657" s="68"/>
      <c r="M2657" s="63" t="str">
        <f>HYPERLINK("http://nsgreg.nga.mil/genc/view?v=865170&amp;end_month=12&amp;end_day=31&amp;end_year=2016","Correlation")</f>
        <v>Correlation</v>
      </c>
    </row>
    <row r="2658" spans="1:13" x14ac:dyDescent="0.2">
      <c r="A2658" s="113"/>
      <c r="B2658" s="58" t="s">
        <v>7243</v>
      </c>
      <c r="C2658" s="58" t="s">
        <v>1728</v>
      </c>
      <c r="D2658" s="58" t="s">
        <v>7244</v>
      </c>
      <c r="E2658" s="60" t="b">
        <v>1</v>
      </c>
      <c r="F2658" s="80" t="s">
        <v>899</v>
      </c>
      <c r="G2658" s="58" t="s">
        <v>7243</v>
      </c>
      <c r="H2658" s="58" t="s">
        <v>1728</v>
      </c>
      <c r="I2658" s="64" t="s">
        <v>7244</v>
      </c>
      <c r="J2658" s="66"/>
      <c r="K2658" s="66"/>
      <c r="L2658" s="68"/>
      <c r="M2658" s="63" t="str">
        <f>HYPERLINK("http://nsgreg.nga.mil/genc/view?v=865172&amp;end_month=12&amp;end_day=31&amp;end_year=2016","Correlation")</f>
        <v>Correlation</v>
      </c>
    </row>
    <row r="2659" spans="1:13" x14ac:dyDescent="0.2">
      <c r="A2659" s="113"/>
      <c r="B2659" s="58" t="s">
        <v>7245</v>
      </c>
      <c r="C2659" s="58" t="s">
        <v>1728</v>
      </c>
      <c r="D2659" s="58" t="s">
        <v>7246</v>
      </c>
      <c r="E2659" s="60" t="b">
        <v>1</v>
      </c>
      <c r="F2659" s="80" t="s">
        <v>899</v>
      </c>
      <c r="G2659" s="58" t="s">
        <v>7247</v>
      </c>
      <c r="H2659" s="58" t="s">
        <v>1728</v>
      </c>
      <c r="I2659" s="64" t="s">
        <v>7246</v>
      </c>
      <c r="J2659" s="66"/>
      <c r="K2659" s="66"/>
      <c r="L2659" s="68"/>
      <c r="M2659" s="63" t="str">
        <f>HYPERLINK("http://nsgreg.nga.mil/genc/view?v=865175&amp;end_month=12&amp;end_day=31&amp;end_year=2016","Correlation")</f>
        <v>Correlation</v>
      </c>
    </row>
    <row r="2660" spans="1:13" x14ac:dyDescent="0.2">
      <c r="A2660" s="113"/>
      <c r="B2660" s="58" t="s">
        <v>7248</v>
      </c>
      <c r="C2660" s="58" t="s">
        <v>1728</v>
      </c>
      <c r="D2660" s="58" t="s">
        <v>7249</v>
      </c>
      <c r="E2660" s="60" t="b">
        <v>1</v>
      </c>
      <c r="F2660" s="80" t="s">
        <v>899</v>
      </c>
      <c r="G2660" s="58" t="s">
        <v>7248</v>
      </c>
      <c r="H2660" s="58" t="s">
        <v>1728</v>
      </c>
      <c r="I2660" s="64" t="s">
        <v>7249</v>
      </c>
      <c r="J2660" s="66"/>
      <c r="K2660" s="66"/>
      <c r="L2660" s="68"/>
      <c r="M2660" s="63" t="str">
        <f>HYPERLINK("http://nsgreg.nga.mil/genc/view?v=865171&amp;end_month=12&amp;end_day=31&amp;end_year=2016","Correlation")</f>
        <v>Correlation</v>
      </c>
    </row>
    <row r="2661" spans="1:13" x14ac:dyDescent="0.2">
      <c r="A2661" s="113"/>
      <c r="B2661" s="58" t="s">
        <v>7250</v>
      </c>
      <c r="C2661" s="58" t="s">
        <v>1728</v>
      </c>
      <c r="D2661" s="58" t="s">
        <v>7251</v>
      </c>
      <c r="E2661" s="60" t="b">
        <v>1</v>
      </c>
      <c r="F2661" s="80" t="s">
        <v>899</v>
      </c>
      <c r="G2661" s="58" t="s">
        <v>7250</v>
      </c>
      <c r="H2661" s="58" t="s">
        <v>1728</v>
      </c>
      <c r="I2661" s="64" t="s">
        <v>7251</v>
      </c>
      <c r="J2661" s="66"/>
      <c r="K2661" s="66"/>
      <c r="L2661" s="68"/>
      <c r="M2661" s="63" t="str">
        <f>HYPERLINK("http://nsgreg.nga.mil/genc/view?v=865177&amp;end_month=12&amp;end_day=31&amp;end_year=2016","Correlation")</f>
        <v>Correlation</v>
      </c>
    </row>
    <row r="2662" spans="1:13" x14ac:dyDescent="0.2">
      <c r="A2662" s="113"/>
      <c r="B2662" s="58" t="s">
        <v>7252</v>
      </c>
      <c r="C2662" s="58" t="s">
        <v>1728</v>
      </c>
      <c r="D2662" s="58" t="s">
        <v>7253</v>
      </c>
      <c r="E2662" s="60" t="b">
        <v>1</v>
      </c>
      <c r="F2662" s="80" t="s">
        <v>899</v>
      </c>
      <c r="G2662" s="58" t="s">
        <v>7252</v>
      </c>
      <c r="H2662" s="58" t="s">
        <v>1728</v>
      </c>
      <c r="I2662" s="64" t="s">
        <v>7253</v>
      </c>
      <c r="J2662" s="66"/>
      <c r="K2662" s="66"/>
      <c r="L2662" s="68"/>
      <c r="M2662" s="63" t="str">
        <f>HYPERLINK("http://nsgreg.nga.mil/genc/view?v=865168&amp;end_month=12&amp;end_day=31&amp;end_year=2016","Correlation")</f>
        <v>Correlation</v>
      </c>
    </row>
    <row r="2663" spans="1:13" x14ac:dyDescent="0.2">
      <c r="A2663" s="113"/>
      <c r="B2663" s="58" t="s">
        <v>7254</v>
      </c>
      <c r="C2663" s="58" t="s">
        <v>1728</v>
      </c>
      <c r="D2663" s="58" t="s">
        <v>7255</v>
      </c>
      <c r="E2663" s="60" t="b">
        <v>1</v>
      </c>
      <c r="F2663" s="80" t="s">
        <v>899</v>
      </c>
      <c r="G2663" s="58" t="s">
        <v>7254</v>
      </c>
      <c r="H2663" s="58" t="s">
        <v>1728</v>
      </c>
      <c r="I2663" s="64" t="s">
        <v>7255</v>
      </c>
      <c r="J2663" s="66"/>
      <c r="K2663" s="66"/>
      <c r="L2663" s="68"/>
      <c r="M2663" s="63" t="str">
        <f>HYPERLINK("http://nsgreg.nga.mil/genc/view?v=865169&amp;end_month=12&amp;end_day=31&amp;end_year=2016","Correlation")</f>
        <v>Correlation</v>
      </c>
    </row>
    <row r="2664" spans="1:13" x14ac:dyDescent="0.2">
      <c r="A2664" s="113"/>
      <c r="B2664" s="58" t="s">
        <v>7256</v>
      </c>
      <c r="C2664" s="58" t="s">
        <v>1728</v>
      </c>
      <c r="D2664" s="58" t="s">
        <v>7257</v>
      </c>
      <c r="E2664" s="60" t="b">
        <v>1</v>
      </c>
      <c r="F2664" s="80" t="s">
        <v>899</v>
      </c>
      <c r="G2664" s="58" t="s">
        <v>7256</v>
      </c>
      <c r="H2664" s="58" t="s">
        <v>1728</v>
      </c>
      <c r="I2664" s="64" t="s">
        <v>7257</v>
      </c>
      <c r="J2664" s="66"/>
      <c r="K2664" s="66"/>
      <c r="L2664" s="68"/>
      <c r="M2664" s="63" t="str">
        <f>HYPERLINK("http://nsgreg.nga.mil/genc/view?v=865179&amp;end_month=12&amp;end_day=31&amp;end_year=2016","Correlation")</f>
        <v>Correlation</v>
      </c>
    </row>
    <row r="2665" spans="1:13" x14ac:dyDescent="0.2">
      <c r="A2665" s="113"/>
      <c r="B2665" s="58" t="s">
        <v>7258</v>
      </c>
      <c r="C2665" s="58" t="s">
        <v>1728</v>
      </c>
      <c r="D2665" s="58" t="s">
        <v>7259</v>
      </c>
      <c r="E2665" s="60" t="b">
        <v>1</v>
      </c>
      <c r="F2665" s="80" t="s">
        <v>899</v>
      </c>
      <c r="G2665" s="58" t="s">
        <v>7260</v>
      </c>
      <c r="H2665" s="58" t="s">
        <v>1728</v>
      </c>
      <c r="I2665" s="64" t="s">
        <v>7259</v>
      </c>
      <c r="J2665" s="66"/>
      <c r="K2665" s="66"/>
      <c r="L2665" s="68"/>
      <c r="M2665" s="63" t="str">
        <f>HYPERLINK("http://nsgreg.nga.mil/genc/view?v=865181&amp;end_month=12&amp;end_day=31&amp;end_year=2016","Correlation")</f>
        <v>Correlation</v>
      </c>
    </row>
    <row r="2666" spans="1:13" x14ac:dyDescent="0.2">
      <c r="A2666" s="113"/>
      <c r="B2666" s="58" t="s">
        <v>7261</v>
      </c>
      <c r="C2666" s="58" t="s">
        <v>1728</v>
      </c>
      <c r="D2666" s="58" t="s">
        <v>7262</v>
      </c>
      <c r="E2666" s="60" t="b">
        <v>1</v>
      </c>
      <c r="F2666" s="80" t="s">
        <v>899</v>
      </c>
      <c r="G2666" s="58" t="s">
        <v>7263</v>
      </c>
      <c r="H2666" s="58" t="s">
        <v>1728</v>
      </c>
      <c r="I2666" s="64" t="s">
        <v>7262</v>
      </c>
      <c r="J2666" s="66"/>
      <c r="K2666" s="66"/>
      <c r="L2666" s="68"/>
      <c r="M2666" s="63" t="str">
        <f>HYPERLINK("http://nsgreg.nga.mil/genc/view?v=865180&amp;end_month=12&amp;end_day=31&amp;end_year=2016","Correlation")</f>
        <v>Correlation</v>
      </c>
    </row>
    <row r="2667" spans="1:13" x14ac:dyDescent="0.2">
      <c r="A2667" s="113"/>
      <c r="B2667" s="58" t="s">
        <v>7264</v>
      </c>
      <c r="C2667" s="58" t="s">
        <v>1728</v>
      </c>
      <c r="D2667" s="58" t="s">
        <v>7265</v>
      </c>
      <c r="E2667" s="60" t="b">
        <v>1</v>
      </c>
      <c r="F2667" s="80" t="s">
        <v>899</v>
      </c>
      <c r="G2667" s="58" t="s">
        <v>7266</v>
      </c>
      <c r="H2667" s="58" t="s">
        <v>1728</v>
      </c>
      <c r="I2667" s="64" t="s">
        <v>7265</v>
      </c>
      <c r="J2667" s="66"/>
      <c r="K2667" s="66"/>
      <c r="L2667" s="68"/>
      <c r="M2667" s="63" t="str">
        <f>HYPERLINK("http://nsgreg.nga.mil/genc/view?v=865182&amp;end_month=12&amp;end_day=31&amp;end_year=2016","Correlation")</f>
        <v>Correlation</v>
      </c>
    </row>
    <row r="2668" spans="1:13" x14ac:dyDescent="0.2">
      <c r="A2668" s="113"/>
      <c r="B2668" s="58" t="s">
        <v>7267</v>
      </c>
      <c r="C2668" s="58" t="s">
        <v>1728</v>
      </c>
      <c r="D2668" s="58" t="s">
        <v>7268</v>
      </c>
      <c r="E2668" s="60" t="b">
        <v>1</v>
      </c>
      <c r="F2668" s="80" t="s">
        <v>899</v>
      </c>
      <c r="G2668" s="58" t="s">
        <v>7267</v>
      </c>
      <c r="H2668" s="58" t="s">
        <v>1728</v>
      </c>
      <c r="I2668" s="64" t="s">
        <v>7268</v>
      </c>
      <c r="J2668" s="66"/>
      <c r="K2668" s="66"/>
      <c r="L2668" s="68"/>
      <c r="M2668" s="63" t="str">
        <f>HYPERLINK("http://nsgreg.nga.mil/genc/view?v=865176&amp;end_month=12&amp;end_day=31&amp;end_year=2016","Correlation")</f>
        <v>Correlation</v>
      </c>
    </row>
    <row r="2669" spans="1:13" x14ac:dyDescent="0.2">
      <c r="A2669" s="113"/>
      <c r="B2669" s="58" t="s">
        <v>7269</v>
      </c>
      <c r="C2669" s="58" t="s">
        <v>1728</v>
      </c>
      <c r="D2669" s="58" t="s">
        <v>7270</v>
      </c>
      <c r="E2669" s="60" t="b">
        <v>1</v>
      </c>
      <c r="F2669" s="80" t="s">
        <v>899</v>
      </c>
      <c r="G2669" s="58" t="s">
        <v>7269</v>
      </c>
      <c r="H2669" s="58" t="s">
        <v>1728</v>
      </c>
      <c r="I2669" s="64" t="s">
        <v>7270</v>
      </c>
      <c r="J2669" s="66"/>
      <c r="K2669" s="66"/>
      <c r="L2669" s="68"/>
      <c r="M2669" s="63" t="str">
        <f>HYPERLINK("http://nsgreg.nga.mil/genc/view?v=865178&amp;end_month=12&amp;end_day=31&amp;end_year=2016","Correlation")</f>
        <v>Correlation</v>
      </c>
    </row>
    <row r="2670" spans="1:13" x14ac:dyDescent="0.2">
      <c r="A2670" s="114"/>
      <c r="B2670" s="71" t="s">
        <v>7271</v>
      </c>
      <c r="C2670" s="71" t="s">
        <v>1728</v>
      </c>
      <c r="D2670" s="71" t="s">
        <v>7272</v>
      </c>
      <c r="E2670" s="73" t="b">
        <v>1</v>
      </c>
      <c r="F2670" s="81" t="s">
        <v>899</v>
      </c>
      <c r="G2670" s="71" t="s">
        <v>7271</v>
      </c>
      <c r="H2670" s="71" t="s">
        <v>1728</v>
      </c>
      <c r="I2670" s="74" t="s">
        <v>7272</v>
      </c>
      <c r="J2670" s="76"/>
      <c r="K2670" s="76"/>
      <c r="L2670" s="82"/>
      <c r="M2670" s="77" t="str">
        <f>HYPERLINK("http://nsgreg.nga.mil/genc/view?v=865173&amp;end_month=12&amp;end_day=31&amp;end_year=2016","Correlation")</f>
        <v>Correlation</v>
      </c>
    </row>
    <row r="2671" spans="1:13" x14ac:dyDescent="0.2">
      <c r="A2671" s="112" t="s">
        <v>903</v>
      </c>
      <c r="B2671" s="50" t="s">
        <v>7273</v>
      </c>
      <c r="C2671" s="50" t="s">
        <v>1659</v>
      </c>
      <c r="D2671" s="50" t="s">
        <v>7274</v>
      </c>
      <c r="E2671" s="52" t="b">
        <v>1</v>
      </c>
      <c r="F2671" s="78" t="s">
        <v>903</v>
      </c>
      <c r="G2671" s="50" t="s">
        <v>7273</v>
      </c>
      <c r="H2671" s="50" t="s">
        <v>1659</v>
      </c>
      <c r="I2671" s="53" t="s">
        <v>7274</v>
      </c>
      <c r="J2671" s="55"/>
      <c r="K2671" s="55"/>
      <c r="L2671" s="79"/>
      <c r="M2671" s="56" t="str">
        <f>HYPERLINK("http://nsgreg.nga.mil/genc/view?v=865254&amp;end_month=12&amp;end_day=31&amp;end_year=2016","Correlation")</f>
        <v>Correlation</v>
      </c>
    </row>
    <row r="2672" spans="1:13" x14ac:dyDescent="0.2">
      <c r="A2672" s="113"/>
      <c r="B2672" s="58" t="s">
        <v>7275</v>
      </c>
      <c r="C2672" s="58" t="s">
        <v>1681</v>
      </c>
      <c r="D2672" s="58" t="s">
        <v>7276</v>
      </c>
      <c r="E2672" s="60" t="b">
        <v>1</v>
      </c>
      <c r="F2672" s="80" t="s">
        <v>903</v>
      </c>
      <c r="G2672" s="58" t="s">
        <v>7275</v>
      </c>
      <c r="H2672" s="58" t="s">
        <v>1681</v>
      </c>
      <c r="I2672" s="64" t="s">
        <v>7276</v>
      </c>
      <c r="J2672" s="66"/>
      <c r="K2672" s="66"/>
      <c r="L2672" s="68"/>
      <c r="M2672" s="63" t="str">
        <f>HYPERLINK("http://nsgreg.nga.mil/genc/view?v=865256&amp;end_month=12&amp;end_day=31&amp;end_year=2016","Correlation")</f>
        <v>Correlation</v>
      </c>
    </row>
    <row r="2673" spans="1:13" x14ac:dyDescent="0.2">
      <c r="A2673" s="113"/>
      <c r="B2673" s="58" t="s">
        <v>7277</v>
      </c>
      <c r="C2673" s="58" t="s">
        <v>1796</v>
      </c>
      <c r="D2673" s="58" t="s">
        <v>7278</v>
      </c>
      <c r="E2673" s="60" t="b">
        <v>1</v>
      </c>
      <c r="F2673" s="80" t="s">
        <v>903</v>
      </c>
      <c r="G2673" s="58" t="s">
        <v>7277</v>
      </c>
      <c r="H2673" s="58" t="s">
        <v>1796</v>
      </c>
      <c r="I2673" s="64" t="s">
        <v>7278</v>
      </c>
      <c r="J2673" s="66"/>
      <c r="K2673" s="66"/>
      <c r="L2673" s="68"/>
      <c r="M2673" s="63" t="str">
        <f>HYPERLINK("http://nsgreg.nga.mil/genc/view?v=865255&amp;end_month=12&amp;end_day=31&amp;end_year=2016","Correlation")</f>
        <v>Correlation</v>
      </c>
    </row>
    <row r="2674" spans="1:13" x14ac:dyDescent="0.2">
      <c r="A2674" s="113"/>
      <c r="B2674" s="58" t="s">
        <v>7279</v>
      </c>
      <c r="C2674" s="58" t="s">
        <v>1659</v>
      </c>
      <c r="D2674" s="58" t="s">
        <v>7280</v>
      </c>
      <c r="E2674" s="60" t="b">
        <v>1</v>
      </c>
      <c r="F2674" s="80" t="s">
        <v>903</v>
      </c>
      <c r="G2674" s="58" t="s">
        <v>7281</v>
      </c>
      <c r="H2674" s="58" t="s">
        <v>1659</v>
      </c>
      <c r="I2674" s="64" t="s">
        <v>7280</v>
      </c>
      <c r="J2674" s="66"/>
      <c r="K2674" s="66"/>
      <c r="L2674" s="68"/>
      <c r="M2674" s="63" t="str">
        <f>HYPERLINK("http://nsgreg.nga.mil/genc/view?v=865257&amp;end_month=12&amp;end_day=31&amp;end_year=2016","Correlation")</f>
        <v>Correlation</v>
      </c>
    </row>
    <row r="2675" spans="1:13" x14ac:dyDescent="0.2">
      <c r="A2675" s="113"/>
      <c r="B2675" s="58" t="s">
        <v>7282</v>
      </c>
      <c r="C2675" s="58" t="s">
        <v>1681</v>
      </c>
      <c r="D2675" s="58" t="s">
        <v>7283</v>
      </c>
      <c r="E2675" s="60" t="b">
        <v>1</v>
      </c>
      <c r="F2675" s="80" t="s">
        <v>903</v>
      </c>
      <c r="G2675" s="58" t="s">
        <v>7282</v>
      </c>
      <c r="H2675" s="58" t="s">
        <v>1681</v>
      </c>
      <c r="I2675" s="64" t="s">
        <v>7283</v>
      </c>
      <c r="J2675" s="66"/>
      <c r="K2675" s="66"/>
      <c r="L2675" s="68"/>
      <c r="M2675" s="63" t="str">
        <f>HYPERLINK("http://nsgreg.nga.mil/genc/view?v=865258&amp;end_month=12&amp;end_day=31&amp;end_year=2016","Correlation")</f>
        <v>Correlation</v>
      </c>
    </row>
    <row r="2676" spans="1:13" x14ac:dyDescent="0.2">
      <c r="A2676" s="113"/>
      <c r="B2676" s="58" t="s">
        <v>7284</v>
      </c>
      <c r="C2676" s="58" t="s">
        <v>1796</v>
      </c>
      <c r="D2676" s="58" t="s">
        <v>7285</v>
      </c>
      <c r="E2676" s="60" t="b">
        <v>1</v>
      </c>
      <c r="F2676" s="80" t="s">
        <v>903</v>
      </c>
      <c r="G2676" s="58" t="s">
        <v>7284</v>
      </c>
      <c r="H2676" s="58" t="s">
        <v>1796</v>
      </c>
      <c r="I2676" s="64" t="s">
        <v>7285</v>
      </c>
      <c r="J2676" s="66"/>
      <c r="K2676" s="66"/>
      <c r="L2676" s="68"/>
      <c r="M2676" s="63" t="str">
        <f>HYPERLINK("http://nsgreg.nga.mil/genc/view?v=865259&amp;end_month=12&amp;end_day=31&amp;end_year=2016","Correlation")</f>
        <v>Correlation</v>
      </c>
    </row>
    <row r="2677" spans="1:13" x14ac:dyDescent="0.2">
      <c r="A2677" s="113"/>
      <c r="B2677" s="58" t="s">
        <v>7286</v>
      </c>
      <c r="C2677" s="58" t="s">
        <v>1796</v>
      </c>
      <c r="D2677" s="58" t="s">
        <v>7287</v>
      </c>
      <c r="E2677" s="60" t="b">
        <v>1</v>
      </c>
      <c r="F2677" s="80" t="s">
        <v>903</v>
      </c>
      <c r="G2677" s="58" t="s">
        <v>7286</v>
      </c>
      <c r="H2677" s="58" t="s">
        <v>1796</v>
      </c>
      <c r="I2677" s="64" t="s">
        <v>7287</v>
      </c>
      <c r="J2677" s="66"/>
      <c r="K2677" s="66"/>
      <c r="L2677" s="68"/>
      <c r="M2677" s="63" t="str">
        <f>HYPERLINK("http://nsgreg.nga.mil/genc/view?v=865260&amp;end_month=12&amp;end_day=31&amp;end_year=2016","Correlation")</f>
        <v>Correlation</v>
      </c>
    </row>
    <row r="2678" spans="1:13" x14ac:dyDescent="0.2">
      <c r="A2678" s="113"/>
      <c r="B2678" s="58" t="s">
        <v>7288</v>
      </c>
      <c r="C2678" s="58" t="s">
        <v>1796</v>
      </c>
      <c r="D2678" s="58" t="s">
        <v>7289</v>
      </c>
      <c r="E2678" s="60" t="b">
        <v>1</v>
      </c>
      <c r="F2678" s="80" t="s">
        <v>903</v>
      </c>
      <c r="G2678" s="58" t="s">
        <v>7288</v>
      </c>
      <c r="H2678" s="58" t="s">
        <v>1796</v>
      </c>
      <c r="I2678" s="64" t="s">
        <v>7289</v>
      </c>
      <c r="J2678" s="66"/>
      <c r="K2678" s="66"/>
      <c r="L2678" s="68"/>
      <c r="M2678" s="63" t="str">
        <f>HYPERLINK("http://nsgreg.nga.mil/genc/view?v=865261&amp;end_month=12&amp;end_day=31&amp;end_year=2016","Correlation")</f>
        <v>Correlation</v>
      </c>
    </row>
    <row r="2679" spans="1:13" x14ac:dyDescent="0.2">
      <c r="A2679" s="113"/>
      <c r="B2679" s="58" t="s">
        <v>7290</v>
      </c>
      <c r="C2679" s="58" t="s">
        <v>1796</v>
      </c>
      <c r="D2679" s="58" t="s">
        <v>7291</v>
      </c>
      <c r="E2679" s="60" t="b">
        <v>1</v>
      </c>
      <c r="F2679" s="80" t="s">
        <v>903</v>
      </c>
      <c r="G2679" s="58" t="s">
        <v>7290</v>
      </c>
      <c r="H2679" s="58" t="s">
        <v>1796</v>
      </c>
      <c r="I2679" s="64" t="s">
        <v>7291</v>
      </c>
      <c r="J2679" s="66"/>
      <c r="K2679" s="66"/>
      <c r="L2679" s="68"/>
      <c r="M2679" s="63" t="str">
        <f>HYPERLINK("http://nsgreg.nga.mil/genc/view?v=865262&amp;end_month=12&amp;end_day=31&amp;end_year=2016","Correlation")</f>
        <v>Correlation</v>
      </c>
    </row>
    <row r="2680" spans="1:13" x14ac:dyDescent="0.2">
      <c r="A2680" s="113"/>
      <c r="B2680" s="58" t="s">
        <v>7292</v>
      </c>
      <c r="C2680" s="58" t="s">
        <v>1796</v>
      </c>
      <c r="D2680" s="58" t="s">
        <v>7293</v>
      </c>
      <c r="E2680" s="60" t="b">
        <v>1</v>
      </c>
      <c r="F2680" s="80" t="s">
        <v>903</v>
      </c>
      <c r="G2680" s="58" t="s">
        <v>7292</v>
      </c>
      <c r="H2680" s="58" t="s">
        <v>1796</v>
      </c>
      <c r="I2680" s="64" t="s">
        <v>7293</v>
      </c>
      <c r="J2680" s="66"/>
      <c r="K2680" s="66"/>
      <c r="L2680" s="68"/>
      <c r="M2680" s="63" t="str">
        <f>HYPERLINK("http://nsgreg.nga.mil/genc/view?v=865265&amp;end_month=12&amp;end_day=31&amp;end_year=2016","Correlation")</f>
        <v>Correlation</v>
      </c>
    </row>
    <row r="2681" spans="1:13" x14ac:dyDescent="0.2">
      <c r="A2681" s="113"/>
      <c r="B2681" s="58" t="s">
        <v>7294</v>
      </c>
      <c r="C2681" s="58" t="s">
        <v>1681</v>
      </c>
      <c r="D2681" s="58" t="s">
        <v>7295</v>
      </c>
      <c r="E2681" s="60" t="b">
        <v>1</v>
      </c>
      <c r="F2681" s="80" t="s">
        <v>903</v>
      </c>
      <c r="G2681" s="58" t="s">
        <v>7294</v>
      </c>
      <c r="H2681" s="58" t="s">
        <v>1681</v>
      </c>
      <c r="I2681" s="64" t="s">
        <v>7295</v>
      </c>
      <c r="J2681" s="66"/>
      <c r="K2681" s="66"/>
      <c r="L2681" s="68"/>
      <c r="M2681" s="63" t="str">
        <f>HYPERLINK("http://nsgreg.nga.mil/genc/view?v=865264&amp;end_month=12&amp;end_day=31&amp;end_year=2016","Correlation")</f>
        <v>Correlation</v>
      </c>
    </row>
    <row r="2682" spans="1:13" x14ac:dyDescent="0.2">
      <c r="A2682" s="113"/>
      <c r="B2682" s="58" t="s">
        <v>7294</v>
      </c>
      <c r="C2682" s="58" t="s">
        <v>1796</v>
      </c>
      <c r="D2682" s="58" t="s">
        <v>7296</v>
      </c>
      <c r="E2682" s="60" t="b">
        <v>1</v>
      </c>
      <c r="F2682" s="80" t="s">
        <v>903</v>
      </c>
      <c r="G2682" s="58" t="s">
        <v>7294</v>
      </c>
      <c r="H2682" s="58" t="s">
        <v>1796</v>
      </c>
      <c r="I2682" s="64" t="s">
        <v>7296</v>
      </c>
      <c r="J2682" s="66"/>
      <c r="K2682" s="66"/>
      <c r="L2682" s="68"/>
      <c r="M2682" s="63" t="str">
        <f>HYPERLINK("http://nsgreg.nga.mil/genc/view?v=865263&amp;end_month=12&amp;end_day=31&amp;end_year=2016","Correlation")</f>
        <v>Correlation</v>
      </c>
    </row>
    <row r="2683" spans="1:13" x14ac:dyDescent="0.2">
      <c r="A2683" s="113"/>
      <c r="B2683" s="58" t="s">
        <v>7297</v>
      </c>
      <c r="C2683" s="58" t="s">
        <v>1681</v>
      </c>
      <c r="D2683" s="58" t="s">
        <v>7298</v>
      </c>
      <c r="E2683" s="60" t="b">
        <v>1</v>
      </c>
      <c r="F2683" s="80" t="s">
        <v>903</v>
      </c>
      <c r="G2683" s="58" t="s">
        <v>7297</v>
      </c>
      <c r="H2683" s="58" t="s">
        <v>1681</v>
      </c>
      <c r="I2683" s="64" t="s">
        <v>7298</v>
      </c>
      <c r="J2683" s="66"/>
      <c r="K2683" s="66"/>
      <c r="L2683" s="68"/>
      <c r="M2683" s="63" t="str">
        <f>HYPERLINK("http://nsgreg.nga.mil/genc/view?v=865266&amp;end_month=12&amp;end_day=31&amp;end_year=2016","Correlation")</f>
        <v>Correlation</v>
      </c>
    </row>
    <row r="2684" spans="1:13" x14ac:dyDescent="0.2">
      <c r="A2684" s="113"/>
      <c r="B2684" s="58" t="s">
        <v>7299</v>
      </c>
      <c r="C2684" s="58" t="s">
        <v>1796</v>
      </c>
      <c r="D2684" s="58" t="s">
        <v>7300</v>
      </c>
      <c r="E2684" s="60" t="b">
        <v>1</v>
      </c>
      <c r="F2684" s="80" t="s">
        <v>903</v>
      </c>
      <c r="G2684" s="58" t="s">
        <v>7299</v>
      </c>
      <c r="H2684" s="58" t="s">
        <v>1796</v>
      </c>
      <c r="I2684" s="64" t="s">
        <v>7300</v>
      </c>
      <c r="J2684" s="66"/>
      <c r="K2684" s="66"/>
      <c r="L2684" s="68"/>
      <c r="M2684" s="63" t="str">
        <f>HYPERLINK("http://nsgreg.nga.mil/genc/view?v=865268&amp;end_month=12&amp;end_day=31&amp;end_year=2016","Correlation")</f>
        <v>Correlation</v>
      </c>
    </row>
    <row r="2685" spans="1:13" x14ac:dyDescent="0.2">
      <c r="A2685" s="113"/>
      <c r="B2685" s="58" t="s">
        <v>7301</v>
      </c>
      <c r="C2685" s="58" t="s">
        <v>1659</v>
      </c>
      <c r="D2685" s="58" t="s">
        <v>7302</v>
      </c>
      <c r="E2685" s="60" t="b">
        <v>1</v>
      </c>
      <c r="F2685" s="80" t="s">
        <v>903</v>
      </c>
      <c r="G2685" s="58" t="s">
        <v>7303</v>
      </c>
      <c r="H2685" s="58" t="s">
        <v>1659</v>
      </c>
      <c r="I2685" s="64" t="s">
        <v>7302</v>
      </c>
      <c r="J2685" s="66"/>
      <c r="K2685" s="66"/>
      <c r="L2685" s="68"/>
      <c r="M2685" s="63" t="str">
        <f>HYPERLINK("http://nsgreg.nga.mil/genc/view?v=865267&amp;end_month=12&amp;end_day=31&amp;end_year=2016","Correlation")</f>
        <v>Correlation</v>
      </c>
    </row>
    <row r="2686" spans="1:13" x14ac:dyDescent="0.2">
      <c r="A2686" s="113"/>
      <c r="B2686" s="58" t="s">
        <v>7304</v>
      </c>
      <c r="C2686" s="58" t="s">
        <v>1796</v>
      </c>
      <c r="D2686" s="58" t="s">
        <v>7305</v>
      </c>
      <c r="E2686" s="60" t="b">
        <v>1</v>
      </c>
      <c r="F2686" s="80" t="s">
        <v>903</v>
      </c>
      <c r="G2686" s="58" t="s">
        <v>7304</v>
      </c>
      <c r="H2686" s="58" t="s">
        <v>1796</v>
      </c>
      <c r="I2686" s="64" t="s">
        <v>7305</v>
      </c>
      <c r="J2686" s="66"/>
      <c r="K2686" s="66"/>
      <c r="L2686" s="68"/>
      <c r="M2686" s="63" t="str">
        <f>HYPERLINK("http://nsgreg.nga.mil/genc/view?v=865269&amp;end_month=12&amp;end_day=31&amp;end_year=2016","Correlation")</f>
        <v>Correlation</v>
      </c>
    </row>
    <row r="2687" spans="1:13" x14ac:dyDescent="0.2">
      <c r="A2687" s="114"/>
      <c r="B2687" s="71" t="s">
        <v>7306</v>
      </c>
      <c r="C2687" s="71" t="s">
        <v>1681</v>
      </c>
      <c r="D2687" s="71" t="s">
        <v>7307</v>
      </c>
      <c r="E2687" s="73" t="b">
        <v>1</v>
      </c>
      <c r="F2687" s="81" t="s">
        <v>903</v>
      </c>
      <c r="G2687" s="71" t="s">
        <v>7306</v>
      </c>
      <c r="H2687" s="71" t="s">
        <v>1681</v>
      </c>
      <c r="I2687" s="74" t="s">
        <v>7307</v>
      </c>
      <c r="J2687" s="76"/>
      <c r="K2687" s="76"/>
      <c r="L2687" s="82"/>
      <c r="M2687" s="77" t="str">
        <f>HYPERLINK("http://nsgreg.nga.mil/genc/view?v=865270&amp;end_month=12&amp;end_day=31&amp;end_year=2016","Correlation")</f>
        <v>Correlation</v>
      </c>
    </row>
    <row r="2688" spans="1:13" x14ac:dyDescent="0.2">
      <c r="A2688" s="112" t="s">
        <v>914</v>
      </c>
      <c r="B2688" s="50" t="s">
        <v>7308</v>
      </c>
      <c r="C2688" s="50" t="s">
        <v>1763</v>
      </c>
      <c r="D2688" s="50" t="s">
        <v>7309</v>
      </c>
      <c r="E2688" s="52" t="b">
        <v>1</v>
      </c>
      <c r="F2688" s="78" t="s">
        <v>914</v>
      </c>
      <c r="G2688" s="50" t="s">
        <v>7308</v>
      </c>
      <c r="H2688" s="50" t="s">
        <v>1763</v>
      </c>
      <c r="I2688" s="53" t="s">
        <v>7309</v>
      </c>
      <c r="J2688" s="55"/>
      <c r="K2688" s="55"/>
      <c r="L2688" s="79"/>
      <c r="M2688" s="56" t="str">
        <f>HYPERLINK("http://nsgreg.nga.mil/genc/view?v=865330&amp;end_month=12&amp;end_day=31&amp;end_year=2016","Correlation")</f>
        <v>Correlation</v>
      </c>
    </row>
    <row r="2689" spans="1:13" x14ac:dyDescent="0.2">
      <c r="A2689" s="113"/>
      <c r="B2689" s="58" t="s">
        <v>7310</v>
      </c>
      <c r="C2689" s="58" t="s">
        <v>1763</v>
      </c>
      <c r="D2689" s="58" t="s">
        <v>7311</v>
      </c>
      <c r="E2689" s="60" t="b">
        <v>1</v>
      </c>
      <c r="F2689" s="80" t="s">
        <v>914</v>
      </c>
      <c r="G2689" s="58" t="s">
        <v>7310</v>
      </c>
      <c r="H2689" s="58" t="s">
        <v>1763</v>
      </c>
      <c r="I2689" s="64" t="s">
        <v>7311</v>
      </c>
      <c r="J2689" s="66"/>
      <c r="K2689" s="66"/>
      <c r="L2689" s="68"/>
      <c r="M2689" s="63" t="str">
        <f>HYPERLINK("http://nsgreg.nga.mil/genc/view?v=865331&amp;end_month=12&amp;end_day=31&amp;end_year=2016","Correlation")</f>
        <v>Correlation</v>
      </c>
    </row>
    <row r="2690" spans="1:13" x14ac:dyDescent="0.2">
      <c r="A2690" s="113"/>
      <c r="B2690" s="58" t="s">
        <v>7312</v>
      </c>
      <c r="C2690" s="58" t="s">
        <v>1763</v>
      </c>
      <c r="D2690" s="58" t="s">
        <v>7313</v>
      </c>
      <c r="E2690" s="60" t="b">
        <v>1</v>
      </c>
      <c r="F2690" s="80" t="s">
        <v>914</v>
      </c>
      <c r="G2690" s="58" t="s">
        <v>7312</v>
      </c>
      <c r="H2690" s="58" t="s">
        <v>1763</v>
      </c>
      <c r="I2690" s="64" t="s">
        <v>7313</v>
      </c>
      <c r="J2690" s="66"/>
      <c r="K2690" s="66"/>
      <c r="L2690" s="68"/>
      <c r="M2690" s="63" t="str">
        <f>HYPERLINK("http://nsgreg.nga.mil/genc/view?v=865332&amp;end_month=12&amp;end_day=31&amp;end_year=2016","Correlation")</f>
        <v>Correlation</v>
      </c>
    </row>
    <row r="2691" spans="1:13" x14ac:dyDescent="0.2">
      <c r="A2691" s="113"/>
      <c r="B2691" s="58" t="s">
        <v>7314</v>
      </c>
      <c r="C2691" s="58" t="s">
        <v>1763</v>
      </c>
      <c r="D2691" s="58" t="s">
        <v>7315</v>
      </c>
      <c r="E2691" s="60" t="b">
        <v>1</v>
      </c>
      <c r="F2691" s="80" t="s">
        <v>914</v>
      </c>
      <c r="G2691" s="58" t="s">
        <v>7314</v>
      </c>
      <c r="H2691" s="58" t="s">
        <v>1763</v>
      </c>
      <c r="I2691" s="64" t="s">
        <v>7315</v>
      </c>
      <c r="J2691" s="66"/>
      <c r="K2691" s="66"/>
      <c r="L2691" s="68"/>
      <c r="M2691" s="63" t="str">
        <f>HYPERLINK("http://nsgreg.nga.mil/genc/view?v=865333&amp;end_month=12&amp;end_day=31&amp;end_year=2016","Correlation")</f>
        <v>Correlation</v>
      </c>
    </row>
    <row r="2692" spans="1:13" x14ac:dyDescent="0.2">
      <c r="A2692" s="113"/>
      <c r="B2692" s="58" t="s">
        <v>7316</v>
      </c>
      <c r="C2692" s="58" t="s">
        <v>1763</v>
      </c>
      <c r="D2692" s="58" t="s">
        <v>7317</v>
      </c>
      <c r="E2692" s="60" t="b">
        <v>1</v>
      </c>
      <c r="F2692" s="80" t="s">
        <v>914</v>
      </c>
      <c r="G2692" s="58" t="s">
        <v>7316</v>
      </c>
      <c r="H2692" s="58" t="s">
        <v>1763</v>
      </c>
      <c r="I2692" s="64" t="s">
        <v>7317</v>
      </c>
      <c r="J2692" s="66"/>
      <c r="K2692" s="66"/>
      <c r="L2692" s="68"/>
      <c r="M2692" s="63" t="str">
        <f>HYPERLINK("http://nsgreg.nga.mil/genc/view?v=865335&amp;end_month=12&amp;end_day=31&amp;end_year=2016","Correlation")</f>
        <v>Correlation</v>
      </c>
    </row>
    <row r="2693" spans="1:13" x14ac:dyDescent="0.2">
      <c r="A2693" s="113"/>
      <c r="B2693" s="58" t="s">
        <v>7318</v>
      </c>
      <c r="C2693" s="58" t="s">
        <v>1763</v>
      </c>
      <c r="D2693" s="58" t="s">
        <v>7319</v>
      </c>
      <c r="E2693" s="60" t="b">
        <v>1</v>
      </c>
      <c r="F2693" s="80" t="s">
        <v>914</v>
      </c>
      <c r="G2693" s="58" t="s">
        <v>7318</v>
      </c>
      <c r="H2693" s="58" t="s">
        <v>1763</v>
      </c>
      <c r="I2693" s="64" t="s">
        <v>7319</v>
      </c>
      <c r="J2693" s="66"/>
      <c r="K2693" s="66"/>
      <c r="L2693" s="68"/>
      <c r="M2693" s="63" t="str">
        <f>HYPERLINK("http://nsgreg.nga.mil/genc/view?v=865334&amp;end_month=12&amp;end_day=31&amp;end_year=2016","Correlation")</f>
        <v>Correlation</v>
      </c>
    </row>
    <row r="2694" spans="1:13" x14ac:dyDescent="0.2">
      <c r="A2694" s="113"/>
      <c r="B2694" s="58" t="s">
        <v>7320</v>
      </c>
      <c r="C2694" s="58" t="s">
        <v>1681</v>
      </c>
      <c r="D2694" s="58" t="s">
        <v>7321</v>
      </c>
      <c r="E2694" s="60" t="b">
        <v>1</v>
      </c>
      <c r="F2694" s="80" t="s">
        <v>914</v>
      </c>
      <c r="G2694" s="58" t="s">
        <v>7322</v>
      </c>
      <c r="H2694" s="58" t="s">
        <v>2457</v>
      </c>
      <c r="I2694" s="64" t="s">
        <v>7321</v>
      </c>
      <c r="J2694" s="66"/>
      <c r="K2694" s="66"/>
      <c r="L2694" s="68"/>
      <c r="M2694" s="63" t="str">
        <f>HYPERLINK("http://nsgreg.nga.mil/genc/view?v=865338&amp;end_month=12&amp;end_day=31&amp;end_year=2016","Correlation")</f>
        <v>Correlation</v>
      </c>
    </row>
    <row r="2695" spans="1:13" x14ac:dyDescent="0.2">
      <c r="A2695" s="113"/>
      <c r="B2695" s="58" t="s">
        <v>7323</v>
      </c>
      <c r="C2695" s="58" t="s">
        <v>1763</v>
      </c>
      <c r="D2695" s="58" t="s">
        <v>7324</v>
      </c>
      <c r="E2695" s="60" t="b">
        <v>1</v>
      </c>
      <c r="F2695" s="80" t="s">
        <v>914</v>
      </c>
      <c r="G2695" s="58" t="s">
        <v>7323</v>
      </c>
      <c r="H2695" s="58" t="s">
        <v>1763</v>
      </c>
      <c r="I2695" s="64" t="s">
        <v>7324</v>
      </c>
      <c r="J2695" s="66"/>
      <c r="K2695" s="66"/>
      <c r="L2695" s="68"/>
      <c r="M2695" s="63" t="str">
        <f>HYPERLINK("http://nsgreg.nga.mil/genc/view?v=865336&amp;end_month=12&amp;end_day=31&amp;end_year=2016","Correlation")</f>
        <v>Correlation</v>
      </c>
    </row>
    <row r="2696" spans="1:13" x14ac:dyDescent="0.2">
      <c r="A2696" s="113"/>
      <c r="B2696" s="58" t="s">
        <v>7325</v>
      </c>
      <c r="C2696" s="58" t="s">
        <v>1763</v>
      </c>
      <c r="D2696" s="58" t="s">
        <v>7326</v>
      </c>
      <c r="E2696" s="60" t="b">
        <v>1</v>
      </c>
      <c r="F2696" s="80" t="s">
        <v>914</v>
      </c>
      <c r="G2696" s="58" t="s">
        <v>7325</v>
      </c>
      <c r="H2696" s="58" t="s">
        <v>1763</v>
      </c>
      <c r="I2696" s="64" t="s">
        <v>7326</v>
      </c>
      <c r="J2696" s="66"/>
      <c r="K2696" s="66"/>
      <c r="L2696" s="68"/>
      <c r="M2696" s="63" t="str">
        <f>HYPERLINK("http://nsgreg.nga.mil/genc/view?v=865337&amp;end_month=12&amp;end_day=31&amp;end_year=2016","Correlation")</f>
        <v>Correlation</v>
      </c>
    </row>
    <row r="2697" spans="1:13" x14ac:dyDescent="0.2">
      <c r="A2697" s="113"/>
      <c r="B2697" s="58" t="s">
        <v>7327</v>
      </c>
      <c r="C2697" s="58" t="s">
        <v>1763</v>
      </c>
      <c r="D2697" s="58" t="s">
        <v>7328</v>
      </c>
      <c r="E2697" s="60" t="b">
        <v>1</v>
      </c>
      <c r="F2697" s="80" t="s">
        <v>914</v>
      </c>
      <c r="G2697" s="58" t="s">
        <v>7327</v>
      </c>
      <c r="H2697" s="58" t="s">
        <v>1763</v>
      </c>
      <c r="I2697" s="64" t="s">
        <v>7328</v>
      </c>
      <c r="J2697" s="66"/>
      <c r="K2697" s="66"/>
      <c r="L2697" s="68"/>
      <c r="M2697" s="63" t="str">
        <f>HYPERLINK("http://nsgreg.nga.mil/genc/view?v=865339&amp;end_month=12&amp;end_day=31&amp;end_year=2016","Correlation")</f>
        <v>Correlation</v>
      </c>
    </row>
    <row r="2698" spans="1:13" x14ac:dyDescent="0.2">
      <c r="A2698" s="113"/>
      <c r="B2698" s="58" t="s">
        <v>7329</v>
      </c>
      <c r="C2698" s="58" t="s">
        <v>1763</v>
      </c>
      <c r="D2698" s="58" t="s">
        <v>7330</v>
      </c>
      <c r="E2698" s="60" t="b">
        <v>1</v>
      </c>
      <c r="F2698" s="80" t="s">
        <v>914</v>
      </c>
      <c r="G2698" s="58" t="s">
        <v>7329</v>
      </c>
      <c r="H2698" s="58" t="s">
        <v>1763</v>
      </c>
      <c r="I2698" s="64" t="s">
        <v>7330</v>
      </c>
      <c r="J2698" s="66"/>
      <c r="K2698" s="66"/>
      <c r="L2698" s="68"/>
      <c r="M2698" s="63" t="str">
        <f>HYPERLINK("http://nsgreg.nga.mil/genc/view?v=865341&amp;end_month=12&amp;end_day=31&amp;end_year=2016","Correlation")</f>
        <v>Correlation</v>
      </c>
    </row>
    <row r="2699" spans="1:13" x14ac:dyDescent="0.2">
      <c r="A2699" s="113"/>
      <c r="B2699" s="58" t="s">
        <v>7331</v>
      </c>
      <c r="C2699" s="58" t="s">
        <v>1763</v>
      </c>
      <c r="D2699" s="58" t="s">
        <v>7332</v>
      </c>
      <c r="E2699" s="60" t="b">
        <v>1</v>
      </c>
      <c r="F2699" s="80" t="s">
        <v>914</v>
      </c>
      <c r="G2699" s="58" t="s">
        <v>7331</v>
      </c>
      <c r="H2699" s="58" t="s">
        <v>1763</v>
      </c>
      <c r="I2699" s="64" t="s">
        <v>7332</v>
      </c>
      <c r="J2699" s="66"/>
      <c r="K2699" s="66"/>
      <c r="L2699" s="68"/>
      <c r="M2699" s="63" t="str">
        <f>HYPERLINK("http://nsgreg.nga.mil/genc/view?v=865340&amp;end_month=12&amp;end_day=31&amp;end_year=2016","Correlation")</f>
        <v>Correlation</v>
      </c>
    </row>
    <row r="2700" spans="1:13" x14ac:dyDescent="0.2">
      <c r="A2700" s="113"/>
      <c r="B2700" s="58" t="s">
        <v>7333</v>
      </c>
      <c r="C2700" s="58" t="s">
        <v>1763</v>
      </c>
      <c r="D2700" s="58" t="s">
        <v>7334</v>
      </c>
      <c r="E2700" s="60" t="b">
        <v>1</v>
      </c>
      <c r="F2700" s="80" t="s">
        <v>914</v>
      </c>
      <c r="G2700" s="58" t="s">
        <v>7333</v>
      </c>
      <c r="H2700" s="58" t="s">
        <v>1763</v>
      </c>
      <c r="I2700" s="64" t="s">
        <v>7334</v>
      </c>
      <c r="J2700" s="66"/>
      <c r="K2700" s="66"/>
      <c r="L2700" s="68"/>
      <c r="M2700" s="63" t="str">
        <f>HYPERLINK("http://nsgreg.nga.mil/genc/view?v=865342&amp;end_month=12&amp;end_day=31&amp;end_year=2016","Correlation")</f>
        <v>Correlation</v>
      </c>
    </row>
    <row r="2701" spans="1:13" x14ac:dyDescent="0.2">
      <c r="A2701" s="113"/>
      <c r="B2701" s="58" t="s">
        <v>7335</v>
      </c>
      <c r="C2701" s="58" t="s">
        <v>1763</v>
      </c>
      <c r="D2701" s="58" t="s">
        <v>7336</v>
      </c>
      <c r="E2701" s="60" t="b">
        <v>1</v>
      </c>
      <c r="F2701" s="80" t="s">
        <v>914</v>
      </c>
      <c r="G2701" s="58" t="s">
        <v>7335</v>
      </c>
      <c r="H2701" s="58" t="s">
        <v>1763</v>
      </c>
      <c r="I2701" s="64" t="s">
        <v>7336</v>
      </c>
      <c r="J2701" s="66"/>
      <c r="K2701" s="66"/>
      <c r="L2701" s="68"/>
      <c r="M2701" s="63" t="str">
        <f>HYPERLINK("http://nsgreg.nga.mil/genc/view?v=865343&amp;end_month=12&amp;end_day=31&amp;end_year=2016","Correlation")</f>
        <v>Correlation</v>
      </c>
    </row>
    <row r="2702" spans="1:13" x14ac:dyDescent="0.2">
      <c r="A2702" s="113"/>
      <c r="B2702" s="58" t="s">
        <v>7337</v>
      </c>
      <c r="C2702" s="58" t="s">
        <v>1763</v>
      </c>
      <c r="D2702" s="58" t="s">
        <v>7338</v>
      </c>
      <c r="E2702" s="60" t="b">
        <v>1</v>
      </c>
      <c r="F2702" s="80" t="s">
        <v>914</v>
      </c>
      <c r="G2702" s="58" t="s">
        <v>7337</v>
      </c>
      <c r="H2702" s="58" t="s">
        <v>1763</v>
      </c>
      <c r="I2702" s="64" t="s">
        <v>7338</v>
      </c>
      <c r="J2702" s="66"/>
      <c r="K2702" s="66"/>
      <c r="L2702" s="68"/>
      <c r="M2702" s="63" t="str">
        <f>HYPERLINK("http://nsgreg.nga.mil/genc/view?v=865344&amp;end_month=12&amp;end_day=31&amp;end_year=2016","Correlation")</f>
        <v>Correlation</v>
      </c>
    </row>
    <row r="2703" spans="1:13" x14ac:dyDescent="0.2">
      <c r="A2703" s="113"/>
      <c r="B2703" s="58" t="s">
        <v>7339</v>
      </c>
      <c r="C2703" s="58" t="s">
        <v>1763</v>
      </c>
      <c r="D2703" s="58" t="s">
        <v>7340</v>
      </c>
      <c r="E2703" s="60" t="b">
        <v>1</v>
      </c>
      <c r="F2703" s="80" t="s">
        <v>914</v>
      </c>
      <c r="G2703" s="58" t="s">
        <v>7339</v>
      </c>
      <c r="H2703" s="58" t="s">
        <v>1763</v>
      </c>
      <c r="I2703" s="64" t="s">
        <v>7340</v>
      </c>
      <c r="J2703" s="66"/>
      <c r="K2703" s="66"/>
      <c r="L2703" s="68"/>
      <c r="M2703" s="63" t="str">
        <f>HYPERLINK("http://nsgreg.nga.mil/genc/view?v=865345&amp;end_month=12&amp;end_day=31&amp;end_year=2016","Correlation")</f>
        <v>Correlation</v>
      </c>
    </row>
    <row r="2704" spans="1:13" x14ac:dyDescent="0.2">
      <c r="A2704" s="113"/>
      <c r="B2704" s="58" t="s">
        <v>7341</v>
      </c>
      <c r="C2704" s="58" t="s">
        <v>1763</v>
      </c>
      <c r="D2704" s="58" t="s">
        <v>7342</v>
      </c>
      <c r="E2704" s="60" t="b">
        <v>1</v>
      </c>
      <c r="F2704" s="80" t="s">
        <v>914</v>
      </c>
      <c r="G2704" s="58" t="s">
        <v>7341</v>
      </c>
      <c r="H2704" s="58" t="s">
        <v>1763</v>
      </c>
      <c r="I2704" s="64" t="s">
        <v>7342</v>
      </c>
      <c r="J2704" s="66"/>
      <c r="K2704" s="66"/>
      <c r="L2704" s="68"/>
      <c r="M2704" s="63" t="str">
        <f>HYPERLINK("http://nsgreg.nga.mil/genc/view?v=865346&amp;end_month=12&amp;end_day=31&amp;end_year=2016","Correlation")</f>
        <v>Correlation</v>
      </c>
    </row>
    <row r="2705" spans="1:13" x14ac:dyDescent="0.2">
      <c r="A2705" s="113"/>
      <c r="B2705" s="58" t="s">
        <v>7343</v>
      </c>
      <c r="C2705" s="58" t="s">
        <v>1763</v>
      </c>
      <c r="D2705" s="58" t="s">
        <v>7344</v>
      </c>
      <c r="E2705" s="60" t="b">
        <v>1</v>
      </c>
      <c r="F2705" s="80" t="s">
        <v>914</v>
      </c>
      <c r="G2705" s="58" t="s">
        <v>7343</v>
      </c>
      <c r="H2705" s="58" t="s">
        <v>1763</v>
      </c>
      <c r="I2705" s="64" t="s">
        <v>7344</v>
      </c>
      <c r="J2705" s="66"/>
      <c r="K2705" s="66"/>
      <c r="L2705" s="68"/>
      <c r="M2705" s="63" t="str">
        <f>HYPERLINK("http://nsgreg.nga.mil/genc/view?v=865347&amp;end_month=12&amp;end_day=31&amp;end_year=2016","Correlation")</f>
        <v>Correlation</v>
      </c>
    </row>
    <row r="2706" spans="1:13" x14ac:dyDescent="0.2">
      <c r="A2706" s="113"/>
      <c r="B2706" s="58" t="s">
        <v>7345</v>
      </c>
      <c r="C2706" s="58" t="s">
        <v>1763</v>
      </c>
      <c r="D2706" s="58" t="s">
        <v>7346</v>
      </c>
      <c r="E2706" s="60" t="b">
        <v>1</v>
      </c>
      <c r="F2706" s="80" t="s">
        <v>914</v>
      </c>
      <c r="G2706" s="58" t="s">
        <v>7345</v>
      </c>
      <c r="H2706" s="58" t="s">
        <v>1763</v>
      </c>
      <c r="I2706" s="64" t="s">
        <v>7346</v>
      </c>
      <c r="J2706" s="66"/>
      <c r="K2706" s="66"/>
      <c r="L2706" s="68"/>
      <c r="M2706" s="63" t="str">
        <f>HYPERLINK("http://nsgreg.nga.mil/genc/view?v=865348&amp;end_month=12&amp;end_day=31&amp;end_year=2016","Correlation")</f>
        <v>Correlation</v>
      </c>
    </row>
    <row r="2707" spans="1:13" x14ac:dyDescent="0.2">
      <c r="A2707" s="113"/>
      <c r="B2707" s="58" t="s">
        <v>7347</v>
      </c>
      <c r="C2707" s="58" t="s">
        <v>1763</v>
      </c>
      <c r="D2707" s="58" t="s">
        <v>7348</v>
      </c>
      <c r="E2707" s="60" t="b">
        <v>1</v>
      </c>
      <c r="F2707" s="80" t="s">
        <v>914</v>
      </c>
      <c r="G2707" s="58" t="s">
        <v>7347</v>
      </c>
      <c r="H2707" s="58" t="s">
        <v>1763</v>
      </c>
      <c r="I2707" s="64" t="s">
        <v>7348</v>
      </c>
      <c r="J2707" s="66"/>
      <c r="K2707" s="66"/>
      <c r="L2707" s="68"/>
      <c r="M2707" s="63" t="str">
        <f>HYPERLINK("http://nsgreg.nga.mil/genc/view?v=865349&amp;end_month=12&amp;end_day=31&amp;end_year=2016","Correlation")</f>
        <v>Correlation</v>
      </c>
    </row>
    <row r="2708" spans="1:13" x14ac:dyDescent="0.2">
      <c r="A2708" s="113"/>
      <c r="B2708" s="58" t="s">
        <v>7349</v>
      </c>
      <c r="C2708" s="58" t="s">
        <v>1763</v>
      </c>
      <c r="D2708" s="58" t="s">
        <v>7350</v>
      </c>
      <c r="E2708" s="60" t="b">
        <v>1</v>
      </c>
      <c r="F2708" s="80" t="s">
        <v>914</v>
      </c>
      <c r="G2708" s="58" t="s">
        <v>7349</v>
      </c>
      <c r="H2708" s="58" t="s">
        <v>1763</v>
      </c>
      <c r="I2708" s="64" t="s">
        <v>7350</v>
      </c>
      <c r="J2708" s="66"/>
      <c r="K2708" s="66"/>
      <c r="L2708" s="68"/>
      <c r="M2708" s="63" t="str">
        <f>HYPERLINK("http://nsgreg.nga.mil/genc/view?v=865350&amp;end_month=12&amp;end_day=31&amp;end_year=2016","Correlation")</f>
        <v>Correlation</v>
      </c>
    </row>
    <row r="2709" spans="1:13" x14ac:dyDescent="0.2">
      <c r="A2709" s="113"/>
      <c r="B2709" s="58" t="s">
        <v>7351</v>
      </c>
      <c r="C2709" s="58" t="s">
        <v>1763</v>
      </c>
      <c r="D2709" s="58" t="s">
        <v>7352</v>
      </c>
      <c r="E2709" s="60" t="b">
        <v>1</v>
      </c>
      <c r="F2709" s="80" t="s">
        <v>914</v>
      </c>
      <c r="G2709" s="58" t="s">
        <v>7351</v>
      </c>
      <c r="H2709" s="58" t="s">
        <v>1763</v>
      </c>
      <c r="I2709" s="64" t="s">
        <v>7352</v>
      </c>
      <c r="J2709" s="66"/>
      <c r="K2709" s="66"/>
      <c r="L2709" s="68"/>
      <c r="M2709" s="63" t="str">
        <f>HYPERLINK("http://nsgreg.nga.mil/genc/view?v=865351&amp;end_month=12&amp;end_day=31&amp;end_year=2016","Correlation")</f>
        <v>Correlation</v>
      </c>
    </row>
    <row r="2710" spans="1:13" x14ac:dyDescent="0.2">
      <c r="A2710" s="113"/>
      <c r="B2710" s="58" t="s">
        <v>7353</v>
      </c>
      <c r="C2710" s="58" t="s">
        <v>1763</v>
      </c>
      <c r="D2710" s="58" t="s">
        <v>7354</v>
      </c>
      <c r="E2710" s="60" t="b">
        <v>1</v>
      </c>
      <c r="F2710" s="80" t="s">
        <v>914</v>
      </c>
      <c r="G2710" s="58" t="s">
        <v>7353</v>
      </c>
      <c r="H2710" s="58" t="s">
        <v>1763</v>
      </c>
      <c r="I2710" s="64" t="s">
        <v>7354</v>
      </c>
      <c r="J2710" s="66"/>
      <c r="K2710" s="66"/>
      <c r="L2710" s="68"/>
      <c r="M2710" s="63" t="str">
        <f>HYPERLINK("http://nsgreg.nga.mil/genc/view?v=865352&amp;end_month=12&amp;end_day=31&amp;end_year=2016","Correlation")</f>
        <v>Correlation</v>
      </c>
    </row>
    <row r="2711" spans="1:13" x14ac:dyDescent="0.2">
      <c r="A2711" s="113"/>
      <c r="B2711" s="58" t="s">
        <v>7355</v>
      </c>
      <c r="C2711" s="58" t="s">
        <v>1763</v>
      </c>
      <c r="D2711" s="58" t="s">
        <v>7356</v>
      </c>
      <c r="E2711" s="60" t="b">
        <v>1</v>
      </c>
      <c r="F2711" s="80" t="s">
        <v>914</v>
      </c>
      <c r="G2711" s="58" t="s">
        <v>7355</v>
      </c>
      <c r="H2711" s="58" t="s">
        <v>1763</v>
      </c>
      <c r="I2711" s="64" t="s">
        <v>7356</v>
      </c>
      <c r="J2711" s="66"/>
      <c r="K2711" s="66"/>
      <c r="L2711" s="68"/>
      <c r="M2711" s="63" t="str">
        <f>HYPERLINK("http://nsgreg.nga.mil/genc/view?v=865354&amp;end_month=12&amp;end_day=31&amp;end_year=2016","Correlation")</f>
        <v>Correlation</v>
      </c>
    </row>
    <row r="2712" spans="1:13" x14ac:dyDescent="0.2">
      <c r="A2712" s="113"/>
      <c r="B2712" s="58" t="s">
        <v>7357</v>
      </c>
      <c r="C2712" s="58" t="s">
        <v>1763</v>
      </c>
      <c r="D2712" s="58" t="s">
        <v>7358</v>
      </c>
      <c r="E2712" s="60" t="b">
        <v>1</v>
      </c>
      <c r="F2712" s="80" t="s">
        <v>914</v>
      </c>
      <c r="G2712" s="58" t="s">
        <v>7357</v>
      </c>
      <c r="H2712" s="58" t="s">
        <v>1763</v>
      </c>
      <c r="I2712" s="64" t="s">
        <v>7358</v>
      </c>
      <c r="J2712" s="66"/>
      <c r="K2712" s="66"/>
      <c r="L2712" s="68"/>
      <c r="M2712" s="63" t="str">
        <f>HYPERLINK("http://nsgreg.nga.mil/genc/view?v=865353&amp;end_month=12&amp;end_day=31&amp;end_year=2016","Correlation")</f>
        <v>Correlation</v>
      </c>
    </row>
    <row r="2713" spans="1:13" x14ac:dyDescent="0.2">
      <c r="A2713" s="113"/>
      <c r="B2713" s="58" t="s">
        <v>7359</v>
      </c>
      <c r="C2713" s="58" t="s">
        <v>1763</v>
      </c>
      <c r="D2713" s="58" t="s">
        <v>7360</v>
      </c>
      <c r="E2713" s="60" t="b">
        <v>1</v>
      </c>
      <c r="F2713" s="80" t="s">
        <v>914</v>
      </c>
      <c r="G2713" s="58" t="s">
        <v>7359</v>
      </c>
      <c r="H2713" s="58" t="s">
        <v>1763</v>
      </c>
      <c r="I2713" s="64" t="s">
        <v>7360</v>
      </c>
      <c r="J2713" s="66"/>
      <c r="K2713" s="66"/>
      <c r="L2713" s="68"/>
      <c r="M2713" s="63" t="str">
        <f>HYPERLINK("http://nsgreg.nga.mil/genc/view?v=865355&amp;end_month=12&amp;end_day=31&amp;end_year=2016","Correlation")</f>
        <v>Correlation</v>
      </c>
    </row>
    <row r="2714" spans="1:13" x14ac:dyDescent="0.2">
      <c r="A2714" s="113"/>
      <c r="B2714" s="58" t="s">
        <v>7361</v>
      </c>
      <c r="C2714" s="58" t="s">
        <v>1763</v>
      </c>
      <c r="D2714" s="58" t="s">
        <v>7362</v>
      </c>
      <c r="E2714" s="60" t="b">
        <v>1</v>
      </c>
      <c r="F2714" s="80" t="s">
        <v>914</v>
      </c>
      <c r="G2714" s="58" t="s">
        <v>7361</v>
      </c>
      <c r="H2714" s="58" t="s">
        <v>1763</v>
      </c>
      <c r="I2714" s="64" t="s">
        <v>7362</v>
      </c>
      <c r="J2714" s="66"/>
      <c r="K2714" s="66"/>
      <c r="L2714" s="68"/>
      <c r="M2714" s="63" t="str">
        <f>HYPERLINK("http://nsgreg.nga.mil/genc/view?v=865356&amp;end_month=12&amp;end_day=31&amp;end_year=2016","Correlation")</f>
        <v>Correlation</v>
      </c>
    </row>
    <row r="2715" spans="1:13" x14ac:dyDescent="0.2">
      <c r="A2715" s="113"/>
      <c r="B2715" s="58" t="s">
        <v>7363</v>
      </c>
      <c r="C2715" s="58" t="s">
        <v>1763</v>
      </c>
      <c r="D2715" s="58" t="s">
        <v>7364</v>
      </c>
      <c r="E2715" s="60" t="b">
        <v>1</v>
      </c>
      <c r="F2715" s="80" t="s">
        <v>914</v>
      </c>
      <c r="G2715" s="58" t="s">
        <v>7363</v>
      </c>
      <c r="H2715" s="58" t="s">
        <v>1763</v>
      </c>
      <c r="I2715" s="64" t="s">
        <v>7364</v>
      </c>
      <c r="J2715" s="66"/>
      <c r="K2715" s="66"/>
      <c r="L2715" s="68"/>
      <c r="M2715" s="63" t="str">
        <f>HYPERLINK("http://nsgreg.nga.mil/genc/view?v=865357&amp;end_month=12&amp;end_day=31&amp;end_year=2016","Correlation")</f>
        <v>Correlation</v>
      </c>
    </row>
    <row r="2716" spans="1:13" x14ac:dyDescent="0.2">
      <c r="A2716" s="113"/>
      <c r="B2716" s="58" t="s">
        <v>7365</v>
      </c>
      <c r="C2716" s="58" t="s">
        <v>1763</v>
      </c>
      <c r="D2716" s="58" t="s">
        <v>7366</v>
      </c>
      <c r="E2716" s="60" t="b">
        <v>1</v>
      </c>
      <c r="F2716" s="80" t="s">
        <v>914</v>
      </c>
      <c r="G2716" s="58" t="s">
        <v>7365</v>
      </c>
      <c r="H2716" s="58" t="s">
        <v>1763</v>
      </c>
      <c r="I2716" s="64" t="s">
        <v>7366</v>
      </c>
      <c r="J2716" s="66"/>
      <c r="K2716" s="66"/>
      <c r="L2716" s="68"/>
      <c r="M2716" s="63" t="str">
        <f>HYPERLINK("http://nsgreg.nga.mil/genc/view?v=865358&amp;end_month=12&amp;end_day=31&amp;end_year=2016","Correlation")</f>
        <v>Correlation</v>
      </c>
    </row>
    <row r="2717" spans="1:13" x14ac:dyDescent="0.2">
      <c r="A2717" s="113"/>
      <c r="B2717" s="58" t="s">
        <v>7367</v>
      </c>
      <c r="C2717" s="58" t="s">
        <v>1763</v>
      </c>
      <c r="D2717" s="58" t="s">
        <v>7368</v>
      </c>
      <c r="E2717" s="60" t="b">
        <v>1</v>
      </c>
      <c r="F2717" s="80" t="s">
        <v>914</v>
      </c>
      <c r="G2717" s="58" t="s">
        <v>7369</v>
      </c>
      <c r="H2717" s="58" t="s">
        <v>1763</v>
      </c>
      <c r="I2717" s="64" t="s">
        <v>7368</v>
      </c>
      <c r="J2717" s="66"/>
      <c r="K2717" s="66"/>
      <c r="L2717" s="68"/>
      <c r="M2717" s="63" t="str">
        <f>HYPERLINK("http://nsgreg.nga.mil/genc/view?v=865359&amp;end_month=12&amp;end_day=31&amp;end_year=2016","Correlation")</f>
        <v>Correlation</v>
      </c>
    </row>
    <row r="2718" spans="1:13" x14ac:dyDescent="0.2">
      <c r="A2718" s="113"/>
      <c r="B2718" s="58" t="s">
        <v>7370</v>
      </c>
      <c r="C2718" s="58" t="s">
        <v>1763</v>
      </c>
      <c r="D2718" s="58" t="s">
        <v>7371</v>
      </c>
      <c r="E2718" s="60" t="b">
        <v>1</v>
      </c>
      <c r="F2718" s="80" t="s">
        <v>914</v>
      </c>
      <c r="G2718" s="58" t="s">
        <v>7370</v>
      </c>
      <c r="H2718" s="58" t="s">
        <v>1763</v>
      </c>
      <c r="I2718" s="64" t="s">
        <v>7371</v>
      </c>
      <c r="J2718" s="66"/>
      <c r="K2718" s="66"/>
      <c r="L2718" s="68"/>
      <c r="M2718" s="63" t="str">
        <f>HYPERLINK("http://nsgreg.nga.mil/genc/view?v=865360&amp;end_month=12&amp;end_day=31&amp;end_year=2016","Correlation")</f>
        <v>Correlation</v>
      </c>
    </row>
    <row r="2719" spans="1:13" x14ac:dyDescent="0.2">
      <c r="A2719" s="114"/>
      <c r="B2719" s="71" t="s">
        <v>7372</v>
      </c>
      <c r="C2719" s="71" t="s">
        <v>1763</v>
      </c>
      <c r="D2719" s="71" t="s">
        <v>7373</v>
      </c>
      <c r="E2719" s="73" t="b">
        <v>1</v>
      </c>
      <c r="F2719" s="81" t="s">
        <v>914</v>
      </c>
      <c r="G2719" s="71" t="s">
        <v>7372</v>
      </c>
      <c r="H2719" s="71" t="s">
        <v>1763</v>
      </c>
      <c r="I2719" s="74" t="s">
        <v>7373</v>
      </c>
      <c r="J2719" s="76"/>
      <c r="K2719" s="76"/>
      <c r="L2719" s="82"/>
      <c r="M2719" s="77" t="str">
        <f>HYPERLINK("http://nsgreg.nga.mil/genc/view?v=865361&amp;end_month=12&amp;end_day=31&amp;end_year=2016","Correlation")</f>
        <v>Correlation</v>
      </c>
    </row>
    <row r="2720" spans="1:13" x14ac:dyDescent="0.2">
      <c r="A2720" s="112" t="s">
        <v>918</v>
      </c>
      <c r="B2720" s="50" t="s">
        <v>7374</v>
      </c>
      <c r="C2720" s="50" t="s">
        <v>1763</v>
      </c>
      <c r="D2720" s="50" t="s">
        <v>7375</v>
      </c>
      <c r="E2720" s="52" t="b">
        <v>1</v>
      </c>
      <c r="F2720" s="78" t="s">
        <v>918</v>
      </c>
      <c r="G2720" s="50" t="s">
        <v>7374</v>
      </c>
      <c r="H2720" s="50" t="s">
        <v>1763</v>
      </c>
      <c r="I2720" s="53" t="s">
        <v>7375</v>
      </c>
      <c r="J2720" s="55"/>
      <c r="K2720" s="55"/>
      <c r="L2720" s="79"/>
      <c r="M2720" s="56" t="str">
        <f>HYPERLINK("http://nsgreg.nga.mil/genc/view?v=863441&amp;end_month=12&amp;end_day=31&amp;end_year=2016","Correlation")</f>
        <v>Correlation</v>
      </c>
    </row>
    <row r="2721" spans="1:13" x14ac:dyDescent="0.2">
      <c r="A2721" s="113"/>
      <c r="B2721" s="58" t="s">
        <v>7376</v>
      </c>
      <c r="C2721" s="58" t="s">
        <v>1763</v>
      </c>
      <c r="D2721" s="58" t="s">
        <v>7377</v>
      </c>
      <c r="E2721" s="60" t="b">
        <v>1</v>
      </c>
      <c r="F2721" s="80" t="s">
        <v>918</v>
      </c>
      <c r="G2721" s="58" t="s">
        <v>7376</v>
      </c>
      <c r="H2721" s="58" t="s">
        <v>1763</v>
      </c>
      <c r="I2721" s="64" t="s">
        <v>7377</v>
      </c>
      <c r="J2721" s="66"/>
      <c r="K2721" s="66"/>
      <c r="L2721" s="68"/>
      <c r="M2721" s="63" t="str">
        <f>HYPERLINK("http://nsgreg.nga.mil/genc/view?v=863439&amp;end_month=12&amp;end_day=31&amp;end_year=2016","Correlation")</f>
        <v>Correlation</v>
      </c>
    </row>
    <row r="2722" spans="1:13" x14ac:dyDescent="0.2">
      <c r="A2722" s="113"/>
      <c r="B2722" s="58" t="s">
        <v>7378</v>
      </c>
      <c r="C2722" s="58" t="s">
        <v>1763</v>
      </c>
      <c r="D2722" s="58" t="s">
        <v>7379</v>
      </c>
      <c r="E2722" s="60" t="b">
        <v>1</v>
      </c>
      <c r="F2722" s="80" t="s">
        <v>918</v>
      </c>
      <c r="G2722" s="58" t="s">
        <v>7378</v>
      </c>
      <c r="H2722" s="58" t="s">
        <v>1763</v>
      </c>
      <c r="I2722" s="64" t="s">
        <v>7379</v>
      </c>
      <c r="J2722" s="66"/>
      <c r="K2722" s="66"/>
      <c r="L2722" s="68"/>
      <c r="M2722" s="63" t="str">
        <f>HYPERLINK("http://nsgreg.nga.mil/genc/view?v=863440&amp;end_month=12&amp;end_day=31&amp;end_year=2016","Correlation")</f>
        <v>Correlation</v>
      </c>
    </row>
    <row r="2723" spans="1:13" x14ac:dyDescent="0.2">
      <c r="A2723" s="114"/>
      <c r="B2723" s="71" t="s">
        <v>7380</v>
      </c>
      <c r="C2723" s="71" t="s">
        <v>1763</v>
      </c>
      <c r="D2723" s="71" t="s">
        <v>7381</v>
      </c>
      <c r="E2723" s="73" t="b">
        <v>1</v>
      </c>
      <c r="F2723" s="81" t="s">
        <v>918</v>
      </c>
      <c r="G2723" s="71" t="s">
        <v>7380</v>
      </c>
      <c r="H2723" s="71" t="s">
        <v>1763</v>
      </c>
      <c r="I2723" s="74" t="s">
        <v>7381</v>
      </c>
      <c r="J2723" s="76"/>
      <c r="K2723" s="76"/>
      <c r="L2723" s="82"/>
      <c r="M2723" s="77" t="str">
        <f>HYPERLINK("http://nsgreg.nga.mil/genc/view?v=863442&amp;end_month=12&amp;end_day=31&amp;end_year=2016","Correlation")</f>
        <v>Correlation</v>
      </c>
    </row>
    <row r="2724" spans="1:13" x14ac:dyDescent="0.2">
      <c r="A2724" s="112" t="s">
        <v>929</v>
      </c>
      <c r="B2724" s="50" t="s">
        <v>7382</v>
      </c>
      <c r="C2724" s="50" t="s">
        <v>1796</v>
      </c>
      <c r="D2724" s="50" t="s">
        <v>7383</v>
      </c>
      <c r="E2724" s="52" t="b">
        <v>1</v>
      </c>
      <c r="F2724" s="78" t="s">
        <v>933</v>
      </c>
      <c r="G2724" s="50" t="s">
        <v>7382</v>
      </c>
      <c r="H2724" s="50" t="s">
        <v>1796</v>
      </c>
      <c r="I2724" s="53" t="s">
        <v>7383</v>
      </c>
      <c r="J2724" s="55"/>
      <c r="K2724" s="55"/>
      <c r="L2724" s="79"/>
      <c r="M2724" s="56" t="str">
        <f>HYPERLINK("http://nsgreg.nga.mil/genc/view?v=864959&amp;end_month=12&amp;end_day=31&amp;end_year=2016","Correlation")</f>
        <v>Correlation</v>
      </c>
    </row>
    <row r="2725" spans="1:13" x14ac:dyDescent="0.2">
      <c r="A2725" s="113"/>
      <c r="B2725" s="58" t="s">
        <v>7384</v>
      </c>
      <c r="C2725" s="58" t="s">
        <v>1816</v>
      </c>
      <c r="D2725" s="58" t="s">
        <v>7385</v>
      </c>
      <c r="E2725" s="60" t="b">
        <v>1</v>
      </c>
      <c r="F2725" s="80" t="s">
        <v>933</v>
      </c>
      <c r="G2725" s="58" t="s">
        <v>7384</v>
      </c>
      <c r="H2725" s="58" t="s">
        <v>1681</v>
      </c>
      <c r="I2725" s="64" t="s">
        <v>7385</v>
      </c>
      <c r="J2725" s="66"/>
      <c r="K2725" s="66"/>
      <c r="L2725" s="68"/>
      <c r="M2725" s="63" t="str">
        <f>HYPERLINK("http://nsgreg.nga.mil/genc/view?v=864960&amp;end_month=12&amp;end_day=31&amp;end_year=2016","Correlation")</f>
        <v>Correlation</v>
      </c>
    </row>
    <row r="2726" spans="1:13" x14ac:dyDescent="0.2">
      <c r="A2726" s="113"/>
      <c r="B2726" s="58" t="s">
        <v>7386</v>
      </c>
      <c r="C2726" s="58" t="s">
        <v>1796</v>
      </c>
      <c r="D2726" s="58" t="s">
        <v>7387</v>
      </c>
      <c r="E2726" s="60" t="b">
        <v>1</v>
      </c>
      <c r="F2726" s="80" t="s">
        <v>933</v>
      </c>
      <c r="G2726" s="58" t="s">
        <v>7386</v>
      </c>
      <c r="H2726" s="58" t="s">
        <v>1796</v>
      </c>
      <c r="I2726" s="64" t="s">
        <v>7387</v>
      </c>
      <c r="J2726" s="66"/>
      <c r="K2726" s="66"/>
      <c r="L2726" s="68"/>
      <c r="M2726" s="63" t="str">
        <f>HYPERLINK("http://nsgreg.nga.mil/genc/view?v=864963&amp;end_month=12&amp;end_day=31&amp;end_year=2016","Correlation")</f>
        <v>Correlation</v>
      </c>
    </row>
    <row r="2727" spans="1:13" x14ac:dyDescent="0.2">
      <c r="A2727" s="113"/>
      <c r="B2727" s="58" t="s">
        <v>7388</v>
      </c>
      <c r="C2727" s="58" t="s">
        <v>1816</v>
      </c>
      <c r="D2727" s="58" t="s">
        <v>7389</v>
      </c>
      <c r="E2727" s="60" t="b">
        <v>1</v>
      </c>
      <c r="F2727" s="80" t="s">
        <v>933</v>
      </c>
      <c r="G2727" s="58" t="s">
        <v>7388</v>
      </c>
      <c r="H2727" s="58" t="s">
        <v>1681</v>
      </c>
      <c r="I2727" s="64" t="s">
        <v>7389</v>
      </c>
      <c r="J2727" s="66"/>
      <c r="K2727" s="66"/>
      <c r="L2727" s="68"/>
      <c r="M2727" s="63" t="str">
        <f>HYPERLINK("http://nsgreg.nga.mil/genc/view?v=864961&amp;end_month=12&amp;end_day=31&amp;end_year=2016","Correlation")</f>
        <v>Correlation</v>
      </c>
    </row>
    <row r="2728" spans="1:13" x14ac:dyDescent="0.2">
      <c r="A2728" s="113"/>
      <c r="B2728" s="58" t="s">
        <v>7390</v>
      </c>
      <c r="C2728" s="58" t="s">
        <v>1796</v>
      </c>
      <c r="D2728" s="58" t="s">
        <v>7391</v>
      </c>
      <c r="E2728" s="60" t="b">
        <v>1</v>
      </c>
      <c r="F2728" s="80" t="s">
        <v>933</v>
      </c>
      <c r="G2728" s="58" t="s">
        <v>7390</v>
      </c>
      <c r="H2728" s="58" t="s">
        <v>1796</v>
      </c>
      <c r="I2728" s="64" t="s">
        <v>7391</v>
      </c>
      <c r="J2728" s="66"/>
      <c r="K2728" s="66"/>
      <c r="L2728" s="68"/>
      <c r="M2728" s="63" t="str">
        <f>HYPERLINK("http://nsgreg.nga.mil/genc/view?v=864962&amp;end_month=12&amp;end_day=31&amp;end_year=2016","Correlation")</f>
        <v>Correlation</v>
      </c>
    </row>
    <row r="2729" spans="1:13" x14ac:dyDescent="0.2">
      <c r="A2729" s="113"/>
      <c r="B2729" s="58" t="s">
        <v>7392</v>
      </c>
      <c r="C2729" s="58" t="s">
        <v>1796</v>
      </c>
      <c r="D2729" s="58" t="s">
        <v>7393</v>
      </c>
      <c r="E2729" s="60" t="b">
        <v>1</v>
      </c>
      <c r="F2729" s="80" t="s">
        <v>933</v>
      </c>
      <c r="G2729" s="58" t="s">
        <v>7392</v>
      </c>
      <c r="H2729" s="58" t="s">
        <v>1796</v>
      </c>
      <c r="I2729" s="64" t="s">
        <v>7393</v>
      </c>
      <c r="J2729" s="66"/>
      <c r="K2729" s="66"/>
      <c r="L2729" s="68"/>
      <c r="M2729" s="63" t="str">
        <f>HYPERLINK("http://nsgreg.nga.mil/genc/view?v=864964&amp;end_month=12&amp;end_day=31&amp;end_year=2016","Correlation")</f>
        <v>Correlation</v>
      </c>
    </row>
    <row r="2730" spans="1:13" x14ac:dyDescent="0.2">
      <c r="A2730" s="113"/>
      <c r="B2730" s="58" t="s">
        <v>7394</v>
      </c>
      <c r="C2730" s="58" t="s">
        <v>1796</v>
      </c>
      <c r="D2730" s="58" t="s">
        <v>7395</v>
      </c>
      <c r="E2730" s="60" t="b">
        <v>1</v>
      </c>
      <c r="F2730" s="80" t="s">
        <v>933</v>
      </c>
      <c r="G2730" s="58" t="s">
        <v>7394</v>
      </c>
      <c r="H2730" s="58" t="s">
        <v>1796</v>
      </c>
      <c r="I2730" s="64" t="s">
        <v>7395</v>
      </c>
      <c r="J2730" s="66"/>
      <c r="K2730" s="66"/>
      <c r="L2730" s="68"/>
      <c r="M2730" s="63" t="str">
        <f>HYPERLINK("http://nsgreg.nga.mil/genc/view?v=864965&amp;end_month=12&amp;end_day=31&amp;end_year=2016","Correlation")</f>
        <v>Correlation</v>
      </c>
    </row>
    <row r="2731" spans="1:13" x14ac:dyDescent="0.2">
      <c r="A2731" s="113"/>
      <c r="B2731" s="58" t="s">
        <v>7396</v>
      </c>
      <c r="C2731" s="58" t="s">
        <v>1796</v>
      </c>
      <c r="D2731" s="58" t="s">
        <v>7397</v>
      </c>
      <c r="E2731" s="60" t="b">
        <v>1</v>
      </c>
      <c r="F2731" s="80" t="s">
        <v>933</v>
      </c>
      <c r="G2731" s="58" t="s">
        <v>7396</v>
      </c>
      <c r="H2731" s="58" t="s">
        <v>1796</v>
      </c>
      <c r="I2731" s="64" t="s">
        <v>7397</v>
      </c>
      <c r="J2731" s="66"/>
      <c r="K2731" s="66"/>
      <c r="L2731" s="68"/>
      <c r="M2731" s="63" t="str">
        <f>HYPERLINK("http://nsgreg.nga.mil/genc/view?v=864969&amp;end_month=12&amp;end_day=31&amp;end_year=2016","Correlation")</f>
        <v>Correlation</v>
      </c>
    </row>
    <row r="2732" spans="1:13" x14ac:dyDescent="0.2">
      <c r="A2732" s="113"/>
      <c r="B2732" s="58" t="s">
        <v>7398</v>
      </c>
      <c r="C2732" s="58" t="s">
        <v>1796</v>
      </c>
      <c r="D2732" s="58" t="s">
        <v>7399</v>
      </c>
      <c r="E2732" s="60" t="b">
        <v>1</v>
      </c>
      <c r="F2732" s="80" t="s">
        <v>933</v>
      </c>
      <c r="G2732" s="58" t="s">
        <v>7398</v>
      </c>
      <c r="H2732" s="58" t="s">
        <v>1796</v>
      </c>
      <c r="I2732" s="64" t="s">
        <v>7399</v>
      </c>
      <c r="J2732" s="66"/>
      <c r="K2732" s="66"/>
      <c r="L2732" s="68"/>
      <c r="M2732" s="63" t="str">
        <f>HYPERLINK("http://nsgreg.nga.mil/genc/view?v=864968&amp;end_month=12&amp;end_day=31&amp;end_year=2016","Correlation")</f>
        <v>Correlation</v>
      </c>
    </row>
    <row r="2733" spans="1:13" x14ac:dyDescent="0.2">
      <c r="A2733" s="113"/>
      <c r="B2733" s="58" t="s">
        <v>7400</v>
      </c>
      <c r="C2733" s="58" t="s">
        <v>1816</v>
      </c>
      <c r="D2733" s="58" t="s">
        <v>7401</v>
      </c>
      <c r="E2733" s="60" t="b">
        <v>1</v>
      </c>
      <c r="F2733" s="80" t="s">
        <v>933</v>
      </c>
      <c r="G2733" s="58" t="s">
        <v>7400</v>
      </c>
      <c r="H2733" s="58" t="s">
        <v>1681</v>
      </c>
      <c r="I2733" s="64" t="s">
        <v>7401</v>
      </c>
      <c r="J2733" s="66"/>
      <c r="K2733" s="66"/>
      <c r="L2733" s="68"/>
      <c r="M2733" s="63" t="str">
        <f>HYPERLINK("http://nsgreg.nga.mil/genc/view?v=864970&amp;end_month=12&amp;end_day=31&amp;end_year=2016","Correlation")</f>
        <v>Correlation</v>
      </c>
    </row>
    <row r="2734" spans="1:13" x14ac:dyDescent="0.2">
      <c r="A2734" s="113"/>
      <c r="B2734" s="58" t="s">
        <v>7402</v>
      </c>
      <c r="C2734" s="58" t="s">
        <v>1796</v>
      </c>
      <c r="D2734" s="58" t="s">
        <v>7403</v>
      </c>
      <c r="E2734" s="60" t="b">
        <v>1</v>
      </c>
      <c r="F2734" s="80" t="s">
        <v>933</v>
      </c>
      <c r="G2734" s="58" t="s">
        <v>7402</v>
      </c>
      <c r="H2734" s="58" t="s">
        <v>1796</v>
      </c>
      <c r="I2734" s="64" t="s">
        <v>7403</v>
      </c>
      <c r="J2734" s="66"/>
      <c r="K2734" s="66"/>
      <c r="L2734" s="68"/>
      <c r="M2734" s="63" t="str">
        <f>HYPERLINK("http://nsgreg.nga.mil/genc/view?v=864966&amp;end_month=12&amp;end_day=31&amp;end_year=2016","Correlation")</f>
        <v>Correlation</v>
      </c>
    </row>
    <row r="2735" spans="1:13" x14ac:dyDescent="0.2">
      <c r="A2735" s="113"/>
      <c r="B2735" s="58" t="s">
        <v>7404</v>
      </c>
      <c r="C2735" s="58" t="s">
        <v>1796</v>
      </c>
      <c r="D2735" s="58" t="s">
        <v>7405</v>
      </c>
      <c r="E2735" s="60" t="b">
        <v>1</v>
      </c>
      <c r="F2735" s="80" t="s">
        <v>933</v>
      </c>
      <c r="G2735" s="58" t="s">
        <v>7404</v>
      </c>
      <c r="H2735" s="58" t="s">
        <v>1796</v>
      </c>
      <c r="I2735" s="64" t="s">
        <v>7405</v>
      </c>
      <c r="J2735" s="66"/>
      <c r="K2735" s="66"/>
      <c r="L2735" s="68"/>
      <c r="M2735" s="63" t="str">
        <f>HYPERLINK("http://nsgreg.nga.mil/genc/view?v=864967&amp;end_month=12&amp;end_day=31&amp;end_year=2016","Correlation")</f>
        <v>Correlation</v>
      </c>
    </row>
    <row r="2736" spans="1:13" x14ac:dyDescent="0.2">
      <c r="A2736" s="113"/>
      <c r="B2736" s="58" t="s">
        <v>7406</v>
      </c>
      <c r="C2736" s="58" t="s">
        <v>1796</v>
      </c>
      <c r="D2736" s="58" t="s">
        <v>7407</v>
      </c>
      <c r="E2736" s="60" t="b">
        <v>1</v>
      </c>
      <c r="F2736" s="80" t="s">
        <v>933</v>
      </c>
      <c r="G2736" s="58" t="s">
        <v>7406</v>
      </c>
      <c r="H2736" s="58" t="s">
        <v>1796</v>
      </c>
      <c r="I2736" s="64" t="s">
        <v>7407</v>
      </c>
      <c r="J2736" s="66"/>
      <c r="K2736" s="66"/>
      <c r="L2736" s="68"/>
      <c r="M2736" s="63" t="str">
        <f>HYPERLINK("http://nsgreg.nga.mil/genc/view?v=864971&amp;end_month=12&amp;end_day=31&amp;end_year=2016","Correlation")</f>
        <v>Correlation</v>
      </c>
    </row>
    <row r="2737" spans="1:13" x14ac:dyDescent="0.2">
      <c r="A2737" s="113"/>
      <c r="B2737" s="58" t="s">
        <v>7408</v>
      </c>
      <c r="C2737" s="58" t="s">
        <v>1796</v>
      </c>
      <c r="D2737" s="58" t="s">
        <v>7409</v>
      </c>
      <c r="E2737" s="60" t="b">
        <v>1</v>
      </c>
      <c r="F2737" s="80" t="s">
        <v>933</v>
      </c>
      <c r="G2737" s="58" t="s">
        <v>7408</v>
      </c>
      <c r="H2737" s="58" t="s">
        <v>1796</v>
      </c>
      <c r="I2737" s="64" t="s">
        <v>7409</v>
      </c>
      <c r="J2737" s="66"/>
      <c r="K2737" s="66"/>
      <c r="L2737" s="68"/>
      <c r="M2737" s="63" t="str">
        <f>HYPERLINK("http://nsgreg.nga.mil/genc/view?v=864972&amp;end_month=12&amp;end_day=31&amp;end_year=2016","Correlation")</f>
        <v>Correlation</v>
      </c>
    </row>
    <row r="2738" spans="1:13" x14ac:dyDescent="0.2">
      <c r="A2738" s="113"/>
      <c r="B2738" s="58" t="s">
        <v>7410</v>
      </c>
      <c r="C2738" s="58" t="s">
        <v>1796</v>
      </c>
      <c r="D2738" s="58" t="s">
        <v>7411</v>
      </c>
      <c r="E2738" s="60" t="b">
        <v>1</v>
      </c>
      <c r="F2738" s="80" t="s">
        <v>933</v>
      </c>
      <c r="G2738" s="58" t="s">
        <v>7410</v>
      </c>
      <c r="H2738" s="58" t="s">
        <v>1796</v>
      </c>
      <c r="I2738" s="64" t="s">
        <v>7411</v>
      </c>
      <c r="J2738" s="66"/>
      <c r="K2738" s="66"/>
      <c r="L2738" s="68"/>
      <c r="M2738" s="63" t="str">
        <f>HYPERLINK("http://nsgreg.nga.mil/genc/view?v=864973&amp;end_month=12&amp;end_day=31&amp;end_year=2016","Correlation")</f>
        <v>Correlation</v>
      </c>
    </row>
    <row r="2739" spans="1:13" x14ac:dyDescent="0.2">
      <c r="A2739" s="113"/>
      <c r="B2739" s="58" t="s">
        <v>7412</v>
      </c>
      <c r="C2739" s="58" t="s">
        <v>1796</v>
      </c>
      <c r="D2739" s="58" t="s">
        <v>7413</v>
      </c>
      <c r="E2739" s="60" t="b">
        <v>1</v>
      </c>
      <c r="F2739" s="80" t="s">
        <v>933</v>
      </c>
      <c r="G2739" s="58" t="s">
        <v>7412</v>
      </c>
      <c r="H2739" s="58" t="s">
        <v>1796</v>
      </c>
      <c r="I2739" s="64" t="s">
        <v>7413</v>
      </c>
      <c r="J2739" s="66"/>
      <c r="K2739" s="66"/>
      <c r="L2739" s="68"/>
      <c r="M2739" s="63" t="str">
        <f>HYPERLINK("http://nsgreg.nga.mil/genc/view?v=864974&amp;end_month=12&amp;end_day=31&amp;end_year=2016","Correlation")</f>
        <v>Correlation</v>
      </c>
    </row>
    <row r="2740" spans="1:13" x14ac:dyDescent="0.2">
      <c r="A2740" s="113"/>
      <c r="B2740" s="58" t="s">
        <v>7414</v>
      </c>
      <c r="C2740" s="58" t="s">
        <v>1796</v>
      </c>
      <c r="D2740" s="58" t="s">
        <v>7415</v>
      </c>
      <c r="E2740" s="60" t="b">
        <v>1</v>
      </c>
      <c r="F2740" s="80" t="s">
        <v>933</v>
      </c>
      <c r="G2740" s="58" t="s">
        <v>7414</v>
      </c>
      <c r="H2740" s="58" t="s">
        <v>1796</v>
      </c>
      <c r="I2740" s="64" t="s">
        <v>7415</v>
      </c>
      <c r="J2740" s="66"/>
      <c r="K2740" s="66"/>
      <c r="L2740" s="68"/>
      <c r="M2740" s="63" t="str">
        <f>HYPERLINK("http://nsgreg.nga.mil/genc/view?v=864975&amp;end_month=12&amp;end_day=31&amp;end_year=2016","Correlation")</f>
        <v>Correlation</v>
      </c>
    </row>
    <row r="2741" spans="1:13" x14ac:dyDescent="0.2">
      <c r="A2741" s="113"/>
      <c r="B2741" s="58" t="s">
        <v>7416</v>
      </c>
      <c r="C2741" s="58" t="s">
        <v>1796</v>
      </c>
      <c r="D2741" s="58" t="s">
        <v>7417</v>
      </c>
      <c r="E2741" s="60" t="b">
        <v>1</v>
      </c>
      <c r="F2741" s="80" t="s">
        <v>933</v>
      </c>
      <c r="G2741" s="58" t="s">
        <v>7416</v>
      </c>
      <c r="H2741" s="58" t="s">
        <v>1796</v>
      </c>
      <c r="I2741" s="64" t="s">
        <v>7417</v>
      </c>
      <c r="J2741" s="66"/>
      <c r="K2741" s="66"/>
      <c r="L2741" s="68"/>
      <c r="M2741" s="63" t="str">
        <f>HYPERLINK("http://nsgreg.nga.mil/genc/view?v=864976&amp;end_month=12&amp;end_day=31&amp;end_year=2016","Correlation")</f>
        <v>Correlation</v>
      </c>
    </row>
    <row r="2742" spans="1:13" x14ac:dyDescent="0.2">
      <c r="A2742" s="113"/>
      <c r="B2742" s="58" t="s">
        <v>7418</v>
      </c>
      <c r="C2742" s="58" t="s">
        <v>7419</v>
      </c>
      <c r="D2742" s="58" t="s">
        <v>7420</v>
      </c>
      <c r="E2742" s="60" t="b">
        <v>1</v>
      </c>
      <c r="F2742" s="80" t="s">
        <v>933</v>
      </c>
      <c r="G2742" s="58" t="s">
        <v>7421</v>
      </c>
      <c r="H2742" s="58" t="s">
        <v>7419</v>
      </c>
      <c r="I2742" s="64" t="s">
        <v>7420</v>
      </c>
      <c r="J2742" s="66"/>
      <c r="K2742" s="66"/>
      <c r="L2742" s="68"/>
      <c r="M2742" s="63" t="str">
        <f>HYPERLINK("http://nsgreg.nga.mil/genc/view?v=864977&amp;end_month=12&amp;end_day=31&amp;end_year=2016","Correlation")</f>
        <v>Correlation</v>
      </c>
    </row>
    <row r="2743" spans="1:13" x14ac:dyDescent="0.2">
      <c r="A2743" s="113"/>
      <c r="B2743" s="58" t="s">
        <v>7422</v>
      </c>
      <c r="C2743" s="58" t="s">
        <v>1796</v>
      </c>
      <c r="D2743" s="58" t="s">
        <v>7423</v>
      </c>
      <c r="E2743" s="60" t="b">
        <v>1</v>
      </c>
      <c r="F2743" s="80" t="s">
        <v>933</v>
      </c>
      <c r="G2743" s="58" t="s">
        <v>7422</v>
      </c>
      <c r="H2743" s="58" t="s">
        <v>1796</v>
      </c>
      <c r="I2743" s="64" t="s">
        <v>7423</v>
      </c>
      <c r="J2743" s="66"/>
      <c r="K2743" s="66"/>
      <c r="L2743" s="68"/>
      <c r="M2743" s="63" t="str">
        <f>HYPERLINK("http://nsgreg.nga.mil/genc/view?v=864978&amp;end_month=12&amp;end_day=31&amp;end_year=2016","Correlation")</f>
        <v>Correlation</v>
      </c>
    </row>
    <row r="2744" spans="1:13" x14ac:dyDescent="0.2">
      <c r="A2744" s="113"/>
      <c r="B2744" s="58" t="s">
        <v>7424</v>
      </c>
      <c r="C2744" s="58" t="s">
        <v>1796</v>
      </c>
      <c r="D2744" s="58" t="s">
        <v>7425</v>
      </c>
      <c r="E2744" s="60" t="b">
        <v>1</v>
      </c>
      <c r="F2744" s="80" t="s">
        <v>933</v>
      </c>
      <c r="G2744" s="58" t="s">
        <v>7424</v>
      </c>
      <c r="H2744" s="58" t="s">
        <v>1796</v>
      </c>
      <c r="I2744" s="64" t="s">
        <v>7425</v>
      </c>
      <c r="J2744" s="66"/>
      <c r="K2744" s="66"/>
      <c r="L2744" s="68"/>
      <c r="M2744" s="63" t="str">
        <f>HYPERLINK("http://nsgreg.nga.mil/genc/view?v=864979&amp;end_month=12&amp;end_day=31&amp;end_year=2016","Correlation")</f>
        <v>Correlation</v>
      </c>
    </row>
    <row r="2745" spans="1:13" x14ac:dyDescent="0.2">
      <c r="A2745" s="113"/>
      <c r="B2745" s="58" t="s">
        <v>7426</v>
      </c>
      <c r="C2745" s="58" t="s">
        <v>1796</v>
      </c>
      <c r="D2745" s="58" t="s">
        <v>7427</v>
      </c>
      <c r="E2745" s="60" t="b">
        <v>1</v>
      </c>
      <c r="F2745" s="80" t="s">
        <v>933</v>
      </c>
      <c r="G2745" s="58" t="s">
        <v>7426</v>
      </c>
      <c r="H2745" s="58" t="s">
        <v>1796</v>
      </c>
      <c r="I2745" s="64" t="s">
        <v>7427</v>
      </c>
      <c r="J2745" s="66"/>
      <c r="K2745" s="66"/>
      <c r="L2745" s="68"/>
      <c r="M2745" s="63" t="str">
        <f>HYPERLINK("http://nsgreg.nga.mil/genc/view?v=864980&amp;end_month=12&amp;end_day=31&amp;end_year=2016","Correlation")</f>
        <v>Correlation</v>
      </c>
    </row>
    <row r="2746" spans="1:13" x14ac:dyDescent="0.2">
      <c r="A2746" s="113"/>
      <c r="B2746" s="58" t="s">
        <v>7428</v>
      </c>
      <c r="C2746" s="58" t="s">
        <v>1796</v>
      </c>
      <c r="D2746" s="58" t="s">
        <v>7429</v>
      </c>
      <c r="E2746" s="60" t="b">
        <v>1</v>
      </c>
      <c r="F2746" s="80" t="s">
        <v>933</v>
      </c>
      <c r="G2746" s="58" t="s">
        <v>7428</v>
      </c>
      <c r="H2746" s="58" t="s">
        <v>1796</v>
      </c>
      <c r="I2746" s="64" t="s">
        <v>7429</v>
      </c>
      <c r="J2746" s="66"/>
      <c r="K2746" s="66"/>
      <c r="L2746" s="68"/>
      <c r="M2746" s="63" t="str">
        <f>HYPERLINK("http://nsgreg.nga.mil/genc/view?v=864981&amp;end_month=12&amp;end_day=31&amp;end_year=2016","Correlation")</f>
        <v>Correlation</v>
      </c>
    </row>
    <row r="2747" spans="1:13" x14ac:dyDescent="0.2">
      <c r="A2747" s="113"/>
      <c r="B2747" s="58" t="s">
        <v>7430</v>
      </c>
      <c r="C2747" s="58" t="s">
        <v>1796</v>
      </c>
      <c r="D2747" s="58" t="s">
        <v>7431</v>
      </c>
      <c r="E2747" s="60" t="b">
        <v>1</v>
      </c>
      <c r="F2747" s="80" t="s">
        <v>933</v>
      </c>
      <c r="G2747" s="58" t="s">
        <v>7430</v>
      </c>
      <c r="H2747" s="58" t="s">
        <v>1796</v>
      </c>
      <c r="I2747" s="64" t="s">
        <v>7431</v>
      </c>
      <c r="J2747" s="66"/>
      <c r="K2747" s="66"/>
      <c r="L2747" s="68"/>
      <c r="M2747" s="63" t="str">
        <f>HYPERLINK("http://nsgreg.nga.mil/genc/view?v=864982&amp;end_month=12&amp;end_day=31&amp;end_year=2016","Correlation")</f>
        <v>Correlation</v>
      </c>
    </row>
    <row r="2748" spans="1:13" x14ac:dyDescent="0.2">
      <c r="A2748" s="113"/>
      <c r="B2748" s="58" t="s">
        <v>7432</v>
      </c>
      <c r="C2748" s="58" t="s">
        <v>1796</v>
      </c>
      <c r="D2748" s="58" t="s">
        <v>7433</v>
      </c>
      <c r="E2748" s="60" t="b">
        <v>1</v>
      </c>
      <c r="F2748" s="80" t="s">
        <v>933</v>
      </c>
      <c r="G2748" s="58" t="s">
        <v>7432</v>
      </c>
      <c r="H2748" s="58" t="s">
        <v>1796</v>
      </c>
      <c r="I2748" s="64" t="s">
        <v>7433</v>
      </c>
      <c r="J2748" s="66"/>
      <c r="K2748" s="66"/>
      <c r="L2748" s="68"/>
      <c r="M2748" s="63" t="str">
        <f>HYPERLINK("http://nsgreg.nga.mil/genc/view?v=864983&amp;end_month=12&amp;end_day=31&amp;end_year=2016","Correlation")</f>
        <v>Correlation</v>
      </c>
    </row>
    <row r="2749" spans="1:13" x14ac:dyDescent="0.2">
      <c r="A2749" s="113"/>
      <c r="B2749" s="58" t="s">
        <v>7434</v>
      </c>
      <c r="C2749" s="58" t="s">
        <v>1796</v>
      </c>
      <c r="D2749" s="58" t="s">
        <v>7435</v>
      </c>
      <c r="E2749" s="60" t="b">
        <v>1</v>
      </c>
      <c r="F2749" s="80" t="s">
        <v>933</v>
      </c>
      <c r="G2749" s="58" t="s">
        <v>7434</v>
      </c>
      <c r="H2749" s="58" t="s">
        <v>1796</v>
      </c>
      <c r="I2749" s="64" t="s">
        <v>7435</v>
      </c>
      <c r="J2749" s="66"/>
      <c r="K2749" s="66"/>
      <c r="L2749" s="68"/>
      <c r="M2749" s="63" t="str">
        <f>HYPERLINK("http://nsgreg.nga.mil/genc/view?v=864984&amp;end_month=12&amp;end_day=31&amp;end_year=2016","Correlation")</f>
        <v>Correlation</v>
      </c>
    </row>
    <row r="2750" spans="1:13" x14ac:dyDescent="0.2">
      <c r="A2750" s="113"/>
      <c r="B2750" s="58" t="s">
        <v>7436</v>
      </c>
      <c r="C2750" s="58" t="s">
        <v>1796</v>
      </c>
      <c r="D2750" s="58" t="s">
        <v>7437</v>
      </c>
      <c r="E2750" s="60" t="b">
        <v>1</v>
      </c>
      <c r="F2750" s="80" t="s">
        <v>933</v>
      </c>
      <c r="G2750" s="58" t="s">
        <v>7436</v>
      </c>
      <c r="H2750" s="58" t="s">
        <v>1796</v>
      </c>
      <c r="I2750" s="64" t="s">
        <v>7437</v>
      </c>
      <c r="J2750" s="66"/>
      <c r="K2750" s="66"/>
      <c r="L2750" s="68"/>
      <c r="M2750" s="63" t="str">
        <f>HYPERLINK("http://nsgreg.nga.mil/genc/view?v=864985&amp;end_month=12&amp;end_day=31&amp;end_year=2016","Correlation")</f>
        <v>Correlation</v>
      </c>
    </row>
    <row r="2751" spans="1:13" x14ac:dyDescent="0.2">
      <c r="A2751" s="113"/>
      <c r="B2751" s="58" t="s">
        <v>7438</v>
      </c>
      <c r="C2751" s="58" t="s">
        <v>1796</v>
      </c>
      <c r="D2751" s="58" t="s">
        <v>7439</v>
      </c>
      <c r="E2751" s="60" t="b">
        <v>1</v>
      </c>
      <c r="F2751" s="80" t="s">
        <v>933</v>
      </c>
      <c r="G2751" s="58" t="s">
        <v>7438</v>
      </c>
      <c r="H2751" s="58" t="s">
        <v>1796</v>
      </c>
      <c r="I2751" s="64" t="s">
        <v>7439</v>
      </c>
      <c r="J2751" s="66"/>
      <c r="K2751" s="66"/>
      <c r="L2751" s="68"/>
      <c r="M2751" s="63" t="str">
        <f>HYPERLINK("http://nsgreg.nga.mil/genc/view?v=864986&amp;end_month=12&amp;end_day=31&amp;end_year=2016","Correlation")</f>
        <v>Correlation</v>
      </c>
    </row>
    <row r="2752" spans="1:13" x14ac:dyDescent="0.2">
      <c r="A2752" s="113"/>
      <c r="B2752" s="58" t="s">
        <v>7440</v>
      </c>
      <c r="C2752" s="58" t="s">
        <v>1796</v>
      </c>
      <c r="D2752" s="58" t="s">
        <v>7441</v>
      </c>
      <c r="E2752" s="60" t="b">
        <v>1</v>
      </c>
      <c r="F2752" s="80" t="s">
        <v>933</v>
      </c>
      <c r="G2752" s="58" t="s">
        <v>7440</v>
      </c>
      <c r="H2752" s="58" t="s">
        <v>1796</v>
      </c>
      <c r="I2752" s="64" t="s">
        <v>7441</v>
      </c>
      <c r="J2752" s="66"/>
      <c r="K2752" s="66"/>
      <c r="L2752" s="68"/>
      <c r="M2752" s="63" t="str">
        <f>HYPERLINK("http://nsgreg.nga.mil/genc/view?v=864988&amp;end_month=12&amp;end_day=31&amp;end_year=2016","Correlation")</f>
        <v>Correlation</v>
      </c>
    </row>
    <row r="2753" spans="1:13" x14ac:dyDescent="0.2">
      <c r="A2753" s="113"/>
      <c r="B2753" s="58" t="s">
        <v>7442</v>
      </c>
      <c r="C2753" s="58" t="s">
        <v>1796</v>
      </c>
      <c r="D2753" s="58" t="s">
        <v>7443</v>
      </c>
      <c r="E2753" s="60" t="b">
        <v>1</v>
      </c>
      <c r="F2753" s="80" t="s">
        <v>933</v>
      </c>
      <c r="G2753" s="58" t="s">
        <v>7442</v>
      </c>
      <c r="H2753" s="58" t="s">
        <v>1796</v>
      </c>
      <c r="I2753" s="64" t="s">
        <v>7443</v>
      </c>
      <c r="J2753" s="66"/>
      <c r="K2753" s="66"/>
      <c r="L2753" s="68"/>
      <c r="M2753" s="63" t="str">
        <f>HYPERLINK("http://nsgreg.nga.mil/genc/view?v=864987&amp;end_month=12&amp;end_day=31&amp;end_year=2016","Correlation")</f>
        <v>Correlation</v>
      </c>
    </row>
    <row r="2754" spans="1:13" x14ac:dyDescent="0.2">
      <c r="A2754" s="113"/>
      <c r="B2754" s="58" t="s">
        <v>7444</v>
      </c>
      <c r="C2754" s="58" t="s">
        <v>1796</v>
      </c>
      <c r="D2754" s="58" t="s">
        <v>7445</v>
      </c>
      <c r="E2754" s="60" t="b">
        <v>1</v>
      </c>
      <c r="F2754" s="80" t="s">
        <v>933</v>
      </c>
      <c r="G2754" s="58" t="s">
        <v>7444</v>
      </c>
      <c r="H2754" s="58" t="s">
        <v>1796</v>
      </c>
      <c r="I2754" s="64" t="s">
        <v>7445</v>
      </c>
      <c r="J2754" s="66"/>
      <c r="K2754" s="66"/>
      <c r="L2754" s="68"/>
      <c r="M2754" s="63" t="str">
        <f>HYPERLINK("http://nsgreg.nga.mil/genc/view?v=864990&amp;end_month=12&amp;end_day=31&amp;end_year=2016","Correlation")</f>
        <v>Correlation</v>
      </c>
    </row>
    <row r="2755" spans="1:13" x14ac:dyDescent="0.2">
      <c r="A2755" s="113"/>
      <c r="B2755" s="58" t="s">
        <v>7446</v>
      </c>
      <c r="C2755" s="58" t="s">
        <v>1796</v>
      </c>
      <c r="D2755" s="58" t="s">
        <v>7447</v>
      </c>
      <c r="E2755" s="60" t="b">
        <v>1</v>
      </c>
      <c r="F2755" s="80" t="s">
        <v>933</v>
      </c>
      <c r="G2755" s="58" t="s">
        <v>7448</v>
      </c>
      <c r="H2755" s="58" t="s">
        <v>1796</v>
      </c>
      <c r="I2755" s="64" t="s">
        <v>7447</v>
      </c>
      <c r="J2755" s="66"/>
      <c r="K2755" s="66"/>
      <c r="L2755" s="68"/>
      <c r="M2755" s="63" t="str">
        <f>HYPERLINK("http://nsgreg.nga.mil/genc/view?v=864992&amp;end_month=12&amp;end_day=31&amp;end_year=2016","Correlation")</f>
        <v>Correlation</v>
      </c>
    </row>
    <row r="2756" spans="1:13" x14ac:dyDescent="0.2">
      <c r="A2756" s="113"/>
      <c r="B2756" s="58" t="s">
        <v>7449</v>
      </c>
      <c r="C2756" s="58" t="s">
        <v>7450</v>
      </c>
      <c r="D2756" s="58" t="s">
        <v>7451</v>
      </c>
      <c r="E2756" s="60" t="b">
        <v>1</v>
      </c>
      <c r="F2756" s="80" t="s">
        <v>933</v>
      </c>
      <c r="G2756" s="58" t="s">
        <v>7452</v>
      </c>
      <c r="H2756" s="58" t="s">
        <v>7450</v>
      </c>
      <c r="I2756" s="64" t="s">
        <v>7451</v>
      </c>
      <c r="J2756" s="66"/>
      <c r="K2756" s="66"/>
      <c r="L2756" s="68"/>
      <c r="M2756" s="63" t="str">
        <f>HYPERLINK("http://nsgreg.nga.mil/genc/view?v=864989&amp;end_month=12&amp;end_day=31&amp;end_year=2016","Correlation")</f>
        <v>Correlation</v>
      </c>
    </row>
    <row r="2757" spans="1:13" x14ac:dyDescent="0.2">
      <c r="A2757" s="113"/>
      <c r="B2757" s="58" t="s">
        <v>7453</v>
      </c>
      <c r="C2757" s="58" t="s">
        <v>1796</v>
      </c>
      <c r="D2757" s="58" t="s">
        <v>7454</v>
      </c>
      <c r="E2757" s="60" t="b">
        <v>1</v>
      </c>
      <c r="F2757" s="80" t="s">
        <v>933</v>
      </c>
      <c r="G2757" s="58" t="s">
        <v>7453</v>
      </c>
      <c r="H2757" s="58" t="s">
        <v>1796</v>
      </c>
      <c r="I2757" s="64" t="s">
        <v>7454</v>
      </c>
      <c r="J2757" s="66"/>
      <c r="K2757" s="66"/>
      <c r="L2757" s="68"/>
      <c r="M2757" s="63" t="str">
        <f>HYPERLINK("http://nsgreg.nga.mil/genc/view?v=864991&amp;end_month=12&amp;end_day=31&amp;end_year=2016","Correlation")</f>
        <v>Correlation</v>
      </c>
    </row>
    <row r="2758" spans="1:13" x14ac:dyDescent="0.2">
      <c r="A2758" s="113"/>
      <c r="B2758" s="58" t="s">
        <v>7455</v>
      </c>
      <c r="C2758" s="58" t="s">
        <v>1796</v>
      </c>
      <c r="D2758" s="58" t="s">
        <v>7456</v>
      </c>
      <c r="E2758" s="60" t="b">
        <v>1</v>
      </c>
      <c r="F2758" s="80" t="s">
        <v>933</v>
      </c>
      <c r="G2758" s="58" t="s">
        <v>7455</v>
      </c>
      <c r="H2758" s="58" t="s">
        <v>1796</v>
      </c>
      <c r="I2758" s="64" t="s">
        <v>7456</v>
      </c>
      <c r="J2758" s="66"/>
      <c r="K2758" s="66"/>
      <c r="L2758" s="68"/>
      <c r="M2758" s="63" t="str">
        <f>HYPERLINK("http://nsgreg.nga.mil/genc/view?v=864993&amp;end_month=12&amp;end_day=31&amp;end_year=2016","Correlation")</f>
        <v>Correlation</v>
      </c>
    </row>
    <row r="2759" spans="1:13" x14ac:dyDescent="0.2">
      <c r="A2759" s="113"/>
      <c r="B2759" s="58" t="s">
        <v>7457</v>
      </c>
      <c r="C2759" s="58" t="s">
        <v>1796</v>
      </c>
      <c r="D2759" s="58" t="s">
        <v>7458</v>
      </c>
      <c r="E2759" s="60" t="b">
        <v>1</v>
      </c>
      <c r="F2759" s="80" t="s">
        <v>933</v>
      </c>
      <c r="G2759" s="58" t="s">
        <v>7457</v>
      </c>
      <c r="H2759" s="58" t="s">
        <v>1796</v>
      </c>
      <c r="I2759" s="64" t="s">
        <v>7458</v>
      </c>
      <c r="J2759" s="66"/>
      <c r="K2759" s="66"/>
      <c r="L2759" s="68"/>
      <c r="M2759" s="63" t="str">
        <f>HYPERLINK("http://nsgreg.nga.mil/genc/view?v=864994&amp;end_month=12&amp;end_day=31&amp;end_year=2016","Correlation")</f>
        <v>Correlation</v>
      </c>
    </row>
    <row r="2760" spans="1:13" x14ac:dyDescent="0.2">
      <c r="A2760" s="114"/>
      <c r="B2760" s="71" t="s">
        <v>7459</v>
      </c>
      <c r="C2760" s="71" t="s">
        <v>1796</v>
      </c>
      <c r="D2760" s="71" t="s">
        <v>7460</v>
      </c>
      <c r="E2760" s="73" t="b">
        <v>1</v>
      </c>
      <c r="F2760" s="81" t="s">
        <v>933</v>
      </c>
      <c r="G2760" s="71" t="s">
        <v>7459</v>
      </c>
      <c r="H2760" s="71" t="s">
        <v>1796</v>
      </c>
      <c r="I2760" s="74" t="s">
        <v>7460</v>
      </c>
      <c r="J2760" s="76"/>
      <c r="K2760" s="76"/>
      <c r="L2760" s="82"/>
      <c r="M2760" s="77" t="str">
        <f>HYPERLINK("http://nsgreg.nga.mil/genc/view?v=864995&amp;end_month=12&amp;end_day=31&amp;end_year=2016","Correlation")</f>
        <v>Correlation</v>
      </c>
    </row>
    <row r="2761" spans="1:13" x14ac:dyDescent="0.2">
      <c r="A2761" s="112" t="s">
        <v>934</v>
      </c>
      <c r="B2761" s="50" t="s">
        <v>7461</v>
      </c>
      <c r="C2761" s="50" t="s">
        <v>7462</v>
      </c>
      <c r="D2761" s="50" t="s">
        <v>7463</v>
      </c>
      <c r="E2761" s="52" t="b">
        <v>1</v>
      </c>
      <c r="F2761" s="78" t="s">
        <v>934</v>
      </c>
      <c r="G2761" s="50" t="s">
        <v>7461</v>
      </c>
      <c r="H2761" s="50" t="s">
        <v>7462</v>
      </c>
      <c r="I2761" s="53" t="s">
        <v>7463</v>
      </c>
      <c r="J2761" s="55"/>
      <c r="K2761" s="55"/>
      <c r="L2761" s="79"/>
      <c r="M2761" s="56" t="str">
        <f>HYPERLINK("http://nsgreg.nga.mil/genc/view?v=864944&amp;end_month=12&amp;end_day=31&amp;end_year=2016","Correlation")</f>
        <v>Correlation</v>
      </c>
    </row>
    <row r="2762" spans="1:13" x14ac:dyDescent="0.2">
      <c r="A2762" s="113"/>
      <c r="B2762" s="58" t="s">
        <v>7464</v>
      </c>
      <c r="C2762" s="58" t="s">
        <v>7462</v>
      </c>
      <c r="D2762" s="58" t="s">
        <v>7465</v>
      </c>
      <c r="E2762" s="60" t="b">
        <v>1</v>
      </c>
      <c r="F2762" s="80" t="s">
        <v>934</v>
      </c>
      <c r="G2762" s="58" t="s">
        <v>7464</v>
      </c>
      <c r="H2762" s="58" t="s">
        <v>7462</v>
      </c>
      <c r="I2762" s="64" t="s">
        <v>7465</v>
      </c>
      <c r="J2762" s="66"/>
      <c r="K2762" s="66"/>
      <c r="L2762" s="68"/>
      <c r="M2762" s="63" t="str">
        <f>HYPERLINK("http://nsgreg.nga.mil/genc/view?v=864946&amp;end_month=12&amp;end_day=31&amp;end_year=2016","Correlation")</f>
        <v>Correlation</v>
      </c>
    </row>
    <row r="2763" spans="1:13" x14ac:dyDescent="0.2">
      <c r="A2763" s="113"/>
      <c r="B2763" s="58" t="s">
        <v>7466</v>
      </c>
      <c r="C2763" s="58" t="s">
        <v>7462</v>
      </c>
      <c r="D2763" s="58" t="s">
        <v>7467</v>
      </c>
      <c r="E2763" s="60" t="b">
        <v>1</v>
      </c>
      <c r="F2763" s="80" t="s">
        <v>934</v>
      </c>
      <c r="G2763" s="58" t="s">
        <v>7466</v>
      </c>
      <c r="H2763" s="58" t="s">
        <v>7462</v>
      </c>
      <c r="I2763" s="64" t="s">
        <v>7467</v>
      </c>
      <c r="J2763" s="66"/>
      <c r="K2763" s="66"/>
      <c r="L2763" s="68"/>
      <c r="M2763" s="63" t="str">
        <f>HYPERLINK("http://nsgreg.nga.mil/genc/view?v=864942&amp;end_month=12&amp;end_day=31&amp;end_year=2016","Correlation")</f>
        <v>Correlation</v>
      </c>
    </row>
    <row r="2764" spans="1:13" x14ac:dyDescent="0.2">
      <c r="A2764" s="113"/>
      <c r="B2764" s="58" t="s">
        <v>7468</v>
      </c>
      <c r="C2764" s="58" t="s">
        <v>7462</v>
      </c>
      <c r="D2764" s="58" t="s">
        <v>7469</v>
      </c>
      <c r="E2764" s="60" t="b">
        <v>1</v>
      </c>
      <c r="F2764" s="80" t="s">
        <v>934</v>
      </c>
      <c r="G2764" s="58" t="s">
        <v>7468</v>
      </c>
      <c r="H2764" s="58" t="s">
        <v>7462</v>
      </c>
      <c r="I2764" s="64" t="s">
        <v>7469</v>
      </c>
      <c r="J2764" s="66"/>
      <c r="K2764" s="66"/>
      <c r="L2764" s="68"/>
      <c r="M2764" s="63" t="str">
        <f>HYPERLINK("http://nsgreg.nga.mil/genc/view?v=864943&amp;end_month=12&amp;end_day=31&amp;end_year=2016","Correlation")</f>
        <v>Correlation</v>
      </c>
    </row>
    <row r="2765" spans="1:13" x14ac:dyDescent="0.2">
      <c r="A2765" s="113"/>
      <c r="B2765" s="58" t="s">
        <v>7470</v>
      </c>
      <c r="C2765" s="58" t="s">
        <v>7462</v>
      </c>
      <c r="D2765" s="58" t="s">
        <v>7471</v>
      </c>
      <c r="E2765" s="60" t="b">
        <v>1</v>
      </c>
      <c r="F2765" s="80" t="s">
        <v>934</v>
      </c>
      <c r="G2765" s="58" t="s">
        <v>7470</v>
      </c>
      <c r="H2765" s="58" t="s">
        <v>7462</v>
      </c>
      <c r="I2765" s="64" t="s">
        <v>7471</v>
      </c>
      <c r="J2765" s="66"/>
      <c r="K2765" s="66"/>
      <c r="L2765" s="68"/>
      <c r="M2765" s="63" t="str">
        <f>HYPERLINK("http://nsgreg.nga.mil/genc/view?v=864945&amp;end_month=12&amp;end_day=31&amp;end_year=2016","Correlation")</f>
        <v>Correlation</v>
      </c>
    </row>
    <row r="2766" spans="1:13" x14ac:dyDescent="0.2">
      <c r="A2766" s="113"/>
      <c r="B2766" s="58" t="s">
        <v>7472</v>
      </c>
      <c r="C2766" s="58" t="s">
        <v>7462</v>
      </c>
      <c r="D2766" s="58" t="s">
        <v>7473</v>
      </c>
      <c r="E2766" s="60" t="b">
        <v>1</v>
      </c>
      <c r="F2766" s="80" t="s">
        <v>934</v>
      </c>
      <c r="G2766" s="58" t="s">
        <v>7472</v>
      </c>
      <c r="H2766" s="58" t="s">
        <v>7462</v>
      </c>
      <c r="I2766" s="64" t="s">
        <v>7473</v>
      </c>
      <c r="J2766" s="66"/>
      <c r="K2766" s="66"/>
      <c r="L2766" s="68"/>
      <c r="M2766" s="63" t="str">
        <f>HYPERLINK("http://nsgreg.nga.mil/genc/view?v=864947&amp;end_month=12&amp;end_day=31&amp;end_year=2016","Correlation")</f>
        <v>Correlation</v>
      </c>
    </row>
    <row r="2767" spans="1:13" x14ac:dyDescent="0.2">
      <c r="A2767" s="113"/>
      <c r="B2767" s="58" t="s">
        <v>7474</v>
      </c>
      <c r="C2767" s="58" t="s">
        <v>7462</v>
      </c>
      <c r="D2767" s="58" t="s">
        <v>7475</v>
      </c>
      <c r="E2767" s="60" t="b">
        <v>1</v>
      </c>
      <c r="F2767" s="80" t="s">
        <v>934</v>
      </c>
      <c r="G2767" s="58" t="s">
        <v>7474</v>
      </c>
      <c r="H2767" s="58" t="s">
        <v>7462</v>
      </c>
      <c r="I2767" s="64" t="s">
        <v>7475</v>
      </c>
      <c r="J2767" s="66"/>
      <c r="K2767" s="66"/>
      <c r="L2767" s="68"/>
      <c r="M2767" s="63" t="str">
        <f>HYPERLINK("http://nsgreg.nga.mil/genc/view?v=864955&amp;end_month=12&amp;end_day=31&amp;end_year=2016","Correlation")</f>
        <v>Correlation</v>
      </c>
    </row>
    <row r="2768" spans="1:13" x14ac:dyDescent="0.2">
      <c r="A2768" s="113"/>
      <c r="B2768" s="58" t="s">
        <v>7476</v>
      </c>
      <c r="C2768" s="58" t="s">
        <v>7462</v>
      </c>
      <c r="D2768" s="58" t="s">
        <v>7477</v>
      </c>
      <c r="E2768" s="60" t="b">
        <v>1</v>
      </c>
      <c r="F2768" s="80" t="s">
        <v>934</v>
      </c>
      <c r="G2768" s="58" t="s">
        <v>7476</v>
      </c>
      <c r="H2768" s="58" t="s">
        <v>7462</v>
      </c>
      <c r="I2768" s="64" t="s">
        <v>7477</v>
      </c>
      <c r="J2768" s="66"/>
      <c r="K2768" s="66"/>
      <c r="L2768" s="68"/>
      <c r="M2768" s="63" t="str">
        <f>HYPERLINK("http://nsgreg.nga.mil/genc/view?v=864948&amp;end_month=12&amp;end_day=31&amp;end_year=2016","Correlation")</f>
        <v>Correlation</v>
      </c>
    </row>
    <row r="2769" spans="1:13" x14ac:dyDescent="0.2">
      <c r="A2769" s="113"/>
      <c r="B2769" s="58" t="s">
        <v>7478</v>
      </c>
      <c r="C2769" s="58" t="s">
        <v>7462</v>
      </c>
      <c r="D2769" s="58" t="s">
        <v>7479</v>
      </c>
      <c r="E2769" s="60" t="b">
        <v>1</v>
      </c>
      <c r="F2769" s="80" t="s">
        <v>934</v>
      </c>
      <c r="G2769" s="58" t="s">
        <v>7478</v>
      </c>
      <c r="H2769" s="58" t="s">
        <v>7462</v>
      </c>
      <c r="I2769" s="64" t="s">
        <v>7479</v>
      </c>
      <c r="J2769" s="66"/>
      <c r="K2769" s="66"/>
      <c r="L2769" s="68"/>
      <c r="M2769" s="63" t="str">
        <f>HYPERLINK("http://nsgreg.nga.mil/genc/view?v=864951&amp;end_month=12&amp;end_day=31&amp;end_year=2016","Correlation")</f>
        <v>Correlation</v>
      </c>
    </row>
    <row r="2770" spans="1:13" x14ac:dyDescent="0.2">
      <c r="A2770" s="113"/>
      <c r="B2770" s="58" t="s">
        <v>7480</v>
      </c>
      <c r="C2770" s="58" t="s">
        <v>7462</v>
      </c>
      <c r="D2770" s="58" t="s">
        <v>7481</v>
      </c>
      <c r="E2770" s="60" t="b">
        <v>1</v>
      </c>
      <c r="F2770" s="80" t="s">
        <v>934</v>
      </c>
      <c r="G2770" s="58" t="s">
        <v>7480</v>
      </c>
      <c r="H2770" s="58" t="s">
        <v>7462</v>
      </c>
      <c r="I2770" s="64" t="s">
        <v>7481</v>
      </c>
      <c r="J2770" s="66"/>
      <c r="K2770" s="66"/>
      <c r="L2770" s="68"/>
      <c r="M2770" s="63" t="str">
        <f>HYPERLINK("http://nsgreg.nga.mil/genc/view?v=864950&amp;end_month=12&amp;end_day=31&amp;end_year=2016","Correlation")</f>
        <v>Correlation</v>
      </c>
    </row>
    <row r="2771" spans="1:13" x14ac:dyDescent="0.2">
      <c r="A2771" s="113"/>
      <c r="B2771" s="58" t="s">
        <v>7482</v>
      </c>
      <c r="C2771" s="58" t="s">
        <v>7462</v>
      </c>
      <c r="D2771" s="58" t="s">
        <v>7483</v>
      </c>
      <c r="E2771" s="60" t="b">
        <v>1</v>
      </c>
      <c r="F2771" s="80" t="s">
        <v>934</v>
      </c>
      <c r="G2771" s="58" t="s">
        <v>7482</v>
      </c>
      <c r="H2771" s="58" t="s">
        <v>7462</v>
      </c>
      <c r="I2771" s="64" t="s">
        <v>7483</v>
      </c>
      <c r="J2771" s="66"/>
      <c r="K2771" s="66"/>
      <c r="L2771" s="68"/>
      <c r="M2771" s="63" t="str">
        <f>HYPERLINK("http://nsgreg.nga.mil/genc/view?v=864949&amp;end_month=12&amp;end_day=31&amp;end_year=2016","Correlation")</f>
        <v>Correlation</v>
      </c>
    </row>
    <row r="2772" spans="1:13" x14ac:dyDescent="0.2">
      <c r="A2772" s="113"/>
      <c r="B2772" s="58" t="s">
        <v>7484</v>
      </c>
      <c r="C2772" s="58" t="s">
        <v>7462</v>
      </c>
      <c r="D2772" s="58" t="s">
        <v>7485</v>
      </c>
      <c r="E2772" s="60" t="b">
        <v>1</v>
      </c>
      <c r="F2772" s="80" t="s">
        <v>934</v>
      </c>
      <c r="G2772" s="58" t="s">
        <v>7484</v>
      </c>
      <c r="H2772" s="58" t="s">
        <v>7462</v>
      </c>
      <c r="I2772" s="64" t="s">
        <v>7485</v>
      </c>
      <c r="J2772" s="66"/>
      <c r="K2772" s="66"/>
      <c r="L2772" s="68"/>
      <c r="M2772" s="63" t="str">
        <f>HYPERLINK("http://nsgreg.nga.mil/genc/view?v=864952&amp;end_month=12&amp;end_day=31&amp;end_year=2016","Correlation")</f>
        <v>Correlation</v>
      </c>
    </row>
    <row r="2773" spans="1:13" x14ac:dyDescent="0.2">
      <c r="A2773" s="113"/>
      <c r="B2773" s="58" t="s">
        <v>7486</v>
      </c>
      <c r="C2773" s="58" t="s">
        <v>7462</v>
      </c>
      <c r="D2773" s="58" t="s">
        <v>7487</v>
      </c>
      <c r="E2773" s="60" t="b">
        <v>1</v>
      </c>
      <c r="F2773" s="80" t="s">
        <v>934</v>
      </c>
      <c r="G2773" s="58" t="s">
        <v>7486</v>
      </c>
      <c r="H2773" s="58" t="s">
        <v>7462</v>
      </c>
      <c r="I2773" s="64" t="s">
        <v>7487</v>
      </c>
      <c r="J2773" s="66"/>
      <c r="K2773" s="66"/>
      <c r="L2773" s="68"/>
      <c r="M2773" s="63" t="str">
        <f>HYPERLINK("http://nsgreg.nga.mil/genc/view?v=864953&amp;end_month=12&amp;end_day=31&amp;end_year=2016","Correlation")</f>
        <v>Correlation</v>
      </c>
    </row>
    <row r="2774" spans="1:13" x14ac:dyDescent="0.2">
      <c r="A2774" s="113"/>
      <c r="B2774" s="58" t="s">
        <v>7488</v>
      </c>
      <c r="C2774" s="58" t="s">
        <v>7462</v>
      </c>
      <c r="D2774" s="58" t="s">
        <v>7489</v>
      </c>
      <c r="E2774" s="60" t="b">
        <v>1</v>
      </c>
      <c r="F2774" s="80" t="s">
        <v>934</v>
      </c>
      <c r="G2774" s="58" t="s">
        <v>7488</v>
      </c>
      <c r="H2774" s="58" t="s">
        <v>7462</v>
      </c>
      <c r="I2774" s="64" t="s">
        <v>7489</v>
      </c>
      <c r="J2774" s="66"/>
      <c r="K2774" s="66"/>
      <c r="L2774" s="68"/>
      <c r="M2774" s="63" t="str">
        <f>HYPERLINK("http://nsgreg.nga.mil/genc/view?v=864954&amp;end_month=12&amp;end_day=31&amp;end_year=2016","Correlation")</f>
        <v>Correlation</v>
      </c>
    </row>
    <row r="2775" spans="1:13" x14ac:dyDescent="0.2">
      <c r="A2775" s="113"/>
      <c r="B2775" s="58" t="s">
        <v>7490</v>
      </c>
      <c r="C2775" s="58" t="s">
        <v>7462</v>
      </c>
      <c r="D2775" s="58" t="s">
        <v>7491</v>
      </c>
      <c r="E2775" s="60" t="b">
        <v>1</v>
      </c>
      <c r="F2775" s="80" t="s">
        <v>934</v>
      </c>
      <c r="G2775" s="58" t="s">
        <v>7490</v>
      </c>
      <c r="H2775" s="58" t="s">
        <v>7462</v>
      </c>
      <c r="I2775" s="64" t="s">
        <v>7491</v>
      </c>
      <c r="J2775" s="66"/>
      <c r="K2775" s="66"/>
      <c r="L2775" s="68"/>
      <c r="M2775" s="63" t="str">
        <f>HYPERLINK("http://nsgreg.nga.mil/genc/view?v=864957&amp;end_month=12&amp;end_day=31&amp;end_year=2016","Correlation")</f>
        <v>Correlation</v>
      </c>
    </row>
    <row r="2776" spans="1:13" x14ac:dyDescent="0.2">
      <c r="A2776" s="113"/>
      <c r="B2776" s="58" t="s">
        <v>7492</v>
      </c>
      <c r="C2776" s="58" t="s">
        <v>7462</v>
      </c>
      <c r="D2776" s="58" t="s">
        <v>7493</v>
      </c>
      <c r="E2776" s="60" t="b">
        <v>1</v>
      </c>
      <c r="F2776" s="80" t="s">
        <v>934</v>
      </c>
      <c r="G2776" s="58" t="s">
        <v>7492</v>
      </c>
      <c r="H2776" s="58" t="s">
        <v>7462</v>
      </c>
      <c r="I2776" s="64" t="s">
        <v>7493</v>
      </c>
      <c r="J2776" s="66"/>
      <c r="K2776" s="66"/>
      <c r="L2776" s="68"/>
      <c r="M2776" s="63" t="str">
        <f>HYPERLINK("http://nsgreg.nga.mil/genc/view?v=864956&amp;end_month=12&amp;end_day=31&amp;end_year=2016","Correlation")</f>
        <v>Correlation</v>
      </c>
    </row>
    <row r="2777" spans="1:13" x14ac:dyDescent="0.2">
      <c r="A2777" s="114"/>
      <c r="B2777" s="71" t="s">
        <v>7494</v>
      </c>
      <c r="C2777" s="71" t="s">
        <v>7462</v>
      </c>
      <c r="D2777" s="71" t="s">
        <v>7495</v>
      </c>
      <c r="E2777" s="73" t="b">
        <v>1</v>
      </c>
      <c r="F2777" s="81" t="s">
        <v>934</v>
      </c>
      <c r="G2777" s="71" t="s">
        <v>7494</v>
      </c>
      <c r="H2777" s="71" t="s">
        <v>7462</v>
      </c>
      <c r="I2777" s="74" t="s">
        <v>7495</v>
      </c>
      <c r="J2777" s="76"/>
      <c r="K2777" s="76"/>
      <c r="L2777" s="82"/>
      <c r="M2777" s="77" t="str">
        <f>HYPERLINK("http://nsgreg.nga.mil/genc/view?v=864958&amp;end_month=12&amp;end_day=31&amp;end_year=2016","Correlation")</f>
        <v>Correlation</v>
      </c>
    </row>
    <row r="2778" spans="1:13" x14ac:dyDescent="0.2">
      <c r="A2778" s="112" t="s">
        <v>938</v>
      </c>
      <c r="B2778" s="50" t="s">
        <v>7496</v>
      </c>
      <c r="C2778" s="50" t="s">
        <v>1413</v>
      </c>
      <c r="D2778" s="50" t="s">
        <v>7497</v>
      </c>
      <c r="E2778" s="52" t="b">
        <v>1</v>
      </c>
      <c r="F2778" s="78" t="s">
        <v>938</v>
      </c>
      <c r="G2778" s="50" t="s">
        <v>7496</v>
      </c>
      <c r="H2778" s="50" t="s">
        <v>1413</v>
      </c>
      <c r="I2778" s="53" t="s">
        <v>7497</v>
      </c>
      <c r="J2778" s="55"/>
      <c r="K2778" s="55"/>
      <c r="L2778" s="79"/>
      <c r="M2778" s="56" t="str">
        <f>HYPERLINK("http://nsgreg.nga.mil/genc/view?v=865166&amp;end_month=12&amp;end_day=31&amp;end_year=2016","Correlation")</f>
        <v>Correlation</v>
      </c>
    </row>
    <row r="2779" spans="1:13" x14ac:dyDescent="0.2">
      <c r="A2779" s="113"/>
      <c r="B2779" s="58" t="s">
        <v>7498</v>
      </c>
      <c r="C2779" s="58" t="s">
        <v>1413</v>
      </c>
      <c r="D2779" s="58" t="s">
        <v>7499</v>
      </c>
      <c r="E2779" s="60" t="b">
        <v>1</v>
      </c>
      <c r="F2779" s="80" t="s">
        <v>938</v>
      </c>
      <c r="G2779" s="58" t="s">
        <v>7498</v>
      </c>
      <c r="H2779" s="58" t="s">
        <v>1413</v>
      </c>
      <c r="I2779" s="64" t="s">
        <v>7499</v>
      </c>
      <c r="J2779" s="66"/>
      <c r="K2779" s="66"/>
      <c r="L2779" s="68"/>
      <c r="M2779" s="63" t="str">
        <f>HYPERLINK("http://nsgreg.nga.mil/genc/view?v=865164&amp;end_month=12&amp;end_day=31&amp;end_year=2016","Correlation")</f>
        <v>Correlation</v>
      </c>
    </row>
    <row r="2780" spans="1:13" x14ac:dyDescent="0.2">
      <c r="A2780" s="113"/>
      <c r="B2780" s="58" t="s">
        <v>7500</v>
      </c>
      <c r="C2780" s="58" t="s">
        <v>1413</v>
      </c>
      <c r="D2780" s="58" t="s">
        <v>7501</v>
      </c>
      <c r="E2780" s="60" t="b">
        <v>1</v>
      </c>
      <c r="F2780" s="80" t="s">
        <v>938</v>
      </c>
      <c r="G2780" s="58" t="s">
        <v>7500</v>
      </c>
      <c r="H2780" s="58" t="s">
        <v>1413</v>
      </c>
      <c r="I2780" s="64" t="s">
        <v>7501</v>
      </c>
      <c r="J2780" s="66"/>
      <c r="K2780" s="66"/>
      <c r="L2780" s="68"/>
      <c r="M2780" s="63" t="str">
        <f>HYPERLINK("http://nsgreg.nga.mil/genc/view?v=865165&amp;end_month=12&amp;end_day=31&amp;end_year=2016","Correlation")</f>
        <v>Correlation</v>
      </c>
    </row>
    <row r="2781" spans="1:13" x14ac:dyDescent="0.2">
      <c r="A2781" s="113"/>
      <c r="B2781" s="58" t="s">
        <v>7502</v>
      </c>
      <c r="C2781" s="58" t="s">
        <v>1413</v>
      </c>
      <c r="D2781" s="58" t="s">
        <v>7503</v>
      </c>
      <c r="E2781" s="60" t="b">
        <v>1</v>
      </c>
      <c r="F2781" s="80" t="s">
        <v>938</v>
      </c>
      <c r="G2781" s="58" t="s">
        <v>7502</v>
      </c>
      <c r="H2781" s="58" t="s">
        <v>1413</v>
      </c>
      <c r="I2781" s="64" t="s">
        <v>7503</v>
      </c>
      <c r="J2781" s="66"/>
      <c r="K2781" s="66"/>
      <c r="L2781" s="68"/>
      <c r="M2781" s="63" t="str">
        <f>HYPERLINK("http://nsgreg.nga.mil/genc/view?v=865163&amp;end_month=12&amp;end_day=31&amp;end_year=2016","Correlation")</f>
        <v>Correlation</v>
      </c>
    </row>
    <row r="2782" spans="1:13" x14ac:dyDescent="0.2">
      <c r="A2782" s="113"/>
      <c r="B2782" s="58" t="s">
        <v>7504</v>
      </c>
      <c r="C2782" s="58" t="s">
        <v>1413</v>
      </c>
      <c r="D2782" s="58" t="s">
        <v>7505</v>
      </c>
      <c r="E2782" s="60" t="b">
        <v>1</v>
      </c>
      <c r="F2782" s="80" t="s">
        <v>938</v>
      </c>
      <c r="G2782" s="58" t="s">
        <v>7506</v>
      </c>
      <c r="H2782" s="58" t="s">
        <v>1413</v>
      </c>
      <c r="I2782" s="64" t="s">
        <v>7505</v>
      </c>
      <c r="J2782" s="66"/>
      <c r="K2782" s="66"/>
      <c r="L2782" s="68"/>
      <c r="M2782" s="63" t="str">
        <f>HYPERLINK("http://nsgreg.nga.mil/genc/view?v=865147&amp;end_month=12&amp;end_day=31&amp;end_year=2016","Correlation")</f>
        <v>Correlation</v>
      </c>
    </row>
    <row r="2783" spans="1:13" x14ac:dyDescent="0.2">
      <c r="A2783" s="113"/>
      <c r="B2783" s="58" t="s">
        <v>7507</v>
      </c>
      <c r="C2783" s="58" t="s">
        <v>1413</v>
      </c>
      <c r="D2783" s="58" t="s">
        <v>7508</v>
      </c>
      <c r="E2783" s="60" t="b">
        <v>1</v>
      </c>
      <c r="F2783" s="80" t="s">
        <v>938</v>
      </c>
      <c r="G2783" s="58" t="s">
        <v>7507</v>
      </c>
      <c r="H2783" s="58" t="s">
        <v>1413</v>
      </c>
      <c r="I2783" s="64" t="s">
        <v>7508</v>
      </c>
      <c r="J2783" s="66"/>
      <c r="K2783" s="66"/>
      <c r="L2783" s="68"/>
      <c r="M2783" s="63" t="str">
        <f>HYPERLINK("http://nsgreg.nga.mil/genc/view?v=865159&amp;end_month=12&amp;end_day=31&amp;end_year=2016","Correlation")</f>
        <v>Correlation</v>
      </c>
    </row>
    <row r="2784" spans="1:13" x14ac:dyDescent="0.2">
      <c r="A2784" s="113"/>
      <c r="B2784" s="58" t="s">
        <v>7509</v>
      </c>
      <c r="C2784" s="58" t="s">
        <v>1413</v>
      </c>
      <c r="D2784" s="58" t="s">
        <v>7510</v>
      </c>
      <c r="E2784" s="60" t="b">
        <v>1</v>
      </c>
      <c r="F2784" s="80" t="s">
        <v>938</v>
      </c>
      <c r="G2784" s="58" t="s">
        <v>7509</v>
      </c>
      <c r="H2784" s="58" t="s">
        <v>1413</v>
      </c>
      <c r="I2784" s="64" t="s">
        <v>7510</v>
      </c>
      <c r="J2784" s="66"/>
      <c r="K2784" s="66"/>
      <c r="L2784" s="68"/>
      <c r="M2784" s="63" t="str">
        <f>HYPERLINK("http://nsgreg.nga.mil/genc/view?v=865160&amp;end_month=12&amp;end_day=31&amp;end_year=2016","Correlation")</f>
        <v>Correlation</v>
      </c>
    </row>
    <row r="2785" spans="1:13" x14ac:dyDescent="0.2">
      <c r="A2785" s="113"/>
      <c r="B2785" s="58" t="s">
        <v>7511</v>
      </c>
      <c r="C2785" s="58" t="s">
        <v>1413</v>
      </c>
      <c r="D2785" s="58" t="s">
        <v>7512</v>
      </c>
      <c r="E2785" s="60" t="b">
        <v>1</v>
      </c>
      <c r="F2785" s="80" t="s">
        <v>938</v>
      </c>
      <c r="G2785" s="58" t="s">
        <v>7511</v>
      </c>
      <c r="H2785" s="58" t="s">
        <v>1413</v>
      </c>
      <c r="I2785" s="64" t="s">
        <v>7512</v>
      </c>
      <c r="J2785" s="66"/>
      <c r="K2785" s="66"/>
      <c r="L2785" s="68"/>
      <c r="M2785" s="63" t="str">
        <f>HYPERLINK("http://nsgreg.nga.mil/genc/view?v=865158&amp;end_month=12&amp;end_day=31&amp;end_year=2016","Correlation")</f>
        <v>Correlation</v>
      </c>
    </row>
    <row r="2786" spans="1:13" x14ac:dyDescent="0.2">
      <c r="A2786" s="113"/>
      <c r="B2786" s="58" t="s">
        <v>7513</v>
      </c>
      <c r="C2786" s="58" t="s">
        <v>1413</v>
      </c>
      <c r="D2786" s="58" t="s">
        <v>7514</v>
      </c>
      <c r="E2786" s="60" t="b">
        <v>1</v>
      </c>
      <c r="F2786" s="80" t="s">
        <v>938</v>
      </c>
      <c r="G2786" s="58" t="s">
        <v>7513</v>
      </c>
      <c r="H2786" s="58" t="s">
        <v>1413</v>
      </c>
      <c r="I2786" s="64" t="s">
        <v>7514</v>
      </c>
      <c r="J2786" s="66"/>
      <c r="K2786" s="66"/>
      <c r="L2786" s="68"/>
      <c r="M2786" s="63" t="str">
        <f>HYPERLINK("http://nsgreg.nga.mil/genc/view?v=865157&amp;end_month=12&amp;end_day=31&amp;end_year=2016","Correlation")</f>
        <v>Correlation</v>
      </c>
    </row>
    <row r="2787" spans="1:13" x14ac:dyDescent="0.2">
      <c r="A2787" s="113"/>
      <c r="B2787" s="58" t="s">
        <v>7515</v>
      </c>
      <c r="C2787" s="58" t="s">
        <v>1413</v>
      </c>
      <c r="D2787" s="58" t="s">
        <v>7516</v>
      </c>
      <c r="E2787" s="60" t="b">
        <v>1</v>
      </c>
      <c r="F2787" s="80" t="s">
        <v>938</v>
      </c>
      <c r="G2787" s="58" t="s">
        <v>7515</v>
      </c>
      <c r="H2787" s="58" t="s">
        <v>1413</v>
      </c>
      <c r="I2787" s="64" t="s">
        <v>7516</v>
      </c>
      <c r="J2787" s="66"/>
      <c r="K2787" s="66"/>
      <c r="L2787" s="68"/>
      <c r="M2787" s="63" t="str">
        <f>HYPERLINK("http://nsgreg.nga.mil/genc/view?v=865162&amp;end_month=12&amp;end_day=31&amp;end_year=2016","Correlation")</f>
        <v>Correlation</v>
      </c>
    </row>
    <row r="2788" spans="1:13" x14ac:dyDescent="0.2">
      <c r="A2788" s="113"/>
      <c r="B2788" s="58" t="s">
        <v>7517</v>
      </c>
      <c r="C2788" s="58" t="s">
        <v>1413</v>
      </c>
      <c r="D2788" s="58" t="s">
        <v>7518</v>
      </c>
      <c r="E2788" s="60" t="b">
        <v>1</v>
      </c>
      <c r="F2788" s="80" t="s">
        <v>938</v>
      </c>
      <c r="G2788" s="58" t="s">
        <v>7519</v>
      </c>
      <c r="H2788" s="58" t="s">
        <v>1413</v>
      </c>
      <c r="I2788" s="64" t="s">
        <v>7518</v>
      </c>
      <c r="J2788" s="66"/>
      <c r="K2788" s="66"/>
      <c r="L2788" s="68"/>
      <c r="M2788" s="63" t="str">
        <f>HYPERLINK("http://nsgreg.nga.mil/genc/view?v=865161&amp;end_month=12&amp;end_day=31&amp;end_year=2016","Correlation")</f>
        <v>Correlation</v>
      </c>
    </row>
    <row r="2789" spans="1:13" x14ac:dyDescent="0.2">
      <c r="A2789" s="113"/>
      <c r="B2789" s="58" t="s">
        <v>7520</v>
      </c>
      <c r="C2789" s="58" t="s">
        <v>1413</v>
      </c>
      <c r="D2789" s="58" t="s">
        <v>7521</v>
      </c>
      <c r="E2789" s="60" t="b">
        <v>1</v>
      </c>
      <c r="F2789" s="80" t="s">
        <v>938</v>
      </c>
      <c r="G2789" s="58" t="s">
        <v>7520</v>
      </c>
      <c r="H2789" s="58" t="s">
        <v>1413</v>
      </c>
      <c r="I2789" s="64" t="s">
        <v>7521</v>
      </c>
      <c r="J2789" s="66"/>
      <c r="K2789" s="66"/>
      <c r="L2789" s="68"/>
      <c r="M2789" s="63" t="str">
        <f>HYPERLINK("http://nsgreg.nga.mil/genc/view?v=865148&amp;end_month=12&amp;end_day=31&amp;end_year=2016","Correlation")</f>
        <v>Correlation</v>
      </c>
    </row>
    <row r="2790" spans="1:13" x14ac:dyDescent="0.2">
      <c r="A2790" s="113"/>
      <c r="B2790" s="58" t="s">
        <v>7522</v>
      </c>
      <c r="C2790" s="58" t="s">
        <v>1413</v>
      </c>
      <c r="D2790" s="58" t="s">
        <v>7523</v>
      </c>
      <c r="E2790" s="60" t="b">
        <v>1</v>
      </c>
      <c r="F2790" s="80" t="s">
        <v>938</v>
      </c>
      <c r="G2790" s="58" t="s">
        <v>7522</v>
      </c>
      <c r="H2790" s="58" t="s">
        <v>1413</v>
      </c>
      <c r="I2790" s="64" t="s">
        <v>7523</v>
      </c>
      <c r="J2790" s="66"/>
      <c r="K2790" s="66"/>
      <c r="L2790" s="68"/>
      <c r="M2790" s="63" t="str">
        <f>HYPERLINK("http://nsgreg.nga.mil/genc/view?v=865150&amp;end_month=12&amp;end_day=31&amp;end_year=2016","Correlation")</f>
        <v>Correlation</v>
      </c>
    </row>
    <row r="2791" spans="1:13" x14ac:dyDescent="0.2">
      <c r="A2791" s="113"/>
      <c r="B2791" s="58" t="s">
        <v>7524</v>
      </c>
      <c r="C2791" s="58" t="s">
        <v>1413</v>
      </c>
      <c r="D2791" s="58" t="s">
        <v>7525</v>
      </c>
      <c r="E2791" s="60" t="b">
        <v>1</v>
      </c>
      <c r="F2791" s="80" t="s">
        <v>938</v>
      </c>
      <c r="G2791" s="58" t="s">
        <v>7524</v>
      </c>
      <c r="H2791" s="58" t="s">
        <v>1413</v>
      </c>
      <c r="I2791" s="64" t="s">
        <v>7525</v>
      </c>
      <c r="J2791" s="66"/>
      <c r="K2791" s="66"/>
      <c r="L2791" s="68"/>
      <c r="M2791" s="63" t="str">
        <f>HYPERLINK("http://nsgreg.nga.mil/genc/view?v=865149&amp;end_month=12&amp;end_day=31&amp;end_year=2016","Correlation")</f>
        <v>Correlation</v>
      </c>
    </row>
    <row r="2792" spans="1:13" x14ac:dyDescent="0.2">
      <c r="A2792" s="113"/>
      <c r="B2792" s="58" t="s">
        <v>7526</v>
      </c>
      <c r="C2792" s="58" t="s">
        <v>1413</v>
      </c>
      <c r="D2792" s="58" t="s">
        <v>7527</v>
      </c>
      <c r="E2792" s="60" t="b">
        <v>1</v>
      </c>
      <c r="F2792" s="80" t="s">
        <v>938</v>
      </c>
      <c r="G2792" s="58" t="s">
        <v>7526</v>
      </c>
      <c r="H2792" s="58" t="s">
        <v>1413</v>
      </c>
      <c r="I2792" s="64" t="s">
        <v>7527</v>
      </c>
      <c r="J2792" s="66"/>
      <c r="K2792" s="66"/>
      <c r="L2792" s="68"/>
      <c r="M2792" s="63" t="str">
        <f>HYPERLINK("http://nsgreg.nga.mil/genc/view?v=865155&amp;end_month=12&amp;end_day=31&amp;end_year=2016","Correlation")</f>
        <v>Correlation</v>
      </c>
    </row>
    <row r="2793" spans="1:13" x14ac:dyDescent="0.2">
      <c r="A2793" s="113"/>
      <c r="B2793" s="58" t="s">
        <v>7528</v>
      </c>
      <c r="C2793" s="58" t="s">
        <v>1413</v>
      </c>
      <c r="D2793" s="58" t="s">
        <v>7529</v>
      </c>
      <c r="E2793" s="60" t="b">
        <v>1</v>
      </c>
      <c r="F2793" s="80" t="s">
        <v>938</v>
      </c>
      <c r="G2793" s="58" t="s">
        <v>7528</v>
      </c>
      <c r="H2793" s="58" t="s">
        <v>1413</v>
      </c>
      <c r="I2793" s="64" t="s">
        <v>7529</v>
      </c>
      <c r="J2793" s="66"/>
      <c r="K2793" s="66"/>
      <c r="L2793" s="68"/>
      <c r="M2793" s="63" t="str">
        <f>HYPERLINK("http://nsgreg.nga.mil/genc/view?v=865146&amp;end_month=12&amp;end_day=31&amp;end_year=2016","Correlation")</f>
        <v>Correlation</v>
      </c>
    </row>
    <row r="2794" spans="1:13" x14ac:dyDescent="0.2">
      <c r="A2794" s="113"/>
      <c r="B2794" s="58" t="s">
        <v>7530</v>
      </c>
      <c r="C2794" s="58" t="s">
        <v>1413</v>
      </c>
      <c r="D2794" s="58" t="s">
        <v>7531</v>
      </c>
      <c r="E2794" s="60" t="b">
        <v>1</v>
      </c>
      <c r="F2794" s="80" t="s">
        <v>938</v>
      </c>
      <c r="G2794" s="58" t="s">
        <v>7530</v>
      </c>
      <c r="H2794" s="58" t="s">
        <v>1413</v>
      </c>
      <c r="I2794" s="64" t="s">
        <v>7531</v>
      </c>
      <c r="J2794" s="66"/>
      <c r="K2794" s="66"/>
      <c r="L2794" s="68"/>
      <c r="M2794" s="63" t="str">
        <f>HYPERLINK("http://nsgreg.nga.mil/genc/view?v=865156&amp;end_month=12&amp;end_day=31&amp;end_year=2016","Correlation")</f>
        <v>Correlation</v>
      </c>
    </row>
    <row r="2795" spans="1:13" x14ac:dyDescent="0.2">
      <c r="A2795" s="113"/>
      <c r="B2795" s="58" t="s">
        <v>7532</v>
      </c>
      <c r="C2795" s="58" t="s">
        <v>1413</v>
      </c>
      <c r="D2795" s="58" t="s">
        <v>7533</v>
      </c>
      <c r="E2795" s="60" t="b">
        <v>1</v>
      </c>
      <c r="F2795" s="80" t="s">
        <v>938</v>
      </c>
      <c r="G2795" s="58" t="s">
        <v>7532</v>
      </c>
      <c r="H2795" s="58" t="s">
        <v>1413</v>
      </c>
      <c r="I2795" s="64" t="s">
        <v>7533</v>
      </c>
      <c r="J2795" s="66"/>
      <c r="K2795" s="66"/>
      <c r="L2795" s="68"/>
      <c r="M2795" s="63" t="str">
        <f>HYPERLINK("http://nsgreg.nga.mil/genc/view?v=865153&amp;end_month=12&amp;end_day=31&amp;end_year=2016","Correlation")</f>
        <v>Correlation</v>
      </c>
    </row>
    <row r="2796" spans="1:13" x14ac:dyDescent="0.2">
      <c r="A2796" s="113"/>
      <c r="B2796" s="58" t="s">
        <v>7534</v>
      </c>
      <c r="C2796" s="58" t="s">
        <v>1413</v>
      </c>
      <c r="D2796" s="58" t="s">
        <v>7535</v>
      </c>
      <c r="E2796" s="60" t="b">
        <v>1</v>
      </c>
      <c r="F2796" s="80" t="s">
        <v>938</v>
      </c>
      <c r="G2796" s="58" t="s">
        <v>7534</v>
      </c>
      <c r="H2796" s="58" t="s">
        <v>1413</v>
      </c>
      <c r="I2796" s="64" t="s">
        <v>7535</v>
      </c>
      <c r="J2796" s="66"/>
      <c r="K2796" s="66"/>
      <c r="L2796" s="68"/>
      <c r="M2796" s="63" t="str">
        <f>HYPERLINK("http://nsgreg.nga.mil/genc/view?v=865154&amp;end_month=12&amp;end_day=31&amp;end_year=2016","Correlation")</f>
        <v>Correlation</v>
      </c>
    </row>
    <row r="2797" spans="1:13" x14ac:dyDescent="0.2">
      <c r="A2797" s="113"/>
      <c r="B2797" s="58" t="s">
        <v>7536</v>
      </c>
      <c r="C2797" s="58" t="s">
        <v>1413</v>
      </c>
      <c r="D2797" s="58" t="s">
        <v>7537</v>
      </c>
      <c r="E2797" s="60" t="b">
        <v>1</v>
      </c>
      <c r="F2797" s="80" t="s">
        <v>938</v>
      </c>
      <c r="G2797" s="58" t="s">
        <v>7536</v>
      </c>
      <c r="H2797" s="58" t="s">
        <v>1413</v>
      </c>
      <c r="I2797" s="64" t="s">
        <v>7537</v>
      </c>
      <c r="J2797" s="66"/>
      <c r="K2797" s="66"/>
      <c r="L2797" s="68"/>
      <c r="M2797" s="63" t="str">
        <f>HYPERLINK("http://nsgreg.nga.mil/genc/view?v=865152&amp;end_month=12&amp;end_day=31&amp;end_year=2016","Correlation")</f>
        <v>Correlation</v>
      </c>
    </row>
    <row r="2798" spans="1:13" x14ac:dyDescent="0.2">
      <c r="A2798" s="113"/>
      <c r="B2798" s="58" t="s">
        <v>7538</v>
      </c>
      <c r="C2798" s="58" t="s">
        <v>1681</v>
      </c>
      <c r="D2798" s="58" t="s">
        <v>7539</v>
      </c>
      <c r="E2798" s="60" t="b">
        <v>1</v>
      </c>
      <c r="F2798" s="80" t="s">
        <v>938</v>
      </c>
      <c r="G2798" s="58" t="s">
        <v>7538</v>
      </c>
      <c r="H2798" s="58" t="s">
        <v>3577</v>
      </c>
      <c r="I2798" s="64" t="s">
        <v>7539</v>
      </c>
      <c r="J2798" s="66"/>
      <c r="K2798" s="66"/>
      <c r="L2798" s="68"/>
      <c r="M2798" s="63" t="str">
        <f>HYPERLINK("http://nsgreg.nga.mil/genc/view?v=865167&amp;end_month=12&amp;end_day=31&amp;end_year=2016","Correlation")</f>
        <v>Correlation</v>
      </c>
    </row>
    <row r="2799" spans="1:13" x14ac:dyDescent="0.2">
      <c r="A2799" s="114"/>
      <c r="B2799" s="71" t="s">
        <v>7540</v>
      </c>
      <c r="C2799" s="71" t="s">
        <v>1413</v>
      </c>
      <c r="D2799" s="71" t="s">
        <v>7541</v>
      </c>
      <c r="E2799" s="73" t="b">
        <v>1</v>
      </c>
      <c r="F2799" s="81" t="s">
        <v>938</v>
      </c>
      <c r="G2799" s="71" t="s">
        <v>7540</v>
      </c>
      <c r="H2799" s="71" t="s">
        <v>1413</v>
      </c>
      <c r="I2799" s="74" t="s">
        <v>7541</v>
      </c>
      <c r="J2799" s="76"/>
      <c r="K2799" s="76"/>
      <c r="L2799" s="82"/>
      <c r="M2799" s="77" t="str">
        <f>HYPERLINK("http://nsgreg.nga.mil/genc/view?v=865151&amp;end_month=12&amp;end_day=31&amp;end_year=2016","Correlation")</f>
        <v>Correlation</v>
      </c>
    </row>
    <row r="2800" spans="1:13" x14ac:dyDescent="0.2">
      <c r="A2800" s="112" t="s">
        <v>942</v>
      </c>
      <c r="B2800" s="50" t="s">
        <v>7542</v>
      </c>
      <c r="C2800" s="50" t="s">
        <v>1816</v>
      </c>
      <c r="D2800" s="50" t="s">
        <v>7543</v>
      </c>
      <c r="E2800" s="52" t="b">
        <v>1</v>
      </c>
      <c r="F2800" s="78" t="s">
        <v>942</v>
      </c>
      <c r="G2800" s="50" t="s">
        <v>7542</v>
      </c>
      <c r="H2800" s="50" t="s">
        <v>1816</v>
      </c>
      <c r="I2800" s="53" t="s">
        <v>7543</v>
      </c>
      <c r="J2800" s="55"/>
      <c r="K2800" s="55"/>
      <c r="L2800" s="79"/>
      <c r="M2800" s="56" t="str">
        <f>HYPERLINK("http://nsgreg.nga.mil/genc/view?v=864996&amp;end_month=12&amp;end_day=31&amp;end_year=2016","Correlation")</f>
        <v>Correlation</v>
      </c>
    </row>
    <row r="2801" spans="1:13" x14ac:dyDescent="0.2">
      <c r="A2801" s="113"/>
      <c r="B2801" s="58" t="s">
        <v>7544</v>
      </c>
      <c r="C2801" s="58" t="s">
        <v>1816</v>
      </c>
      <c r="D2801" s="58" t="s">
        <v>7545</v>
      </c>
      <c r="E2801" s="60" t="b">
        <v>1</v>
      </c>
      <c r="F2801" s="80" t="s">
        <v>942</v>
      </c>
      <c r="G2801" s="58" t="s">
        <v>7544</v>
      </c>
      <c r="H2801" s="58" t="s">
        <v>1816</v>
      </c>
      <c r="I2801" s="64" t="s">
        <v>7545</v>
      </c>
      <c r="J2801" s="66"/>
      <c r="K2801" s="66"/>
      <c r="L2801" s="68"/>
      <c r="M2801" s="63" t="str">
        <f>HYPERLINK("http://nsgreg.nga.mil/genc/view?v=864997&amp;end_month=12&amp;end_day=31&amp;end_year=2016","Correlation")</f>
        <v>Correlation</v>
      </c>
    </row>
    <row r="2802" spans="1:13" x14ac:dyDescent="0.2">
      <c r="A2802" s="113"/>
      <c r="B2802" s="58" t="s">
        <v>7546</v>
      </c>
      <c r="C2802" s="58" t="s">
        <v>1816</v>
      </c>
      <c r="D2802" s="58" t="s">
        <v>7547</v>
      </c>
      <c r="E2802" s="60" t="b">
        <v>1</v>
      </c>
      <c r="F2802" s="80" t="s">
        <v>942</v>
      </c>
      <c r="G2802" s="58" t="s">
        <v>7546</v>
      </c>
      <c r="H2802" s="58" t="s">
        <v>1816</v>
      </c>
      <c r="I2802" s="64" t="s">
        <v>7547</v>
      </c>
      <c r="J2802" s="66"/>
      <c r="K2802" s="66"/>
      <c r="L2802" s="68"/>
      <c r="M2802" s="63" t="str">
        <f>HYPERLINK("http://nsgreg.nga.mil/genc/view?v=864998&amp;end_month=12&amp;end_day=31&amp;end_year=2016","Correlation")</f>
        <v>Correlation</v>
      </c>
    </row>
    <row r="2803" spans="1:13" x14ac:dyDescent="0.2">
      <c r="A2803" s="113"/>
      <c r="B2803" s="58" t="s">
        <v>7548</v>
      </c>
      <c r="C2803" s="58" t="s">
        <v>1816</v>
      </c>
      <c r="D2803" s="58" t="s">
        <v>7549</v>
      </c>
      <c r="E2803" s="60" t="b">
        <v>1</v>
      </c>
      <c r="F2803" s="80" t="s">
        <v>942</v>
      </c>
      <c r="G2803" s="58" t="s">
        <v>7548</v>
      </c>
      <c r="H2803" s="58" t="s">
        <v>1816</v>
      </c>
      <c r="I2803" s="64" t="s">
        <v>7549</v>
      </c>
      <c r="J2803" s="66"/>
      <c r="K2803" s="66"/>
      <c r="L2803" s="68"/>
      <c r="M2803" s="63" t="str">
        <f>HYPERLINK("http://nsgreg.nga.mil/genc/view?v=864999&amp;end_month=12&amp;end_day=31&amp;end_year=2016","Correlation")</f>
        <v>Correlation</v>
      </c>
    </row>
    <row r="2804" spans="1:13" x14ac:dyDescent="0.2">
      <c r="A2804" s="113"/>
      <c r="B2804" s="58" t="s">
        <v>7550</v>
      </c>
      <c r="C2804" s="58" t="s">
        <v>1816</v>
      </c>
      <c r="D2804" s="58" t="s">
        <v>7551</v>
      </c>
      <c r="E2804" s="60" t="b">
        <v>1</v>
      </c>
      <c r="F2804" s="80" t="s">
        <v>942</v>
      </c>
      <c r="G2804" s="58" t="s">
        <v>7550</v>
      </c>
      <c r="H2804" s="58" t="s">
        <v>1816</v>
      </c>
      <c r="I2804" s="64" t="s">
        <v>7551</v>
      </c>
      <c r="J2804" s="66"/>
      <c r="K2804" s="66"/>
      <c r="L2804" s="68"/>
      <c r="M2804" s="63" t="str">
        <f>HYPERLINK("http://nsgreg.nga.mil/genc/view?v=865000&amp;end_month=12&amp;end_day=31&amp;end_year=2016","Correlation")</f>
        <v>Correlation</v>
      </c>
    </row>
    <row r="2805" spans="1:13" x14ac:dyDescent="0.2">
      <c r="A2805" s="113"/>
      <c r="B2805" s="58" t="s">
        <v>7552</v>
      </c>
      <c r="C2805" s="58" t="s">
        <v>1816</v>
      </c>
      <c r="D2805" s="58" t="s">
        <v>7553</v>
      </c>
      <c r="E2805" s="60" t="b">
        <v>1</v>
      </c>
      <c r="F2805" s="80" t="s">
        <v>942</v>
      </c>
      <c r="G2805" s="58" t="s">
        <v>7552</v>
      </c>
      <c r="H2805" s="58" t="s">
        <v>1816</v>
      </c>
      <c r="I2805" s="64" t="s">
        <v>7553</v>
      </c>
      <c r="J2805" s="66"/>
      <c r="K2805" s="66"/>
      <c r="L2805" s="68"/>
      <c r="M2805" s="63" t="str">
        <f>HYPERLINK("http://nsgreg.nga.mil/genc/view?v=865001&amp;end_month=12&amp;end_day=31&amp;end_year=2016","Correlation")</f>
        <v>Correlation</v>
      </c>
    </row>
    <row r="2806" spans="1:13" x14ac:dyDescent="0.2">
      <c r="A2806" s="113"/>
      <c r="B2806" s="58" t="s">
        <v>7554</v>
      </c>
      <c r="C2806" s="58" t="s">
        <v>1816</v>
      </c>
      <c r="D2806" s="58" t="s">
        <v>7555</v>
      </c>
      <c r="E2806" s="60" t="b">
        <v>1</v>
      </c>
      <c r="F2806" s="80" t="s">
        <v>942</v>
      </c>
      <c r="G2806" s="58" t="s">
        <v>7554</v>
      </c>
      <c r="H2806" s="58" t="s">
        <v>1816</v>
      </c>
      <c r="I2806" s="64" t="s">
        <v>7555</v>
      </c>
      <c r="J2806" s="66"/>
      <c r="K2806" s="66"/>
      <c r="L2806" s="68"/>
      <c r="M2806" s="63" t="str">
        <f>HYPERLINK("http://nsgreg.nga.mil/genc/view?v=865002&amp;end_month=12&amp;end_day=31&amp;end_year=2016","Correlation")</f>
        <v>Correlation</v>
      </c>
    </row>
    <row r="2807" spans="1:13" x14ac:dyDescent="0.2">
      <c r="A2807" s="113"/>
      <c r="B2807" s="58" t="s">
        <v>7556</v>
      </c>
      <c r="C2807" s="58" t="s">
        <v>1816</v>
      </c>
      <c r="D2807" s="58" t="s">
        <v>7557</v>
      </c>
      <c r="E2807" s="60" t="b">
        <v>1</v>
      </c>
      <c r="F2807" s="80" t="s">
        <v>942</v>
      </c>
      <c r="G2807" s="58" t="s">
        <v>7556</v>
      </c>
      <c r="H2807" s="58" t="s">
        <v>1816</v>
      </c>
      <c r="I2807" s="64" t="s">
        <v>7557</v>
      </c>
      <c r="J2807" s="66"/>
      <c r="K2807" s="66"/>
      <c r="L2807" s="68"/>
      <c r="M2807" s="63" t="str">
        <f>HYPERLINK("http://nsgreg.nga.mil/genc/view?v=865017&amp;end_month=12&amp;end_day=31&amp;end_year=2016","Correlation")</f>
        <v>Correlation</v>
      </c>
    </row>
    <row r="2808" spans="1:13" x14ac:dyDescent="0.2">
      <c r="A2808" s="113"/>
      <c r="B2808" s="58" t="s">
        <v>7558</v>
      </c>
      <c r="C2808" s="58" t="s">
        <v>1816</v>
      </c>
      <c r="D2808" s="58" t="s">
        <v>7559</v>
      </c>
      <c r="E2808" s="60" t="b">
        <v>1</v>
      </c>
      <c r="F2808" s="80" t="s">
        <v>942</v>
      </c>
      <c r="G2808" s="58" t="s">
        <v>7560</v>
      </c>
      <c r="H2808" s="58" t="s">
        <v>1816</v>
      </c>
      <c r="I2808" s="64" t="s">
        <v>7559</v>
      </c>
      <c r="J2808" s="66"/>
      <c r="K2808" s="66"/>
      <c r="L2808" s="68"/>
      <c r="M2808" s="63" t="str">
        <f>HYPERLINK("http://nsgreg.nga.mil/genc/view?v=865003&amp;end_month=12&amp;end_day=31&amp;end_year=2016","Correlation")</f>
        <v>Correlation</v>
      </c>
    </row>
    <row r="2809" spans="1:13" x14ac:dyDescent="0.2">
      <c r="A2809" s="113"/>
      <c r="B2809" s="58" t="s">
        <v>7561</v>
      </c>
      <c r="C2809" s="58" t="s">
        <v>1816</v>
      </c>
      <c r="D2809" s="58" t="s">
        <v>7562</v>
      </c>
      <c r="E2809" s="60" t="b">
        <v>1</v>
      </c>
      <c r="F2809" s="80" t="s">
        <v>942</v>
      </c>
      <c r="G2809" s="58" t="s">
        <v>7561</v>
      </c>
      <c r="H2809" s="58" t="s">
        <v>1816</v>
      </c>
      <c r="I2809" s="64" t="s">
        <v>7562</v>
      </c>
      <c r="J2809" s="66"/>
      <c r="K2809" s="66"/>
      <c r="L2809" s="68"/>
      <c r="M2809" s="63" t="str">
        <f>HYPERLINK("http://nsgreg.nga.mil/genc/view?v=865004&amp;end_month=12&amp;end_day=31&amp;end_year=2016","Correlation")</f>
        <v>Correlation</v>
      </c>
    </row>
    <row r="2810" spans="1:13" x14ac:dyDescent="0.2">
      <c r="A2810" s="113"/>
      <c r="B2810" s="58" t="s">
        <v>7563</v>
      </c>
      <c r="C2810" s="58" t="s">
        <v>1816</v>
      </c>
      <c r="D2810" s="58" t="s">
        <v>7564</v>
      </c>
      <c r="E2810" s="60" t="b">
        <v>1</v>
      </c>
      <c r="F2810" s="80" t="s">
        <v>942</v>
      </c>
      <c r="G2810" s="58" t="s">
        <v>7563</v>
      </c>
      <c r="H2810" s="58" t="s">
        <v>1816</v>
      </c>
      <c r="I2810" s="64" t="s">
        <v>7564</v>
      </c>
      <c r="J2810" s="66"/>
      <c r="K2810" s="66"/>
      <c r="L2810" s="68"/>
      <c r="M2810" s="63" t="str">
        <f>HYPERLINK("http://nsgreg.nga.mil/genc/view?v=865005&amp;end_month=12&amp;end_day=31&amp;end_year=2016","Correlation")</f>
        <v>Correlation</v>
      </c>
    </row>
    <row r="2811" spans="1:13" x14ac:dyDescent="0.2">
      <c r="A2811" s="113"/>
      <c r="B2811" s="58" t="s">
        <v>7565</v>
      </c>
      <c r="C2811" s="58" t="s">
        <v>1816</v>
      </c>
      <c r="D2811" s="58" t="s">
        <v>7566</v>
      </c>
      <c r="E2811" s="60" t="b">
        <v>1</v>
      </c>
      <c r="F2811" s="80" t="s">
        <v>942</v>
      </c>
      <c r="G2811" s="58" t="s">
        <v>7565</v>
      </c>
      <c r="H2811" s="58" t="s">
        <v>1816</v>
      </c>
      <c r="I2811" s="64" t="s">
        <v>7566</v>
      </c>
      <c r="J2811" s="66"/>
      <c r="K2811" s="66"/>
      <c r="L2811" s="68"/>
      <c r="M2811" s="63" t="str">
        <f>HYPERLINK("http://nsgreg.nga.mil/genc/view?v=865006&amp;end_month=12&amp;end_day=31&amp;end_year=2016","Correlation")</f>
        <v>Correlation</v>
      </c>
    </row>
    <row r="2812" spans="1:13" x14ac:dyDescent="0.2">
      <c r="A2812" s="113"/>
      <c r="B2812" s="58" t="s">
        <v>7567</v>
      </c>
      <c r="C2812" s="58" t="s">
        <v>1816</v>
      </c>
      <c r="D2812" s="58" t="s">
        <v>7568</v>
      </c>
      <c r="E2812" s="60" t="b">
        <v>1</v>
      </c>
      <c r="F2812" s="80" t="s">
        <v>942</v>
      </c>
      <c r="G2812" s="58" t="s">
        <v>7567</v>
      </c>
      <c r="H2812" s="58" t="s">
        <v>1816</v>
      </c>
      <c r="I2812" s="64" t="s">
        <v>7568</v>
      </c>
      <c r="J2812" s="66"/>
      <c r="K2812" s="66"/>
      <c r="L2812" s="68"/>
      <c r="M2812" s="63" t="str">
        <f>HYPERLINK("http://nsgreg.nga.mil/genc/view?v=865007&amp;end_month=12&amp;end_day=31&amp;end_year=2016","Correlation")</f>
        <v>Correlation</v>
      </c>
    </row>
    <row r="2813" spans="1:13" x14ac:dyDescent="0.2">
      <c r="A2813" s="113"/>
      <c r="B2813" s="58" t="s">
        <v>7569</v>
      </c>
      <c r="C2813" s="58" t="s">
        <v>1816</v>
      </c>
      <c r="D2813" s="58" t="s">
        <v>7570</v>
      </c>
      <c r="E2813" s="60" t="b">
        <v>1</v>
      </c>
      <c r="F2813" s="80" t="s">
        <v>942</v>
      </c>
      <c r="G2813" s="58" t="s">
        <v>7569</v>
      </c>
      <c r="H2813" s="58" t="s">
        <v>1816</v>
      </c>
      <c r="I2813" s="64" t="s">
        <v>7570</v>
      </c>
      <c r="J2813" s="66"/>
      <c r="K2813" s="66"/>
      <c r="L2813" s="68"/>
      <c r="M2813" s="63" t="str">
        <f>HYPERLINK("http://nsgreg.nga.mil/genc/view?v=865018&amp;end_month=12&amp;end_day=31&amp;end_year=2016","Correlation")</f>
        <v>Correlation</v>
      </c>
    </row>
    <row r="2814" spans="1:13" x14ac:dyDescent="0.2">
      <c r="A2814" s="113"/>
      <c r="B2814" s="58" t="s">
        <v>7571</v>
      </c>
      <c r="C2814" s="58" t="s">
        <v>1816</v>
      </c>
      <c r="D2814" s="58" t="s">
        <v>7572</v>
      </c>
      <c r="E2814" s="60" t="b">
        <v>1</v>
      </c>
      <c r="F2814" s="80" t="s">
        <v>942</v>
      </c>
      <c r="G2814" s="58" t="s">
        <v>7571</v>
      </c>
      <c r="H2814" s="58" t="s">
        <v>1816</v>
      </c>
      <c r="I2814" s="64" t="s">
        <v>7572</v>
      </c>
      <c r="J2814" s="66"/>
      <c r="K2814" s="66"/>
      <c r="L2814" s="68"/>
      <c r="M2814" s="63" t="str">
        <f>HYPERLINK("http://nsgreg.nga.mil/genc/view?v=865008&amp;end_month=12&amp;end_day=31&amp;end_year=2016","Correlation")</f>
        <v>Correlation</v>
      </c>
    </row>
    <row r="2815" spans="1:13" x14ac:dyDescent="0.2">
      <c r="A2815" s="113"/>
      <c r="B2815" s="58" t="s">
        <v>7573</v>
      </c>
      <c r="C2815" s="58" t="s">
        <v>1816</v>
      </c>
      <c r="D2815" s="58" t="s">
        <v>7574</v>
      </c>
      <c r="E2815" s="60" t="b">
        <v>1</v>
      </c>
      <c r="F2815" s="80" t="s">
        <v>942</v>
      </c>
      <c r="G2815" s="58" t="s">
        <v>7573</v>
      </c>
      <c r="H2815" s="58" t="s">
        <v>1816</v>
      </c>
      <c r="I2815" s="64" t="s">
        <v>7574</v>
      </c>
      <c r="J2815" s="66"/>
      <c r="K2815" s="66"/>
      <c r="L2815" s="68"/>
      <c r="M2815" s="63" t="str">
        <f>HYPERLINK("http://nsgreg.nga.mil/genc/view?v=865009&amp;end_month=12&amp;end_day=31&amp;end_year=2016","Correlation")</f>
        <v>Correlation</v>
      </c>
    </row>
    <row r="2816" spans="1:13" x14ac:dyDescent="0.2">
      <c r="A2816" s="113"/>
      <c r="B2816" s="58" t="s">
        <v>7575</v>
      </c>
      <c r="C2816" s="58" t="s">
        <v>1816</v>
      </c>
      <c r="D2816" s="58" t="s">
        <v>7576</v>
      </c>
      <c r="E2816" s="60" t="b">
        <v>1</v>
      </c>
      <c r="F2816" s="80" t="s">
        <v>942</v>
      </c>
      <c r="G2816" s="58" t="s">
        <v>7575</v>
      </c>
      <c r="H2816" s="58" t="s">
        <v>1816</v>
      </c>
      <c r="I2816" s="64" t="s">
        <v>7576</v>
      </c>
      <c r="J2816" s="66"/>
      <c r="K2816" s="66"/>
      <c r="L2816" s="68"/>
      <c r="M2816" s="63" t="str">
        <f>HYPERLINK("http://nsgreg.nga.mil/genc/view?v=865010&amp;end_month=12&amp;end_day=31&amp;end_year=2016","Correlation")</f>
        <v>Correlation</v>
      </c>
    </row>
    <row r="2817" spans="1:13" x14ac:dyDescent="0.2">
      <c r="A2817" s="113"/>
      <c r="B2817" s="58" t="s">
        <v>7577</v>
      </c>
      <c r="C2817" s="58" t="s">
        <v>1816</v>
      </c>
      <c r="D2817" s="58" t="s">
        <v>7578</v>
      </c>
      <c r="E2817" s="60" t="b">
        <v>1</v>
      </c>
      <c r="F2817" s="80" t="s">
        <v>942</v>
      </c>
      <c r="G2817" s="58" t="s">
        <v>7577</v>
      </c>
      <c r="H2817" s="58" t="s">
        <v>1816</v>
      </c>
      <c r="I2817" s="64" t="s">
        <v>7578</v>
      </c>
      <c r="J2817" s="66"/>
      <c r="K2817" s="66"/>
      <c r="L2817" s="68"/>
      <c r="M2817" s="63" t="str">
        <f>HYPERLINK("http://nsgreg.nga.mil/genc/view?v=865011&amp;end_month=12&amp;end_day=31&amp;end_year=2016","Correlation")</f>
        <v>Correlation</v>
      </c>
    </row>
    <row r="2818" spans="1:13" x14ac:dyDescent="0.2">
      <c r="A2818" s="113"/>
      <c r="B2818" s="58" t="s">
        <v>7579</v>
      </c>
      <c r="C2818" s="58" t="s">
        <v>1816</v>
      </c>
      <c r="D2818" s="58" t="s">
        <v>7580</v>
      </c>
      <c r="E2818" s="60" t="b">
        <v>1</v>
      </c>
      <c r="F2818" s="80" t="s">
        <v>942</v>
      </c>
      <c r="G2818" s="58" t="s">
        <v>7579</v>
      </c>
      <c r="H2818" s="58" t="s">
        <v>1816</v>
      </c>
      <c r="I2818" s="64" t="s">
        <v>7580</v>
      </c>
      <c r="J2818" s="66"/>
      <c r="K2818" s="66"/>
      <c r="L2818" s="68"/>
      <c r="M2818" s="63" t="str">
        <f>HYPERLINK("http://nsgreg.nga.mil/genc/view?v=865012&amp;end_month=12&amp;end_day=31&amp;end_year=2016","Correlation")</f>
        <v>Correlation</v>
      </c>
    </row>
    <row r="2819" spans="1:13" x14ac:dyDescent="0.2">
      <c r="A2819" s="113"/>
      <c r="B2819" s="58" t="s">
        <v>7581</v>
      </c>
      <c r="C2819" s="58" t="s">
        <v>1816</v>
      </c>
      <c r="D2819" s="58" t="s">
        <v>7582</v>
      </c>
      <c r="E2819" s="60" t="b">
        <v>1</v>
      </c>
      <c r="F2819" s="80" t="s">
        <v>942</v>
      </c>
      <c r="G2819" s="58" t="s">
        <v>7581</v>
      </c>
      <c r="H2819" s="58" t="s">
        <v>1816</v>
      </c>
      <c r="I2819" s="64" t="s">
        <v>7582</v>
      </c>
      <c r="J2819" s="66"/>
      <c r="K2819" s="66"/>
      <c r="L2819" s="68"/>
      <c r="M2819" s="63" t="str">
        <f>HYPERLINK("http://nsgreg.nga.mil/genc/view?v=865013&amp;end_month=12&amp;end_day=31&amp;end_year=2016","Correlation")</f>
        <v>Correlation</v>
      </c>
    </row>
    <row r="2820" spans="1:13" x14ac:dyDescent="0.2">
      <c r="A2820" s="113"/>
      <c r="B2820" s="58" t="s">
        <v>7583</v>
      </c>
      <c r="C2820" s="58" t="s">
        <v>1816</v>
      </c>
      <c r="D2820" s="58" t="s">
        <v>7584</v>
      </c>
      <c r="E2820" s="60" t="b">
        <v>1</v>
      </c>
      <c r="F2820" s="80" t="s">
        <v>942</v>
      </c>
      <c r="G2820" s="58" t="s">
        <v>7583</v>
      </c>
      <c r="H2820" s="58" t="s">
        <v>1816</v>
      </c>
      <c r="I2820" s="64" t="s">
        <v>7584</v>
      </c>
      <c r="J2820" s="66"/>
      <c r="K2820" s="66"/>
      <c r="L2820" s="68"/>
      <c r="M2820" s="63" t="str">
        <f>HYPERLINK("http://nsgreg.nga.mil/genc/view?v=865014&amp;end_month=12&amp;end_day=31&amp;end_year=2016","Correlation")</f>
        <v>Correlation</v>
      </c>
    </row>
    <row r="2821" spans="1:13" x14ac:dyDescent="0.2">
      <c r="A2821" s="113"/>
      <c r="B2821" s="58" t="s">
        <v>7585</v>
      </c>
      <c r="C2821" s="58" t="s">
        <v>1816</v>
      </c>
      <c r="D2821" s="58" t="s">
        <v>7586</v>
      </c>
      <c r="E2821" s="60" t="b">
        <v>1</v>
      </c>
      <c r="F2821" s="80" t="s">
        <v>942</v>
      </c>
      <c r="G2821" s="58" t="s">
        <v>7585</v>
      </c>
      <c r="H2821" s="58" t="s">
        <v>1816</v>
      </c>
      <c r="I2821" s="64" t="s">
        <v>7586</v>
      </c>
      <c r="J2821" s="66"/>
      <c r="K2821" s="66"/>
      <c r="L2821" s="68"/>
      <c r="M2821" s="63" t="str">
        <f>HYPERLINK("http://nsgreg.nga.mil/genc/view?v=865015&amp;end_month=12&amp;end_day=31&amp;end_year=2016","Correlation")</f>
        <v>Correlation</v>
      </c>
    </row>
    <row r="2822" spans="1:13" x14ac:dyDescent="0.2">
      <c r="A2822" s="114"/>
      <c r="B2822" s="71" t="s">
        <v>7587</v>
      </c>
      <c r="C2822" s="71" t="s">
        <v>1816</v>
      </c>
      <c r="D2822" s="71" t="s">
        <v>7588</v>
      </c>
      <c r="E2822" s="73" t="b">
        <v>1</v>
      </c>
      <c r="F2822" s="81" t="s">
        <v>942</v>
      </c>
      <c r="G2822" s="71" t="s">
        <v>7587</v>
      </c>
      <c r="H2822" s="71" t="s">
        <v>1816</v>
      </c>
      <c r="I2822" s="74" t="s">
        <v>7588</v>
      </c>
      <c r="J2822" s="76"/>
      <c r="K2822" s="76"/>
      <c r="L2822" s="82"/>
      <c r="M2822" s="77" t="str">
        <f>HYPERLINK("http://nsgreg.nga.mil/genc/view?v=865016&amp;end_month=12&amp;end_day=31&amp;end_year=2016","Correlation")</f>
        <v>Correlation</v>
      </c>
    </row>
    <row r="2823" spans="1:13" x14ac:dyDescent="0.2">
      <c r="A2823" s="112" t="s">
        <v>946</v>
      </c>
      <c r="B2823" s="50" t="s">
        <v>7589</v>
      </c>
      <c r="C2823" s="50" t="s">
        <v>1607</v>
      </c>
      <c r="D2823" s="50" t="s">
        <v>7590</v>
      </c>
      <c r="E2823" s="52" t="b">
        <v>1</v>
      </c>
      <c r="F2823" s="83" t="s">
        <v>167</v>
      </c>
      <c r="G2823" s="83"/>
      <c r="H2823" s="83"/>
      <c r="I2823" s="83"/>
      <c r="J2823" s="83"/>
      <c r="K2823" s="83"/>
      <c r="L2823" s="84"/>
      <c r="M2823" s="56" t="str">
        <f>HYPERLINK("http://nsgreg.nga.mil/genc/view?v=865183&amp;end_month=12&amp;end_day=31&amp;end_year=2016","Correlation")</f>
        <v>Correlation</v>
      </c>
    </row>
    <row r="2824" spans="1:13" x14ac:dyDescent="0.2">
      <c r="A2824" s="113"/>
      <c r="B2824" s="58" t="s">
        <v>7591</v>
      </c>
      <c r="C2824" s="58" t="s">
        <v>1607</v>
      </c>
      <c r="D2824" s="58" t="s">
        <v>7592</v>
      </c>
      <c r="E2824" s="60" t="b">
        <v>1</v>
      </c>
      <c r="F2824" s="61" t="s">
        <v>167</v>
      </c>
      <c r="G2824" s="61"/>
      <c r="H2824" s="61"/>
      <c r="I2824" s="61"/>
      <c r="J2824" s="61"/>
      <c r="K2824" s="61"/>
      <c r="L2824" s="62"/>
      <c r="M2824" s="63" t="str">
        <f>HYPERLINK("http://nsgreg.nga.mil/genc/view?v=865184&amp;end_month=12&amp;end_day=31&amp;end_year=2016","Correlation")</f>
        <v>Correlation</v>
      </c>
    </row>
    <row r="2825" spans="1:13" x14ac:dyDescent="0.2">
      <c r="A2825" s="114"/>
      <c r="B2825" s="71" t="s">
        <v>1671</v>
      </c>
      <c r="C2825" s="71" t="s">
        <v>1607</v>
      </c>
      <c r="D2825" s="71" t="s">
        <v>7593</v>
      </c>
      <c r="E2825" s="73" t="b">
        <v>1</v>
      </c>
      <c r="F2825" s="85" t="s">
        <v>167</v>
      </c>
      <c r="G2825" s="85"/>
      <c r="H2825" s="85"/>
      <c r="I2825" s="85"/>
      <c r="J2825" s="85"/>
      <c r="K2825" s="85"/>
      <c r="L2825" s="86"/>
      <c r="M2825" s="77" t="str">
        <f>HYPERLINK("http://nsgreg.nga.mil/genc/view?v=865185&amp;end_month=12&amp;end_day=31&amp;end_year=2016","Correlation")</f>
        <v>Correlation</v>
      </c>
    </row>
    <row r="2826" spans="1:13" x14ac:dyDescent="0.2">
      <c r="A2826" s="112" t="s">
        <v>950</v>
      </c>
      <c r="B2826" s="50" t="s">
        <v>7594</v>
      </c>
      <c r="C2826" s="50" t="s">
        <v>1728</v>
      </c>
      <c r="D2826" s="50" t="s">
        <v>7595</v>
      </c>
      <c r="E2826" s="52" t="b">
        <v>1</v>
      </c>
      <c r="F2826" s="83" t="s">
        <v>167</v>
      </c>
      <c r="G2826" s="83"/>
      <c r="H2826" s="83"/>
      <c r="I2826" s="83"/>
      <c r="J2826" s="83"/>
      <c r="K2826" s="83"/>
      <c r="L2826" s="84"/>
      <c r="M2826" s="56" t="str">
        <f>HYPERLINK("http://nsgreg.nga.mil/genc/view?v=864931&amp;end_month=12&amp;end_day=31&amp;end_year=2016","Correlation")</f>
        <v>Correlation</v>
      </c>
    </row>
    <row r="2827" spans="1:13" x14ac:dyDescent="0.2">
      <c r="A2827" s="113"/>
      <c r="B2827" s="58" t="s">
        <v>7596</v>
      </c>
      <c r="C2827" s="58" t="s">
        <v>1728</v>
      </c>
      <c r="D2827" s="58" t="s">
        <v>7597</v>
      </c>
      <c r="E2827" s="60" t="b">
        <v>1</v>
      </c>
      <c r="F2827" s="61" t="s">
        <v>167</v>
      </c>
      <c r="G2827" s="61"/>
      <c r="H2827" s="61"/>
      <c r="I2827" s="61"/>
      <c r="J2827" s="61"/>
      <c r="K2827" s="61"/>
      <c r="L2827" s="62"/>
      <c r="M2827" s="63" t="str">
        <f>HYPERLINK("http://nsgreg.nga.mil/genc/view?v=864932&amp;end_month=12&amp;end_day=31&amp;end_year=2016","Correlation")</f>
        <v>Correlation</v>
      </c>
    </row>
    <row r="2828" spans="1:13" x14ac:dyDescent="0.2">
      <c r="A2828" s="113"/>
      <c r="B2828" s="58" t="s">
        <v>7598</v>
      </c>
      <c r="C2828" s="58" t="s">
        <v>1728</v>
      </c>
      <c r="D2828" s="58" t="s">
        <v>7599</v>
      </c>
      <c r="E2828" s="60" t="b">
        <v>1</v>
      </c>
      <c r="F2828" s="61" t="s">
        <v>167</v>
      </c>
      <c r="G2828" s="61"/>
      <c r="H2828" s="61"/>
      <c r="I2828" s="61"/>
      <c r="J2828" s="61"/>
      <c r="K2828" s="61"/>
      <c r="L2828" s="62"/>
      <c r="M2828" s="63" t="str">
        <f>HYPERLINK("http://nsgreg.nga.mil/genc/view?v=864933&amp;end_month=12&amp;end_day=31&amp;end_year=2016","Correlation")</f>
        <v>Correlation</v>
      </c>
    </row>
    <row r="2829" spans="1:13" x14ac:dyDescent="0.2">
      <c r="A2829" s="113"/>
      <c r="B2829" s="58" t="s">
        <v>7600</v>
      </c>
      <c r="C2829" s="58" t="s">
        <v>1728</v>
      </c>
      <c r="D2829" s="58" t="s">
        <v>7601</v>
      </c>
      <c r="E2829" s="60" t="b">
        <v>1</v>
      </c>
      <c r="F2829" s="61" t="s">
        <v>167</v>
      </c>
      <c r="G2829" s="61"/>
      <c r="H2829" s="61"/>
      <c r="I2829" s="61"/>
      <c r="J2829" s="61"/>
      <c r="K2829" s="61"/>
      <c r="L2829" s="62"/>
      <c r="M2829" s="63" t="str">
        <f>HYPERLINK("http://nsgreg.nga.mil/genc/view?v=864934&amp;end_month=12&amp;end_day=31&amp;end_year=2016","Correlation")</f>
        <v>Correlation</v>
      </c>
    </row>
    <row r="2830" spans="1:13" x14ac:dyDescent="0.2">
      <c r="A2830" s="113"/>
      <c r="B2830" s="58" t="s">
        <v>7602</v>
      </c>
      <c r="C2830" s="58" t="s">
        <v>1728</v>
      </c>
      <c r="D2830" s="58" t="s">
        <v>7603</v>
      </c>
      <c r="E2830" s="60" t="b">
        <v>1</v>
      </c>
      <c r="F2830" s="61" t="s">
        <v>167</v>
      </c>
      <c r="G2830" s="61"/>
      <c r="H2830" s="61"/>
      <c r="I2830" s="61"/>
      <c r="J2830" s="61"/>
      <c r="K2830" s="61"/>
      <c r="L2830" s="62"/>
      <c r="M2830" s="63" t="str">
        <f>HYPERLINK("http://nsgreg.nga.mil/genc/view?v=864935&amp;end_month=12&amp;end_day=31&amp;end_year=2016","Correlation")</f>
        <v>Correlation</v>
      </c>
    </row>
    <row r="2831" spans="1:13" x14ac:dyDescent="0.2">
      <c r="A2831" s="113"/>
      <c r="B2831" s="58" t="s">
        <v>7604</v>
      </c>
      <c r="C2831" s="58" t="s">
        <v>1728</v>
      </c>
      <c r="D2831" s="58" t="s">
        <v>7605</v>
      </c>
      <c r="E2831" s="60" t="b">
        <v>1</v>
      </c>
      <c r="F2831" s="61" t="s">
        <v>167</v>
      </c>
      <c r="G2831" s="61"/>
      <c r="H2831" s="61"/>
      <c r="I2831" s="61"/>
      <c r="J2831" s="61"/>
      <c r="K2831" s="61"/>
      <c r="L2831" s="62"/>
      <c r="M2831" s="63" t="str">
        <f>HYPERLINK("http://nsgreg.nga.mil/genc/view?v=864936&amp;end_month=12&amp;end_day=31&amp;end_year=2016","Correlation")</f>
        <v>Correlation</v>
      </c>
    </row>
    <row r="2832" spans="1:13" x14ac:dyDescent="0.2">
      <c r="A2832" s="113"/>
      <c r="B2832" s="58" t="s">
        <v>7606</v>
      </c>
      <c r="C2832" s="58" t="s">
        <v>1728</v>
      </c>
      <c r="D2832" s="58" t="s">
        <v>7607</v>
      </c>
      <c r="E2832" s="60" t="b">
        <v>1</v>
      </c>
      <c r="F2832" s="61" t="s">
        <v>167</v>
      </c>
      <c r="G2832" s="61"/>
      <c r="H2832" s="61"/>
      <c r="I2832" s="61"/>
      <c r="J2832" s="61"/>
      <c r="K2832" s="61"/>
      <c r="L2832" s="62"/>
      <c r="M2832" s="63" t="str">
        <f>HYPERLINK("http://nsgreg.nga.mil/genc/view?v=864938&amp;end_month=12&amp;end_day=31&amp;end_year=2016","Correlation")</f>
        <v>Correlation</v>
      </c>
    </row>
    <row r="2833" spans="1:13" x14ac:dyDescent="0.2">
      <c r="A2833" s="113"/>
      <c r="B2833" s="58" t="s">
        <v>7608</v>
      </c>
      <c r="C2833" s="58" t="s">
        <v>1728</v>
      </c>
      <c r="D2833" s="58" t="s">
        <v>7609</v>
      </c>
      <c r="E2833" s="60" t="b">
        <v>1</v>
      </c>
      <c r="F2833" s="61" t="s">
        <v>167</v>
      </c>
      <c r="G2833" s="61"/>
      <c r="H2833" s="61"/>
      <c r="I2833" s="61"/>
      <c r="J2833" s="61"/>
      <c r="K2833" s="61"/>
      <c r="L2833" s="62"/>
      <c r="M2833" s="63" t="str">
        <f>HYPERLINK("http://nsgreg.nga.mil/genc/view?v=864937&amp;end_month=12&amp;end_day=31&amp;end_year=2016","Correlation")</f>
        <v>Correlation</v>
      </c>
    </row>
    <row r="2834" spans="1:13" x14ac:dyDescent="0.2">
      <c r="A2834" s="113"/>
      <c r="B2834" s="58" t="s">
        <v>7610</v>
      </c>
      <c r="C2834" s="58" t="s">
        <v>1728</v>
      </c>
      <c r="D2834" s="58" t="s">
        <v>7611</v>
      </c>
      <c r="E2834" s="60" t="b">
        <v>1</v>
      </c>
      <c r="F2834" s="61" t="s">
        <v>167</v>
      </c>
      <c r="G2834" s="61"/>
      <c r="H2834" s="61"/>
      <c r="I2834" s="61"/>
      <c r="J2834" s="61"/>
      <c r="K2834" s="61"/>
      <c r="L2834" s="62"/>
      <c r="M2834" s="63" t="str">
        <f>HYPERLINK("http://nsgreg.nga.mil/genc/view?v=864939&amp;end_month=12&amp;end_day=31&amp;end_year=2016","Correlation")</f>
        <v>Correlation</v>
      </c>
    </row>
    <row r="2835" spans="1:13" x14ac:dyDescent="0.2">
      <c r="A2835" s="113"/>
      <c r="B2835" s="58" t="s">
        <v>7612</v>
      </c>
      <c r="C2835" s="58" t="s">
        <v>1728</v>
      </c>
      <c r="D2835" s="58" t="s">
        <v>7613</v>
      </c>
      <c r="E2835" s="60" t="b">
        <v>1</v>
      </c>
      <c r="F2835" s="61" t="s">
        <v>167</v>
      </c>
      <c r="G2835" s="61"/>
      <c r="H2835" s="61"/>
      <c r="I2835" s="61"/>
      <c r="J2835" s="61"/>
      <c r="K2835" s="61"/>
      <c r="L2835" s="62"/>
      <c r="M2835" s="63" t="str">
        <f>HYPERLINK("http://nsgreg.nga.mil/genc/view?v=864940&amp;end_month=12&amp;end_day=31&amp;end_year=2016","Correlation")</f>
        <v>Correlation</v>
      </c>
    </row>
    <row r="2836" spans="1:13" x14ac:dyDescent="0.2">
      <c r="A2836" s="114"/>
      <c r="B2836" s="71" t="s">
        <v>7614</v>
      </c>
      <c r="C2836" s="71" t="s">
        <v>1728</v>
      </c>
      <c r="D2836" s="71" t="s">
        <v>7615</v>
      </c>
      <c r="E2836" s="73" t="b">
        <v>1</v>
      </c>
      <c r="F2836" s="85" t="s">
        <v>167</v>
      </c>
      <c r="G2836" s="85"/>
      <c r="H2836" s="85"/>
      <c r="I2836" s="85"/>
      <c r="J2836" s="85"/>
      <c r="K2836" s="85"/>
      <c r="L2836" s="86"/>
      <c r="M2836" s="77" t="str">
        <f>HYPERLINK("http://nsgreg.nga.mil/genc/view?v=864941&amp;end_month=12&amp;end_day=31&amp;end_year=2016","Correlation")</f>
        <v>Correlation</v>
      </c>
    </row>
    <row r="2837" spans="1:13" x14ac:dyDescent="0.2">
      <c r="A2837" s="112" t="s">
        <v>954</v>
      </c>
      <c r="B2837" s="50" t="s">
        <v>7616</v>
      </c>
      <c r="C2837" s="50" t="s">
        <v>1413</v>
      </c>
      <c r="D2837" s="50" t="s">
        <v>7617</v>
      </c>
      <c r="E2837" s="52" t="b">
        <v>1</v>
      </c>
      <c r="F2837" s="78" t="s">
        <v>954</v>
      </c>
      <c r="G2837" s="50" t="s">
        <v>7616</v>
      </c>
      <c r="H2837" s="50" t="s">
        <v>1413</v>
      </c>
      <c r="I2837" s="53" t="s">
        <v>7617</v>
      </c>
      <c r="J2837" s="55"/>
      <c r="K2837" s="55"/>
      <c r="L2837" s="79"/>
      <c r="M2837" s="56" t="str">
        <f>HYPERLINK("http://nsgreg.nga.mil/genc/view?v=865385&amp;end_month=12&amp;end_day=31&amp;end_year=2016","Correlation")</f>
        <v>Correlation</v>
      </c>
    </row>
    <row r="2838" spans="1:13" x14ac:dyDescent="0.2">
      <c r="A2838" s="113"/>
      <c r="B2838" s="58" t="s">
        <v>7618</v>
      </c>
      <c r="C2838" s="58" t="s">
        <v>1413</v>
      </c>
      <c r="D2838" s="58" t="s">
        <v>7619</v>
      </c>
      <c r="E2838" s="60" t="b">
        <v>1</v>
      </c>
      <c r="F2838" s="80" t="s">
        <v>954</v>
      </c>
      <c r="G2838" s="58" t="s">
        <v>7618</v>
      </c>
      <c r="H2838" s="58" t="s">
        <v>1413</v>
      </c>
      <c r="I2838" s="64" t="s">
        <v>7619</v>
      </c>
      <c r="J2838" s="66"/>
      <c r="K2838" s="66"/>
      <c r="L2838" s="68"/>
      <c r="M2838" s="63" t="str">
        <f>HYPERLINK("http://nsgreg.nga.mil/genc/view?v=865380&amp;end_month=12&amp;end_day=31&amp;end_year=2016","Correlation")</f>
        <v>Correlation</v>
      </c>
    </row>
    <row r="2839" spans="1:13" x14ac:dyDescent="0.2">
      <c r="A2839" s="113"/>
      <c r="B2839" s="58" t="s">
        <v>7620</v>
      </c>
      <c r="C2839" s="58" t="s">
        <v>1413</v>
      </c>
      <c r="D2839" s="58" t="s">
        <v>7621</v>
      </c>
      <c r="E2839" s="60" t="b">
        <v>1</v>
      </c>
      <c r="F2839" s="80" t="s">
        <v>954</v>
      </c>
      <c r="G2839" s="58" t="s">
        <v>7620</v>
      </c>
      <c r="H2839" s="58" t="s">
        <v>1413</v>
      </c>
      <c r="I2839" s="64" t="s">
        <v>7621</v>
      </c>
      <c r="J2839" s="66"/>
      <c r="K2839" s="66"/>
      <c r="L2839" s="68"/>
      <c r="M2839" s="63" t="str">
        <f>HYPERLINK("http://nsgreg.nga.mil/genc/view?v=865381&amp;end_month=12&amp;end_day=31&amp;end_year=2016","Correlation")</f>
        <v>Correlation</v>
      </c>
    </row>
    <row r="2840" spans="1:13" x14ac:dyDescent="0.2">
      <c r="A2840" s="113"/>
      <c r="B2840" s="58" t="s">
        <v>7622</v>
      </c>
      <c r="C2840" s="58" t="s">
        <v>1413</v>
      </c>
      <c r="D2840" s="58" t="s">
        <v>7623</v>
      </c>
      <c r="E2840" s="60" t="b">
        <v>1</v>
      </c>
      <c r="F2840" s="80" t="s">
        <v>954</v>
      </c>
      <c r="G2840" s="58" t="s">
        <v>7622</v>
      </c>
      <c r="H2840" s="58" t="s">
        <v>1413</v>
      </c>
      <c r="I2840" s="64" t="s">
        <v>7623</v>
      </c>
      <c r="J2840" s="66"/>
      <c r="K2840" s="66"/>
      <c r="L2840" s="68"/>
      <c r="M2840" s="63" t="str">
        <f>HYPERLINK("http://nsgreg.nga.mil/genc/view?v=865379&amp;end_month=12&amp;end_day=31&amp;end_year=2016","Correlation")</f>
        <v>Correlation</v>
      </c>
    </row>
    <row r="2841" spans="1:13" x14ac:dyDescent="0.2">
      <c r="A2841" s="113"/>
      <c r="B2841" s="58" t="s">
        <v>7624</v>
      </c>
      <c r="C2841" s="58" t="s">
        <v>1681</v>
      </c>
      <c r="D2841" s="58" t="s">
        <v>7625</v>
      </c>
      <c r="E2841" s="60" t="b">
        <v>1</v>
      </c>
      <c r="F2841" s="80" t="s">
        <v>954</v>
      </c>
      <c r="G2841" s="58" t="s">
        <v>7624</v>
      </c>
      <c r="H2841" s="58" t="s">
        <v>1681</v>
      </c>
      <c r="I2841" s="64" t="s">
        <v>7625</v>
      </c>
      <c r="J2841" s="66"/>
      <c r="K2841" s="66"/>
      <c r="L2841" s="68"/>
      <c r="M2841" s="63" t="str">
        <f>HYPERLINK("http://nsgreg.nga.mil/genc/view?v=865383&amp;end_month=12&amp;end_day=31&amp;end_year=2016","Correlation")</f>
        <v>Correlation</v>
      </c>
    </row>
    <row r="2842" spans="1:13" x14ac:dyDescent="0.2">
      <c r="A2842" s="113"/>
      <c r="B2842" s="58" t="s">
        <v>7624</v>
      </c>
      <c r="C2842" s="58" t="s">
        <v>1413</v>
      </c>
      <c r="D2842" s="58" t="s">
        <v>7626</v>
      </c>
      <c r="E2842" s="60" t="b">
        <v>1</v>
      </c>
      <c r="F2842" s="80" t="s">
        <v>954</v>
      </c>
      <c r="G2842" s="58" t="s">
        <v>7624</v>
      </c>
      <c r="H2842" s="58" t="s">
        <v>1413</v>
      </c>
      <c r="I2842" s="64" t="s">
        <v>7626</v>
      </c>
      <c r="J2842" s="66"/>
      <c r="K2842" s="66"/>
      <c r="L2842" s="68"/>
      <c r="M2842" s="63" t="str">
        <f>HYPERLINK("http://nsgreg.nga.mil/genc/view?v=865382&amp;end_month=12&amp;end_day=31&amp;end_year=2016","Correlation")</f>
        <v>Correlation</v>
      </c>
    </row>
    <row r="2843" spans="1:13" x14ac:dyDescent="0.2">
      <c r="A2843" s="113"/>
      <c r="B2843" s="58" t="s">
        <v>7627</v>
      </c>
      <c r="C2843" s="58" t="s">
        <v>1413</v>
      </c>
      <c r="D2843" s="58" t="s">
        <v>7628</v>
      </c>
      <c r="E2843" s="60" t="b">
        <v>1</v>
      </c>
      <c r="F2843" s="80" t="s">
        <v>954</v>
      </c>
      <c r="G2843" s="58" t="s">
        <v>7627</v>
      </c>
      <c r="H2843" s="58" t="s">
        <v>1413</v>
      </c>
      <c r="I2843" s="64" t="s">
        <v>7628</v>
      </c>
      <c r="J2843" s="66"/>
      <c r="K2843" s="66"/>
      <c r="L2843" s="68"/>
      <c r="M2843" s="63" t="str">
        <f>HYPERLINK("http://nsgreg.nga.mil/genc/view?v=865384&amp;end_month=12&amp;end_day=31&amp;end_year=2016","Correlation")</f>
        <v>Correlation</v>
      </c>
    </row>
    <row r="2844" spans="1:13" x14ac:dyDescent="0.2">
      <c r="A2844" s="113"/>
      <c r="B2844" s="58" t="s">
        <v>7629</v>
      </c>
      <c r="C2844" s="58" t="s">
        <v>1413</v>
      </c>
      <c r="D2844" s="58" t="s">
        <v>7630</v>
      </c>
      <c r="E2844" s="60" t="b">
        <v>1</v>
      </c>
      <c r="F2844" s="80" t="s">
        <v>954</v>
      </c>
      <c r="G2844" s="58" t="s">
        <v>7629</v>
      </c>
      <c r="H2844" s="58" t="s">
        <v>1413</v>
      </c>
      <c r="I2844" s="64" t="s">
        <v>7630</v>
      </c>
      <c r="J2844" s="66"/>
      <c r="K2844" s="66"/>
      <c r="L2844" s="68"/>
      <c r="M2844" s="63" t="str">
        <f>HYPERLINK("http://nsgreg.nga.mil/genc/view?v=865378&amp;end_month=12&amp;end_day=31&amp;end_year=2016","Correlation")</f>
        <v>Correlation</v>
      </c>
    </row>
    <row r="2845" spans="1:13" x14ac:dyDescent="0.2">
      <c r="A2845" s="113"/>
      <c r="B2845" s="58" t="s">
        <v>7631</v>
      </c>
      <c r="C2845" s="58" t="s">
        <v>1413</v>
      </c>
      <c r="D2845" s="58" t="s">
        <v>7632</v>
      </c>
      <c r="E2845" s="60" t="b">
        <v>1</v>
      </c>
      <c r="F2845" s="80" t="s">
        <v>954</v>
      </c>
      <c r="G2845" s="58" t="s">
        <v>7631</v>
      </c>
      <c r="H2845" s="58" t="s">
        <v>1413</v>
      </c>
      <c r="I2845" s="64" t="s">
        <v>7632</v>
      </c>
      <c r="J2845" s="66"/>
      <c r="K2845" s="66"/>
      <c r="L2845" s="68"/>
      <c r="M2845" s="63" t="str">
        <f>HYPERLINK("http://nsgreg.nga.mil/genc/view?v=865387&amp;end_month=12&amp;end_day=31&amp;end_year=2016","Correlation")</f>
        <v>Correlation</v>
      </c>
    </row>
    <row r="2846" spans="1:13" x14ac:dyDescent="0.2">
      <c r="A2846" s="113"/>
      <c r="B2846" s="58" t="s">
        <v>7633</v>
      </c>
      <c r="C2846" s="58" t="s">
        <v>1413</v>
      </c>
      <c r="D2846" s="58" t="s">
        <v>7634</v>
      </c>
      <c r="E2846" s="60" t="b">
        <v>1</v>
      </c>
      <c r="F2846" s="80" t="s">
        <v>954</v>
      </c>
      <c r="G2846" s="58" t="s">
        <v>7633</v>
      </c>
      <c r="H2846" s="58" t="s">
        <v>1413</v>
      </c>
      <c r="I2846" s="64" t="s">
        <v>7634</v>
      </c>
      <c r="J2846" s="66"/>
      <c r="K2846" s="66"/>
      <c r="L2846" s="68"/>
      <c r="M2846" s="63" t="str">
        <f>HYPERLINK("http://nsgreg.nga.mil/genc/view?v=865388&amp;end_month=12&amp;end_day=31&amp;end_year=2016","Correlation")</f>
        <v>Correlation</v>
      </c>
    </row>
    <row r="2847" spans="1:13" x14ac:dyDescent="0.2">
      <c r="A2847" s="114"/>
      <c r="B2847" s="71" t="s">
        <v>7635</v>
      </c>
      <c r="C2847" s="71" t="s">
        <v>1413</v>
      </c>
      <c r="D2847" s="71" t="s">
        <v>7636</v>
      </c>
      <c r="E2847" s="73" t="b">
        <v>1</v>
      </c>
      <c r="F2847" s="81" t="s">
        <v>954</v>
      </c>
      <c r="G2847" s="71" t="s">
        <v>7635</v>
      </c>
      <c r="H2847" s="71" t="s">
        <v>1413</v>
      </c>
      <c r="I2847" s="74" t="s">
        <v>7636</v>
      </c>
      <c r="J2847" s="76"/>
      <c r="K2847" s="76"/>
      <c r="L2847" s="82"/>
      <c r="M2847" s="77" t="str">
        <f>HYPERLINK("http://nsgreg.nga.mil/genc/view?v=865386&amp;end_month=12&amp;end_day=31&amp;end_year=2016","Correlation")</f>
        <v>Correlation</v>
      </c>
    </row>
    <row r="2848" spans="1:13" x14ac:dyDescent="0.2">
      <c r="A2848" s="112" t="s">
        <v>958</v>
      </c>
      <c r="B2848" s="50" t="s">
        <v>7637</v>
      </c>
      <c r="C2848" s="50" t="s">
        <v>1728</v>
      </c>
      <c r="D2848" s="50" t="s">
        <v>7638</v>
      </c>
      <c r="E2848" s="52" t="b">
        <v>1</v>
      </c>
      <c r="F2848" s="78" t="s">
        <v>958</v>
      </c>
      <c r="G2848" s="50" t="s">
        <v>7637</v>
      </c>
      <c r="H2848" s="50" t="s">
        <v>1728</v>
      </c>
      <c r="I2848" s="53" t="s">
        <v>7638</v>
      </c>
      <c r="J2848" s="55"/>
      <c r="K2848" s="55"/>
      <c r="L2848" s="79"/>
      <c r="M2848" s="56" t="str">
        <f>HYPERLINK("http://nsgreg.nga.mil/genc/view?v=865390&amp;end_month=12&amp;end_day=31&amp;end_year=2016","Correlation")</f>
        <v>Correlation</v>
      </c>
    </row>
    <row r="2849" spans="1:13" x14ac:dyDescent="0.2">
      <c r="A2849" s="113"/>
      <c r="B2849" s="58" t="s">
        <v>7639</v>
      </c>
      <c r="C2849" s="58" t="s">
        <v>1728</v>
      </c>
      <c r="D2849" s="58" t="s">
        <v>7640</v>
      </c>
      <c r="E2849" s="60" t="b">
        <v>1</v>
      </c>
      <c r="F2849" s="80" t="s">
        <v>958</v>
      </c>
      <c r="G2849" s="58" t="s">
        <v>7639</v>
      </c>
      <c r="H2849" s="58" t="s">
        <v>1728</v>
      </c>
      <c r="I2849" s="64" t="s">
        <v>7640</v>
      </c>
      <c r="J2849" s="66"/>
      <c r="K2849" s="66"/>
      <c r="L2849" s="68"/>
      <c r="M2849" s="63" t="str">
        <f>HYPERLINK("http://nsgreg.nga.mil/genc/view?v=865391&amp;end_month=12&amp;end_day=31&amp;end_year=2016","Correlation")</f>
        <v>Correlation</v>
      </c>
    </row>
    <row r="2850" spans="1:13" x14ac:dyDescent="0.2">
      <c r="A2850" s="113"/>
      <c r="B2850" s="58" t="s">
        <v>7641</v>
      </c>
      <c r="C2850" s="58" t="s">
        <v>1728</v>
      </c>
      <c r="D2850" s="58" t="s">
        <v>7642</v>
      </c>
      <c r="E2850" s="60" t="b">
        <v>1</v>
      </c>
      <c r="F2850" s="80" t="s">
        <v>958</v>
      </c>
      <c r="G2850" s="58" t="s">
        <v>7643</v>
      </c>
      <c r="H2850" s="58" t="s">
        <v>1728</v>
      </c>
      <c r="I2850" s="64" t="s">
        <v>7642</v>
      </c>
      <c r="J2850" s="66"/>
      <c r="K2850" s="66"/>
      <c r="L2850" s="68"/>
      <c r="M2850" s="63" t="str">
        <f>HYPERLINK("http://nsgreg.nga.mil/genc/view?v=865392&amp;end_month=12&amp;end_day=31&amp;end_year=2016","Correlation")</f>
        <v>Correlation</v>
      </c>
    </row>
    <row r="2851" spans="1:13" x14ac:dyDescent="0.2">
      <c r="A2851" s="113"/>
      <c r="B2851" s="58" t="s">
        <v>7644</v>
      </c>
      <c r="C2851" s="58" t="s">
        <v>1728</v>
      </c>
      <c r="D2851" s="58" t="s">
        <v>7645</v>
      </c>
      <c r="E2851" s="60" t="b">
        <v>1</v>
      </c>
      <c r="F2851" s="80" t="s">
        <v>958</v>
      </c>
      <c r="G2851" s="58" t="s">
        <v>7644</v>
      </c>
      <c r="H2851" s="58" t="s">
        <v>1728</v>
      </c>
      <c r="I2851" s="64" t="s">
        <v>7645</v>
      </c>
      <c r="J2851" s="66"/>
      <c r="K2851" s="66"/>
      <c r="L2851" s="68"/>
      <c r="M2851" s="63" t="str">
        <f>HYPERLINK("http://nsgreg.nga.mil/genc/view?v=865393&amp;end_month=12&amp;end_day=31&amp;end_year=2016","Correlation")</f>
        <v>Correlation</v>
      </c>
    </row>
    <row r="2852" spans="1:13" x14ac:dyDescent="0.2">
      <c r="A2852" s="113"/>
      <c r="B2852" s="58" t="s">
        <v>7646</v>
      </c>
      <c r="C2852" s="58" t="s">
        <v>1728</v>
      </c>
      <c r="D2852" s="58" t="s">
        <v>7647</v>
      </c>
      <c r="E2852" s="60" t="b">
        <v>1</v>
      </c>
      <c r="F2852" s="80" t="s">
        <v>958</v>
      </c>
      <c r="G2852" s="58" t="s">
        <v>7646</v>
      </c>
      <c r="H2852" s="58" t="s">
        <v>1728</v>
      </c>
      <c r="I2852" s="64" t="s">
        <v>7647</v>
      </c>
      <c r="J2852" s="66"/>
      <c r="K2852" s="66"/>
      <c r="L2852" s="68"/>
      <c r="M2852" s="63" t="str">
        <f>HYPERLINK("http://nsgreg.nga.mil/genc/view?v=865396&amp;end_month=12&amp;end_day=31&amp;end_year=2016","Correlation")</f>
        <v>Correlation</v>
      </c>
    </row>
    <row r="2853" spans="1:13" x14ac:dyDescent="0.2">
      <c r="A2853" s="113"/>
      <c r="B2853" s="58" t="s">
        <v>7648</v>
      </c>
      <c r="C2853" s="58" t="s">
        <v>1728</v>
      </c>
      <c r="D2853" s="58" t="s">
        <v>7649</v>
      </c>
      <c r="E2853" s="60" t="b">
        <v>1</v>
      </c>
      <c r="F2853" s="80" t="s">
        <v>958</v>
      </c>
      <c r="G2853" s="58" t="s">
        <v>7648</v>
      </c>
      <c r="H2853" s="58" t="s">
        <v>1728</v>
      </c>
      <c r="I2853" s="64" t="s">
        <v>7649</v>
      </c>
      <c r="J2853" s="66"/>
      <c r="K2853" s="66"/>
      <c r="L2853" s="68"/>
      <c r="M2853" s="63" t="str">
        <f>HYPERLINK("http://nsgreg.nga.mil/genc/view?v=865394&amp;end_month=12&amp;end_day=31&amp;end_year=2016","Correlation")</f>
        <v>Correlation</v>
      </c>
    </row>
    <row r="2854" spans="1:13" x14ac:dyDescent="0.2">
      <c r="A2854" s="113"/>
      <c r="B2854" s="58" t="s">
        <v>7650</v>
      </c>
      <c r="C2854" s="58" t="s">
        <v>1728</v>
      </c>
      <c r="D2854" s="58" t="s">
        <v>7651</v>
      </c>
      <c r="E2854" s="60" t="b">
        <v>1</v>
      </c>
      <c r="F2854" s="80" t="s">
        <v>958</v>
      </c>
      <c r="G2854" s="58" t="s">
        <v>7650</v>
      </c>
      <c r="H2854" s="58" t="s">
        <v>1728</v>
      </c>
      <c r="I2854" s="64" t="s">
        <v>7651</v>
      </c>
      <c r="J2854" s="66"/>
      <c r="K2854" s="66"/>
      <c r="L2854" s="68"/>
      <c r="M2854" s="63" t="str">
        <f>HYPERLINK("http://nsgreg.nga.mil/genc/view?v=865395&amp;end_month=12&amp;end_day=31&amp;end_year=2016","Correlation")</f>
        <v>Correlation</v>
      </c>
    </row>
    <row r="2855" spans="1:13" x14ac:dyDescent="0.2">
      <c r="A2855" s="113"/>
      <c r="B2855" s="58" t="s">
        <v>7652</v>
      </c>
      <c r="C2855" s="58" t="s">
        <v>1728</v>
      </c>
      <c r="D2855" s="58" t="s">
        <v>7653</v>
      </c>
      <c r="E2855" s="60" t="b">
        <v>1</v>
      </c>
      <c r="F2855" s="80" t="s">
        <v>958</v>
      </c>
      <c r="G2855" s="58" t="s">
        <v>7652</v>
      </c>
      <c r="H2855" s="58" t="s">
        <v>1728</v>
      </c>
      <c r="I2855" s="64" t="s">
        <v>7653</v>
      </c>
      <c r="J2855" s="66"/>
      <c r="K2855" s="66"/>
      <c r="L2855" s="68"/>
      <c r="M2855" s="63" t="str">
        <f>HYPERLINK("http://nsgreg.nga.mil/genc/view?v=865402&amp;end_month=12&amp;end_day=31&amp;end_year=2016","Correlation")</f>
        <v>Correlation</v>
      </c>
    </row>
    <row r="2856" spans="1:13" x14ac:dyDescent="0.2">
      <c r="A2856" s="113"/>
      <c r="B2856" s="58" t="s">
        <v>7654</v>
      </c>
      <c r="C2856" s="58" t="s">
        <v>1728</v>
      </c>
      <c r="D2856" s="58" t="s">
        <v>7655</v>
      </c>
      <c r="E2856" s="60" t="b">
        <v>1</v>
      </c>
      <c r="F2856" s="80" t="s">
        <v>958</v>
      </c>
      <c r="G2856" s="58" t="s">
        <v>7654</v>
      </c>
      <c r="H2856" s="58" t="s">
        <v>1728</v>
      </c>
      <c r="I2856" s="64" t="s">
        <v>7655</v>
      </c>
      <c r="J2856" s="66"/>
      <c r="K2856" s="66"/>
      <c r="L2856" s="68"/>
      <c r="M2856" s="63" t="str">
        <f>HYPERLINK("http://nsgreg.nga.mil/genc/view?v=865398&amp;end_month=12&amp;end_day=31&amp;end_year=2016","Correlation")</f>
        <v>Correlation</v>
      </c>
    </row>
    <row r="2857" spans="1:13" x14ac:dyDescent="0.2">
      <c r="A2857" s="113"/>
      <c r="B2857" s="58" t="s">
        <v>7656</v>
      </c>
      <c r="C2857" s="58" t="s">
        <v>1728</v>
      </c>
      <c r="D2857" s="58" t="s">
        <v>7657</v>
      </c>
      <c r="E2857" s="60" t="b">
        <v>1</v>
      </c>
      <c r="F2857" s="80" t="s">
        <v>958</v>
      </c>
      <c r="G2857" s="58" t="s">
        <v>7656</v>
      </c>
      <c r="H2857" s="58" t="s">
        <v>1728</v>
      </c>
      <c r="I2857" s="64" t="s">
        <v>7657</v>
      </c>
      <c r="J2857" s="66"/>
      <c r="K2857" s="66"/>
      <c r="L2857" s="68"/>
      <c r="M2857" s="63" t="str">
        <f>HYPERLINK("http://nsgreg.nga.mil/genc/view?v=865400&amp;end_month=12&amp;end_day=31&amp;end_year=2016","Correlation")</f>
        <v>Correlation</v>
      </c>
    </row>
    <row r="2858" spans="1:13" x14ac:dyDescent="0.2">
      <c r="A2858" s="113"/>
      <c r="B2858" s="58" t="s">
        <v>7658</v>
      </c>
      <c r="C2858" s="58" t="s">
        <v>1728</v>
      </c>
      <c r="D2858" s="58" t="s">
        <v>7659</v>
      </c>
      <c r="E2858" s="60" t="b">
        <v>1</v>
      </c>
      <c r="F2858" s="80" t="s">
        <v>958</v>
      </c>
      <c r="G2858" s="58" t="s">
        <v>7658</v>
      </c>
      <c r="H2858" s="58" t="s">
        <v>1728</v>
      </c>
      <c r="I2858" s="64" t="s">
        <v>7659</v>
      </c>
      <c r="J2858" s="66"/>
      <c r="K2858" s="66"/>
      <c r="L2858" s="68"/>
      <c r="M2858" s="63" t="str">
        <f>HYPERLINK("http://nsgreg.nga.mil/genc/view?v=865399&amp;end_month=12&amp;end_day=31&amp;end_year=2016","Correlation")</f>
        <v>Correlation</v>
      </c>
    </row>
    <row r="2859" spans="1:13" x14ac:dyDescent="0.2">
      <c r="A2859" s="113"/>
      <c r="B2859" s="58" t="s">
        <v>7660</v>
      </c>
      <c r="C2859" s="58" t="s">
        <v>1728</v>
      </c>
      <c r="D2859" s="58" t="s">
        <v>7661</v>
      </c>
      <c r="E2859" s="60" t="b">
        <v>1</v>
      </c>
      <c r="F2859" s="80" t="s">
        <v>958</v>
      </c>
      <c r="G2859" s="58" t="s">
        <v>7660</v>
      </c>
      <c r="H2859" s="58" t="s">
        <v>1728</v>
      </c>
      <c r="I2859" s="64" t="s">
        <v>7661</v>
      </c>
      <c r="J2859" s="66"/>
      <c r="K2859" s="66"/>
      <c r="L2859" s="68"/>
      <c r="M2859" s="63" t="str">
        <f>HYPERLINK("http://nsgreg.nga.mil/genc/view?v=865401&amp;end_month=12&amp;end_day=31&amp;end_year=2016","Correlation")</f>
        <v>Correlation</v>
      </c>
    </row>
    <row r="2860" spans="1:13" x14ac:dyDescent="0.2">
      <c r="A2860" s="113"/>
      <c r="B2860" s="58" t="s">
        <v>7662</v>
      </c>
      <c r="C2860" s="58" t="s">
        <v>1728</v>
      </c>
      <c r="D2860" s="58" t="s">
        <v>7663</v>
      </c>
      <c r="E2860" s="60" t="b">
        <v>1</v>
      </c>
      <c r="F2860" s="80" t="s">
        <v>958</v>
      </c>
      <c r="G2860" s="58" t="s">
        <v>7662</v>
      </c>
      <c r="H2860" s="58" t="s">
        <v>1728</v>
      </c>
      <c r="I2860" s="64" t="s">
        <v>7663</v>
      </c>
      <c r="J2860" s="66"/>
      <c r="K2860" s="66"/>
      <c r="L2860" s="68"/>
      <c r="M2860" s="63" t="str">
        <f>HYPERLINK("http://nsgreg.nga.mil/genc/view?v=865397&amp;end_month=12&amp;end_day=31&amp;end_year=2016","Correlation")</f>
        <v>Correlation</v>
      </c>
    </row>
    <row r="2861" spans="1:13" x14ac:dyDescent="0.2">
      <c r="A2861" s="114"/>
      <c r="B2861" s="71" t="s">
        <v>7664</v>
      </c>
      <c r="C2861" s="71" t="s">
        <v>1728</v>
      </c>
      <c r="D2861" s="71" t="s">
        <v>7665</v>
      </c>
      <c r="E2861" s="73" t="b">
        <v>1</v>
      </c>
      <c r="F2861" s="81" t="s">
        <v>958</v>
      </c>
      <c r="G2861" s="71" t="s">
        <v>7664</v>
      </c>
      <c r="H2861" s="71" t="s">
        <v>1728</v>
      </c>
      <c r="I2861" s="74" t="s">
        <v>7665</v>
      </c>
      <c r="J2861" s="76"/>
      <c r="K2861" s="76"/>
      <c r="L2861" s="82"/>
      <c r="M2861" s="77" t="str">
        <f>HYPERLINK("http://nsgreg.nga.mil/genc/view?v=865389&amp;end_month=12&amp;end_day=31&amp;end_year=2016","Correlation")</f>
        <v>Correlation</v>
      </c>
    </row>
    <row r="2862" spans="1:13" x14ac:dyDescent="0.2">
      <c r="A2862" s="112" t="s">
        <v>962</v>
      </c>
      <c r="B2862" s="50" t="s">
        <v>7666</v>
      </c>
      <c r="C2862" s="50" t="s">
        <v>1796</v>
      </c>
      <c r="D2862" s="50" t="s">
        <v>7667</v>
      </c>
      <c r="E2862" s="52" t="b">
        <v>1</v>
      </c>
      <c r="F2862" s="78" t="s">
        <v>962</v>
      </c>
      <c r="G2862" s="50" t="s">
        <v>7666</v>
      </c>
      <c r="H2862" s="50" t="s">
        <v>1796</v>
      </c>
      <c r="I2862" s="53" t="s">
        <v>7667</v>
      </c>
      <c r="J2862" s="55"/>
      <c r="K2862" s="55"/>
      <c r="L2862" s="79"/>
      <c r="M2862" s="56" t="str">
        <f>HYPERLINK("http://nsgreg.nga.mil/genc/view?v=865518&amp;end_month=12&amp;end_day=31&amp;end_year=2016","Correlation")</f>
        <v>Correlation</v>
      </c>
    </row>
    <row r="2863" spans="1:13" x14ac:dyDescent="0.2">
      <c r="A2863" s="113"/>
      <c r="B2863" s="58" t="s">
        <v>7668</v>
      </c>
      <c r="C2863" s="58" t="s">
        <v>1796</v>
      </c>
      <c r="D2863" s="58" t="s">
        <v>7669</v>
      </c>
      <c r="E2863" s="60" t="b">
        <v>1</v>
      </c>
      <c r="F2863" s="80" t="s">
        <v>962</v>
      </c>
      <c r="G2863" s="58" t="s">
        <v>7668</v>
      </c>
      <c r="H2863" s="58" t="s">
        <v>1796</v>
      </c>
      <c r="I2863" s="64" t="s">
        <v>7669</v>
      </c>
      <c r="J2863" s="66"/>
      <c r="K2863" s="66"/>
      <c r="L2863" s="68"/>
      <c r="M2863" s="63" t="str">
        <f>HYPERLINK("http://nsgreg.nga.mil/genc/view?v=865519&amp;end_month=12&amp;end_day=31&amp;end_year=2016","Correlation")</f>
        <v>Correlation</v>
      </c>
    </row>
    <row r="2864" spans="1:13" x14ac:dyDescent="0.2">
      <c r="A2864" s="113"/>
      <c r="B2864" s="58" t="s">
        <v>7670</v>
      </c>
      <c r="C2864" s="58" t="s">
        <v>1796</v>
      </c>
      <c r="D2864" s="58" t="s">
        <v>7671</v>
      </c>
      <c r="E2864" s="60" t="b">
        <v>1</v>
      </c>
      <c r="F2864" s="80" t="s">
        <v>962</v>
      </c>
      <c r="G2864" s="58" t="s">
        <v>7670</v>
      </c>
      <c r="H2864" s="58" t="s">
        <v>1796</v>
      </c>
      <c r="I2864" s="64" t="s">
        <v>7671</v>
      </c>
      <c r="J2864" s="66"/>
      <c r="K2864" s="66"/>
      <c r="L2864" s="68"/>
      <c r="M2864" s="63" t="str">
        <f>HYPERLINK("http://nsgreg.nga.mil/genc/view?v=865520&amp;end_month=12&amp;end_day=31&amp;end_year=2016","Correlation")</f>
        <v>Correlation</v>
      </c>
    </row>
    <row r="2865" spans="1:13" x14ac:dyDescent="0.2">
      <c r="A2865" s="113"/>
      <c r="B2865" s="58" t="s">
        <v>7672</v>
      </c>
      <c r="C2865" s="58" t="s">
        <v>1796</v>
      </c>
      <c r="D2865" s="58" t="s">
        <v>7673</v>
      </c>
      <c r="E2865" s="60" t="b">
        <v>1</v>
      </c>
      <c r="F2865" s="80" t="s">
        <v>962</v>
      </c>
      <c r="G2865" s="58" t="s">
        <v>7672</v>
      </c>
      <c r="H2865" s="58" t="s">
        <v>1796</v>
      </c>
      <c r="I2865" s="64" t="s">
        <v>7673</v>
      </c>
      <c r="J2865" s="66"/>
      <c r="K2865" s="66"/>
      <c r="L2865" s="68"/>
      <c r="M2865" s="63" t="str">
        <f>HYPERLINK("http://nsgreg.nga.mil/genc/view?v=865521&amp;end_month=12&amp;end_day=31&amp;end_year=2016","Correlation")</f>
        <v>Correlation</v>
      </c>
    </row>
    <row r="2866" spans="1:13" x14ac:dyDescent="0.2">
      <c r="A2866" s="113"/>
      <c r="B2866" s="58" t="s">
        <v>7674</v>
      </c>
      <c r="C2866" s="58" t="s">
        <v>1796</v>
      </c>
      <c r="D2866" s="58" t="s">
        <v>7675</v>
      </c>
      <c r="E2866" s="60" t="b">
        <v>1</v>
      </c>
      <c r="F2866" s="80" t="s">
        <v>962</v>
      </c>
      <c r="G2866" s="58" t="s">
        <v>7674</v>
      </c>
      <c r="H2866" s="58" t="s">
        <v>1796</v>
      </c>
      <c r="I2866" s="64" t="s">
        <v>7675</v>
      </c>
      <c r="J2866" s="66"/>
      <c r="K2866" s="66"/>
      <c r="L2866" s="68"/>
      <c r="M2866" s="63" t="str">
        <f>HYPERLINK("http://nsgreg.nga.mil/genc/view?v=865522&amp;end_month=12&amp;end_day=31&amp;end_year=2016","Correlation")</f>
        <v>Correlation</v>
      </c>
    </row>
    <row r="2867" spans="1:13" x14ac:dyDescent="0.2">
      <c r="A2867" s="113"/>
      <c r="B2867" s="58" t="s">
        <v>7676</v>
      </c>
      <c r="C2867" s="58" t="s">
        <v>1796</v>
      </c>
      <c r="D2867" s="58" t="s">
        <v>7677</v>
      </c>
      <c r="E2867" s="60" t="b">
        <v>1</v>
      </c>
      <c r="F2867" s="80" t="s">
        <v>962</v>
      </c>
      <c r="G2867" s="58" t="s">
        <v>7676</v>
      </c>
      <c r="H2867" s="58" t="s">
        <v>1796</v>
      </c>
      <c r="I2867" s="64" t="s">
        <v>7677</v>
      </c>
      <c r="J2867" s="66"/>
      <c r="K2867" s="66"/>
      <c r="L2867" s="68"/>
      <c r="M2867" s="63" t="str">
        <f>HYPERLINK("http://nsgreg.nga.mil/genc/view?v=865523&amp;end_month=12&amp;end_day=31&amp;end_year=2016","Correlation")</f>
        <v>Correlation</v>
      </c>
    </row>
    <row r="2868" spans="1:13" x14ac:dyDescent="0.2">
      <c r="A2868" s="113"/>
      <c r="B2868" s="58" t="s">
        <v>7678</v>
      </c>
      <c r="C2868" s="58" t="s">
        <v>1796</v>
      </c>
      <c r="D2868" s="58" t="s">
        <v>7679</v>
      </c>
      <c r="E2868" s="60" t="b">
        <v>1</v>
      </c>
      <c r="F2868" s="80" t="s">
        <v>962</v>
      </c>
      <c r="G2868" s="58" t="s">
        <v>7678</v>
      </c>
      <c r="H2868" s="58" t="s">
        <v>1796</v>
      </c>
      <c r="I2868" s="64" t="s">
        <v>7679</v>
      </c>
      <c r="J2868" s="66"/>
      <c r="K2868" s="66"/>
      <c r="L2868" s="68"/>
      <c r="M2868" s="63" t="str">
        <f>HYPERLINK("http://nsgreg.nga.mil/genc/view?v=865524&amp;end_month=12&amp;end_day=31&amp;end_year=2016","Correlation")</f>
        <v>Correlation</v>
      </c>
    </row>
    <row r="2869" spans="1:13" x14ac:dyDescent="0.2">
      <c r="A2869" s="113"/>
      <c r="B2869" s="58" t="s">
        <v>7680</v>
      </c>
      <c r="C2869" s="58" t="s">
        <v>1796</v>
      </c>
      <c r="D2869" s="58" t="s">
        <v>7681</v>
      </c>
      <c r="E2869" s="60" t="b">
        <v>1</v>
      </c>
      <c r="F2869" s="80" t="s">
        <v>962</v>
      </c>
      <c r="G2869" s="58" t="s">
        <v>7680</v>
      </c>
      <c r="H2869" s="58" t="s">
        <v>1796</v>
      </c>
      <c r="I2869" s="64" t="s">
        <v>7681</v>
      </c>
      <c r="J2869" s="66"/>
      <c r="K2869" s="66"/>
      <c r="L2869" s="68"/>
      <c r="M2869" s="63" t="str">
        <f>HYPERLINK("http://nsgreg.nga.mil/genc/view?v=865525&amp;end_month=12&amp;end_day=31&amp;end_year=2016","Correlation")</f>
        <v>Correlation</v>
      </c>
    </row>
    <row r="2870" spans="1:13" x14ac:dyDescent="0.2">
      <c r="A2870" s="113"/>
      <c r="B2870" s="58" t="s">
        <v>7682</v>
      </c>
      <c r="C2870" s="58" t="s">
        <v>1796</v>
      </c>
      <c r="D2870" s="58" t="s">
        <v>7683</v>
      </c>
      <c r="E2870" s="60" t="b">
        <v>1</v>
      </c>
      <c r="F2870" s="80" t="s">
        <v>962</v>
      </c>
      <c r="G2870" s="58" t="s">
        <v>7682</v>
      </c>
      <c r="H2870" s="58" t="s">
        <v>1796</v>
      </c>
      <c r="I2870" s="64" t="s">
        <v>7683</v>
      </c>
      <c r="J2870" s="66"/>
      <c r="K2870" s="66"/>
      <c r="L2870" s="68"/>
      <c r="M2870" s="63" t="str">
        <f>HYPERLINK("http://nsgreg.nga.mil/genc/view?v=865526&amp;end_month=12&amp;end_day=31&amp;end_year=2016","Correlation")</f>
        <v>Correlation</v>
      </c>
    </row>
    <row r="2871" spans="1:13" x14ac:dyDescent="0.2">
      <c r="A2871" s="113"/>
      <c r="B2871" s="58" t="s">
        <v>7684</v>
      </c>
      <c r="C2871" s="58" t="s">
        <v>1796</v>
      </c>
      <c r="D2871" s="58" t="s">
        <v>7685</v>
      </c>
      <c r="E2871" s="60" t="b">
        <v>1</v>
      </c>
      <c r="F2871" s="80" t="s">
        <v>962</v>
      </c>
      <c r="G2871" s="58" t="s">
        <v>7684</v>
      </c>
      <c r="H2871" s="58" t="s">
        <v>1796</v>
      </c>
      <c r="I2871" s="64" t="s">
        <v>7685</v>
      </c>
      <c r="J2871" s="66"/>
      <c r="K2871" s="66"/>
      <c r="L2871" s="68"/>
      <c r="M2871" s="63" t="str">
        <f>HYPERLINK("http://nsgreg.nga.mil/genc/view?v=865527&amp;end_month=12&amp;end_day=31&amp;end_year=2016","Correlation")</f>
        <v>Correlation</v>
      </c>
    </row>
    <row r="2872" spans="1:13" x14ac:dyDescent="0.2">
      <c r="A2872" s="113"/>
      <c r="B2872" s="58" t="s">
        <v>7686</v>
      </c>
      <c r="C2872" s="58" t="s">
        <v>1796</v>
      </c>
      <c r="D2872" s="58" t="s">
        <v>7687</v>
      </c>
      <c r="E2872" s="60" t="b">
        <v>1</v>
      </c>
      <c r="F2872" s="80" t="s">
        <v>962</v>
      </c>
      <c r="G2872" s="58" t="s">
        <v>7686</v>
      </c>
      <c r="H2872" s="58" t="s">
        <v>1796</v>
      </c>
      <c r="I2872" s="64" t="s">
        <v>7687</v>
      </c>
      <c r="J2872" s="66"/>
      <c r="K2872" s="66"/>
      <c r="L2872" s="68"/>
      <c r="M2872" s="63" t="str">
        <f>HYPERLINK("http://nsgreg.nga.mil/genc/view?v=865528&amp;end_month=12&amp;end_day=31&amp;end_year=2016","Correlation")</f>
        <v>Correlation</v>
      </c>
    </row>
    <row r="2873" spans="1:13" x14ac:dyDescent="0.2">
      <c r="A2873" s="113"/>
      <c r="B2873" s="58" t="s">
        <v>7688</v>
      </c>
      <c r="C2873" s="58" t="s">
        <v>1796</v>
      </c>
      <c r="D2873" s="58" t="s">
        <v>7689</v>
      </c>
      <c r="E2873" s="60" t="b">
        <v>1</v>
      </c>
      <c r="F2873" s="80" t="s">
        <v>962</v>
      </c>
      <c r="G2873" s="58" t="s">
        <v>7688</v>
      </c>
      <c r="H2873" s="58" t="s">
        <v>1796</v>
      </c>
      <c r="I2873" s="64" t="s">
        <v>7689</v>
      </c>
      <c r="J2873" s="66"/>
      <c r="K2873" s="66"/>
      <c r="L2873" s="68"/>
      <c r="M2873" s="63" t="str">
        <f>HYPERLINK("http://nsgreg.nga.mil/genc/view?v=865529&amp;end_month=12&amp;end_day=31&amp;end_year=2016","Correlation")</f>
        <v>Correlation</v>
      </c>
    </row>
    <row r="2874" spans="1:13" x14ac:dyDescent="0.2">
      <c r="A2874" s="113"/>
      <c r="B2874" s="58" t="s">
        <v>7690</v>
      </c>
      <c r="C2874" s="58" t="s">
        <v>1796</v>
      </c>
      <c r="D2874" s="58" t="s">
        <v>7691</v>
      </c>
      <c r="E2874" s="60" t="b">
        <v>1</v>
      </c>
      <c r="F2874" s="80" t="s">
        <v>962</v>
      </c>
      <c r="G2874" s="58" t="s">
        <v>7690</v>
      </c>
      <c r="H2874" s="58" t="s">
        <v>1796</v>
      </c>
      <c r="I2874" s="64" t="s">
        <v>7691</v>
      </c>
      <c r="J2874" s="66"/>
      <c r="K2874" s="66"/>
      <c r="L2874" s="68"/>
      <c r="M2874" s="63" t="str">
        <f>HYPERLINK("http://nsgreg.nga.mil/genc/view?v=865530&amp;end_month=12&amp;end_day=31&amp;end_year=2016","Correlation")</f>
        <v>Correlation</v>
      </c>
    </row>
    <row r="2875" spans="1:13" x14ac:dyDescent="0.2">
      <c r="A2875" s="114"/>
      <c r="B2875" s="71" t="s">
        <v>7692</v>
      </c>
      <c r="C2875" s="71" t="s">
        <v>1796</v>
      </c>
      <c r="D2875" s="71" t="s">
        <v>7693</v>
      </c>
      <c r="E2875" s="73" t="b">
        <v>1</v>
      </c>
      <c r="F2875" s="81" t="s">
        <v>962</v>
      </c>
      <c r="G2875" s="71" t="s">
        <v>7692</v>
      </c>
      <c r="H2875" s="71" t="s">
        <v>1796</v>
      </c>
      <c r="I2875" s="74" t="s">
        <v>7693</v>
      </c>
      <c r="J2875" s="76"/>
      <c r="K2875" s="76"/>
      <c r="L2875" s="82"/>
      <c r="M2875" s="77" t="str">
        <f>HYPERLINK("http://nsgreg.nga.mil/genc/view?v=865531&amp;end_month=12&amp;end_day=31&amp;end_year=2016","Correlation")</f>
        <v>Correlation</v>
      </c>
    </row>
    <row r="2876" spans="1:13" x14ac:dyDescent="0.2">
      <c r="A2876" s="112" t="s">
        <v>972</v>
      </c>
      <c r="B2876" s="50" t="s">
        <v>7694</v>
      </c>
      <c r="C2876" s="50" t="s">
        <v>7695</v>
      </c>
      <c r="D2876" s="50" t="s">
        <v>7696</v>
      </c>
      <c r="E2876" s="52" t="b">
        <v>1</v>
      </c>
      <c r="F2876" s="78" t="s">
        <v>972</v>
      </c>
      <c r="G2876" s="50" t="s">
        <v>7697</v>
      </c>
      <c r="H2876" s="50" t="s">
        <v>7695</v>
      </c>
      <c r="I2876" s="53" t="s">
        <v>7696</v>
      </c>
      <c r="J2876" s="55"/>
      <c r="K2876" s="55"/>
      <c r="L2876" s="79"/>
      <c r="M2876" s="56" t="str">
        <f>HYPERLINK("http://nsgreg.nga.mil/genc/view?v=865504&amp;end_month=12&amp;end_day=31&amp;end_year=2016","Correlation")</f>
        <v>Correlation</v>
      </c>
    </row>
    <row r="2877" spans="1:13" x14ac:dyDescent="0.2">
      <c r="A2877" s="113"/>
      <c r="B2877" s="58" t="s">
        <v>7698</v>
      </c>
      <c r="C2877" s="58" t="s">
        <v>7695</v>
      </c>
      <c r="D2877" s="58" t="s">
        <v>7699</v>
      </c>
      <c r="E2877" s="60" t="b">
        <v>1</v>
      </c>
      <c r="F2877" s="80" t="s">
        <v>972</v>
      </c>
      <c r="G2877" s="58" t="s">
        <v>7700</v>
      </c>
      <c r="H2877" s="58" t="s">
        <v>7695</v>
      </c>
      <c r="I2877" s="64" t="s">
        <v>7699</v>
      </c>
      <c r="J2877" s="66"/>
      <c r="K2877" s="66"/>
      <c r="L2877" s="68"/>
      <c r="M2877" s="63" t="str">
        <f>HYPERLINK("http://nsgreg.nga.mil/genc/view?v=865505&amp;end_month=12&amp;end_day=31&amp;end_year=2016","Correlation")</f>
        <v>Correlation</v>
      </c>
    </row>
    <row r="2878" spans="1:13" x14ac:dyDescent="0.2">
      <c r="A2878" s="113"/>
      <c r="B2878" s="58" t="s">
        <v>7701</v>
      </c>
      <c r="C2878" s="58" t="s">
        <v>7695</v>
      </c>
      <c r="D2878" s="58" t="s">
        <v>7702</v>
      </c>
      <c r="E2878" s="60" t="b">
        <v>1</v>
      </c>
      <c r="F2878" s="80" t="s">
        <v>972</v>
      </c>
      <c r="G2878" s="58" t="s">
        <v>7703</v>
      </c>
      <c r="H2878" s="58" t="s">
        <v>7695</v>
      </c>
      <c r="I2878" s="64" t="s">
        <v>7702</v>
      </c>
      <c r="J2878" s="66"/>
      <c r="K2878" s="66"/>
      <c r="L2878" s="68"/>
      <c r="M2878" s="63" t="str">
        <f>HYPERLINK("http://nsgreg.nga.mil/genc/view?v=865506&amp;end_month=12&amp;end_day=31&amp;end_year=2016","Correlation")</f>
        <v>Correlation</v>
      </c>
    </row>
    <row r="2879" spans="1:13" x14ac:dyDescent="0.2">
      <c r="A2879" s="113"/>
      <c r="B2879" s="58" t="s">
        <v>7704</v>
      </c>
      <c r="C2879" s="58" t="s">
        <v>7695</v>
      </c>
      <c r="D2879" s="58" t="s">
        <v>7705</v>
      </c>
      <c r="E2879" s="60" t="b">
        <v>1</v>
      </c>
      <c r="F2879" s="80" t="s">
        <v>972</v>
      </c>
      <c r="G2879" s="58" t="s">
        <v>7706</v>
      </c>
      <c r="H2879" s="58" t="s">
        <v>7695</v>
      </c>
      <c r="I2879" s="64" t="s">
        <v>7705</v>
      </c>
      <c r="J2879" s="66"/>
      <c r="K2879" s="66"/>
      <c r="L2879" s="68"/>
      <c r="M2879" s="63" t="str">
        <f>HYPERLINK("http://nsgreg.nga.mil/genc/view?v=865507&amp;end_month=12&amp;end_day=31&amp;end_year=2016","Correlation")</f>
        <v>Correlation</v>
      </c>
    </row>
    <row r="2880" spans="1:13" x14ac:dyDescent="0.2">
      <c r="A2880" s="113"/>
      <c r="B2880" s="58" t="s">
        <v>7707</v>
      </c>
      <c r="C2880" s="58" t="s">
        <v>7695</v>
      </c>
      <c r="D2880" s="58" t="s">
        <v>7708</v>
      </c>
      <c r="E2880" s="60" t="b">
        <v>1</v>
      </c>
      <c r="F2880" s="80" t="s">
        <v>972</v>
      </c>
      <c r="G2880" s="58" t="s">
        <v>7707</v>
      </c>
      <c r="H2880" s="58" t="s">
        <v>7695</v>
      </c>
      <c r="I2880" s="64" t="s">
        <v>7708</v>
      </c>
      <c r="J2880" s="66"/>
      <c r="K2880" s="66"/>
      <c r="L2880" s="68"/>
      <c r="M2880" s="63" t="str">
        <f>HYPERLINK("http://nsgreg.nga.mil/genc/view?v=865508&amp;end_month=12&amp;end_day=31&amp;end_year=2016","Correlation")</f>
        <v>Correlation</v>
      </c>
    </row>
    <row r="2881" spans="1:13" x14ac:dyDescent="0.2">
      <c r="A2881" s="113"/>
      <c r="B2881" s="58" t="s">
        <v>7709</v>
      </c>
      <c r="C2881" s="58" t="s">
        <v>7695</v>
      </c>
      <c r="D2881" s="58" t="s">
        <v>7710</v>
      </c>
      <c r="E2881" s="60" t="b">
        <v>1</v>
      </c>
      <c r="F2881" s="80" t="s">
        <v>972</v>
      </c>
      <c r="G2881" s="58" t="s">
        <v>7711</v>
      </c>
      <c r="H2881" s="58" t="s">
        <v>7695</v>
      </c>
      <c r="I2881" s="64" t="s">
        <v>7710</v>
      </c>
      <c r="J2881" s="66"/>
      <c r="K2881" s="66"/>
      <c r="L2881" s="68"/>
      <c r="M2881" s="63" t="str">
        <f>HYPERLINK("http://nsgreg.nga.mil/genc/view?v=865509&amp;end_month=12&amp;end_day=31&amp;end_year=2016","Correlation")</f>
        <v>Correlation</v>
      </c>
    </row>
    <row r="2882" spans="1:13" x14ac:dyDescent="0.2">
      <c r="A2882" s="113"/>
      <c r="B2882" s="58" t="s">
        <v>7712</v>
      </c>
      <c r="C2882" s="58" t="s">
        <v>7695</v>
      </c>
      <c r="D2882" s="58" t="s">
        <v>7713</v>
      </c>
      <c r="E2882" s="60" t="b">
        <v>1</v>
      </c>
      <c r="F2882" s="80" t="s">
        <v>972</v>
      </c>
      <c r="G2882" s="58" t="s">
        <v>7714</v>
      </c>
      <c r="H2882" s="58" t="s">
        <v>7695</v>
      </c>
      <c r="I2882" s="64" t="s">
        <v>7713</v>
      </c>
      <c r="J2882" s="66"/>
      <c r="K2882" s="66"/>
      <c r="L2882" s="68"/>
      <c r="M2882" s="63" t="str">
        <f>HYPERLINK("http://nsgreg.nga.mil/genc/view?v=865510&amp;end_month=12&amp;end_day=31&amp;end_year=2016","Correlation")</f>
        <v>Correlation</v>
      </c>
    </row>
    <row r="2883" spans="1:13" x14ac:dyDescent="0.2">
      <c r="A2883" s="113"/>
      <c r="B2883" s="58" t="s">
        <v>7715</v>
      </c>
      <c r="C2883" s="58" t="s">
        <v>7695</v>
      </c>
      <c r="D2883" s="58" t="s">
        <v>7716</v>
      </c>
      <c r="E2883" s="60" t="b">
        <v>1</v>
      </c>
      <c r="F2883" s="80" t="s">
        <v>972</v>
      </c>
      <c r="G2883" s="58" t="s">
        <v>7717</v>
      </c>
      <c r="H2883" s="58" t="s">
        <v>7695</v>
      </c>
      <c r="I2883" s="64" t="s">
        <v>7716</v>
      </c>
      <c r="J2883" s="66"/>
      <c r="K2883" s="66"/>
      <c r="L2883" s="68"/>
      <c r="M2883" s="63" t="str">
        <f>HYPERLINK("http://nsgreg.nga.mil/genc/view?v=865511&amp;end_month=12&amp;end_day=31&amp;end_year=2016","Correlation")</f>
        <v>Correlation</v>
      </c>
    </row>
    <row r="2884" spans="1:13" x14ac:dyDescent="0.2">
      <c r="A2884" s="113"/>
      <c r="B2884" s="58" t="s">
        <v>7718</v>
      </c>
      <c r="C2884" s="58" t="s">
        <v>7719</v>
      </c>
      <c r="D2884" s="58" t="s">
        <v>7720</v>
      </c>
      <c r="E2884" s="60" t="b">
        <v>1</v>
      </c>
      <c r="F2884" s="80" t="s">
        <v>972</v>
      </c>
      <c r="G2884" s="58" t="s">
        <v>7718</v>
      </c>
      <c r="H2884" s="58" t="s">
        <v>7719</v>
      </c>
      <c r="I2884" s="64" t="s">
        <v>7720</v>
      </c>
      <c r="J2884" s="66"/>
      <c r="K2884" s="66"/>
      <c r="L2884" s="68"/>
      <c r="M2884" s="63" t="str">
        <f>HYPERLINK("http://nsgreg.nga.mil/genc/view?v=865499&amp;end_month=12&amp;end_day=31&amp;end_year=2016","Correlation")</f>
        <v>Correlation</v>
      </c>
    </row>
    <row r="2885" spans="1:13" x14ac:dyDescent="0.2">
      <c r="A2885" s="113"/>
      <c r="B2885" s="58" t="s">
        <v>7721</v>
      </c>
      <c r="C2885" s="58" t="s">
        <v>7719</v>
      </c>
      <c r="D2885" s="58" t="s">
        <v>7722</v>
      </c>
      <c r="E2885" s="60" t="b">
        <v>1</v>
      </c>
      <c r="F2885" s="80" t="s">
        <v>972</v>
      </c>
      <c r="G2885" s="58" t="s">
        <v>7721</v>
      </c>
      <c r="H2885" s="58" t="s">
        <v>7719</v>
      </c>
      <c r="I2885" s="64" t="s">
        <v>7722</v>
      </c>
      <c r="J2885" s="66"/>
      <c r="K2885" s="66"/>
      <c r="L2885" s="68"/>
      <c r="M2885" s="63" t="str">
        <f>HYPERLINK("http://nsgreg.nga.mil/genc/view?v=865500&amp;end_month=12&amp;end_day=31&amp;end_year=2016","Correlation")</f>
        <v>Correlation</v>
      </c>
    </row>
    <row r="2886" spans="1:13" x14ac:dyDescent="0.2">
      <c r="A2886" s="113"/>
      <c r="B2886" s="58" t="s">
        <v>7723</v>
      </c>
      <c r="C2886" s="58" t="s">
        <v>7695</v>
      </c>
      <c r="D2886" s="58" t="s">
        <v>7724</v>
      </c>
      <c r="E2886" s="60" t="b">
        <v>1</v>
      </c>
      <c r="F2886" s="80" t="s">
        <v>972</v>
      </c>
      <c r="G2886" s="58" t="s">
        <v>7725</v>
      </c>
      <c r="H2886" s="58" t="s">
        <v>7695</v>
      </c>
      <c r="I2886" s="64" t="s">
        <v>7724</v>
      </c>
      <c r="J2886" s="66"/>
      <c r="K2886" s="66"/>
      <c r="L2886" s="68"/>
      <c r="M2886" s="63" t="str">
        <f>HYPERLINK("http://nsgreg.nga.mil/genc/view?v=865512&amp;end_month=12&amp;end_day=31&amp;end_year=2016","Correlation")</f>
        <v>Correlation</v>
      </c>
    </row>
    <row r="2887" spans="1:13" x14ac:dyDescent="0.2">
      <c r="A2887" s="113"/>
      <c r="B2887" s="58" t="s">
        <v>7726</v>
      </c>
      <c r="C2887" s="58" t="s">
        <v>7695</v>
      </c>
      <c r="D2887" s="58" t="s">
        <v>7727</v>
      </c>
      <c r="E2887" s="60" t="b">
        <v>1</v>
      </c>
      <c r="F2887" s="80" t="s">
        <v>972</v>
      </c>
      <c r="G2887" s="58" t="s">
        <v>7728</v>
      </c>
      <c r="H2887" s="58" t="s">
        <v>7695</v>
      </c>
      <c r="I2887" s="64" t="s">
        <v>7727</v>
      </c>
      <c r="J2887" s="66"/>
      <c r="K2887" s="66"/>
      <c r="L2887" s="68"/>
      <c r="M2887" s="63" t="str">
        <f>HYPERLINK("http://nsgreg.nga.mil/genc/view?v=865513&amp;end_month=12&amp;end_day=31&amp;end_year=2016","Correlation")</f>
        <v>Correlation</v>
      </c>
    </row>
    <row r="2888" spans="1:13" x14ac:dyDescent="0.2">
      <c r="A2888" s="113"/>
      <c r="B2888" s="58" t="s">
        <v>7729</v>
      </c>
      <c r="C2888" s="58" t="s">
        <v>7695</v>
      </c>
      <c r="D2888" s="58" t="s">
        <v>7730</v>
      </c>
      <c r="E2888" s="60" t="b">
        <v>1</v>
      </c>
      <c r="F2888" s="80" t="s">
        <v>972</v>
      </c>
      <c r="G2888" s="58" t="s">
        <v>7731</v>
      </c>
      <c r="H2888" s="58" t="s">
        <v>7695</v>
      </c>
      <c r="I2888" s="64" t="s">
        <v>7730</v>
      </c>
      <c r="J2888" s="66"/>
      <c r="K2888" s="66"/>
      <c r="L2888" s="68"/>
      <c r="M2888" s="63" t="str">
        <f>HYPERLINK("http://nsgreg.nga.mil/genc/view?v=865514&amp;end_month=12&amp;end_day=31&amp;end_year=2016","Correlation")</f>
        <v>Correlation</v>
      </c>
    </row>
    <row r="2889" spans="1:13" x14ac:dyDescent="0.2">
      <c r="A2889" s="113"/>
      <c r="B2889" s="58" t="s">
        <v>7732</v>
      </c>
      <c r="C2889" s="58" t="s">
        <v>7719</v>
      </c>
      <c r="D2889" s="58" t="s">
        <v>7733</v>
      </c>
      <c r="E2889" s="60" t="b">
        <v>1</v>
      </c>
      <c r="F2889" s="80" t="s">
        <v>972</v>
      </c>
      <c r="G2889" s="58" t="s">
        <v>7732</v>
      </c>
      <c r="H2889" s="58" t="s">
        <v>7719</v>
      </c>
      <c r="I2889" s="64" t="s">
        <v>7733</v>
      </c>
      <c r="J2889" s="66"/>
      <c r="K2889" s="66"/>
      <c r="L2889" s="68"/>
      <c r="M2889" s="63" t="str">
        <f>HYPERLINK("http://nsgreg.nga.mil/genc/view?v=865501&amp;end_month=12&amp;end_day=31&amp;end_year=2016","Correlation")</f>
        <v>Correlation</v>
      </c>
    </row>
    <row r="2890" spans="1:13" x14ac:dyDescent="0.2">
      <c r="A2890" s="113"/>
      <c r="B2890" s="58" t="s">
        <v>7734</v>
      </c>
      <c r="C2890" s="58" t="s">
        <v>7719</v>
      </c>
      <c r="D2890" s="58" t="s">
        <v>7735</v>
      </c>
      <c r="E2890" s="60" t="b">
        <v>1</v>
      </c>
      <c r="F2890" s="80" t="s">
        <v>972</v>
      </c>
      <c r="G2890" s="58" t="s">
        <v>7734</v>
      </c>
      <c r="H2890" s="58" t="s">
        <v>7719</v>
      </c>
      <c r="I2890" s="64" t="s">
        <v>7735</v>
      </c>
      <c r="J2890" s="66"/>
      <c r="K2890" s="66"/>
      <c r="L2890" s="68"/>
      <c r="M2890" s="63" t="str">
        <f>HYPERLINK("http://nsgreg.nga.mil/genc/view?v=865502&amp;end_month=12&amp;end_day=31&amp;end_year=2016","Correlation")</f>
        <v>Correlation</v>
      </c>
    </row>
    <row r="2891" spans="1:13" x14ac:dyDescent="0.2">
      <c r="A2891" s="113"/>
      <c r="B2891" s="58" t="s">
        <v>7736</v>
      </c>
      <c r="C2891" s="58" t="s">
        <v>7695</v>
      </c>
      <c r="D2891" s="58" t="s">
        <v>7737</v>
      </c>
      <c r="E2891" s="60" t="b">
        <v>1</v>
      </c>
      <c r="F2891" s="80" t="s">
        <v>972</v>
      </c>
      <c r="G2891" s="58" t="s">
        <v>7738</v>
      </c>
      <c r="H2891" s="58" t="s">
        <v>7695</v>
      </c>
      <c r="I2891" s="64" t="s">
        <v>7737</v>
      </c>
      <c r="J2891" s="66"/>
      <c r="K2891" s="66"/>
      <c r="L2891" s="68"/>
      <c r="M2891" s="63" t="str">
        <f>HYPERLINK("http://nsgreg.nga.mil/genc/view?v=865515&amp;end_month=12&amp;end_day=31&amp;end_year=2016","Correlation")</f>
        <v>Correlation</v>
      </c>
    </row>
    <row r="2892" spans="1:13" x14ac:dyDescent="0.2">
      <c r="A2892" s="113"/>
      <c r="B2892" s="58" t="s">
        <v>7739</v>
      </c>
      <c r="C2892" s="58" t="s">
        <v>7695</v>
      </c>
      <c r="D2892" s="58" t="s">
        <v>7740</v>
      </c>
      <c r="E2892" s="60" t="b">
        <v>1</v>
      </c>
      <c r="F2892" s="80" t="s">
        <v>972</v>
      </c>
      <c r="G2892" s="58" t="s">
        <v>7741</v>
      </c>
      <c r="H2892" s="58" t="s">
        <v>7695</v>
      </c>
      <c r="I2892" s="64" t="s">
        <v>7740</v>
      </c>
      <c r="J2892" s="66"/>
      <c r="K2892" s="66"/>
      <c r="L2892" s="68"/>
      <c r="M2892" s="63" t="str">
        <f>HYPERLINK("http://nsgreg.nga.mil/genc/view?v=865516&amp;end_month=12&amp;end_day=31&amp;end_year=2016","Correlation")</f>
        <v>Correlation</v>
      </c>
    </row>
    <row r="2893" spans="1:13" x14ac:dyDescent="0.2">
      <c r="A2893" s="113"/>
      <c r="B2893" s="58" t="s">
        <v>7742</v>
      </c>
      <c r="C2893" s="58" t="s">
        <v>7695</v>
      </c>
      <c r="D2893" s="58" t="s">
        <v>7743</v>
      </c>
      <c r="E2893" s="60" t="b">
        <v>1</v>
      </c>
      <c r="F2893" s="80" t="s">
        <v>972</v>
      </c>
      <c r="G2893" s="58" t="s">
        <v>7744</v>
      </c>
      <c r="H2893" s="58" t="s">
        <v>7695</v>
      </c>
      <c r="I2893" s="64" t="s">
        <v>7743</v>
      </c>
      <c r="J2893" s="66"/>
      <c r="K2893" s="66"/>
      <c r="L2893" s="68"/>
      <c r="M2893" s="63" t="str">
        <f>HYPERLINK("http://nsgreg.nga.mil/genc/view?v=865517&amp;end_month=12&amp;end_day=31&amp;end_year=2016","Correlation")</f>
        <v>Correlation</v>
      </c>
    </row>
    <row r="2894" spans="1:13" x14ac:dyDescent="0.2">
      <c r="A2894" s="114"/>
      <c r="B2894" s="71" t="s">
        <v>7745</v>
      </c>
      <c r="C2894" s="71" t="s">
        <v>7719</v>
      </c>
      <c r="D2894" s="71" t="s">
        <v>7746</v>
      </c>
      <c r="E2894" s="73" t="b">
        <v>1</v>
      </c>
      <c r="F2894" s="81" t="s">
        <v>972</v>
      </c>
      <c r="G2894" s="71" t="s">
        <v>7745</v>
      </c>
      <c r="H2894" s="71" t="s">
        <v>7719</v>
      </c>
      <c r="I2894" s="74" t="s">
        <v>7746</v>
      </c>
      <c r="J2894" s="76"/>
      <c r="K2894" s="76"/>
      <c r="L2894" s="82"/>
      <c r="M2894" s="77" t="str">
        <f>HYPERLINK("http://nsgreg.nga.mil/genc/view?v=865503&amp;end_month=12&amp;end_day=31&amp;end_year=2016","Correlation")</f>
        <v>Correlation</v>
      </c>
    </row>
    <row r="2895" spans="1:13" x14ac:dyDescent="0.2">
      <c r="A2895" s="112" t="s">
        <v>305</v>
      </c>
      <c r="B2895" s="50" t="s">
        <v>7747</v>
      </c>
      <c r="C2895" s="50" t="s">
        <v>1413</v>
      </c>
      <c r="D2895" s="50" t="s">
        <v>7748</v>
      </c>
      <c r="E2895" s="52" t="b">
        <v>1</v>
      </c>
      <c r="F2895" s="78" t="s">
        <v>305</v>
      </c>
      <c r="G2895" s="50" t="s">
        <v>7747</v>
      </c>
      <c r="H2895" s="50" t="s">
        <v>1413</v>
      </c>
      <c r="I2895" s="53" t="s">
        <v>7748</v>
      </c>
      <c r="J2895" s="55"/>
      <c r="K2895" s="55"/>
      <c r="L2895" s="79"/>
      <c r="M2895" s="56" t="str">
        <f>HYPERLINK("http://nsgreg.nga.mil/genc/view?v=865468&amp;end_month=12&amp;end_day=31&amp;end_year=2016","Correlation")</f>
        <v>Correlation</v>
      </c>
    </row>
    <row r="2896" spans="1:13" x14ac:dyDescent="0.2">
      <c r="A2896" s="113"/>
      <c r="B2896" s="58" t="s">
        <v>7749</v>
      </c>
      <c r="C2896" s="58" t="s">
        <v>1413</v>
      </c>
      <c r="D2896" s="58" t="s">
        <v>7750</v>
      </c>
      <c r="E2896" s="60" t="b">
        <v>1</v>
      </c>
      <c r="F2896" s="80" t="s">
        <v>305</v>
      </c>
      <c r="G2896" s="58" t="s">
        <v>7749</v>
      </c>
      <c r="H2896" s="58" t="s">
        <v>1413</v>
      </c>
      <c r="I2896" s="64" t="s">
        <v>7750</v>
      </c>
      <c r="J2896" s="66"/>
      <c r="K2896" s="66"/>
      <c r="L2896" s="68"/>
      <c r="M2896" s="63" t="str">
        <f>HYPERLINK("http://nsgreg.nga.mil/genc/view?v=865469&amp;end_month=12&amp;end_day=31&amp;end_year=2016","Correlation")</f>
        <v>Correlation</v>
      </c>
    </row>
    <row r="2897" spans="1:13" x14ac:dyDescent="0.2">
      <c r="A2897" s="113"/>
      <c r="B2897" s="58" t="s">
        <v>7751</v>
      </c>
      <c r="C2897" s="58" t="s">
        <v>1413</v>
      </c>
      <c r="D2897" s="58" t="s">
        <v>7752</v>
      </c>
      <c r="E2897" s="60" t="b">
        <v>1</v>
      </c>
      <c r="F2897" s="80" t="s">
        <v>305</v>
      </c>
      <c r="G2897" s="58" t="s">
        <v>7751</v>
      </c>
      <c r="H2897" s="58" t="s">
        <v>1413</v>
      </c>
      <c r="I2897" s="64" t="s">
        <v>7752</v>
      </c>
      <c r="J2897" s="66"/>
      <c r="K2897" s="66"/>
      <c r="L2897" s="68"/>
      <c r="M2897" s="63" t="str">
        <f>HYPERLINK("http://nsgreg.nga.mil/genc/view?v=865470&amp;end_month=12&amp;end_day=31&amp;end_year=2016","Correlation")</f>
        <v>Correlation</v>
      </c>
    </row>
    <row r="2898" spans="1:13" x14ac:dyDescent="0.2">
      <c r="A2898" s="113"/>
      <c r="B2898" s="58" t="s">
        <v>7753</v>
      </c>
      <c r="C2898" s="58" t="s">
        <v>1413</v>
      </c>
      <c r="D2898" s="58" t="s">
        <v>7754</v>
      </c>
      <c r="E2898" s="60" t="b">
        <v>1</v>
      </c>
      <c r="F2898" s="80" t="s">
        <v>305</v>
      </c>
      <c r="G2898" s="58" t="s">
        <v>7753</v>
      </c>
      <c r="H2898" s="58" t="s">
        <v>1413</v>
      </c>
      <c r="I2898" s="64" t="s">
        <v>7754</v>
      </c>
      <c r="J2898" s="66"/>
      <c r="K2898" s="66"/>
      <c r="L2898" s="68"/>
      <c r="M2898" s="63" t="str">
        <f>HYPERLINK("http://nsgreg.nga.mil/genc/view?v=865471&amp;end_month=12&amp;end_day=31&amp;end_year=2016","Correlation")</f>
        <v>Correlation</v>
      </c>
    </row>
    <row r="2899" spans="1:13" x14ac:dyDescent="0.2">
      <c r="A2899" s="113"/>
      <c r="B2899" s="58" t="s">
        <v>7755</v>
      </c>
      <c r="C2899" s="58" t="s">
        <v>1413</v>
      </c>
      <c r="D2899" s="58" t="s">
        <v>7756</v>
      </c>
      <c r="E2899" s="60" t="b">
        <v>1</v>
      </c>
      <c r="F2899" s="80" t="s">
        <v>305</v>
      </c>
      <c r="G2899" s="58" t="s">
        <v>7755</v>
      </c>
      <c r="H2899" s="58" t="s">
        <v>1413</v>
      </c>
      <c r="I2899" s="64" t="s">
        <v>7756</v>
      </c>
      <c r="J2899" s="66"/>
      <c r="K2899" s="66"/>
      <c r="L2899" s="68"/>
      <c r="M2899" s="63" t="str">
        <f>HYPERLINK("http://nsgreg.nga.mil/genc/view?v=865472&amp;end_month=12&amp;end_day=31&amp;end_year=2016","Correlation")</f>
        <v>Correlation</v>
      </c>
    </row>
    <row r="2900" spans="1:13" x14ac:dyDescent="0.2">
      <c r="A2900" s="113"/>
      <c r="B2900" s="58" t="s">
        <v>2266</v>
      </c>
      <c r="C2900" s="58" t="s">
        <v>1413</v>
      </c>
      <c r="D2900" s="58" t="s">
        <v>7757</v>
      </c>
      <c r="E2900" s="60" t="b">
        <v>1</v>
      </c>
      <c r="F2900" s="80" t="s">
        <v>305</v>
      </c>
      <c r="G2900" s="58" t="s">
        <v>2266</v>
      </c>
      <c r="H2900" s="58" t="s">
        <v>1413</v>
      </c>
      <c r="I2900" s="64" t="s">
        <v>7757</v>
      </c>
      <c r="J2900" s="66"/>
      <c r="K2900" s="66"/>
      <c r="L2900" s="68"/>
      <c r="M2900" s="63" t="str">
        <f>HYPERLINK("http://nsgreg.nga.mil/genc/view?v=865473&amp;end_month=12&amp;end_day=31&amp;end_year=2016","Correlation")</f>
        <v>Correlation</v>
      </c>
    </row>
    <row r="2901" spans="1:13" x14ac:dyDescent="0.2">
      <c r="A2901" s="113"/>
      <c r="B2901" s="58" t="s">
        <v>7758</v>
      </c>
      <c r="C2901" s="58" t="s">
        <v>1413</v>
      </c>
      <c r="D2901" s="58" t="s">
        <v>7759</v>
      </c>
      <c r="E2901" s="60" t="b">
        <v>1</v>
      </c>
      <c r="F2901" s="80" t="s">
        <v>305</v>
      </c>
      <c r="G2901" s="58" t="s">
        <v>7758</v>
      </c>
      <c r="H2901" s="58" t="s">
        <v>1413</v>
      </c>
      <c r="I2901" s="64" t="s">
        <v>7759</v>
      </c>
      <c r="J2901" s="66"/>
      <c r="K2901" s="66"/>
      <c r="L2901" s="68"/>
      <c r="M2901" s="63" t="str">
        <f>HYPERLINK("http://nsgreg.nga.mil/genc/view?v=865474&amp;end_month=12&amp;end_day=31&amp;end_year=2016","Correlation")</f>
        <v>Correlation</v>
      </c>
    </row>
    <row r="2902" spans="1:13" x14ac:dyDescent="0.2">
      <c r="A2902" s="113"/>
      <c r="B2902" s="58" t="s">
        <v>7760</v>
      </c>
      <c r="C2902" s="58" t="s">
        <v>1413</v>
      </c>
      <c r="D2902" s="58" t="s">
        <v>7761</v>
      </c>
      <c r="E2902" s="60" t="b">
        <v>1</v>
      </c>
      <c r="F2902" s="80" t="s">
        <v>305</v>
      </c>
      <c r="G2902" s="58" t="s">
        <v>7760</v>
      </c>
      <c r="H2902" s="58" t="s">
        <v>1413</v>
      </c>
      <c r="I2902" s="64" t="s">
        <v>7761</v>
      </c>
      <c r="J2902" s="66"/>
      <c r="K2902" s="66"/>
      <c r="L2902" s="68"/>
      <c r="M2902" s="63" t="str">
        <f>HYPERLINK("http://nsgreg.nga.mil/genc/view?v=865475&amp;end_month=12&amp;end_day=31&amp;end_year=2016","Correlation")</f>
        <v>Correlation</v>
      </c>
    </row>
    <row r="2903" spans="1:13" x14ac:dyDescent="0.2">
      <c r="A2903" s="113"/>
      <c r="B2903" s="58" t="s">
        <v>7762</v>
      </c>
      <c r="C2903" s="58" t="s">
        <v>1413</v>
      </c>
      <c r="D2903" s="58" t="s">
        <v>7763</v>
      </c>
      <c r="E2903" s="60" t="b">
        <v>1</v>
      </c>
      <c r="F2903" s="80" t="s">
        <v>305</v>
      </c>
      <c r="G2903" s="58" t="s">
        <v>7762</v>
      </c>
      <c r="H2903" s="58" t="s">
        <v>1413</v>
      </c>
      <c r="I2903" s="64" t="s">
        <v>7763</v>
      </c>
      <c r="J2903" s="66"/>
      <c r="K2903" s="66"/>
      <c r="L2903" s="68"/>
      <c r="M2903" s="63" t="str">
        <f>HYPERLINK("http://nsgreg.nga.mil/genc/view?v=865476&amp;end_month=12&amp;end_day=31&amp;end_year=2016","Correlation")</f>
        <v>Correlation</v>
      </c>
    </row>
    <row r="2904" spans="1:13" x14ac:dyDescent="0.2">
      <c r="A2904" s="113"/>
      <c r="B2904" s="58" t="s">
        <v>7764</v>
      </c>
      <c r="C2904" s="58" t="s">
        <v>1413</v>
      </c>
      <c r="D2904" s="58" t="s">
        <v>7765</v>
      </c>
      <c r="E2904" s="60" t="b">
        <v>1</v>
      </c>
      <c r="F2904" s="80" t="s">
        <v>305</v>
      </c>
      <c r="G2904" s="58" t="s">
        <v>7764</v>
      </c>
      <c r="H2904" s="58" t="s">
        <v>1413</v>
      </c>
      <c r="I2904" s="64" t="s">
        <v>7765</v>
      </c>
      <c r="J2904" s="66"/>
      <c r="K2904" s="66"/>
      <c r="L2904" s="68"/>
      <c r="M2904" s="63" t="str">
        <f>HYPERLINK("http://nsgreg.nga.mil/genc/view?v=865477&amp;end_month=12&amp;end_day=31&amp;end_year=2016","Correlation")</f>
        <v>Correlation</v>
      </c>
    </row>
    <row r="2905" spans="1:13" x14ac:dyDescent="0.2">
      <c r="A2905" s="113"/>
      <c r="B2905" s="58" t="s">
        <v>7766</v>
      </c>
      <c r="C2905" s="58" t="s">
        <v>1413</v>
      </c>
      <c r="D2905" s="58" t="s">
        <v>7767</v>
      </c>
      <c r="E2905" s="60" t="b">
        <v>1</v>
      </c>
      <c r="F2905" s="80" t="s">
        <v>305</v>
      </c>
      <c r="G2905" s="58" t="s">
        <v>7766</v>
      </c>
      <c r="H2905" s="58" t="s">
        <v>1413</v>
      </c>
      <c r="I2905" s="64" t="s">
        <v>7767</v>
      </c>
      <c r="J2905" s="66"/>
      <c r="K2905" s="66"/>
      <c r="L2905" s="68"/>
      <c r="M2905" s="63" t="str">
        <f>HYPERLINK("http://nsgreg.nga.mil/genc/view?v=865478&amp;end_month=12&amp;end_day=31&amp;end_year=2016","Correlation")</f>
        <v>Correlation</v>
      </c>
    </row>
    <row r="2906" spans="1:13" x14ac:dyDescent="0.2">
      <c r="A2906" s="114"/>
      <c r="B2906" s="71" t="s">
        <v>7768</v>
      </c>
      <c r="C2906" s="71" t="s">
        <v>1413</v>
      </c>
      <c r="D2906" s="71" t="s">
        <v>7769</v>
      </c>
      <c r="E2906" s="73" t="b">
        <v>1</v>
      </c>
      <c r="F2906" s="81" t="s">
        <v>305</v>
      </c>
      <c r="G2906" s="71" t="s">
        <v>7768</v>
      </c>
      <c r="H2906" s="71" t="s">
        <v>1413</v>
      </c>
      <c r="I2906" s="74" t="s">
        <v>7769</v>
      </c>
      <c r="J2906" s="76"/>
      <c r="K2906" s="76"/>
      <c r="L2906" s="82"/>
      <c r="M2906" s="77" t="str">
        <f>HYPERLINK("http://nsgreg.nga.mil/genc/view?v=865479&amp;end_month=12&amp;end_day=31&amp;end_year=2016","Correlation")</f>
        <v>Correlation</v>
      </c>
    </row>
    <row r="2907" spans="1:13" x14ac:dyDescent="0.2">
      <c r="A2907" s="112" t="s">
        <v>976</v>
      </c>
      <c r="B2907" s="50" t="s">
        <v>7770</v>
      </c>
      <c r="C2907" s="50" t="s">
        <v>1413</v>
      </c>
      <c r="D2907" s="50" t="s">
        <v>7771</v>
      </c>
      <c r="E2907" s="52" t="b">
        <v>1</v>
      </c>
      <c r="F2907" s="83" t="s">
        <v>167</v>
      </c>
      <c r="G2907" s="83"/>
      <c r="H2907" s="83"/>
      <c r="I2907" s="83"/>
      <c r="J2907" s="83"/>
      <c r="K2907" s="83"/>
      <c r="L2907" s="84"/>
      <c r="M2907" s="56" t="str">
        <f>HYPERLINK("http://nsgreg.nga.mil/genc/view?v=865403&amp;end_month=12&amp;end_day=31&amp;end_year=2016","Correlation")</f>
        <v>Correlation</v>
      </c>
    </row>
    <row r="2908" spans="1:13" x14ac:dyDescent="0.2">
      <c r="A2908" s="113"/>
      <c r="B2908" s="58" t="s">
        <v>7772</v>
      </c>
      <c r="C2908" s="58" t="s">
        <v>1413</v>
      </c>
      <c r="D2908" s="58" t="s">
        <v>7773</v>
      </c>
      <c r="E2908" s="60" t="b">
        <v>1</v>
      </c>
      <c r="F2908" s="61" t="s">
        <v>167</v>
      </c>
      <c r="G2908" s="61"/>
      <c r="H2908" s="61"/>
      <c r="I2908" s="61"/>
      <c r="J2908" s="61"/>
      <c r="K2908" s="61"/>
      <c r="L2908" s="62"/>
      <c r="M2908" s="63" t="str">
        <f>HYPERLINK("http://nsgreg.nga.mil/genc/view?v=865404&amp;end_month=12&amp;end_day=31&amp;end_year=2016","Correlation")</f>
        <v>Correlation</v>
      </c>
    </row>
    <row r="2909" spans="1:13" x14ac:dyDescent="0.2">
      <c r="A2909" s="114"/>
      <c r="B2909" s="71" t="s">
        <v>7774</v>
      </c>
      <c r="C2909" s="71" t="s">
        <v>1413</v>
      </c>
      <c r="D2909" s="71" t="s">
        <v>7775</v>
      </c>
      <c r="E2909" s="73" t="b">
        <v>1</v>
      </c>
      <c r="F2909" s="85" t="s">
        <v>167</v>
      </c>
      <c r="G2909" s="85"/>
      <c r="H2909" s="85"/>
      <c r="I2909" s="85"/>
      <c r="J2909" s="85"/>
      <c r="K2909" s="85"/>
      <c r="L2909" s="86"/>
      <c r="M2909" s="77" t="str">
        <f>HYPERLINK("http://nsgreg.nga.mil/genc/view?v=865405&amp;end_month=12&amp;end_day=31&amp;end_year=2016","Correlation")</f>
        <v>Correlation</v>
      </c>
    </row>
    <row r="2910" spans="1:13" x14ac:dyDescent="0.2">
      <c r="A2910" s="112" t="s">
        <v>982</v>
      </c>
      <c r="B2910" s="50" t="s">
        <v>7776</v>
      </c>
      <c r="C2910" s="50" t="s">
        <v>1728</v>
      </c>
      <c r="D2910" s="50" t="s">
        <v>7777</v>
      </c>
      <c r="E2910" s="52" t="b">
        <v>1</v>
      </c>
      <c r="F2910" s="78" t="s">
        <v>982</v>
      </c>
      <c r="G2910" s="50" t="s">
        <v>7776</v>
      </c>
      <c r="H2910" s="50" t="s">
        <v>1728</v>
      </c>
      <c r="I2910" s="53" t="s">
        <v>7777</v>
      </c>
      <c r="J2910" s="55"/>
      <c r="K2910" s="55"/>
      <c r="L2910" s="79"/>
      <c r="M2910" s="56" t="str">
        <f>HYPERLINK("http://nsgreg.nga.mil/genc/view?v=865532&amp;end_month=12&amp;end_day=31&amp;end_year=2016","Correlation")</f>
        <v>Correlation</v>
      </c>
    </row>
    <row r="2911" spans="1:13" x14ac:dyDescent="0.2">
      <c r="A2911" s="113"/>
      <c r="B2911" s="58" t="s">
        <v>7778</v>
      </c>
      <c r="C2911" s="58" t="s">
        <v>1728</v>
      </c>
      <c r="D2911" s="58" t="s">
        <v>7779</v>
      </c>
      <c r="E2911" s="60" t="b">
        <v>1</v>
      </c>
      <c r="F2911" s="80" t="s">
        <v>982</v>
      </c>
      <c r="G2911" s="58" t="s">
        <v>7778</v>
      </c>
      <c r="H2911" s="58" t="s">
        <v>1728</v>
      </c>
      <c r="I2911" s="64" t="s">
        <v>7779</v>
      </c>
      <c r="J2911" s="66"/>
      <c r="K2911" s="66"/>
      <c r="L2911" s="68"/>
      <c r="M2911" s="63" t="str">
        <f>HYPERLINK("http://nsgreg.nga.mil/genc/view?v=865533&amp;end_month=12&amp;end_day=31&amp;end_year=2016","Correlation")</f>
        <v>Correlation</v>
      </c>
    </row>
    <row r="2912" spans="1:13" x14ac:dyDescent="0.2">
      <c r="A2912" s="113"/>
      <c r="B2912" s="58" t="s">
        <v>7780</v>
      </c>
      <c r="C2912" s="58" t="s">
        <v>1728</v>
      </c>
      <c r="D2912" s="58" t="s">
        <v>7781</v>
      </c>
      <c r="E2912" s="60" t="b">
        <v>1</v>
      </c>
      <c r="F2912" s="80" t="s">
        <v>982</v>
      </c>
      <c r="G2912" s="58" t="s">
        <v>7780</v>
      </c>
      <c r="H2912" s="58" t="s">
        <v>1728</v>
      </c>
      <c r="I2912" s="64" t="s">
        <v>7781</v>
      </c>
      <c r="J2912" s="66"/>
      <c r="K2912" s="66"/>
      <c r="L2912" s="68"/>
      <c r="M2912" s="63" t="str">
        <f>HYPERLINK("http://nsgreg.nga.mil/genc/view?v=865534&amp;end_month=12&amp;end_day=31&amp;end_year=2016","Correlation")</f>
        <v>Correlation</v>
      </c>
    </row>
    <row r="2913" spans="1:13" x14ac:dyDescent="0.2">
      <c r="A2913" s="113"/>
      <c r="B2913" s="58" t="s">
        <v>7782</v>
      </c>
      <c r="C2913" s="58" t="s">
        <v>1796</v>
      </c>
      <c r="D2913" s="58" t="s">
        <v>7783</v>
      </c>
      <c r="E2913" s="60" t="b">
        <v>1</v>
      </c>
      <c r="F2913" s="80" t="s">
        <v>982</v>
      </c>
      <c r="G2913" s="58" t="s">
        <v>7784</v>
      </c>
      <c r="H2913" s="58" t="s">
        <v>7785</v>
      </c>
      <c r="I2913" s="64" t="s">
        <v>7783</v>
      </c>
      <c r="J2913" s="66"/>
      <c r="K2913" s="66"/>
      <c r="L2913" s="68"/>
      <c r="M2913" s="63" t="str">
        <f>HYPERLINK("http://nsgreg.nga.mil/genc/view?v=865535&amp;end_month=12&amp;end_day=31&amp;end_year=2016","Correlation")</f>
        <v>Correlation</v>
      </c>
    </row>
    <row r="2914" spans="1:13" x14ac:dyDescent="0.2">
      <c r="A2914" s="113"/>
      <c r="B2914" s="58" t="s">
        <v>7786</v>
      </c>
      <c r="C2914" s="58" t="s">
        <v>1728</v>
      </c>
      <c r="D2914" s="58" t="s">
        <v>7787</v>
      </c>
      <c r="E2914" s="60" t="b">
        <v>1</v>
      </c>
      <c r="F2914" s="80" t="s">
        <v>982</v>
      </c>
      <c r="G2914" s="58" t="s">
        <v>7786</v>
      </c>
      <c r="H2914" s="58" t="s">
        <v>1728</v>
      </c>
      <c r="I2914" s="64" t="s">
        <v>7787</v>
      </c>
      <c r="J2914" s="66"/>
      <c r="K2914" s="66"/>
      <c r="L2914" s="68"/>
      <c r="M2914" s="63" t="str">
        <f>HYPERLINK("http://nsgreg.nga.mil/genc/view?v=865536&amp;end_month=12&amp;end_day=31&amp;end_year=2016","Correlation")</f>
        <v>Correlation</v>
      </c>
    </row>
    <row r="2915" spans="1:13" x14ac:dyDescent="0.2">
      <c r="A2915" s="113"/>
      <c r="B2915" s="58" t="s">
        <v>7788</v>
      </c>
      <c r="C2915" s="58" t="s">
        <v>1728</v>
      </c>
      <c r="D2915" s="58" t="s">
        <v>7789</v>
      </c>
      <c r="E2915" s="60" t="b">
        <v>1</v>
      </c>
      <c r="F2915" s="80" t="s">
        <v>982</v>
      </c>
      <c r="G2915" s="58" t="s">
        <v>7790</v>
      </c>
      <c r="H2915" s="58" t="s">
        <v>1728</v>
      </c>
      <c r="I2915" s="64" t="s">
        <v>7789</v>
      </c>
      <c r="J2915" s="66"/>
      <c r="K2915" s="66"/>
      <c r="L2915" s="68"/>
      <c r="M2915" s="63" t="str">
        <f>HYPERLINK("http://nsgreg.nga.mil/genc/view?v=865537&amp;end_month=12&amp;end_day=31&amp;end_year=2016","Correlation")</f>
        <v>Correlation</v>
      </c>
    </row>
    <row r="2916" spans="1:13" x14ac:dyDescent="0.2">
      <c r="A2916" s="113"/>
      <c r="B2916" s="58" t="s">
        <v>7791</v>
      </c>
      <c r="C2916" s="58" t="s">
        <v>1728</v>
      </c>
      <c r="D2916" s="58" t="s">
        <v>7792</v>
      </c>
      <c r="E2916" s="60" t="b">
        <v>1</v>
      </c>
      <c r="F2916" s="80" t="s">
        <v>982</v>
      </c>
      <c r="G2916" s="58" t="s">
        <v>7791</v>
      </c>
      <c r="H2916" s="58" t="s">
        <v>1728</v>
      </c>
      <c r="I2916" s="64" t="s">
        <v>7792</v>
      </c>
      <c r="J2916" s="66"/>
      <c r="K2916" s="66"/>
      <c r="L2916" s="68"/>
      <c r="M2916" s="63" t="str">
        <f>HYPERLINK("http://nsgreg.nga.mil/genc/view?v=865539&amp;end_month=12&amp;end_day=31&amp;end_year=2016","Correlation")</f>
        <v>Correlation</v>
      </c>
    </row>
    <row r="2917" spans="1:13" x14ac:dyDescent="0.2">
      <c r="A2917" s="113"/>
      <c r="B2917" s="58" t="s">
        <v>7793</v>
      </c>
      <c r="C2917" s="58" t="s">
        <v>1728</v>
      </c>
      <c r="D2917" s="58" t="s">
        <v>7794</v>
      </c>
      <c r="E2917" s="60" t="b">
        <v>1</v>
      </c>
      <c r="F2917" s="80" t="s">
        <v>982</v>
      </c>
      <c r="G2917" s="58" t="s">
        <v>7795</v>
      </c>
      <c r="H2917" s="58" t="s">
        <v>1728</v>
      </c>
      <c r="I2917" s="64" t="s">
        <v>7794</v>
      </c>
      <c r="J2917" s="66"/>
      <c r="K2917" s="66"/>
      <c r="L2917" s="68"/>
      <c r="M2917" s="63" t="str">
        <f>HYPERLINK("http://nsgreg.nga.mil/genc/view?v=865538&amp;end_month=12&amp;end_day=31&amp;end_year=2016","Correlation")</f>
        <v>Correlation</v>
      </c>
    </row>
    <row r="2918" spans="1:13" x14ac:dyDescent="0.2">
      <c r="A2918" s="113"/>
      <c r="B2918" s="58" t="s">
        <v>7796</v>
      </c>
      <c r="C2918" s="58" t="s">
        <v>1728</v>
      </c>
      <c r="D2918" s="58" t="s">
        <v>7797</v>
      </c>
      <c r="E2918" s="60" t="b">
        <v>1</v>
      </c>
      <c r="F2918" s="80" t="s">
        <v>982</v>
      </c>
      <c r="G2918" s="58" t="s">
        <v>7796</v>
      </c>
      <c r="H2918" s="58" t="s">
        <v>1728</v>
      </c>
      <c r="I2918" s="64" t="s">
        <v>7797</v>
      </c>
      <c r="J2918" s="66"/>
      <c r="K2918" s="66"/>
      <c r="L2918" s="68"/>
      <c r="M2918" s="63" t="str">
        <f>HYPERLINK("http://nsgreg.nga.mil/genc/view?v=865540&amp;end_month=12&amp;end_day=31&amp;end_year=2016","Correlation")</f>
        <v>Correlation</v>
      </c>
    </row>
    <row r="2919" spans="1:13" x14ac:dyDescent="0.2">
      <c r="A2919" s="113"/>
      <c r="B2919" s="58" t="s">
        <v>7798</v>
      </c>
      <c r="C2919" s="58" t="s">
        <v>1728</v>
      </c>
      <c r="D2919" s="58" t="s">
        <v>7799</v>
      </c>
      <c r="E2919" s="60" t="b">
        <v>1</v>
      </c>
      <c r="F2919" s="80" t="s">
        <v>982</v>
      </c>
      <c r="G2919" s="58" t="s">
        <v>7798</v>
      </c>
      <c r="H2919" s="58" t="s">
        <v>1728</v>
      </c>
      <c r="I2919" s="64" t="s">
        <v>7799</v>
      </c>
      <c r="J2919" s="66"/>
      <c r="K2919" s="66"/>
      <c r="L2919" s="68"/>
      <c r="M2919" s="63" t="str">
        <f>HYPERLINK("http://nsgreg.nga.mil/genc/view?v=865541&amp;end_month=12&amp;end_day=31&amp;end_year=2016","Correlation")</f>
        <v>Correlation</v>
      </c>
    </row>
    <row r="2920" spans="1:13" x14ac:dyDescent="0.2">
      <c r="A2920" s="113"/>
      <c r="B2920" s="58" t="s">
        <v>7800</v>
      </c>
      <c r="C2920" s="58" t="s">
        <v>1728</v>
      </c>
      <c r="D2920" s="58" t="s">
        <v>7801</v>
      </c>
      <c r="E2920" s="60" t="b">
        <v>1</v>
      </c>
      <c r="F2920" s="80" t="s">
        <v>982</v>
      </c>
      <c r="G2920" s="58" t="s">
        <v>7800</v>
      </c>
      <c r="H2920" s="58" t="s">
        <v>1728</v>
      </c>
      <c r="I2920" s="64" t="s">
        <v>7801</v>
      </c>
      <c r="J2920" s="66"/>
      <c r="K2920" s="66"/>
      <c r="L2920" s="68"/>
      <c r="M2920" s="63" t="str">
        <f>HYPERLINK("http://nsgreg.nga.mil/genc/view?v=865542&amp;end_month=12&amp;end_day=31&amp;end_year=2016","Correlation")</f>
        <v>Correlation</v>
      </c>
    </row>
    <row r="2921" spans="1:13" x14ac:dyDescent="0.2">
      <c r="A2921" s="113"/>
      <c r="B2921" s="58" t="s">
        <v>7802</v>
      </c>
      <c r="C2921" s="58" t="s">
        <v>1728</v>
      </c>
      <c r="D2921" s="58" t="s">
        <v>7803</v>
      </c>
      <c r="E2921" s="60" t="b">
        <v>1</v>
      </c>
      <c r="F2921" s="80" t="s">
        <v>982</v>
      </c>
      <c r="G2921" s="58" t="s">
        <v>7802</v>
      </c>
      <c r="H2921" s="58" t="s">
        <v>1728</v>
      </c>
      <c r="I2921" s="64" t="s">
        <v>7803</v>
      </c>
      <c r="J2921" s="66"/>
      <c r="K2921" s="66"/>
      <c r="L2921" s="68"/>
      <c r="M2921" s="63" t="str">
        <f>HYPERLINK("http://nsgreg.nga.mil/genc/view?v=865543&amp;end_month=12&amp;end_day=31&amp;end_year=2016","Correlation")</f>
        <v>Correlation</v>
      </c>
    </row>
    <row r="2922" spans="1:13" x14ac:dyDescent="0.2">
      <c r="A2922" s="113"/>
      <c r="B2922" s="58" t="s">
        <v>7804</v>
      </c>
      <c r="C2922" s="58" t="s">
        <v>1728</v>
      </c>
      <c r="D2922" s="58" t="s">
        <v>7805</v>
      </c>
      <c r="E2922" s="60" t="b">
        <v>1</v>
      </c>
      <c r="F2922" s="80" t="s">
        <v>982</v>
      </c>
      <c r="G2922" s="58" t="s">
        <v>7804</v>
      </c>
      <c r="H2922" s="58" t="s">
        <v>1728</v>
      </c>
      <c r="I2922" s="64" t="s">
        <v>7805</v>
      </c>
      <c r="J2922" s="66"/>
      <c r="K2922" s="66"/>
      <c r="L2922" s="68"/>
      <c r="M2922" s="63" t="str">
        <f>HYPERLINK("http://nsgreg.nga.mil/genc/view?v=865545&amp;end_month=12&amp;end_day=31&amp;end_year=2016","Correlation")</f>
        <v>Correlation</v>
      </c>
    </row>
    <row r="2923" spans="1:13" x14ac:dyDescent="0.2">
      <c r="A2923" s="113"/>
      <c r="B2923" s="58" t="s">
        <v>7806</v>
      </c>
      <c r="C2923" s="58" t="s">
        <v>1728</v>
      </c>
      <c r="D2923" s="58" t="s">
        <v>7807</v>
      </c>
      <c r="E2923" s="60" t="b">
        <v>1</v>
      </c>
      <c r="F2923" s="80" t="s">
        <v>982</v>
      </c>
      <c r="G2923" s="58" t="s">
        <v>7806</v>
      </c>
      <c r="H2923" s="58" t="s">
        <v>1728</v>
      </c>
      <c r="I2923" s="64" t="s">
        <v>7807</v>
      </c>
      <c r="J2923" s="66"/>
      <c r="K2923" s="66"/>
      <c r="L2923" s="68"/>
      <c r="M2923" s="63" t="str">
        <f>HYPERLINK("http://nsgreg.nga.mil/genc/view?v=865544&amp;end_month=12&amp;end_day=31&amp;end_year=2016","Correlation")</f>
        <v>Correlation</v>
      </c>
    </row>
    <row r="2924" spans="1:13" x14ac:dyDescent="0.2">
      <c r="A2924" s="113"/>
      <c r="B2924" s="58" t="s">
        <v>7808</v>
      </c>
      <c r="C2924" s="58" t="s">
        <v>1728</v>
      </c>
      <c r="D2924" s="58" t="s">
        <v>7809</v>
      </c>
      <c r="E2924" s="60" t="b">
        <v>1</v>
      </c>
      <c r="F2924" s="80" t="s">
        <v>982</v>
      </c>
      <c r="G2924" s="58" t="s">
        <v>7808</v>
      </c>
      <c r="H2924" s="58" t="s">
        <v>1728</v>
      </c>
      <c r="I2924" s="64" t="s">
        <v>7809</v>
      </c>
      <c r="J2924" s="66"/>
      <c r="K2924" s="66"/>
      <c r="L2924" s="68"/>
      <c r="M2924" s="63" t="str">
        <f>HYPERLINK("http://nsgreg.nga.mil/genc/view?v=865547&amp;end_month=12&amp;end_day=31&amp;end_year=2016","Correlation")</f>
        <v>Correlation</v>
      </c>
    </row>
    <row r="2925" spans="1:13" x14ac:dyDescent="0.2">
      <c r="A2925" s="113"/>
      <c r="B2925" s="58" t="s">
        <v>7810</v>
      </c>
      <c r="C2925" s="58" t="s">
        <v>1728</v>
      </c>
      <c r="D2925" s="58" t="s">
        <v>7811</v>
      </c>
      <c r="E2925" s="60" t="b">
        <v>1</v>
      </c>
      <c r="F2925" s="80" t="s">
        <v>982</v>
      </c>
      <c r="G2925" s="58" t="s">
        <v>7810</v>
      </c>
      <c r="H2925" s="58" t="s">
        <v>1728</v>
      </c>
      <c r="I2925" s="64" t="s">
        <v>7811</v>
      </c>
      <c r="J2925" s="66"/>
      <c r="K2925" s="66"/>
      <c r="L2925" s="68"/>
      <c r="M2925" s="63" t="str">
        <f>HYPERLINK("http://nsgreg.nga.mil/genc/view?v=865546&amp;end_month=12&amp;end_day=31&amp;end_year=2016","Correlation")</f>
        <v>Correlation</v>
      </c>
    </row>
    <row r="2926" spans="1:13" x14ac:dyDescent="0.2">
      <c r="A2926" s="114"/>
      <c r="B2926" s="71" t="s">
        <v>4392</v>
      </c>
      <c r="C2926" s="71" t="s">
        <v>1728</v>
      </c>
      <c r="D2926" s="71" t="s">
        <v>7812</v>
      </c>
      <c r="E2926" s="73" t="b">
        <v>1</v>
      </c>
      <c r="F2926" s="81" t="s">
        <v>982</v>
      </c>
      <c r="G2926" s="71" t="s">
        <v>4392</v>
      </c>
      <c r="H2926" s="71" t="s">
        <v>1728</v>
      </c>
      <c r="I2926" s="74" t="s">
        <v>7812</v>
      </c>
      <c r="J2926" s="76"/>
      <c r="K2926" s="76"/>
      <c r="L2926" s="82"/>
      <c r="M2926" s="77" t="str">
        <f>HYPERLINK("http://nsgreg.nga.mil/genc/view?v=865548&amp;end_month=12&amp;end_day=31&amp;end_year=2016","Correlation")</f>
        <v>Correlation</v>
      </c>
    </row>
    <row r="2927" spans="1:13" x14ac:dyDescent="0.2">
      <c r="A2927" s="112" t="s">
        <v>986</v>
      </c>
      <c r="B2927" s="50" t="s">
        <v>7813</v>
      </c>
      <c r="C2927" s="50" t="s">
        <v>2294</v>
      </c>
      <c r="D2927" s="50" t="s">
        <v>7814</v>
      </c>
      <c r="E2927" s="52" t="b">
        <v>1</v>
      </c>
      <c r="F2927" s="78" t="s">
        <v>986</v>
      </c>
      <c r="G2927" s="50" t="s">
        <v>7813</v>
      </c>
      <c r="H2927" s="50" t="s">
        <v>2294</v>
      </c>
      <c r="I2927" s="53" t="s">
        <v>7814</v>
      </c>
      <c r="J2927" s="55"/>
      <c r="K2927" s="55"/>
      <c r="L2927" s="79"/>
      <c r="M2927" s="56" t="str">
        <f>HYPERLINK("http://nsgreg.nga.mil/genc/view?v=865453&amp;end_month=12&amp;end_day=31&amp;end_year=2016","Correlation")</f>
        <v>Correlation</v>
      </c>
    </row>
    <row r="2928" spans="1:13" x14ac:dyDescent="0.2">
      <c r="A2928" s="113"/>
      <c r="B2928" s="58" t="s">
        <v>7815</v>
      </c>
      <c r="C2928" s="58" t="s">
        <v>2294</v>
      </c>
      <c r="D2928" s="58" t="s">
        <v>7816</v>
      </c>
      <c r="E2928" s="60" t="b">
        <v>1</v>
      </c>
      <c r="F2928" s="80" t="s">
        <v>986</v>
      </c>
      <c r="G2928" s="58" t="s">
        <v>7815</v>
      </c>
      <c r="H2928" s="58" t="s">
        <v>2294</v>
      </c>
      <c r="I2928" s="64" t="s">
        <v>7816</v>
      </c>
      <c r="J2928" s="66"/>
      <c r="K2928" s="66"/>
      <c r="L2928" s="68"/>
      <c r="M2928" s="63" t="str">
        <f>HYPERLINK("http://nsgreg.nga.mil/genc/view?v=865454&amp;end_month=12&amp;end_day=31&amp;end_year=2016","Correlation")</f>
        <v>Correlation</v>
      </c>
    </row>
    <row r="2929" spans="1:13" x14ac:dyDescent="0.2">
      <c r="A2929" s="113"/>
      <c r="B2929" s="58" t="s">
        <v>7817</v>
      </c>
      <c r="C2929" s="58" t="s">
        <v>3080</v>
      </c>
      <c r="D2929" s="58" t="s">
        <v>7818</v>
      </c>
      <c r="E2929" s="60" t="b">
        <v>1</v>
      </c>
      <c r="F2929" s="80" t="s">
        <v>986</v>
      </c>
      <c r="G2929" s="58" t="s">
        <v>7819</v>
      </c>
      <c r="H2929" s="58" t="s">
        <v>3080</v>
      </c>
      <c r="I2929" s="64" t="s">
        <v>7818</v>
      </c>
      <c r="J2929" s="66"/>
      <c r="K2929" s="66"/>
      <c r="L2929" s="68"/>
      <c r="M2929" s="63" t="str">
        <f>HYPERLINK("http://nsgreg.nga.mil/genc/view?v=865451&amp;end_month=12&amp;end_day=31&amp;end_year=2016","Correlation")</f>
        <v>Correlation</v>
      </c>
    </row>
    <row r="2930" spans="1:13" x14ac:dyDescent="0.2">
      <c r="A2930" s="113"/>
      <c r="B2930" s="58" t="s">
        <v>7820</v>
      </c>
      <c r="C2930" s="58" t="s">
        <v>3080</v>
      </c>
      <c r="D2930" s="58" t="s">
        <v>7821</v>
      </c>
      <c r="E2930" s="60" t="b">
        <v>1</v>
      </c>
      <c r="F2930" s="80" t="s">
        <v>986</v>
      </c>
      <c r="G2930" s="58" t="s">
        <v>7822</v>
      </c>
      <c r="H2930" s="58" t="s">
        <v>3080</v>
      </c>
      <c r="I2930" s="64" t="s">
        <v>7821</v>
      </c>
      <c r="J2930" s="66"/>
      <c r="K2930" s="66"/>
      <c r="L2930" s="68"/>
      <c r="M2930" s="63" t="str">
        <f>HYPERLINK("http://nsgreg.nga.mil/genc/view?v=865452&amp;end_month=12&amp;end_day=31&amp;end_year=2016","Correlation")</f>
        <v>Correlation</v>
      </c>
    </row>
    <row r="2931" spans="1:13" x14ac:dyDescent="0.2">
      <c r="A2931" s="113"/>
      <c r="B2931" s="58" t="s">
        <v>7823</v>
      </c>
      <c r="C2931" s="58" t="s">
        <v>2294</v>
      </c>
      <c r="D2931" s="58" t="s">
        <v>7824</v>
      </c>
      <c r="E2931" s="60" t="b">
        <v>1</v>
      </c>
      <c r="F2931" s="80" t="s">
        <v>986</v>
      </c>
      <c r="G2931" s="58" t="s">
        <v>7823</v>
      </c>
      <c r="H2931" s="58" t="s">
        <v>2294</v>
      </c>
      <c r="I2931" s="64" t="s">
        <v>7824</v>
      </c>
      <c r="J2931" s="66"/>
      <c r="K2931" s="66"/>
      <c r="L2931" s="68"/>
      <c r="M2931" s="63" t="str">
        <f>HYPERLINK("http://nsgreg.nga.mil/genc/view?v=865455&amp;end_month=12&amp;end_day=31&amp;end_year=2016","Correlation")</f>
        <v>Correlation</v>
      </c>
    </row>
    <row r="2932" spans="1:13" x14ac:dyDescent="0.2">
      <c r="A2932" s="113"/>
      <c r="B2932" s="58" t="s">
        <v>7825</v>
      </c>
      <c r="C2932" s="58" t="s">
        <v>2294</v>
      </c>
      <c r="D2932" s="58" t="s">
        <v>7826</v>
      </c>
      <c r="E2932" s="60" t="b">
        <v>1</v>
      </c>
      <c r="F2932" s="80" t="s">
        <v>986</v>
      </c>
      <c r="G2932" s="58" t="s">
        <v>7825</v>
      </c>
      <c r="H2932" s="58" t="s">
        <v>2294</v>
      </c>
      <c r="I2932" s="64" t="s">
        <v>7826</v>
      </c>
      <c r="J2932" s="66"/>
      <c r="K2932" s="66"/>
      <c r="L2932" s="68"/>
      <c r="M2932" s="63" t="str">
        <f>HYPERLINK("http://nsgreg.nga.mil/genc/view?v=865456&amp;end_month=12&amp;end_day=31&amp;end_year=2016","Correlation")</f>
        <v>Correlation</v>
      </c>
    </row>
    <row r="2933" spans="1:13" x14ac:dyDescent="0.2">
      <c r="A2933" s="113"/>
      <c r="B2933" s="58" t="s">
        <v>7827</v>
      </c>
      <c r="C2933" s="58" t="s">
        <v>2294</v>
      </c>
      <c r="D2933" s="58" t="s">
        <v>7828</v>
      </c>
      <c r="E2933" s="60" t="b">
        <v>1</v>
      </c>
      <c r="F2933" s="80" t="s">
        <v>986</v>
      </c>
      <c r="G2933" s="58" t="s">
        <v>7827</v>
      </c>
      <c r="H2933" s="58" t="s">
        <v>2294</v>
      </c>
      <c r="I2933" s="64" t="s">
        <v>7828</v>
      </c>
      <c r="J2933" s="66"/>
      <c r="K2933" s="66"/>
      <c r="L2933" s="68"/>
      <c r="M2933" s="63" t="str">
        <f>HYPERLINK("http://nsgreg.nga.mil/genc/view?v=865457&amp;end_month=12&amp;end_day=31&amp;end_year=2016","Correlation")</f>
        <v>Correlation</v>
      </c>
    </row>
    <row r="2934" spans="1:13" x14ac:dyDescent="0.2">
      <c r="A2934" s="113"/>
      <c r="B2934" s="58" t="s">
        <v>7829</v>
      </c>
      <c r="C2934" s="58" t="s">
        <v>2294</v>
      </c>
      <c r="D2934" s="58" t="s">
        <v>7830</v>
      </c>
      <c r="E2934" s="60" t="b">
        <v>1</v>
      </c>
      <c r="F2934" s="80" t="s">
        <v>986</v>
      </c>
      <c r="G2934" s="58" t="s">
        <v>7829</v>
      </c>
      <c r="H2934" s="58" t="s">
        <v>2294</v>
      </c>
      <c r="I2934" s="64" t="s">
        <v>7830</v>
      </c>
      <c r="J2934" s="66"/>
      <c r="K2934" s="66"/>
      <c r="L2934" s="68"/>
      <c r="M2934" s="63" t="str">
        <f>HYPERLINK("http://nsgreg.nga.mil/genc/view?v=865458&amp;end_month=12&amp;end_day=31&amp;end_year=2016","Correlation")</f>
        <v>Correlation</v>
      </c>
    </row>
    <row r="2935" spans="1:13" x14ac:dyDescent="0.2">
      <c r="A2935" s="113"/>
      <c r="B2935" s="58" t="s">
        <v>7831</v>
      </c>
      <c r="C2935" s="58" t="s">
        <v>2294</v>
      </c>
      <c r="D2935" s="58" t="s">
        <v>7832</v>
      </c>
      <c r="E2935" s="60" t="b">
        <v>1</v>
      </c>
      <c r="F2935" s="80" t="s">
        <v>986</v>
      </c>
      <c r="G2935" s="58" t="s">
        <v>7831</v>
      </c>
      <c r="H2935" s="58" t="s">
        <v>2294</v>
      </c>
      <c r="I2935" s="64" t="s">
        <v>7832</v>
      </c>
      <c r="J2935" s="66"/>
      <c r="K2935" s="66"/>
      <c r="L2935" s="68"/>
      <c r="M2935" s="63" t="str">
        <f>HYPERLINK("http://nsgreg.nga.mil/genc/view?v=865459&amp;end_month=12&amp;end_day=31&amp;end_year=2016","Correlation")</f>
        <v>Correlation</v>
      </c>
    </row>
    <row r="2936" spans="1:13" x14ac:dyDescent="0.2">
      <c r="A2936" s="113"/>
      <c r="B2936" s="58" t="s">
        <v>7833</v>
      </c>
      <c r="C2936" s="58" t="s">
        <v>2294</v>
      </c>
      <c r="D2936" s="58" t="s">
        <v>7834</v>
      </c>
      <c r="E2936" s="60" t="b">
        <v>1</v>
      </c>
      <c r="F2936" s="80" t="s">
        <v>986</v>
      </c>
      <c r="G2936" s="58" t="s">
        <v>7833</v>
      </c>
      <c r="H2936" s="58" t="s">
        <v>2294</v>
      </c>
      <c r="I2936" s="64" t="s">
        <v>7834</v>
      </c>
      <c r="J2936" s="66"/>
      <c r="K2936" s="66"/>
      <c r="L2936" s="68"/>
      <c r="M2936" s="63" t="str">
        <f>HYPERLINK("http://nsgreg.nga.mil/genc/view?v=865460&amp;end_month=12&amp;end_day=31&amp;end_year=2016","Correlation")</f>
        <v>Correlation</v>
      </c>
    </row>
    <row r="2937" spans="1:13" x14ac:dyDescent="0.2">
      <c r="A2937" s="113"/>
      <c r="B2937" s="58" t="s">
        <v>7835</v>
      </c>
      <c r="C2937" s="58" t="s">
        <v>2294</v>
      </c>
      <c r="D2937" s="58" t="s">
        <v>7836</v>
      </c>
      <c r="E2937" s="60" t="b">
        <v>1</v>
      </c>
      <c r="F2937" s="80" t="s">
        <v>986</v>
      </c>
      <c r="G2937" s="58" t="s">
        <v>7835</v>
      </c>
      <c r="H2937" s="58" t="s">
        <v>2294</v>
      </c>
      <c r="I2937" s="64" t="s">
        <v>7836</v>
      </c>
      <c r="J2937" s="66"/>
      <c r="K2937" s="66"/>
      <c r="L2937" s="68"/>
      <c r="M2937" s="63" t="str">
        <f>HYPERLINK("http://nsgreg.nga.mil/genc/view?v=865461&amp;end_month=12&amp;end_day=31&amp;end_year=2016","Correlation")</f>
        <v>Correlation</v>
      </c>
    </row>
    <row r="2938" spans="1:13" x14ac:dyDescent="0.2">
      <c r="A2938" s="113"/>
      <c r="B2938" s="58" t="s">
        <v>7837</v>
      </c>
      <c r="C2938" s="58" t="s">
        <v>2294</v>
      </c>
      <c r="D2938" s="58" t="s">
        <v>7838</v>
      </c>
      <c r="E2938" s="60" t="b">
        <v>1</v>
      </c>
      <c r="F2938" s="80" t="s">
        <v>986</v>
      </c>
      <c r="G2938" s="58" t="s">
        <v>7837</v>
      </c>
      <c r="H2938" s="58" t="s">
        <v>2294</v>
      </c>
      <c r="I2938" s="64" t="s">
        <v>7838</v>
      </c>
      <c r="J2938" s="66"/>
      <c r="K2938" s="66"/>
      <c r="L2938" s="68"/>
      <c r="M2938" s="63" t="str">
        <f>HYPERLINK("http://nsgreg.nga.mil/genc/view?v=865462&amp;end_month=12&amp;end_day=31&amp;end_year=2016","Correlation")</f>
        <v>Correlation</v>
      </c>
    </row>
    <row r="2939" spans="1:13" x14ac:dyDescent="0.2">
      <c r="A2939" s="113"/>
      <c r="B2939" s="58" t="s">
        <v>7839</v>
      </c>
      <c r="C2939" s="58" t="s">
        <v>2294</v>
      </c>
      <c r="D2939" s="58" t="s">
        <v>7840</v>
      </c>
      <c r="E2939" s="60" t="b">
        <v>1</v>
      </c>
      <c r="F2939" s="80" t="s">
        <v>986</v>
      </c>
      <c r="G2939" s="58" t="s">
        <v>7839</v>
      </c>
      <c r="H2939" s="58" t="s">
        <v>2294</v>
      </c>
      <c r="I2939" s="64" t="s">
        <v>7840</v>
      </c>
      <c r="J2939" s="66"/>
      <c r="K2939" s="66"/>
      <c r="L2939" s="68"/>
      <c r="M2939" s="63" t="str">
        <f>HYPERLINK("http://nsgreg.nga.mil/genc/view?v=865463&amp;end_month=12&amp;end_day=31&amp;end_year=2016","Correlation")</f>
        <v>Correlation</v>
      </c>
    </row>
    <row r="2940" spans="1:13" x14ac:dyDescent="0.2">
      <c r="A2940" s="113"/>
      <c r="B2940" s="58" t="s">
        <v>7841</v>
      </c>
      <c r="C2940" s="58" t="s">
        <v>2294</v>
      </c>
      <c r="D2940" s="58" t="s">
        <v>7842</v>
      </c>
      <c r="E2940" s="60" t="b">
        <v>1</v>
      </c>
      <c r="F2940" s="80" t="s">
        <v>986</v>
      </c>
      <c r="G2940" s="58" t="s">
        <v>7841</v>
      </c>
      <c r="H2940" s="58" t="s">
        <v>2294</v>
      </c>
      <c r="I2940" s="64" t="s">
        <v>7842</v>
      </c>
      <c r="J2940" s="66"/>
      <c r="K2940" s="66"/>
      <c r="L2940" s="68"/>
      <c r="M2940" s="63" t="str">
        <f>HYPERLINK("http://nsgreg.nga.mil/genc/view?v=865464&amp;end_month=12&amp;end_day=31&amp;end_year=2016","Correlation")</f>
        <v>Correlation</v>
      </c>
    </row>
    <row r="2941" spans="1:13" x14ac:dyDescent="0.2">
      <c r="A2941" s="113"/>
      <c r="B2941" s="58" t="s">
        <v>7843</v>
      </c>
      <c r="C2941" s="58" t="s">
        <v>2294</v>
      </c>
      <c r="D2941" s="58" t="s">
        <v>7844</v>
      </c>
      <c r="E2941" s="60" t="b">
        <v>1</v>
      </c>
      <c r="F2941" s="80" t="s">
        <v>986</v>
      </c>
      <c r="G2941" s="58" t="s">
        <v>7843</v>
      </c>
      <c r="H2941" s="58" t="s">
        <v>2294</v>
      </c>
      <c r="I2941" s="64" t="s">
        <v>7844</v>
      </c>
      <c r="J2941" s="66"/>
      <c r="K2941" s="66"/>
      <c r="L2941" s="68"/>
      <c r="M2941" s="63" t="str">
        <f>HYPERLINK("http://nsgreg.nga.mil/genc/view?v=865465&amp;end_month=12&amp;end_day=31&amp;end_year=2016","Correlation")</f>
        <v>Correlation</v>
      </c>
    </row>
    <row r="2942" spans="1:13" x14ac:dyDescent="0.2">
      <c r="A2942" s="113"/>
      <c r="B2942" s="58" t="s">
        <v>7845</v>
      </c>
      <c r="C2942" s="58" t="s">
        <v>2294</v>
      </c>
      <c r="D2942" s="58" t="s">
        <v>7846</v>
      </c>
      <c r="E2942" s="60" t="b">
        <v>1</v>
      </c>
      <c r="F2942" s="80" t="s">
        <v>986</v>
      </c>
      <c r="G2942" s="58" t="s">
        <v>7845</v>
      </c>
      <c r="H2942" s="58" t="s">
        <v>2294</v>
      </c>
      <c r="I2942" s="64" t="s">
        <v>7846</v>
      </c>
      <c r="J2942" s="66"/>
      <c r="K2942" s="66"/>
      <c r="L2942" s="68"/>
      <c r="M2942" s="63" t="str">
        <f>HYPERLINK("http://nsgreg.nga.mil/genc/view?v=865467&amp;end_month=12&amp;end_day=31&amp;end_year=2016","Correlation")</f>
        <v>Correlation</v>
      </c>
    </row>
    <row r="2943" spans="1:13" x14ac:dyDescent="0.2">
      <c r="A2943" s="114"/>
      <c r="B2943" s="71" t="s">
        <v>7847</v>
      </c>
      <c r="C2943" s="71" t="s">
        <v>2294</v>
      </c>
      <c r="D2943" s="71" t="s">
        <v>7848</v>
      </c>
      <c r="E2943" s="73" t="b">
        <v>1</v>
      </c>
      <c r="F2943" s="81" t="s">
        <v>986</v>
      </c>
      <c r="G2943" s="71" t="s">
        <v>7847</v>
      </c>
      <c r="H2943" s="71" t="s">
        <v>2294</v>
      </c>
      <c r="I2943" s="74" t="s">
        <v>7848</v>
      </c>
      <c r="J2943" s="76"/>
      <c r="K2943" s="76"/>
      <c r="L2943" s="82"/>
      <c r="M2943" s="77" t="str">
        <f>HYPERLINK("http://nsgreg.nga.mil/genc/view?v=865466&amp;end_month=12&amp;end_day=31&amp;end_year=2016","Correlation")</f>
        <v>Correlation</v>
      </c>
    </row>
    <row r="2944" spans="1:13" x14ac:dyDescent="0.2">
      <c r="A2944" s="112" t="s">
        <v>990</v>
      </c>
      <c r="B2944" s="50" t="s">
        <v>7849</v>
      </c>
      <c r="C2944" s="50" t="s">
        <v>1728</v>
      </c>
      <c r="D2944" s="50" t="s">
        <v>7850</v>
      </c>
      <c r="E2944" s="52" t="b">
        <v>1</v>
      </c>
      <c r="F2944" s="78" t="s">
        <v>990</v>
      </c>
      <c r="G2944" s="50" t="s">
        <v>7849</v>
      </c>
      <c r="H2944" s="50" t="s">
        <v>1728</v>
      </c>
      <c r="I2944" s="53" t="s">
        <v>7850</v>
      </c>
      <c r="J2944" s="55"/>
      <c r="K2944" s="55"/>
      <c r="L2944" s="79"/>
      <c r="M2944" s="56" t="str">
        <f>HYPERLINK("http://nsgreg.nga.mil/genc/view?v=865406&amp;end_month=12&amp;end_day=31&amp;end_year=2016","Correlation")</f>
        <v>Correlation</v>
      </c>
    </row>
    <row r="2945" spans="1:13" x14ac:dyDescent="0.2">
      <c r="A2945" s="113"/>
      <c r="B2945" s="58" t="s">
        <v>7851</v>
      </c>
      <c r="C2945" s="58" t="s">
        <v>1728</v>
      </c>
      <c r="D2945" s="58" t="s">
        <v>7852</v>
      </c>
      <c r="E2945" s="60" t="b">
        <v>1</v>
      </c>
      <c r="F2945" s="80" t="s">
        <v>990</v>
      </c>
      <c r="G2945" s="58" t="s">
        <v>7851</v>
      </c>
      <c r="H2945" s="58" t="s">
        <v>1728</v>
      </c>
      <c r="I2945" s="64" t="s">
        <v>7852</v>
      </c>
      <c r="J2945" s="66"/>
      <c r="K2945" s="66"/>
      <c r="L2945" s="68"/>
      <c r="M2945" s="63" t="str">
        <f>HYPERLINK("http://nsgreg.nga.mil/genc/view?v=865407&amp;end_month=12&amp;end_day=31&amp;end_year=2016","Correlation")</f>
        <v>Correlation</v>
      </c>
    </row>
    <row r="2946" spans="1:13" x14ac:dyDescent="0.2">
      <c r="A2946" s="113"/>
      <c r="B2946" s="58" t="s">
        <v>7853</v>
      </c>
      <c r="C2946" s="58" t="s">
        <v>1728</v>
      </c>
      <c r="D2946" s="58" t="s">
        <v>7854</v>
      </c>
      <c r="E2946" s="60" t="b">
        <v>1</v>
      </c>
      <c r="F2946" s="80" t="s">
        <v>990</v>
      </c>
      <c r="G2946" s="58" t="s">
        <v>7853</v>
      </c>
      <c r="H2946" s="58" t="s">
        <v>1728</v>
      </c>
      <c r="I2946" s="64" t="s">
        <v>7854</v>
      </c>
      <c r="J2946" s="66"/>
      <c r="K2946" s="66"/>
      <c r="L2946" s="68"/>
      <c r="M2946" s="63" t="str">
        <f>HYPERLINK("http://nsgreg.nga.mil/genc/view?v=865408&amp;end_month=12&amp;end_day=31&amp;end_year=2016","Correlation")</f>
        <v>Correlation</v>
      </c>
    </row>
    <row r="2947" spans="1:13" x14ac:dyDescent="0.2">
      <c r="A2947" s="113"/>
      <c r="B2947" s="58" t="s">
        <v>7855</v>
      </c>
      <c r="C2947" s="58" t="s">
        <v>1728</v>
      </c>
      <c r="D2947" s="58" t="s">
        <v>7856</v>
      </c>
      <c r="E2947" s="60" t="b">
        <v>1</v>
      </c>
      <c r="F2947" s="80" t="s">
        <v>990</v>
      </c>
      <c r="G2947" s="58" t="s">
        <v>7855</v>
      </c>
      <c r="H2947" s="58" t="s">
        <v>1728</v>
      </c>
      <c r="I2947" s="64" t="s">
        <v>7856</v>
      </c>
      <c r="J2947" s="66"/>
      <c r="K2947" s="66"/>
      <c r="L2947" s="68"/>
      <c r="M2947" s="63" t="str">
        <f>HYPERLINK("http://nsgreg.nga.mil/genc/view?v=865409&amp;end_month=12&amp;end_day=31&amp;end_year=2016","Correlation")</f>
        <v>Correlation</v>
      </c>
    </row>
    <row r="2948" spans="1:13" x14ac:dyDescent="0.2">
      <c r="A2948" s="113"/>
      <c r="B2948" s="58" t="s">
        <v>7857</v>
      </c>
      <c r="C2948" s="58" t="s">
        <v>3080</v>
      </c>
      <c r="D2948" s="58" t="s">
        <v>7858</v>
      </c>
      <c r="E2948" s="60" t="b">
        <v>1</v>
      </c>
      <c r="F2948" s="80" t="s">
        <v>990</v>
      </c>
      <c r="G2948" s="58" t="s">
        <v>7857</v>
      </c>
      <c r="H2948" s="58" t="s">
        <v>7859</v>
      </c>
      <c r="I2948" s="64" t="s">
        <v>7858</v>
      </c>
      <c r="J2948" s="66"/>
      <c r="K2948" s="66"/>
      <c r="L2948" s="68"/>
      <c r="M2948" s="63" t="str">
        <f>HYPERLINK("http://nsgreg.nga.mil/genc/view?v=865413&amp;end_month=12&amp;end_day=31&amp;end_year=2016","Correlation")</f>
        <v>Correlation</v>
      </c>
    </row>
    <row r="2949" spans="1:13" x14ac:dyDescent="0.2">
      <c r="A2949" s="113"/>
      <c r="B2949" s="58" t="s">
        <v>7860</v>
      </c>
      <c r="C2949" s="58" t="s">
        <v>1728</v>
      </c>
      <c r="D2949" s="58" t="s">
        <v>7861</v>
      </c>
      <c r="E2949" s="60" t="b">
        <v>1</v>
      </c>
      <c r="F2949" s="80" t="s">
        <v>990</v>
      </c>
      <c r="G2949" s="58" t="s">
        <v>7860</v>
      </c>
      <c r="H2949" s="58" t="s">
        <v>1728</v>
      </c>
      <c r="I2949" s="64" t="s">
        <v>7861</v>
      </c>
      <c r="J2949" s="66"/>
      <c r="K2949" s="66"/>
      <c r="L2949" s="68"/>
      <c r="M2949" s="63" t="str">
        <f>HYPERLINK("http://nsgreg.nga.mil/genc/view?v=865410&amp;end_month=12&amp;end_day=31&amp;end_year=2016","Correlation")</f>
        <v>Correlation</v>
      </c>
    </row>
    <row r="2950" spans="1:13" x14ac:dyDescent="0.2">
      <c r="A2950" s="113"/>
      <c r="B2950" s="58" t="s">
        <v>7862</v>
      </c>
      <c r="C2950" s="58" t="s">
        <v>1728</v>
      </c>
      <c r="D2950" s="58" t="s">
        <v>7863</v>
      </c>
      <c r="E2950" s="60" t="b">
        <v>1</v>
      </c>
      <c r="F2950" s="80" t="s">
        <v>990</v>
      </c>
      <c r="G2950" s="58" t="s">
        <v>7862</v>
      </c>
      <c r="H2950" s="58" t="s">
        <v>1728</v>
      </c>
      <c r="I2950" s="64" t="s">
        <v>7863</v>
      </c>
      <c r="J2950" s="66"/>
      <c r="K2950" s="66"/>
      <c r="L2950" s="68"/>
      <c r="M2950" s="63" t="str">
        <f>HYPERLINK("http://nsgreg.nga.mil/genc/view?v=865411&amp;end_month=12&amp;end_day=31&amp;end_year=2016","Correlation")</f>
        <v>Correlation</v>
      </c>
    </row>
    <row r="2951" spans="1:13" x14ac:dyDescent="0.2">
      <c r="A2951" s="114"/>
      <c r="B2951" s="71" t="s">
        <v>7864</v>
      </c>
      <c r="C2951" s="71" t="s">
        <v>1728</v>
      </c>
      <c r="D2951" s="71" t="s">
        <v>7865</v>
      </c>
      <c r="E2951" s="73" t="b">
        <v>1</v>
      </c>
      <c r="F2951" s="81" t="s">
        <v>990</v>
      </c>
      <c r="G2951" s="71" t="s">
        <v>7864</v>
      </c>
      <c r="H2951" s="71" t="s">
        <v>1728</v>
      </c>
      <c r="I2951" s="74" t="s">
        <v>7865</v>
      </c>
      <c r="J2951" s="76"/>
      <c r="K2951" s="76"/>
      <c r="L2951" s="82"/>
      <c r="M2951" s="77" t="str">
        <f>HYPERLINK("http://nsgreg.nga.mil/genc/view?v=865412&amp;end_month=12&amp;end_day=31&amp;end_year=2016","Correlation")</f>
        <v>Correlation</v>
      </c>
    </row>
    <row r="2952" spans="1:13" x14ac:dyDescent="0.2">
      <c r="A2952" s="112" t="s">
        <v>994</v>
      </c>
      <c r="B2952" s="50" t="s">
        <v>7866</v>
      </c>
      <c r="C2952" s="50" t="s">
        <v>1763</v>
      </c>
      <c r="D2952" s="50" t="s">
        <v>7867</v>
      </c>
      <c r="E2952" s="52" t="b">
        <v>1</v>
      </c>
      <c r="F2952" s="78" t="s">
        <v>994</v>
      </c>
      <c r="G2952" s="50" t="s">
        <v>7866</v>
      </c>
      <c r="H2952" s="50" t="s">
        <v>1763</v>
      </c>
      <c r="I2952" s="53" t="s">
        <v>7867</v>
      </c>
      <c r="J2952" s="55"/>
      <c r="K2952" s="55"/>
      <c r="L2952" s="79"/>
      <c r="M2952" s="56" t="str">
        <f>HYPERLINK("http://nsgreg.nga.mil/genc/view?v=865414&amp;end_month=12&amp;end_day=31&amp;end_year=2016","Correlation")</f>
        <v>Correlation</v>
      </c>
    </row>
    <row r="2953" spans="1:13" x14ac:dyDescent="0.2">
      <c r="A2953" s="113"/>
      <c r="B2953" s="58" t="s">
        <v>7868</v>
      </c>
      <c r="C2953" s="58" t="s">
        <v>1763</v>
      </c>
      <c r="D2953" s="58" t="s">
        <v>7869</v>
      </c>
      <c r="E2953" s="60" t="b">
        <v>1</v>
      </c>
      <c r="F2953" s="80" t="s">
        <v>994</v>
      </c>
      <c r="G2953" s="58" t="s">
        <v>7868</v>
      </c>
      <c r="H2953" s="58" t="s">
        <v>1763</v>
      </c>
      <c r="I2953" s="64" t="s">
        <v>7869</v>
      </c>
      <c r="J2953" s="66"/>
      <c r="K2953" s="66"/>
      <c r="L2953" s="68"/>
      <c r="M2953" s="63" t="str">
        <f>HYPERLINK("http://nsgreg.nga.mil/genc/view?v=865415&amp;end_month=12&amp;end_day=31&amp;end_year=2016","Correlation")</f>
        <v>Correlation</v>
      </c>
    </row>
    <row r="2954" spans="1:13" x14ac:dyDescent="0.2">
      <c r="A2954" s="113"/>
      <c r="B2954" s="58" t="s">
        <v>7870</v>
      </c>
      <c r="C2954" s="58" t="s">
        <v>1763</v>
      </c>
      <c r="D2954" s="58" t="s">
        <v>7871</v>
      </c>
      <c r="E2954" s="60" t="b">
        <v>1</v>
      </c>
      <c r="F2954" s="80" t="s">
        <v>994</v>
      </c>
      <c r="G2954" s="58" t="s">
        <v>7870</v>
      </c>
      <c r="H2954" s="58" t="s">
        <v>1763</v>
      </c>
      <c r="I2954" s="64" t="s">
        <v>7871</v>
      </c>
      <c r="J2954" s="66"/>
      <c r="K2954" s="66"/>
      <c r="L2954" s="68"/>
      <c r="M2954" s="63" t="str">
        <f>HYPERLINK("http://nsgreg.nga.mil/genc/view?v=865416&amp;end_month=12&amp;end_day=31&amp;end_year=2016","Correlation")</f>
        <v>Correlation</v>
      </c>
    </row>
    <row r="2955" spans="1:13" x14ac:dyDescent="0.2">
      <c r="A2955" s="113"/>
      <c r="B2955" s="58" t="s">
        <v>7872</v>
      </c>
      <c r="C2955" s="58" t="s">
        <v>1763</v>
      </c>
      <c r="D2955" s="58" t="s">
        <v>7873</v>
      </c>
      <c r="E2955" s="60" t="b">
        <v>1</v>
      </c>
      <c r="F2955" s="80" t="s">
        <v>994</v>
      </c>
      <c r="G2955" s="58" t="s">
        <v>7872</v>
      </c>
      <c r="H2955" s="58" t="s">
        <v>1763</v>
      </c>
      <c r="I2955" s="64" t="s">
        <v>7873</v>
      </c>
      <c r="J2955" s="66"/>
      <c r="K2955" s="66"/>
      <c r="L2955" s="68"/>
      <c r="M2955" s="63" t="str">
        <f>HYPERLINK("http://nsgreg.nga.mil/genc/view?v=865417&amp;end_month=12&amp;end_day=31&amp;end_year=2016","Correlation")</f>
        <v>Correlation</v>
      </c>
    </row>
    <row r="2956" spans="1:13" x14ac:dyDescent="0.2">
      <c r="A2956" s="113"/>
      <c r="B2956" s="58" t="s">
        <v>7874</v>
      </c>
      <c r="C2956" s="58" t="s">
        <v>1763</v>
      </c>
      <c r="D2956" s="58" t="s">
        <v>7875</v>
      </c>
      <c r="E2956" s="60" t="b">
        <v>1</v>
      </c>
      <c r="F2956" s="80" t="s">
        <v>994</v>
      </c>
      <c r="G2956" s="58" t="s">
        <v>7874</v>
      </c>
      <c r="H2956" s="58" t="s">
        <v>1763</v>
      </c>
      <c r="I2956" s="64" t="s">
        <v>7875</v>
      </c>
      <c r="J2956" s="66"/>
      <c r="K2956" s="66"/>
      <c r="L2956" s="68"/>
      <c r="M2956" s="63" t="str">
        <f>HYPERLINK("http://nsgreg.nga.mil/genc/view?v=865418&amp;end_month=12&amp;end_day=31&amp;end_year=2016","Correlation")</f>
        <v>Correlation</v>
      </c>
    </row>
    <row r="2957" spans="1:13" x14ac:dyDescent="0.2">
      <c r="A2957" s="113"/>
      <c r="B2957" s="58" t="s">
        <v>7876</v>
      </c>
      <c r="C2957" s="58" t="s">
        <v>1763</v>
      </c>
      <c r="D2957" s="58" t="s">
        <v>7877</v>
      </c>
      <c r="E2957" s="60" t="b">
        <v>1</v>
      </c>
      <c r="F2957" s="80" t="s">
        <v>994</v>
      </c>
      <c r="G2957" s="58" t="s">
        <v>7876</v>
      </c>
      <c r="H2957" s="58" t="s">
        <v>1763</v>
      </c>
      <c r="I2957" s="64" t="s">
        <v>7877</v>
      </c>
      <c r="J2957" s="66"/>
      <c r="K2957" s="66"/>
      <c r="L2957" s="68"/>
      <c r="M2957" s="63" t="str">
        <f>HYPERLINK("http://nsgreg.nga.mil/genc/view?v=865421&amp;end_month=12&amp;end_day=31&amp;end_year=2016","Correlation")</f>
        <v>Correlation</v>
      </c>
    </row>
    <row r="2958" spans="1:13" x14ac:dyDescent="0.2">
      <c r="A2958" s="113"/>
      <c r="B2958" s="58" t="s">
        <v>7878</v>
      </c>
      <c r="C2958" s="58" t="s">
        <v>1763</v>
      </c>
      <c r="D2958" s="58" t="s">
        <v>7879</v>
      </c>
      <c r="E2958" s="60" t="b">
        <v>1</v>
      </c>
      <c r="F2958" s="80" t="s">
        <v>994</v>
      </c>
      <c r="G2958" s="58" t="s">
        <v>7878</v>
      </c>
      <c r="H2958" s="58" t="s">
        <v>1763</v>
      </c>
      <c r="I2958" s="64" t="s">
        <v>7879</v>
      </c>
      <c r="J2958" s="66"/>
      <c r="K2958" s="66"/>
      <c r="L2958" s="68"/>
      <c r="M2958" s="63" t="str">
        <f>HYPERLINK("http://nsgreg.nga.mil/genc/view?v=865419&amp;end_month=12&amp;end_day=31&amp;end_year=2016","Correlation")</f>
        <v>Correlation</v>
      </c>
    </row>
    <row r="2959" spans="1:13" x14ac:dyDescent="0.2">
      <c r="A2959" s="113"/>
      <c r="B2959" s="58" t="s">
        <v>7880</v>
      </c>
      <c r="C2959" s="58" t="s">
        <v>1763</v>
      </c>
      <c r="D2959" s="58" t="s">
        <v>7881</v>
      </c>
      <c r="E2959" s="60" t="b">
        <v>1</v>
      </c>
      <c r="F2959" s="80" t="s">
        <v>994</v>
      </c>
      <c r="G2959" s="58" t="s">
        <v>7880</v>
      </c>
      <c r="H2959" s="58" t="s">
        <v>1763</v>
      </c>
      <c r="I2959" s="64" t="s">
        <v>7881</v>
      </c>
      <c r="J2959" s="66"/>
      <c r="K2959" s="66"/>
      <c r="L2959" s="68"/>
      <c r="M2959" s="63" t="str">
        <f>HYPERLINK("http://nsgreg.nga.mil/genc/view?v=865420&amp;end_month=12&amp;end_day=31&amp;end_year=2016","Correlation")</f>
        <v>Correlation</v>
      </c>
    </row>
    <row r="2960" spans="1:13" x14ac:dyDescent="0.2">
      <c r="A2960" s="113"/>
      <c r="B2960" s="58" t="s">
        <v>7882</v>
      </c>
      <c r="C2960" s="58" t="s">
        <v>1763</v>
      </c>
      <c r="D2960" s="58" t="s">
        <v>7883</v>
      </c>
      <c r="E2960" s="60" t="b">
        <v>1</v>
      </c>
      <c r="F2960" s="80" t="s">
        <v>994</v>
      </c>
      <c r="G2960" s="58" t="s">
        <v>7882</v>
      </c>
      <c r="H2960" s="58" t="s">
        <v>1763</v>
      </c>
      <c r="I2960" s="64" t="s">
        <v>7883</v>
      </c>
      <c r="J2960" s="66"/>
      <c r="K2960" s="66"/>
      <c r="L2960" s="68"/>
      <c r="M2960" s="63" t="str">
        <f>HYPERLINK("http://nsgreg.nga.mil/genc/view?v=865422&amp;end_month=12&amp;end_day=31&amp;end_year=2016","Correlation")</f>
        <v>Correlation</v>
      </c>
    </row>
    <row r="2961" spans="1:13" x14ac:dyDescent="0.2">
      <c r="A2961" s="113"/>
      <c r="B2961" s="58" t="s">
        <v>7884</v>
      </c>
      <c r="C2961" s="58" t="s">
        <v>1763</v>
      </c>
      <c r="D2961" s="58" t="s">
        <v>7885</v>
      </c>
      <c r="E2961" s="60" t="b">
        <v>1</v>
      </c>
      <c r="F2961" s="80" t="s">
        <v>994</v>
      </c>
      <c r="G2961" s="58" t="s">
        <v>7884</v>
      </c>
      <c r="H2961" s="58" t="s">
        <v>1763</v>
      </c>
      <c r="I2961" s="64" t="s">
        <v>7885</v>
      </c>
      <c r="J2961" s="66"/>
      <c r="K2961" s="66"/>
      <c r="L2961" s="68"/>
      <c r="M2961" s="63" t="str">
        <f>HYPERLINK("http://nsgreg.nga.mil/genc/view?v=865423&amp;end_month=12&amp;end_day=31&amp;end_year=2016","Correlation")</f>
        <v>Correlation</v>
      </c>
    </row>
    <row r="2962" spans="1:13" x14ac:dyDescent="0.2">
      <c r="A2962" s="113"/>
      <c r="B2962" s="58" t="s">
        <v>7886</v>
      </c>
      <c r="C2962" s="58" t="s">
        <v>1763</v>
      </c>
      <c r="D2962" s="58" t="s">
        <v>7887</v>
      </c>
      <c r="E2962" s="60" t="b">
        <v>1</v>
      </c>
      <c r="F2962" s="80" t="s">
        <v>994</v>
      </c>
      <c r="G2962" s="58" t="s">
        <v>7886</v>
      </c>
      <c r="H2962" s="58" t="s">
        <v>1763</v>
      </c>
      <c r="I2962" s="64" t="s">
        <v>7887</v>
      </c>
      <c r="J2962" s="66"/>
      <c r="K2962" s="66"/>
      <c r="L2962" s="68"/>
      <c r="M2962" s="63" t="str">
        <f>HYPERLINK("http://nsgreg.nga.mil/genc/view?v=865424&amp;end_month=12&amp;end_day=31&amp;end_year=2016","Correlation")</f>
        <v>Correlation</v>
      </c>
    </row>
    <row r="2963" spans="1:13" x14ac:dyDescent="0.2">
      <c r="A2963" s="113"/>
      <c r="B2963" s="58" t="s">
        <v>7888</v>
      </c>
      <c r="C2963" s="58" t="s">
        <v>1763</v>
      </c>
      <c r="D2963" s="58" t="s">
        <v>7889</v>
      </c>
      <c r="E2963" s="60" t="b">
        <v>1</v>
      </c>
      <c r="F2963" s="80" t="s">
        <v>994</v>
      </c>
      <c r="G2963" s="58" t="s">
        <v>7888</v>
      </c>
      <c r="H2963" s="58" t="s">
        <v>1763</v>
      </c>
      <c r="I2963" s="64" t="s">
        <v>7889</v>
      </c>
      <c r="J2963" s="66"/>
      <c r="K2963" s="66"/>
      <c r="L2963" s="68"/>
      <c r="M2963" s="63" t="str">
        <f>HYPERLINK("http://nsgreg.nga.mil/genc/view?v=865425&amp;end_month=12&amp;end_day=31&amp;end_year=2016","Correlation")</f>
        <v>Correlation</v>
      </c>
    </row>
    <row r="2964" spans="1:13" x14ac:dyDescent="0.2">
      <c r="A2964" s="113"/>
      <c r="B2964" s="58" t="s">
        <v>7890</v>
      </c>
      <c r="C2964" s="58" t="s">
        <v>1763</v>
      </c>
      <c r="D2964" s="58" t="s">
        <v>7891</v>
      </c>
      <c r="E2964" s="60" t="b">
        <v>1</v>
      </c>
      <c r="F2964" s="80" t="s">
        <v>994</v>
      </c>
      <c r="G2964" s="58" t="s">
        <v>7890</v>
      </c>
      <c r="H2964" s="58" t="s">
        <v>1763</v>
      </c>
      <c r="I2964" s="64" t="s">
        <v>7891</v>
      </c>
      <c r="J2964" s="66"/>
      <c r="K2964" s="66"/>
      <c r="L2964" s="68"/>
      <c r="M2964" s="63" t="str">
        <f>HYPERLINK("http://nsgreg.nga.mil/genc/view?v=865426&amp;end_month=12&amp;end_day=31&amp;end_year=2016","Correlation")</f>
        <v>Correlation</v>
      </c>
    </row>
    <row r="2965" spans="1:13" x14ac:dyDescent="0.2">
      <c r="A2965" s="113"/>
      <c r="B2965" s="58" t="s">
        <v>7892</v>
      </c>
      <c r="C2965" s="58" t="s">
        <v>1763</v>
      </c>
      <c r="D2965" s="58" t="s">
        <v>7893</v>
      </c>
      <c r="E2965" s="60" t="b">
        <v>1</v>
      </c>
      <c r="F2965" s="80" t="s">
        <v>994</v>
      </c>
      <c r="G2965" s="58" t="s">
        <v>7892</v>
      </c>
      <c r="H2965" s="58" t="s">
        <v>1763</v>
      </c>
      <c r="I2965" s="64" t="s">
        <v>7893</v>
      </c>
      <c r="J2965" s="66"/>
      <c r="K2965" s="66"/>
      <c r="L2965" s="68"/>
      <c r="M2965" s="63" t="str">
        <f>HYPERLINK("http://nsgreg.nga.mil/genc/view?v=865427&amp;end_month=12&amp;end_day=31&amp;end_year=2016","Correlation")</f>
        <v>Correlation</v>
      </c>
    </row>
    <row r="2966" spans="1:13" x14ac:dyDescent="0.2">
      <c r="A2966" s="113"/>
      <c r="B2966" s="58" t="s">
        <v>7894</v>
      </c>
      <c r="C2966" s="58" t="s">
        <v>7895</v>
      </c>
      <c r="D2966" s="58" t="s">
        <v>7896</v>
      </c>
      <c r="E2966" s="60" t="b">
        <v>1</v>
      </c>
      <c r="F2966" s="80" t="s">
        <v>994</v>
      </c>
      <c r="G2966" s="58" t="s">
        <v>7897</v>
      </c>
      <c r="H2966" s="58" t="s">
        <v>7895</v>
      </c>
      <c r="I2966" s="64" t="s">
        <v>7896</v>
      </c>
      <c r="J2966" s="66"/>
      <c r="K2966" s="66"/>
      <c r="L2966" s="68"/>
      <c r="M2966" s="63" t="str">
        <f>HYPERLINK("http://nsgreg.nga.mil/genc/view?v=865428&amp;end_month=12&amp;end_day=31&amp;end_year=2016","Correlation")</f>
        <v>Correlation</v>
      </c>
    </row>
    <row r="2967" spans="1:13" x14ac:dyDescent="0.2">
      <c r="A2967" s="113"/>
      <c r="B2967" s="58" t="s">
        <v>7898</v>
      </c>
      <c r="C2967" s="58" t="s">
        <v>1763</v>
      </c>
      <c r="D2967" s="58" t="s">
        <v>7899</v>
      </c>
      <c r="E2967" s="60" t="b">
        <v>1</v>
      </c>
      <c r="F2967" s="80" t="s">
        <v>994</v>
      </c>
      <c r="G2967" s="58" t="s">
        <v>7898</v>
      </c>
      <c r="H2967" s="58" t="s">
        <v>1763</v>
      </c>
      <c r="I2967" s="64" t="s">
        <v>7899</v>
      </c>
      <c r="J2967" s="66"/>
      <c r="K2967" s="66"/>
      <c r="L2967" s="68"/>
      <c r="M2967" s="63" t="str">
        <f>HYPERLINK("http://nsgreg.nga.mil/genc/view?v=865429&amp;end_month=12&amp;end_day=31&amp;end_year=2016","Correlation")</f>
        <v>Correlation</v>
      </c>
    </row>
    <row r="2968" spans="1:13" x14ac:dyDescent="0.2">
      <c r="A2968" s="113"/>
      <c r="B2968" s="58" t="s">
        <v>7900</v>
      </c>
      <c r="C2968" s="58" t="s">
        <v>1763</v>
      </c>
      <c r="D2968" s="58" t="s">
        <v>7901</v>
      </c>
      <c r="E2968" s="60" t="b">
        <v>1</v>
      </c>
      <c r="F2968" s="80" t="s">
        <v>994</v>
      </c>
      <c r="G2968" s="58" t="s">
        <v>7900</v>
      </c>
      <c r="H2968" s="58" t="s">
        <v>1763</v>
      </c>
      <c r="I2968" s="64" t="s">
        <v>7901</v>
      </c>
      <c r="J2968" s="66"/>
      <c r="K2968" s="66"/>
      <c r="L2968" s="68"/>
      <c r="M2968" s="63" t="str">
        <f>HYPERLINK("http://nsgreg.nga.mil/genc/view?v=865430&amp;end_month=12&amp;end_day=31&amp;end_year=2016","Correlation")</f>
        <v>Correlation</v>
      </c>
    </row>
    <row r="2969" spans="1:13" x14ac:dyDescent="0.2">
      <c r="A2969" s="113"/>
      <c r="B2969" s="58" t="s">
        <v>7902</v>
      </c>
      <c r="C2969" s="58" t="s">
        <v>1763</v>
      </c>
      <c r="D2969" s="58" t="s">
        <v>7903</v>
      </c>
      <c r="E2969" s="60" t="b">
        <v>1</v>
      </c>
      <c r="F2969" s="80" t="s">
        <v>994</v>
      </c>
      <c r="G2969" s="58" t="s">
        <v>7902</v>
      </c>
      <c r="H2969" s="58" t="s">
        <v>1763</v>
      </c>
      <c r="I2969" s="64" t="s">
        <v>7903</v>
      </c>
      <c r="J2969" s="66"/>
      <c r="K2969" s="66"/>
      <c r="L2969" s="68"/>
      <c r="M2969" s="63" t="str">
        <f>HYPERLINK("http://nsgreg.nga.mil/genc/view?v=865431&amp;end_month=12&amp;end_day=31&amp;end_year=2016","Correlation")</f>
        <v>Correlation</v>
      </c>
    </row>
    <row r="2970" spans="1:13" x14ac:dyDescent="0.2">
      <c r="A2970" s="113"/>
      <c r="B2970" s="58" t="s">
        <v>7904</v>
      </c>
      <c r="C2970" s="58" t="s">
        <v>1763</v>
      </c>
      <c r="D2970" s="58" t="s">
        <v>7905</v>
      </c>
      <c r="E2970" s="60" t="b">
        <v>1</v>
      </c>
      <c r="F2970" s="80" t="s">
        <v>994</v>
      </c>
      <c r="G2970" s="58" t="s">
        <v>7904</v>
      </c>
      <c r="H2970" s="58" t="s">
        <v>1763</v>
      </c>
      <c r="I2970" s="64" t="s">
        <v>7905</v>
      </c>
      <c r="J2970" s="66"/>
      <c r="K2970" s="66"/>
      <c r="L2970" s="68"/>
      <c r="M2970" s="63" t="str">
        <f>HYPERLINK("http://nsgreg.nga.mil/genc/view?v=865432&amp;end_month=12&amp;end_day=31&amp;end_year=2016","Correlation")</f>
        <v>Correlation</v>
      </c>
    </row>
    <row r="2971" spans="1:13" x14ac:dyDescent="0.2">
      <c r="A2971" s="113"/>
      <c r="B2971" s="58" t="s">
        <v>7906</v>
      </c>
      <c r="C2971" s="58" t="s">
        <v>1763</v>
      </c>
      <c r="D2971" s="58" t="s">
        <v>7907</v>
      </c>
      <c r="E2971" s="60" t="b">
        <v>1</v>
      </c>
      <c r="F2971" s="80" t="s">
        <v>994</v>
      </c>
      <c r="G2971" s="58" t="s">
        <v>7906</v>
      </c>
      <c r="H2971" s="58" t="s">
        <v>1763</v>
      </c>
      <c r="I2971" s="64" t="s">
        <v>7907</v>
      </c>
      <c r="J2971" s="66"/>
      <c r="K2971" s="66"/>
      <c r="L2971" s="68"/>
      <c r="M2971" s="63" t="str">
        <f>HYPERLINK("http://nsgreg.nga.mil/genc/view?v=865434&amp;end_month=12&amp;end_day=31&amp;end_year=2016","Correlation")</f>
        <v>Correlation</v>
      </c>
    </row>
    <row r="2972" spans="1:13" x14ac:dyDescent="0.2">
      <c r="A2972" s="113"/>
      <c r="B2972" s="58" t="s">
        <v>7908</v>
      </c>
      <c r="C2972" s="58" t="s">
        <v>1763</v>
      </c>
      <c r="D2972" s="58" t="s">
        <v>7909</v>
      </c>
      <c r="E2972" s="60" t="b">
        <v>1</v>
      </c>
      <c r="F2972" s="80" t="s">
        <v>994</v>
      </c>
      <c r="G2972" s="58" t="s">
        <v>7908</v>
      </c>
      <c r="H2972" s="58" t="s">
        <v>1763</v>
      </c>
      <c r="I2972" s="64" t="s">
        <v>7909</v>
      </c>
      <c r="J2972" s="66"/>
      <c r="K2972" s="66"/>
      <c r="L2972" s="68"/>
      <c r="M2972" s="63" t="str">
        <f>HYPERLINK("http://nsgreg.nga.mil/genc/view?v=865436&amp;end_month=12&amp;end_day=31&amp;end_year=2016","Correlation")</f>
        <v>Correlation</v>
      </c>
    </row>
    <row r="2973" spans="1:13" x14ac:dyDescent="0.2">
      <c r="A2973" s="113"/>
      <c r="B2973" s="58" t="s">
        <v>7910</v>
      </c>
      <c r="C2973" s="58" t="s">
        <v>1763</v>
      </c>
      <c r="D2973" s="58" t="s">
        <v>7911</v>
      </c>
      <c r="E2973" s="60" t="b">
        <v>1</v>
      </c>
      <c r="F2973" s="80" t="s">
        <v>994</v>
      </c>
      <c r="G2973" s="58" t="s">
        <v>7910</v>
      </c>
      <c r="H2973" s="58" t="s">
        <v>1763</v>
      </c>
      <c r="I2973" s="64" t="s">
        <v>7911</v>
      </c>
      <c r="J2973" s="66"/>
      <c r="K2973" s="66"/>
      <c r="L2973" s="68"/>
      <c r="M2973" s="63" t="str">
        <f>HYPERLINK("http://nsgreg.nga.mil/genc/view?v=865433&amp;end_month=12&amp;end_day=31&amp;end_year=2016","Correlation")</f>
        <v>Correlation</v>
      </c>
    </row>
    <row r="2974" spans="1:13" x14ac:dyDescent="0.2">
      <c r="A2974" s="113"/>
      <c r="B2974" s="58" t="s">
        <v>7912</v>
      </c>
      <c r="C2974" s="58" t="s">
        <v>1763</v>
      </c>
      <c r="D2974" s="58" t="s">
        <v>7913</v>
      </c>
      <c r="E2974" s="60" t="b">
        <v>1</v>
      </c>
      <c r="F2974" s="80" t="s">
        <v>994</v>
      </c>
      <c r="G2974" s="58" t="s">
        <v>7912</v>
      </c>
      <c r="H2974" s="58" t="s">
        <v>1763</v>
      </c>
      <c r="I2974" s="64" t="s">
        <v>7913</v>
      </c>
      <c r="J2974" s="66"/>
      <c r="K2974" s="66"/>
      <c r="L2974" s="68"/>
      <c r="M2974" s="63" t="str">
        <f>HYPERLINK("http://nsgreg.nga.mil/genc/view?v=865435&amp;end_month=12&amp;end_day=31&amp;end_year=2016","Correlation")</f>
        <v>Correlation</v>
      </c>
    </row>
    <row r="2975" spans="1:13" x14ac:dyDescent="0.2">
      <c r="A2975" s="113"/>
      <c r="B2975" s="58" t="s">
        <v>7914</v>
      </c>
      <c r="C2975" s="58" t="s">
        <v>1763</v>
      </c>
      <c r="D2975" s="58" t="s">
        <v>7915</v>
      </c>
      <c r="E2975" s="60" t="b">
        <v>1</v>
      </c>
      <c r="F2975" s="80" t="s">
        <v>994</v>
      </c>
      <c r="G2975" s="58" t="s">
        <v>7914</v>
      </c>
      <c r="H2975" s="58" t="s">
        <v>1763</v>
      </c>
      <c r="I2975" s="64" t="s">
        <v>7915</v>
      </c>
      <c r="J2975" s="66"/>
      <c r="K2975" s="66"/>
      <c r="L2975" s="68"/>
      <c r="M2975" s="63" t="str">
        <f>HYPERLINK("http://nsgreg.nga.mil/genc/view?v=865437&amp;end_month=12&amp;end_day=31&amp;end_year=2016","Correlation")</f>
        <v>Correlation</v>
      </c>
    </row>
    <row r="2976" spans="1:13" x14ac:dyDescent="0.2">
      <c r="A2976" s="113"/>
      <c r="B2976" s="58" t="s">
        <v>7916</v>
      </c>
      <c r="C2976" s="58" t="s">
        <v>1763</v>
      </c>
      <c r="D2976" s="58" t="s">
        <v>7917</v>
      </c>
      <c r="E2976" s="60" t="b">
        <v>1</v>
      </c>
      <c r="F2976" s="80" t="s">
        <v>994</v>
      </c>
      <c r="G2976" s="58" t="s">
        <v>7916</v>
      </c>
      <c r="H2976" s="58" t="s">
        <v>1763</v>
      </c>
      <c r="I2976" s="64" t="s">
        <v>7917</v>
      </c>
      <c r="J2976" s="66"/>
      <c r="K2976" s="66"/>
      <c r="L2976" s="68"/>
      <c r="M2976" s="63" t="str">
        <f>HYPERLINK("http://nsgreg.nga.mil/genc/view?v=865438&amp;end_month=12&amp;end_day=31&amp;end_year=2016","Correlation")</f>
        <v>Correlation</v>
      </c>
    </row>
    <row r="2977" spans="1:13" x14ac:dyDescent="0.2">
      <c r="A2977" s="113"/>
      <c r="B2977" s="58" t="s">
        <v>7918</v>
      </c>
      <c r="C2977" s="58" t="s">
        <v>1763</v>
      </c>
      <c r="D2977" s="58" t="s">
        <v>7919</v>
      </c>
      <c r="E2977" s="60" t="b">
        <v>1</v>
      </c>
      <c r="F2977" s="80" t="s">
        <v>994</v>
      </c>
      <c r="G2977" s="58" t="s">
        <v>7918</v>
      </c>
      <c r="H2977" s="58" t="s">
        <v>1763</v>
      </c>
      <c r="I2977" s="64" t="s">
        <v>7919</v>
      </c>
      <c r="J2977" s="66"/>
      <c r="K2977" s="66"/>
      <c r="L2977" s="68"/>
      <c r="M2977" s="63" t="str">
        <f>HYPERLINK("http://nsgreg.nga.mil/genc/view?v=865439&amp;end_month=12&amp;end_day=31&amp;end_year=2016","Correlation")</f>
        <v>Correlation</v>
      </c>
    </row>
    <row r="2978" spans="1:13" x14ac:dyDescent="0.2">
      <c r="A2978" s="113"/>
      <c r="B2978" s="58" t="s">
        <v>7920</v>
      </c>
      <c r="C2978" s="58" t="s">
        <v>1763</v>
      </c>
      <c r="D2978" s="58" t="s">
        <v>7921</v>
      </c>
      <c r="E2978" s="60" t="b">
        <v>1</v>
      </c>
      <c r="F2978" s="80" t="s">
        <v>994</v>
      </c>
      <c r="G2978" s="58" t="s">
        <v>7920</v>
      </c>
      <c r="H2978" s="58" t="s">
        <v>1763</v>
      </c>
      <c r="I2978" s="64" t="s">
        <v>7921</v>
      </c>
      <c r="J2978" s="66"/>
      <c r="K2978" s="66"/>
      <c r="L2978" s="68"/>
      <c r="M2978" s="63" t="str">
        <f>HYPERLINK("http://nsgreg.nga.mil/genc/view?v=865440&amp;end_month=12&amp;end_day=31&amp;end_year=2016","Correlation")</f>
        <v>Correlation</v>
      </c>
    </row>
    <row r="2979" spans="1:13" x14ac:dyDescent="0.2">
      <c r="A2979" s="113"/>
      <c r="B2979" s="58" t="s">
        <v>7922</v>
      </c>
      <c r="C2979" s="58" t="s">
        <v>1763</v>
      </c>
      <c r="D2979" s="58" t="s">
        <v>7923</v>
      </c>
      <c r="E2979" s="60" t="b">
        <v>1</v>
      </c>
      <c r="F2979" s="80" t="s">
        <v>994</v>
      </c>
      <c r="G2979" s="58" t="s">
        <v>7922</v>
      </c>
      <c r="H2979" s="58" t="s">
        <v>1763</v>
      </c>
      <c r="I2979" s="64" t="s">
        <v>7923</v>
      </c>
      <c r="J2979" s="66"/>
      <c r="K2979" s="66"/>
      <c r="L2979" s="68"/>
      <c r="M2979" s="63" t="str">
        <f>HYPERLINK("http://nsgreg.nga.mil/genc/view?v=865441&amp;end_month=12&amp;end_day=31&amp;end_year=2016","Correlation")</f>
        <v>Correlation</v>
      </c>
    </row>
    <row r="2980" spans="1:13" x14ac:dyDescent="0.2">
      <c r="A2980" s="113"/>
      <c r="B2980" s="58" t="s">
        <v>7924</v>
      </c>
      <c r="C2980" s="58" t="s">
        <v>1763</v>
      </c>
      <c r="D2980" s="58" t="s">
        <v>7925</v>
      </c>
      <c r="E2980" s="60" t="b">
        <v>1</v>
      </c>
      <c r="F2980" s="80" t="s">
        <v>994</v>
      </c>
      <c r="G2980" s="58" t="s">
        <v>7924</v>
      </c>
      <c r="H2980" s="58" t="s">
        <v>1763</v>
      </c>
      <c r="I2980" s="64" t="s">
        <v>7925</v>
      </c>
      <c r="J2980" s="66"/>
      <c r="K2980" s="66"/>
      <c r="L2980" s="68"/>
      <c r="M2980" s="63" t="str">
        <f>HYPERLINK("http://nsgreg.nga.mil/genc/view?v=865442&amp;end_month=12&amp;end_day=31&amp;end_year=2016","Correlation")</f>
        <v>Correlation</v>
      </c>
    </row>
    <row r="2981" spans="1:13" x14ac:dyDescent="0.2">
      <c r="A2981" s="113"/>
      <c r="B2981" s="58" t="s">
        <v>7926</v>
      </c>
      <c r="C2981" s="58" t="s">
        <v>1763</v>
      </c>
      <c r="D2981" s="58" t="s">
        <v>7927</v>
      </c>
      <c r="E2981" s="60" t="b">
        <v>1</v>
      </c>
      <c r="F2981" s="80" t="s">
        <v>994</v>
      </c>
      <c r="G2981" s="58" t="s">
        <v>7926</v>
      </c>
      <c r="H2981" s="58" t="s">
        <v>1763</v>
      </c>
      <c r="I2981" s="64" t="s">
        <v>7927</v>
      </c>
      <c r="J2981" s="66"/>
      <c r="K2981" s="66"/>
      <c r="L2981" s="68"/>
      <c r="M2981" s="63" t="str">
        <f>HYPERLINK("http://nsgreg.nga.mil/genc/view?v=865443&amp;end_month=12&amp;end_day=31&amp;end_year=2016","Correlation")</f>
        <v>Correlation</v>
      </c>
    </row>
    <row r="2982" spans="1:13" x14ac:dyDescent="0.2">
      <c r="A2982" s="113"/>
      <c r="B2982" s="58" t="s">
        <v>7928</v>
      </c>
      <c r="C2982" s="58" t="s">
        <v>1763</v>
      </c>
      <c r="D2982" s="58" t="s">
        <v>7929</v>
      </c>
      <c r="E2982" s="60" t="b">
        <v>1</v>
      </c>
      <c r="F2982" s="80" t="s">
        <v>994</v>
      </c>
      <c r="G2982" s="58" t="s">
        <v>7928</v>
      </c>
      <c r="H2982" s="58" t="s">
        <v>1763</v>
      </c>
      <c r="I2982" s="64" t="s">
        <v>7929</v>
      </c>
      <c r="J2982" s="66"/>
      <c r="K2982" s="66"/>
      <c r="L2982" s="68"/>
      <c r="M2982" s="63" t="str">
        <f>HYPERLINK("http://nsgreg.nga.mil/genc/view?v=865444&amp;end_month=12&amp;end_day=31&amp;end_year=2016","Correlation")</f>
        <v>Correlation</v>
      </c>
    </row>
    <row r="2983" spans="1:13" x14ac:dyDescent="0.2">
      <c r="A2983" s="113"/>
      <c r="B2983" s="58" t="s">
        <v>2314</v>
      </c>
      <c r="C2983" s="58" t="s">
        <v>1763</v>
      </c>
      <c r="D2983" s="58" t="s">
        <v>7930</v>
      </c>
      <c r="E2983" s="60" t="b">
        <v>1</v>
      </c>
      <c r="F2983" s="80" t="s">
        <v>994</v>
      </c>
      <c r="G2983" s="58" t="s">
        <v>2314</v>
      </c>
      <c r="H2983" s="58" t="s">
        <v>1763</v>
      </c>
      <c r="I2983" s="64" t="s">
        <v>7930</v>
      </c>
      <c r="J2983" s="66"/>
      <c r="K2983" s="66"/>
      <c r="L2983" s="68"/>
      <c r="M2983" s="63" t="str">
        <f>HYPERLINK("http://nsgreg.nga.mil/genc/view?v=865445&amp;end_month=12&amp;end_day=31&amp;end_year=2016","Correlation")</f>
        <v>Correlation</v>
      </c>
    </row>
    <row r="2984" spans="1:13" x14ac:dyDescent="0.2">
      <c r="A2984" s="113"/>
      <c r="B2984" s="58" t="s">
        <v>7931</v>
      </c>
      <c r="C2984" s="58" t="s">
        <v>1763</v>
      </c>
      <c r="D2984" s="58" t="s">
        <v>7932</v>
      </c>
      <c r="E2984" s="60" t="b">
        <v>1</v>
      </c>
      <c r="F2984" s="80" t="s">
        <v>994</v>
      </c>
      <c r="G2984" s="58" t="s">
        <v>7931</v>
      </c>
      <c r="H2984" s="58" t="s">
        <v>1763</v>
      </c>
      <c r="I2984" s="64" t="s">
        <v>7932</v>
      </c>
      <c r="J2984" s="66"/>
      <c r="K2984" s="66"/>
      <c r="L2984" s="68"/>
      <c r="M2984" s="63" t="str">
        <f>HYPERLINK("http://nsgreg.nga.mil/genc/view?v=865446&amp;end_month=12&amp;end_day=31&amp;end_year=2016","Correlation")</f>
        <v>Correlation</v>
      </c>
    </row>
    <row r="2985" spans="1:13" x14ac:dyDescent="0.2">
      <c r="A2985" s="113"/>
      <c r="B2985" s="58" t="s">
        <v>7933</v>
      </c>
      <c r="C2985" s="58" t="s">
        <v>1763</v>
      </c>
      <c r="D2985" s="58" t="s">
        <v>7934</v>
      </c>
      <c r="E2985" s="60" t="b">
        <v>1</v>
      </c>
      <c r="F2985" s="80" t="s">
        <v>994</v>
      </c>
      <c r="G2985" s="58" t="s">
        <v>7933</v>
      </c>
      <c r="H2985" s="58" t="s">
        <v>1763</v>
      </c>
      <c r="I2985" s="64" t="s">
        <v>7934</v>
      </c>
      <c r="J2985" s="66"/>
      <c r="K2985" s="66"/>
      <c r="L2985" s="68"/>
      <c r="M2985" s="63" t="str">
        <f>HYPERLINK("http://nsgreg.nga.mil/genc/view?v=865447&amp;end_month=12&amp;end_day=31&amp;end_year=2016","Correlation")</f>
        <v>Correlation</v>
      </c>
    </row>
    <row r="2986" spans="1:13" x14ac:dyDescent="0.2">
      <c r="A2986" s="113"/>
      <c r="B2986" s="58" t="s">
        <v>7935</v>
      </c>
      <c r="C2986" s="58" t="s">
        <v>1763</v>
      </c>
      <c r="D2986" s="58" t="s">
        <v>7936</v>
      </c>
      <c r="E2986" s="60" t="b">
        <v>1</v>
      </c>
      <c r="F2986" s="80" t="s">
        <v>994</v>
      </c>
      <c r="G2986" s="58" t="s">
        <v>7935</v>
      </c>
      <c r="H2986" s="58" t="s">
        <v>1763</v>
      </c>
      <c r="I2986" s="64" t="s">
        <v>7936</v>
      </c>
      <c r="J2986" s="66"/>
      <c r="K2986" s="66"/>
      <c r="L2986" s="68"/>
      <c r="M2986" s="63" t="str">
        <f>HYPERLINK("http://nsgreg.nga.mil/genc/view?v=865448&amp;end_month=12&amp;end_day=31&amp;end_year=2016","Correlation")</f>
        <v>Correlation</v>
      </c>
    </row>
    <row r="2987" spans="1:13" x14ac:dyDescent="0.2">
      <c r="A2987" s="113"/>
      <c r="B2987" s="58" t="s">
        <v>7937</v>
      </c>
      <c r="C2987" s="58" t="s">
        <v>1763</v>
      </c>
      <c r="D2987" s="58" t="s">
        <v>7938</v>
      </c>
      <c r="E2987" s="60" t="b">
        <v>1</v>
      </c>
      <c r="F2987" s="80" t="s">
        <v>994</v>
      </c>
      <c r="G2987" s="58" t="s">
        <v>7937</v>
      </c>
      <c r="H2987" s="58" t="s">
        <v>1763</v>
      </c>
      <c r="I2987" s="64" t="s">
        <v>7938</v>
      </c>
      <c r="J2987" s="66"/>
      <c r="K2987" s="66"/>
      <c r="L2987" s="68"/>
      <c r="M2987" s="63" t="str">
        <f>HYPERLINK("http://nsgreg.nga.mil/genc/view?v=865449&amp;end_month=12&amp;end_day=31&amp;end_year=2016","Correlation")</f>
        <v>Correlation</v>
      </c>
    </row>
    <row r="2988" spans="1:13" x14ac:dyDescent="0.2">
      <c r="A2988" s="114"/>
      <c r="B2988" s="71" t="s">
        <v>7939</v>
      </c>
      <c r="C2988" s="71" t="s">
        <v>1763</v>
      </c>
      <c r="D2988" s="71" t="s">
        <v>7940</v>
      </c>
      <c r="E2988" s="73" t="b">
        <v>1</v>
      </c>
      <c r="F2988" s="81" t="s">
        <v>994</v>
      </c>
      <c r="G2988" s="71" t="s">
        <v>7939</v>
      </c>
      <c r="H2988" s="71" t="s">
        <v>1763</v>
      </c>
      <c r="I2988" s="74" t="s">
        <v>7940</v>
      </c>
      <c r="J2988" s="76"/>
      <c r="K2988" s="76"/>
      <c r="L2988" s="82"/>
      <c r="M2988" s="77" t="str">
        <f>HYPERLINK("http://nsgreg.nga.mil/genc/view?v=865450&amp;end_month=12&amp;end_day=31&amp;end_year=2016","Correlation")</f>
        <v>Correlation</v>
      </c>
    </row>
    <row r="2989" spans="1:13" x14ac:dyDescent="0.2">
      <c r="A2989" s="112" t="s">
        <v>1012</v>
      </c>
      <c r="B2989" s="50" t="s">
        <v>7941</v>
      </c>
      <c r="C2989" s="50" t="s">
        <v>1483</v>
      </c>
      <c r="D2989" s="50" t="s">
        <v>7942</v>
      </c>
      <c r="E2989" s="52" t="b">
        <v>1</v>
      </c>
      <c r="F2989" s="78" t="s">
        <v>1012</v>
      </c>
      <c r="G2989" s="50" t="s">
        <v>7941</v>
      </c>
      <c r="H2989" s="50" t="s">
        <v>1483</v>
      </c>
      <c r="I2989" s="53" t="s">
        <v>7942</v>
      </c>
      <c r="J2989" s="55"/>
      <c r="K2989" s="55"/>
      <c r="L2989" s="79"/>
      <c r="M2989" s="56" t="str">
        <f>HYPERLINK("http://nsgreg.nga.mil/genc/view?v=865481&amp;end_month=12&amp;end_day=31&amp;end_year=2016","Correlation")</f>
        <v>Correlation</v>
      </c>
    </row>
    <row r="2990" spans="1:13" x14ac:dyDescent="0.2">
      <c r="A2990" s="113"/>
      <c r="B2990" s="58" t="s">
        <v>7943</v>
      </c>
      <c r="C2990" s="58" t="s">
        <v>1483</v>
      </c>
      <c r="D2990" s="58" t="s">
        <v>7944</v>
      </c>
      <c r="E2990" s="60" t="b">
        <v>1</v>
      </c>
      <c r="F2990" s="80" t="s">
        <v>1012</v>
      </c>
      <c r="G2990" s="58" t="s">
        <v>7943</v>
      </c>
      <c r="H2990" s="58" t="s">
        <v>1483</v>
      </c>
      <c r="I2990" s="64" t="s">
        <v>7944</v>
      </c>
      <c r="J2990" s="66"/>
      <c r="K2990" s="66"/>
      <c r="L2990" s="68"/>
      <c r="M2990" s="63" t="str">
        <f>HYPERLINK("http://nsgreg.nga.mil/genc/view?v=865488&amp;end_month=12&amp;end_day=31&amp;end_year=2016","Correlation")</f>
        <v>Correlation</v>
      </c>
    </row>
    <row r="2991" spans="1:13" x14ac:dyDescent="0.2">
      <c r="A2991" s="113"/>
      <c r="B2991" s="58" t="s">
        <v>7945</v>
      </c>
      <c r="C2991" s="58" t="s">
        <v>1483</v>
      </c>
      <c r="D2991" s="58" t="s">
        <v>7946</v>
      </c>
      <c r="E2991" s="60" t="b">
        <v>1</v>
      </c>
      <c r="F2991" s="80" t="s">
        <v>1012</v>
      </c>
      <c r="G2991" s="58" t="s">
        <v>7945</v>
      </c>
      <c r="H2991" s="58" t="s">
        <v>1483</v>
      </c>
      <c r="I2991" s="64" t="s">
        <v>7946</v>
      </c>
      <c r="J2991" s="66"/>
      <c r="K2991" s="66"/>
      <c r="L2991" s="68"/>
      <c r="M2991" s="63" t="str">
        <f>HYPERLINK("http://nsgreg.nga.mil/genc/view?v=865485&amp;end_month=12&amp;end_day=31&amp;end_year=2016","Correlation")</f>
        <v>Correlation</v>
      </c>
    </row>
    <row r="2992" spans="1:13" x14ac:dyDescent="0.2">
      <c r="A2992" s="113"/>
      <c r="B2992" s="58" t="s">
        <v>7947</v>
      </c>
      <c r="C2992" s="58" t="s">
        <v>1483</v>
      </c>
      <c r="D2992" s="58" t="s">
        <v>7948</v>
      </c>
      <c r="E2992" s="60" t="b">
        <v>1</v>
      </c>
      <c r="F2992" s="80" t="s">
        <v>1012</v>
      </c>
      <c r="G2992" s="58" t="s">
        <v>7947</v>
      </c>
      <c r="H2992" s="58" t="s">
        <v>1483</v>
      </c>
      <c r="I2992" s="64" t="s">
        <v>7948</v>
      </c>
      <c r="J2992" s="66"/>
      <c r="K2992" s="66"/>
      <c r="L2992" s="68"/>
      <c r="M2992" s="63" t="str">
        <f>HYPERLINK("http://nsgreg.nga.mil/genc/view?v=865498&amp;end_month=12&amp;end_day=31&amp;end_year=2016","Correlation")</f>
        <v>Correlation</v>
      </c>
    </row>
    <row r="2993" spans="1:13" x14ac:dyDescent="0.2">
      <c r="A2993" s="113"/>
      <c r="B2993" s="58" t="s">
        <v>7949</v>
      </c>
      <c r="C2993" s="58" t="s">
        <v>1483</v>
      </c>
      <c r="D2993" s="58" t="s">
        <v>7950</v>
      </c>
      <c r="E2993" s="60" t="b">
        <v>1</v>
      </c>
      <c r="F2993" s="80" t="s">
        <v>1012</v>
      </c>
      <c r="G2993" s="58" t="s">
        <v>7949</v>
      </c>
      <c r="H2993" s="58" t="s">
        <v>1483</v>
      </c>
      <c r="I2993" s="64" t="s">
        <v>7950</v>
      </c>
      <c r="J2993" s="66"/>
      <c r="K2993" s="66"/>
      <c r="L2993" s="68"/>
      <c r="M2993" s="63" t="str">
        <f>HYPERLINK("http://nsgreg.nga.mil/genc/view?v=865483&amp;end_month=12&amp;end_day=31&amp;end_year=2016","Correlation")</f>
        <v>Correlation</v>
      </c>
    </row>
    <row r="2994" spans="1:13" x14ac:dyDescent="0.2">
      <c r="A2994" s="113"/>
      <c r="B2994" s="58" t="s">
        <v>7951</v>
      </c>
      <c r="C2994" s="58" t="s">
        <v>1483</v>
      </c>
      <c r="D2994" s="58" t="s">
        <v>7952</v>
      </c>
      <c r="E2994" s="60" t="b">
        <v>1</v>
      </c>
      <c r="F2994" s="80" t="s">
        <v>1012</v>
      </c>
      <c r="G2994" s="58" t="s">
        <v>7951</v>
      </c>
      <c r="H2994" s="58" t="s">
        <v>1483</v>
      </c>
      <c r="I2994" s="64" t="s">
        <v>7952</v>
      </c>
      <c r="J2994" s="66"/>
      <c r="K2994" s="66"/>
      <c r="L2994" s="68"/>
      <c r="M2994" s="63" t="str">
        <f>HYPERLINK("http://nsgreg.nga.mil/genc/view?v=865491&amp;end_month=12&amp;end_day=31&amp;end_year=2016","Correlation")</f>
        <v>Correlation</v>
      </c>
    </row>
    <row r="2995" spans="1:13" x14ac:dyDescent="0.2">
      <c r="A2995" s="113"/>
      <c r="B2995" s="58" t="s">
        <v>7953</v>
      </c>
      <c r="C2995" s="58" t="s">
        <v>1483</v>
      </c>
      <c r="D2995" s="58" t="s">
        <v>7954</v>
      </c>
      <c r="E2995" s="60" t="b">
        <v>1</v>
      </c>
      <c r="F2995" s="80" t="s">
        <v>1012</v>
      </c>
      <c r="G2995" s="58" t="s">
        <v>7953</v>
      </c>
      <c r="H2995" s="58" t="s">
        <v>1483</v>
      </c>
      <c r="I2995" s="64" t="s">
        <v>7954</v>
      </c>
      <c r="J2995" s="66"/>
      <c r="K2995" s="66"/>
      <c r="L2995" s="68"/>
      <c r="M2995" s="63" t="str">
        <f>HYPERLINK("http://nsgreg.nga.mil/genc/view?v=865493&amp;end_month=12&amp;end_day=31&amp;end_year=2016","Correlation")</f>
        <v>Correlation</v>
      </c>
    </row>
    <row r="2996" spans="1:13" x14ac:dyDescent="0.2">
      <c r="A2996" s="113"/>
      <c r="B2996" s="58" t="s">
        <v>7955</v>
      </c>
      <c r="C2996" s="58" t="s">
        <v>1483</v>
      </c>
      <c r="D2996" s="58" t="s">
        <v>7956</v>
      </c>
      <c r="E2996" s="60" t="b">
        <v>1</v>
      </c>
      <c r="F2996" s="80" t="s">
        <v>1012</v>
      </c>
      <c r="G2996" s="58" t="s">
        <v>7955</v>
      </c>
      <c r="H2996" s="58" t="s">
        <v>1483</v>
      </c>
      <c r="I2996" s="64" t="s">
        <v>7956</v>
      </c>
      <c r="J2996" s="66"/>
      <c r="K2996" s="66"/>
      <c r="L2996" s="68"/>
      <c r="M2996" s="63" t="str">
        <f>HYPERLINK("http://nsgreg.nga.mil/genc/view?v=865496&amp;end_month=12&amp;end_day=31&amp;end_year=2016","Correlation")</f>
        <v>Correlation</v>
      </c>
    </row>
    <row r="2997" spans="1:13" x14ac:dyDescent="0.2">
      <c r="A2997" s="113"/>
      <c r="B2997" s="58" t="s">
        <v>7957</v>
      </c>
      <c r="C2997" s="58" t="s">
        <v>1483</v>
      </c>
      <c r="D2997" s="58" t="s">
        <v>7958</v>
      </c>
      <c r="E2997" s="60" t="b">
        <v>1</v>
      </c>
      <c r="F2997" s="80" t="s">
        <v>1012</v>
      </c>
      <c r="G2997" s="58" t="s">
        <v>7957</v>
      </c>
      <c r="H2997" s="58" t="s">
        <v>1483</v>
      </c>
      <c r="I2997" s="64" t="s">
        <v>7958</v>
      </c>
      <c r="J2997" s="66"/>
      <c r="K2997" s="66"/>
      <c r="L2997" s="68"/>
      <c r="M2997" s="63" t="str">
        <f>HYPERLINK("http://nsgreg.nga.mil/genc/view?v=865495&amp;end_month=12&amp;end_day=31&amp;end_year=2016","Correlation")</f>
        <v>Correlation</v>
      </c>
    </row>
    <row r="2998" spans="1:13" x14ac:dyDescent="0.2">
      <c r="A2998" s="113"/>
      <c r="B2998" s="58" t="s">
        <v>7959</v>
      </c>
      <c r="C2998" s="58" t="s">
        <v>1483</v>
      </c>
      <c r="D2998" s="58" t="s">
        <v>7960</v>
      </c>
      <c r="E2998" s="60" t="b">
        <v>1</v>
      </c>
      <c r="F2998" s="80" t="s">
        <v>1012</v>
      </c>
      <c r="G2998" s="58" t="s">
        <v>7959</v>
      </c>
      <c r="H2998" s="58" t="s">
        <v>1483</v>
      </c>
      <c r="I2998" s="64" t="s">
        <v>7960</v>
      </c>
      <c r="J2998" s="66"/>
      <c r="K2998" s="66"/>
      <c r="L2998" s="68"/>
      <c r="M2998" s="63" t="str">
        <f>HYPERLINK("http://nsgreg.nga.mil/genc/view?v=865484&amp;end_month=12&amp;end_day=31&amp;end_year=2016","Correlation")</f>
        <v>Correlation</v>
      </c>
    </row>
    <row r="2999" spans="1:13" x14ac:dyDescent="0.2">
      <c r="A2999" s="113"/>
      <c r="B2999" s="58" t="s">
        <v>7961</v>
      </c>
      <c r="C2999" s="58" t="s">
        <v>1483</v>
      </c>
      <c r="D2999" s="58" t="s">
        <v>7962</v>
      </c>
      <c r="E2999" s="60" t="b">
        <v>1</v>
      </c>
      <c r="F2999" s="80" t="s">
        <v>1012</v>
      </c>
      <c r="G2999" s="58" t="s">
        <v>7961</v>
      </c>
      <c r="H2999" s="58" t="s">
        <v>1483</v>
      </c>
      <c r="I2999" s="64" t="s">
        <v>7962</v>
      </c>
      <c r="J2999" s="66"/>
      <c r="K2999" s="66"/>
      <c r="L2999" s="68"/>
      <c r="M2999" s="63" t="str">
        <f>HYPERLINK("http://nsgreg.nga.mil/genc/view?v=865482&amp;end_month=12&amp;end_day=31&amp;end_year=2016","Correlation")</f>
        <v>Correlation</v>
      </c>
    </row>
    <row r="3000" spans="1:13" x14ac:dyDescent="0.2">
      <c r="A3000" s="113"/>
      <c r="B3000" s="58" t="s">
        <v>7963</v>
      </c>
      <c r="C3000" s="58" t="s">
        <v>1483</v>
      </c>
      <c r="D3000" s="58" t="s">
        <v>7964</v>
      </c>
      <c r="E3000" s="60" t="b">
        <v>1</v>
      </c>
      <c r="F3000" s="80" t="s">
        <v>1012</v>
      </c>
      <c r="G3000" s="58" t="s">
        <v>7963</v>
      </c>
      <c r="H3000" s="58" t="s">
        <v>1483</v>
      </c>
      <c r="I3000" s="64" t="s">
        <v>7964</v>
      </c>
      <c r="J3000" s="66"/>
      <c r="K3000" s="66"/>
      <c r="L3000" s="68"/>
      <c r="M3000" s="63" t="str">
        <f>HYPERLINK("http://nsgreg.nga.mil/genc/view?v=865480&amp;end_month=12&amp;end_day=31&amp;end_year=2016","Correlation")</f>
        <v>Correlation</v>
      </c>
    </row>
    <row r="3001" spans="1:13" x14ac:dyDescent="0.2">
      <c r="A3001" s="113"/>
      <c r="B3001" s="58" t="s">
        <v>7965</v>
      </c>
      <c r="C3001" s="58" t="s">
        <v>1483</v>
      </c>
      <c r="D3001" s="58" t="s">
        <v>7966</v>
      </c>
      <c r="E3001" s="60" t="b">
        <v>1</v>
      </c>
      <c r="F3001" s="80" t="s">
        <v>1012</v>
      </c>
      <c r="G3001" s="58" t="s">
        <v>7965</v>
      </c>
      <c r="H3001" s="58" t="s">
        <v>1483</v>
      </c>
      <c r="I3001" s="64" t="s">
        <v>7966</v>
      </c>
      <c r="J3001" s="66"/>
      <c r="K3001" s="66"/>
      <c r="L3001" s="68"/>
      <c r="M3001" s="63" t="str">
        <f>HYPERLINK("http://nsgreg.nga.mil/genc/view?v=865490&amp;end_month=12&amp;end_day=31&amp;end_year=2016","Correlation")</f>
        <v>Correlation</v>
      </c>
    </row>
    <row r="3002" spans="1:13" x14ac:dyDescent="0.2">
      <c r="A3002" s="113"/>
      <c r="B3002" s="58" t="s">
        <v>7967</v>
      </c>
      <c r="C3002" s="58" t="s">
        <v>1483</v>
      </c>
      <c r="D3002" s="58" t="s">
        <v>7968</v>
      </c>
      <c r="E3002" s="60" t="b">
        <v>1</v>
      </c>
      <c r="F3002" s="80" t="s">
        <v>1012</v>
      </c>
      <c r="G3002" s="58" t="s">
        <v>7967</v>
      </c>
      <c r="H3002" s="58" t="s">
        <v>1483</v>
      </c>
      <c r="I3002" s="64" t="s">
        <v>7968</v>
      </c>
      <c r="J3002" s="66"/>
      <c r="K3002" s="66"/>
      <c r="L3002" s="68"/>
      <c r="M3002" s="63" t="str">
        <f>HYPERLINK("http://nsgreg.nga.mil/genc/view?v=865492&amp;end_month=12&amp;end_day=31&amp;end_year=2016","Correlation")</f>
        <v>Correlation</v>
      </c>
    </row>
    <row r="3003" spans="1:13" x14ac:dyDescent="0.2">
      <c r="A3003" s="113"/>
      <c r="B3003" s="58" t="s">
        <v>7969</v>
      </c>
      <c r="C3003" s="58" t="s">
        <v>1483</v>
      </c>
      <c r="D3003" s="58" t="s">
        <v>7970</v>
      </c>
      <c r="E3003" s="60" t="b">
        <v>1</v>
      </c>
      <c r="F3003" s="80" t="s">
        <v>1012</v>
      </c>
      <c r="G3003" s="58" t="s">
        <v>7969</v>
      </c>
      <c r="H3003" s="58" t="s">
        <v>1483</v>
      </c>
      <c r="I3003" s="64" t="s">
        <v>7970</v>
      </c>
      <c r="J3003" s="66"/>
      <c r="K3003" s="66"/>
      <c r="L3003" s="68"/>
      <c r="M3003" s="63" t="str">
        <f>HYPERLINK("http://nsgreg.nga.mil/genc/view?v=865494&amp;end_month=12&amp;end_day=31&amp;end_year=2016","Correlation")</f>
        <v>Correlation</v>
      </c>
    </row>
    <row r="3004" spans="1:13" x14ac:dyDescent="0.2">
      <c r="A3004" s="113"/>
      <c r="B3004" s="58" t="s">
        <v>7971</v>
      </c>
      <c r="C3004" s="58" t="s">
        <v>1483</v>
      </c>
      <c r="D3004" s="58" t="s">
        <v>7972</v>
      </c>
      <c r="E3004" s="60" t="b">
        <v>1</v>
      </c>
      <c r="F3004" s="80" t="s">
        <v>1012</v>
      </c>
      <c r="G3004" s="58" t="s">
        <v>7971</v>
      </c>
      <c r="H3004" s="58" t="s">
        <v>1483</v>
      </c>
      <c r="I3004" s="64" t="s">
        <v>7972</v>
      </c>
      <c r="J3004" s="66"/>
      <c r="K3004" s="66"/>
      <c r="L3004" s="68"/>
      <c r="M3004" s="63" t="str">
        <f>HYPERLINK("http://nsgreg.nga.mil/genc/view?v=865487&amp;end_month=12&amp;end_day=31&amp;end_year=2016","Correlation")</f>
        <v>Correlation</v>
      </c>
    </row>
    <row r="3005" spans="1:13" x14ac:dyDescent="0.2">
      <c r="A3005" s="113"/>
      <c r="B3005" s="58" t="s">
        <v>7973</v>
      </c>
      <c r="C3005" s="58" t="s">
        <v>1483</v>
      </c>
      <c r="D3005" s="58" t="s">
        <v>7974</v>
      </c>
      <c r="E3005" s="60" t="b">
        <v>1</v>
      </c>
      <c r="F3005" s="80" t="s">
        <v>1012</v>
      </c>
      <c r="G3005" s="58" t="s">
        <v>7973</v>
      </c>
      <c r="H3005" s="58" t="s">
        <v>1483</v>
      </c>
      <c r="I3005" s="64" t="s">
        <v>7974</v>
      </c>
      <c r="J3005" s="66"/>
      <c r="K3005" s="66"/>
      <c r="L3005" s="68"/>
      <c r="M3005" s="63" t="str">
        <f>HYPERLINK("http://nsgreg.nga.mil/genc/view?v=865497&amp;end_month=12&amp;end_day=31&amp;end_year=2016","Correlation")</f>
        <v>Correlation</v>
      </c>
    </row>
    <row r="3006" spans="1:13" x14ac:dyDescent="0.2">
      <c r="A3006" s="113"/>
      <c r="B3006" s="58" t="s">
        <v>7975</v>
      </c>
      <c r="C3006" s="58" t="s">
        <v>1483</v>
      </c>
      <c r="D3006" s="58" t="s">
        <v>7976</v>
      </c>
      <c r="E3006" s="60" t="b">
        <v>1</v>
      </c>
      <c r="F3006" s="80" t="s">
        <v>1012</v>
      </c>
      <c r="G3006" s="58" t="s">
        <v>7975</v>
      </c>
      <c r="H3006" s="58" t="s">
        <v>1483</v>
      </c>
      <c r="I3006" s="64" t="s">
        <v>7976</v>
      </c>
      <c r="J3006" s="66"/>
      <c r="K3006" s="66"/>
      <c r="L3006" s="68"/>
      <c r="M3006" s="63" t="str">
        <f>HYPERLINK("http://nsgreg.nga.mil/genc/view?v=865489&amp;end_month=12&amp;end_day=31&amp;end_year=2016","Correlation")</f>
        <v>Correlation</v>
      </c>
    </row>
    <row r="3007" spans="1:13" x14ac:dyDescent="0.2">
      <c r="A3007" s="114"/>
      <c r="B3007" s="71" t="s">
        <v>7977</v>
      </c>
      <c r="C3007" s="71" t="s">
        <v>1483</v>
      </c>
      <c r="D3007" s="71" t="s">
        <v>7978</v>
      </c>
      <c r="E3007" s="73" t="b">
        <v>1</v>
      </c>
      <c r="F3007" s="81" t="s">
        <v>1012</v>
      </c>
      <c r="G3007" s="71" t="s">
        <v>7977</v>
      </c>
      <c r="H3007" s="71" t="s">
        <v>1483</v>
      </c>
      <c r="I3007" s="74" t="s">
        <v>7978</v>
      </c>
      <c r="J3007" s="76"/>
      <c r="K3007" s="76"/>
      <c r="L3007" s="82"/>
      <c r="M3007" s="77" t="str">
        <f>HYPERLINK("http://nsgreg.nga.mil/genc/view?v=865486&amp;end_month=12&amp;end_day=31&amp;end_year=2016","Correlation")</f>
        <v>Correlation</v>
      </c>
    </row>
    <row r="3008" spans="1:13" x14ac:dyDescent="0.2">
      <c r="A3008" s="112" t="s">
        <v>1016</v>
      </c>
      <c r="B3008" s="50" t="s">
        <v>7979</v>
      </c>
      <c r="C3008" s="50" t="s">
        <v>2030</v>
      </c>
      <c r="D3008" s="50" t="s">
        <v>7980</v>
      </c>
      <c r="E3008" s="52" t="b">
        <v>1</v>
      </c>
      <c r="F3008" s="78" t="s">
        <v>1016</v>
      </c>
      <c r="G3008" s="50" t="s">
        <v>7979</v>
      </c>
      <c r="H3008" s="50" t="s">
        <v>2030</v>
      </c>
      <c r="I3008" s="53" t="s">
        <v>7980</v>
      </c>
      <c r="J3008" s="55"/>
      <c r="K3008" s="55"/>
      <c r="L3008" s="79"/>
      <c r="M3008" s="56" t="str">
        <f>HYPERLINK("http://nsgreg.nga.mil/genc/view?v=865552&amp;end_month=12&amp;end_day=31&amp;end_year=2016","Correlation")</f>
        <v>Correlation</v>
      </c>
    </row>
    <row r="3009" spans="1:13" x14ac:dyDescent="0.2">
      <c r="A3009" s="113"/>
      <c r="B3009" s="58" t="s">
        <v>7981</v>
      </c>
      <c r="C3009" s="58" t="s">
        <v>2030</v>
      </c>
      <c r="D3009" s="58" t="s">
        <v>7982</v>
      </c>
      <c r="E3009" s="60" t="b">
        <v>1</v>
      </c>
      <c r="F3009" s="80" t="s">
        <v>1016</v>
      </c>
      <c r="G3009" s="58" t="s">
        <v>7981</v>
      </c>
      <c r="H3009" s="58" t="s">
        <v>2030</v>
      </c>
      <c r="I3009" s="64" t="s">
        <v>7982</v>
      </c>
      <c r="J3009" s="66"/>
      <c r="K3009" s="66"/>
      <c r="L3009" s="68"/>
      <c r="M3009" s="63" t="str">
        <f>HYPERLINK("http://nsgreg.nga.mil/genc/view?v=865551&amp;end_month=12&amp;end_day=31&amp;end_year=2016","Correlation")</f>
        <v>Correlation</v>
      </c>
    </row>
    <row r="3010" spans="1:13" x14ac:dyDescent="0.2">
      <c r="A3010" s="113"/>
      <c r="B3010" s="58" t="s">
        <v>7983</v>
      </c>
      <c r="C3010" s="58" t="s">
        <v>2030</v>
      </c>
      <c r="D3010" s="58" t="s">
        <v>7984</v>
      </c>
      <c r="E3010" s="60" t="b">
        <v>1</v>
      </c>
      <c r="F3010" s="80" t="s">
        <v>1016</v>
      </c>
      <c r="G3010" s="58" t="s">
        <v>7983</v>
      </c>
      <c r="H3010" s="58" t="s">
        <v>2030</v>
      </c>
      <c r="I3010" s="64" t="s">
        <v>7984</v>
      </c>
      <c r="J3010" s="66"/>
      <c r="K3010" s="66"/>
      <c r="L3010" s="68"/>
      <c r="M3010" s="63" t="str">
        <f>HYPERLINK("http://nsgreg.nga.mil/genc/view?v=865557&amp;end_month=12&amp;end_day=31&amp;end_year=2016","Correlation")</f>
        <v>Correlation</v>
      </c>
    </row>
    <row r="3011" spans="1:13" x14ac:dyDescent="0.2">
      <c r="A3011" s="113"/>
      <c r="B3011" s="58" t="s">
        <v>7985</v>
      </c>
      <c r="C3011" s="58" t="s">
        <v>2030</v>
      </c>
      <c r="D3011" s="58" t="s">
        <v>7986</v>
      </c>
      <c r="E3011" s="60" t="b">
        <v>1</v>
      </c>
      <c r="F3011" s="80" t="s">
        <v>1016</v>
      </c>
      <c r="G3011" s="58" t="s">
        <v>7985</v>
      </c>
      <c r="H3011" s="58" t="s">
        <v>2030</v>
      </c>
      <c r="I3011" s="64" t="s">
        <v>7986</v>
      </c>
      <c r="J3011" s="66"/>
      <c r="K3011" s="66"/>
      <c r="L3011" s="68"/>
      <c r="M3011" s="63" t="str">
        <f>HYPERLINK("http://nsgreg.nga.mil/genc/view?v=865558&amp;end_month=12&amp;end_day=31&amp;end_year=2016","Correlation")</f>
        <v>Correlation</v>
      </c>
    </row>
    <row r="3012" spans="1:13" x14ac:dyDescent="0.2">
      <c r="A3012" s="113"/>
      <c r="B3012" s="58" t="s">
        <v>7987</v>
      </c>
      <c r="C3012" s="58" t="s">
        <v>2030</v>
      </c>
      <c r="D3012" s="58" t="s">
        <v>7988</v>
      </c>
      <c r="E3012" s="60" t="b">
        <v>1</v>
      </c>
      <c r="F3012" s="80" t="s">
        <v>1016</v>
      </c>
      <c r="G3012" s="58" t="s">
        <v>7987</v>
      </c>
      <c r="H3012" s="58" t="s">
        <v>2030</v>
      </c>
      <c r="I3012" s="64" t="s">
        <v>7988</v>
      </c>
      <c r="J3012" s="66"/>
      <c r="K3012" s="66"/>
      <c r="L3012" s="68"/>
      <c r="M3012" s="63" t="str">
        <f>HYPERLINK("http://nsgreg.nga.mil/genc/view?v=865549&amp;end_month=12&amp;end_day=31&amp;end_year=2016","Correlation")</f>
        <v>Correlation</v>
      </c>
    </row>
    <row r="3013" spans="1:13" x14ac:dyDescent="0.2">
      <c r="A3013" s="113"/>
      <c r="B3013" s="58" t="s">
        <v>7989</v>
      </c>
      <c r="C3013" s="58" t="s">
        <v>2030</v>
      </c>
      <c r="D3013" s="58" t="s">
        <v>7990</v>
      </c>
      <c r="E3013" s="60" t="b">
        <v>1</v>
      </c>
      <c r="F3013" s="80" t="s">
        <v>1016</v>
      </c>
      <c r="G3013" s="58" t="s">
        <v>7989</v>
      </c>
      <c r="H3013" s="58" t="s">
        <v>2030</v>
      </c>
      <c r="I3013" s="64" t="s">
        <v>7990</v>
      </c>
      <c r="J3013" s="66"/>
      <c r="K3013" s="66"/>
      <c r="L3013" s="68"/>
      <c r="M3013" s="63" t="str">
        <f>HYPERLINK("http://nsgreg.nga.mil/genc/view?v=865555&amp;end_month=12&amp;end_day=31&amp;end_year=2016","Correlation")</f>
        <v>Correlation</v>
      </c>
    </row>
    <row r="3014" spans="1:13" x14ac:dyDescent="0.2">
      <c r="A3014" s="113"/>
      <c r="B3014" s="58" t="s">
        <v>7991</v>
      </c>
      <c r="C3014" s="58" t="s">
        <v>2030</v>
      </c>
      <c r="D3014" s="58" t="s">
        <v>7992</v>
      </c>
      <c r="E3014" s="60" t="b">
        <v>1</v>
      </c>
      <c r="F3014" s="80" t="s">
        <v>1016</v>
      </c>
      <c r="G3014" s="58" t="s">
        <v>7991</v>
      </c>
      <c r="H3014" s="58" t="s">
        <v>2030</v>
      </c>
      <c r="I3014" s="64" t="s">
        <v>7992</v>
      </c>
      <c r="J3014" s="66"/>
      <c r="K3014" s="66"/>
      <c r="L3014" s="68"/>
      <c r="M3014" s="63" t="str">
        <f>HYPERLINK("http://nsgreg.nga.mil/genc/view?v=865553&amp;end_month=12&amp;end_day=31&amp;end_year=2016","Correlation")</f>
        <v>Correlation</v>
      </c>
    </row>
    <row r="3015" spans="1:13" x14ac:dyDescent="0.2">
      <c r="A3015" s="113"/>
      <c r="B3015" s="58" t="s">
        <v>7993</v>
      </c>
      <c r="C3015" s="58" t="s">
        <v>2030</v>
      </c>
      <c r="D3015" s="58" t="s">
        <v>7994</v>
      </c>
      <c r="E3015" s="60" t="b">
        <v>1</v>
      </c>
      <c r="F3015" s="80" t="s">
        <v>1016</v>
      </c>
      <c r="G3015" s="58" t="s">
        <v>7993</v>
      </c>
      <c r="H3015" s="58" t="s">
        <v>2030</v>
      </c>
      <c r="I3015" s="64" t="s">
        <v>7994</v>
      </c>
      <c r="J3015" s="66"/>
      <c r="K3015" s="66"/>
      <c r="L3015" s="68"/>
      <c r="M3015" s="63" t="str">
        <f>HYPERLINK("http://nsgreg.nga.mil/genc/view?v=865554&amp;end_month=12&amp;end_day=31&amp;end_year=2016","Correlation")</f>
        <v>Correlation</v>
      </c>
    </row>
    <row r="3016" spans="1:13" x14ac:dyDescent="0.2">
      <c r="A3016" s="113"/>
      <c r="B3016" s="58" t="s">
        <v>7995</v>
      </c>
      <c r="C3016" s="58" t="s">
        <v>2030</v>
      </c>
      <c r="D3016" s="58" t="s">
        <v>7996</v>
      </c>
      <c r="E3016" s="60" t="b">
        <v>1</v>
      </c>
      <c r="F3016" s="80" t="s">
        <v>1016</v>
      </c>
      <c r="G3016" s="58" t="s">
        <v>7995</v>
      </c>
      <c r="H3016" s="58" t="s">
        <v>2030</v>
      </c>
      <c r="I3016" s="64" t="s">
        <v>7996</v>
      </c>
      <c r="J3016" s="66"/>
      <c r="K3016" s="66"/>
      <c r="L3016" s="68"/>
      <c r="M3016" s="63" t="str">
        <f>HYPERLINK("http://nsgreg.nga.mil/genc/view?v=865550&amp;end_month=12&amp;end_day=31&amp;end_year=2016","Correlation")</f>
        <v>Correlation</v>
      </c>
    </row>
    <row r="3017" spans="1:13" x14ac:dyDescent="0.2">
      <c r="A3017" s="113"/>
      <c r="B3017" s="58" t="s">
        <v>7997</v>
      </c>
      <c r="C3017" s="58" t="s">
        <v>2030</v>
      </c>
      <c r="D3017" s="58" t="s">
        <v>7998</v>
      </c>
      <c r="E3017" s="60" t="b">
        <v>1</v>
      </c>
      <c r="F3017" s="80" t="s">
        <v>1016</v>
      </c>
      <c r="G3017" s="58" t="s">
        <v>7997</v>
      </c>
      <c r="H3017" s="58" t="s">
        <v>2030</v>
      </c>
      <c r="I3017" s="64" t="s">
        <v>7998</v>
      </c>
      <c r="J3017" s="66"/>
      <c r="K3017" s="66"/>
      <c r="L3017" s="68"/>
      <c r="M3017" s="63" t="str">
        <f>HYPERLINK("http://nsgreg.nga.mil/genc/view?v=865556&amp;end_month=12&amp;end_day=31&amp;end_year=2016","Correlation")</f>
        <v>Correlation</v>
      </c>
    </row>
    <row r="3018" spans="1:13" x14ac:dyDescent="0.2">
      <c r="A3018" s="114"/>
      <c r="B3018" s="71" t="s">
        <v>7999</v>
      </c>
      <c r="C3018" s="71" t="s">
        <v>2030</v>
      </c>
      <c r="D3018" s="71" t="s">
        <v>8000</v>
      </c>
      <c r="E3018" s="73" t="b">
        <v>1</v>
      </c>
      <c r="F3018" s="81" t="s">
        <v>1016</v>
      </c>
      <c r="G3018" s="71" t="s">
        <v>7999</v>
      </c>
      <c r="H3018" s="71" t="s">
        <v>2030</v>
      </c>
      <c r="I3018" s="74" t="s">
        <v>8000</v>
      </c>
      <c r="J3018" s="76"/>
      <c r="K3018" s="76"/>
      <c r="L3018" s="82"/>
      <c r="M3018" s="77" t="str">
        <f>HYPERLINK("http://nsgreg.nga.mil/genc/view?v=865559&amp;end_month=12&amp;end_day=31&amp;end_year=2016","Correlation")</f>
        <v>Correlation</v>
      </c>
    </row>
    <row r="3019" spans="1:13" x14ac:dyDescent="0.2">
      <c r="A3019" s="112" t="s">
        <v>1020</v>
      </c>
      <c r="B3019" s="50" t="s">
        <v>8001</v>
      </c>
      <c r="C3019" s="50" t="s">
        <v>8002</v>
      </c>
      <c r="D3019" s="50" t="s">
        <v>8003</v>
      </c>
      <c r="E3019" s="52" t="b">
        <v>1</v>
      </c>
      <c r="F3019" s="78" t="s">
        <v>1020</v>
      </c>
      <c r="G3019" s="50" t="s">
        <v>8001</v>
      </c>
      <c r="H3019" s="50" t="s">
        <v>8002</v>
      </c>
      <c r="I3019" s="53" t="s">
        <v>8003</v>
      </c>
      <c r="J3019" s="55"/>
      <c r="K3019" s="55"/>
      <c r="L3019" s="79"/>
      <c r="M3019" s="56" t="str">
        <f>HYPERLINK("http://nsgreg.nga.mil/genc/view?v=865765&amp;end_month=12&amp;end_day=31&amp;end_year=2016","Correlation")</f>
        <v>Correlation</v>
      </c>
    </row>
    <row r="3020" spans="1:13" x14ac:dyDescent="0.2">
      <c r="A3020" s="113"/>
      <c r="B3020" s="58" t="s">
        <v>8004</v>
      </c>
      <c r="C3020" s="58" t="s">
        <v>1413</v>
      </c>
      <c r="D3020" s="58" t="s">
        <v>8005</v>
      </c>
      <c r="E3020" s="60" t="b">
        <v>1</v>
      </c>
      <c r="F3020" s="80" t="s">
        <v>1020</v>
      </c>
      <c r="G3020" s="58" t="s">
        <v>8006</v>
      </c>
      <c r="H3020" s="58" t="s">
        <v>1413</v>
      </c>
      <c r="I3020" s="64" t="s">
        <v>8005</v>
      </c>
      <c r="J3020" s="66"/>
      <c r="K3020" s="66"/>
      <c r="L3020" s="68"/>
      <c r="M3020" s="63" t="str">
        <f>HYPERLINK("http://nsgreg.nga.mil/genc/view?v=865762&amp;end_month=12&amp;end_day=31&amp;end_year=2016","Correlation")</f>
        <v>Correlation</v>
      </c>
    </row>
    <row r="3021" spans="1:13" x14ac:dyDescent="0.2">
      <c r="A3021" s="113"/>
      <c r="B3021" s="58" t="s">
        <v>8007</v>
      </c>
      <c r="C3021" s="58" t="s">
        <v>1760</v>
      </c>
      <c r="D3021" s="58" t="s">
        <v>8008</v>
      </c>
      <c r="E3021" s="60" t="b">
        <v>1</v>
      </c>
      <c r="F3021" s="80" t="s">
        <v>1020</v>
      </c>
      <c r="G3021" s="58" t="s">
        <v>8007</v>
      </c>
      <c r="H3021" s="58" t="s">
        <v>1760</v>
      </c>
      <c r="I3021" s="64" t="s">
        <v>8008</v>
      </c>
      <c r="J3021" s="66"/>
      <c r="K3021" s="66"/>
      <c r="L3021" s="68"/>
      <c r="M3021" s="63" t="str">
        <f>HYPERLINK("http://nsgreg.nga.mil/genc/view?v=865769&amp;end_month=12&amp;end_day=31&amp;end_year=2016","Correlation")</f>
        <v>Correlation</v>
      </c>
    </row>
    <row r="3022" spans="1:13" x14ac:dyDescent="0.2">
      <c r="A3022" s="113"/>
      <c r="B3022" s="58" t="s">
        <v>8009</v>
      </c>
      <c r="C3022" s="58" t="s">
        <v>8002</v>
      </c>
      <c r="D3022" s="58" t="s">
        <v>8010</v>
      </c>
      <c r="E3022" s="60" t="b">
        <v>1</v>
      </c>
      <c r="F3022" s="80" t="s">
        <v>1020</v>
      </c>
      <c r="G3022" s="58" t="s">
        <v>8009</v>
      </c>
      <c r="H3022" s="58" t="s">
        <v>8002</v>
      </c>
      <c r="I3022" s="64" t="s">
        <v>8010</v>
      </c>
      <c r="J3022" s="66"/>
      <c r="K3022" s="66"/>
      <c r="L3022" s="68"/>
      <c r="M3022" s="63" t="str">
        <f>HYPERLINK("http://nsgreg.nga.mil/genc/view?v=865763&amp;end_month=12&amp;end_day=31&amp;end_year=2016","Correlation")</f>
        <v>Correlation</v>
      </c>
    </row>
    <row r="3023" spans="1:13" x14ac:dyDescent="0.2">
      <c r="A3023" s="113"/>
      <c r="B3023" s="58" t="s">
        <v>8011</v>
      </c>
      <c r="C3023" s="58" t="s">
        <v>7895</v>
      </c>
      <c r="D3023" s="58" t="s">
        <v>8012</v>
      </c>
      <c r="E3023" s="60" t="b">
        <v>1</v>
      </c>
      <c r="F3023" s="80" t="s">
        <v>1020</v>
      </c>
      <c r="G3023" s="58" t="s">
        <v>8013</v>
      </c>
      <c r="H3023" s="58" t="s">
        <v>8014</v>
      </c>
      <c r="I3023" s="64" t="s">
        <v>8012</v>
      </c>
      <c r="J3023" s="66"/>
      <c r="K3023" s="66"/>
      <c r="L3023" s="68"/>
      <c r="M3023" s="63" t="str">
        <f>HYPERLINK("http://nsgreg.nga.mil/genc/view?v=865764&amp;end_month=12&amp;end_day=31&amp;end_year=2016","Correlation")</f>
        <v>Correlation</v>
      </c>
    </row>
    <row r="3024" spans="1:13" x14ac:dyDescent="0.2">
      <c r="A3024" s="113"/>
      <c r="B3024" s="58" t="s">
        <v>8015</v>
      </c>
      <c r="C3024" s="58" t="s">
        <v>1413</v>
      </c>
      <c r="D3024" s="58" t="s">
        <v>8016</v>
      </c>
      <c r="E3024" s="60" t="b">
        <v>1</v>
      </c>
      <c r="F3024" s="80" t="s">
        <v>1020</v>
      </c>
      <c r="G3024" s="58" t="s">
        <v>8015</v>
      </c>
      <c r="H3024" s="58" t="s">
        <v>1413</v>
      </c>
      <c r="I3024" s="64" t="s">
        <v>8016</v>
      </c>
      <c r="J3024" s="66"/>
      <c r="K3024" s="66"/>
      <c r="L3024" s="68"/>
      <c r="M3024" s="63" t="str">
        <f>HYPERLINK("http://nsgreg.nga.mil/genc/view?v=865766&amp;end_month=12&amp;end_day=31&amp;end_year=2016","Correlation")</f>
        <v>Correlation</v>
      </c>
    </row>
    <row r="3025" spans="1:13" x14ac:dyDescent="0.2">
      <c r="A3025" s="113"/>
      <c r="B3025" s="58" t="s">
        <v>4924</v>
      </c>
      <c r="C3025" s="58" t="s">
        <v>1413</v>
      </c>
      <c r="D3025" s="58" t="s">
        <v>8017</v>
      </c>
      <c r="E3025" s="60" t="b">
        <v>1</v>
      </c>
      <c r="F3025" s="80" t="s">
        <v>1020</v>
      </c>
      <c r="G3025" s="58" t="s">
        <v>4924</v>
      </c>
      <c r="H3025" s="58" t="s">
        <v>1413</v>
      </c>
      <c r="I3025" s="64" t="s">
        <v>8017</v>
      </c>
      <c r="J3025" s="66"/>
      <c r="K3025" s="66"/>
      <c r="L3025" s="68"/>
      <c r="M3025" s="63" t="str">
        <f>HYPERLINK("http://nsgreg.nga.mil/genc/view?v=865767&amp;end_month=12&amp;end_day=31&amp;end_year=2016","Correlation")</f>
        <v>Correlation</v>
      </c>
    </row>
    <row r="3026" spans="1:13" x14ac:dyDescent="0.2">
      <c r="A3026" s="114"/>
      <c r="B3026" s="71" t="s">
        <v>8018</v>
      </c>
      <c r="C3026" s="71" t="s">
        <v>1413</v>
      </c>
      <c r="D3026" s="71" t="s">
        <v>8019</v>
      </c>
      <c r="E3026" s="73" t="b">
        <v>1</v>
      </c>
      <c r="F3026" s="81" t="s">
        <v>1020</v>
      </c>
      <c r="G3026" s="71" t="s">
        <v>8018</v>
      </c>
      <c r="H3026" s="71" t="s">
        <v>1413</v>
      </c>
      <c r="I3026" s="74" t="s">
        <v>8019</v>
      </c>
      <c r="J3026" s="76"/>
      <c r="K3026" s="76"/>
      <c r="L3026" s="82"/>
      <c r="M3026" s="77" t="str">
        <f>HYPERLINK("http://nsgreg.nga.mil/genc/view?v=865768&amp;end_month=12&amp;end_day=31&amp;end_year=2016","Correlation")</f>
        <v>Correlation</v>
      </c>
    </row>
    <row r="3027" spans="1:13" x14ac:dyDescent="0.2">
      <c r="A3027" s="112" t="s">
        <v>1024</v>
      </c>
      <c r="B3027" s="50" t="s">
        <v>8020</v>
      </c>
      <c r="C3027" s="50" t="s">
        <v>1763</v>
      </c>
      <c r="D3027" s="50" t="s">
        <v>8021</v>
      </c>
      <c r="E3027" s="52" t="b">
        <v>1</v>
      </c>
      <c r="F3027" s="78" t="s">
        <v>1024</v>
      </c>
      <c r="G3027" s="50" t="s">
        <v>8020</v>
      </c>
      <c r="H3027" s="50" t="s">
        <v>1763</v>
      </c>
      <c r="I3027" s="53" t="s">
        <v>8021</v>
      </c>
      <c r="J3027" s="55"/>
      <c r="K3027" s="55"/>
      <c r="L3027" s="79"/>
      <c r="M3027" s="56" t="str">
        <f>HYPERLINK("http://nsgreg.nga.mil/genc/view?v=865806&amp;end_month=12&amp;end_day=31&amp;end_year=2016","Correlation")</f>
        <v>Correlation</v>
      </c>
    </row>
    <row r="3028" spans="1:13" x14ac:dyDescent="0.2">
      <c r="A3028" s="113"/>
      <c r="B3028" s="58" t="s">
        <v>8022</v>
      </c>
      <c r="C3028" s="58" t="s">
        <v>1763</v>
      </c>
      <c r="D3028" s="58" t="s">
        <v>8023</v>
      </c>
      <c r="E3028" s="60" t="b">
        <v>1</v>
      </c>
      <c r="F3028" s="80" t="s">
        <v>1024</v>
      </c>
      <c r="G3028" s="58" t="s">
        <v>8022</v>
      </c>
      <c r="H3028" s="58" t="s">
        <v>1763</v>
      </c>
      <c r="I3028" s="64" t="s">
        <v>8023</v>
      </c>
      <c r="J3028" s="66"/>
      <c r="K3028" s="66"/>
      <c r="L3028" s="68"/>
      <c r="M3028" s="63" t="str">
        <f>HYPERLINK("http://nsgreg.nga.mil/genc/view?v=865807&amp;end_month=12&amp;end_day=31&amp;end_year=2016","Correlation")</f>
        <v>Correlation</v>
      </c>
    </row>
    <row r="3029" spans="1:13" x14ac:dyDescent="0.2">
      <c r="A3029" s="113"/>
      <c r="B3029" s="58" t="s">
        <v>8024</v>
      </c>
      <c r="C3029" s="58" t="s">
        <v>1763</v>
      </c>
      <c r="D3029" s="58" t="s">
        <v>8025</v>
      </c>
      <c r="E3029" s="60" t="b">
        <v>1</v>
      </c>
      <c r="F3029" s="80" t="s">
        <v>1024</v>
      </c>
      <c r="G3029" s="58" t="s">
        <v>8024</v>
      </c>
      <c r="H3029" s="58" t="s">
        <v>1763</v>
      </c>
      <c r="I3029" s="64" t="s">
        <v>8025</v>
      </c>
      <c r="J3029" s="66"/>
      <c r="K3029" s="66"/>
      <c r="L3029" s="68"/>
      <c r="M3029" s="63" t="str">
        <f>HYPERLINK("http://nsgreg.nga.mil/genc/view?v=865808&amp;end_month=12&amp;end_day=31&amp;end_year=2016","Correlation")</f>
        <v>Correlation</v>
      </c>
    </row>
    <row r="3030" spans="1:13" x14ac:dyDescent="0.2">
      <c r="A3030" s="113"/>
      <c r="B3030" s="58" t="s">
        <v>8026</v>
      </c>
      <c r="C3030" s="58" t="s">
        <v>1763</v>
      </c>
      <c r="D3030" s="58" t="s">
        <v>8027</v>
      </c>
      <c r="E3030" s="60" t="b">
        <v>1</v>
      </c>
      <c r="F3030" s="80" t="s">
        <v>1024</v>
      </c>
      <c r="G3030" s="58" t="s">
        <v>8026</v>
      </c>
      <c r="H3030" s="58" t="s">
        <v>1763</v>
      </c>
      <c r="I3030" s="64" t="s">
        <v>8027</v>
      </c>
      <c r="J3030" s="66"/>
      <c r="K3030" s="66"/>
      <c r="L3030" s="68"/>
      <c r="M3030" s="63" t="str">
        <f>HYPERLINK("http://nsgreg.nga.mil/genc/view?v=865809&amp;end_month=12&amp;end_day=31&amp;end_year=2016","Correlation")</f>
        <v>Correlation</v>
      </c>
    </row>
    <row r="3031" spans="1:13" x14ac:dyDescent="0.2">
      <c r="A3031" s="113"/>
      <c r="B3031" s="58" t="s">
        <v>8028</v>
      </c>
      <c r="C3031" s="58" t="s">
        <v>1763</v>
      </c>
      <c r="D3031" s="58" t="s">
        <v>8029</v>
      </c>
      <c r="E3031" s="60" t="b">
        <v>1</v>
      </c>
      <c r="F3031" s="80" t="s">
        <v>1024</v>
      </c>
      <c r="G3031" s="58" t="s">
        <v>8028</v>
      </c>
      <c r="H3031" s="58" t="s">
        <v>1763</v>
      </c>
      <c r="I3031" s="64" t="s">
        <v>8029</v>
      </c>
      <c r="J3031" s="66"/>
      <c r="K3031" s="66"/>
      <c r="L3031" s="68"/>
      <c r="M3031" s="63" t="str">
        <f>HYPERLINK("http://nsgreg.nga.mil/genc/view?v=865810&amp;end_month=12&amp;end_day=31&amp;end_year=2016","Correlation")</f>
        <v>Correlation</v>
      </c>
    </row>
    <row r="3032" spans="1:13" x14ac:dyDescent="0.2">
      <c r="A3032" s="113"/>
      <c r="B3032" s="58" t="s">
        <v>8030</v>
      </c>
      <c r="C3032" s="58" t="s">
        <v>1763</v>
      </c>
      <c r="D3032" s="58" t="s">
        <v>8031</v>
      </c>
      <c r="E3032" s="60" t="b">
        <v>1</v>
      </c>
      <c r="F3032" s="80" t="s">
        <v>1024</v>
      </c>
      <c r="G3032" s="58" t="s">
        <v>8030</v>
      </c>
      <c r="H3032" s="58" t="s">
        <v>1763</v>
      </c>
      <c r="I3032" s="64" t="s">
        <v>8031</v>
      </c>
      <c r="J3032" s="66"/>
      <c r="K3032" s="66"/>
      <c r="L3032" s="68"/>
      <c r="M3032" s="63" t="str">
        <f>HYPERLINK("http://nsgreg.nga.mil/genc/view?v=865811&amp;end_month=12&amp;end_day=31&amp;end_year=2016","Correlation")</f>
        <v>Correlation</v>
      </c>
    </row>
    <row r="3033" spans="1:13" x14ac:dyDescent="0.2">
      <c r="A3033" s="113"/>
      <c r="B3033" s="58" t="s">
        <v>8032</v>
      </c>
      <c r="C3033" s="58" t="s">
        <v>1763</v>
      </c>
      <c r="D3033" s="58" t="s">
        <v>8033</v>
      </c>
      <c r="E3033" s="60" t="b">
        <v>1</v>
      </c>
      <c r="F3033" s="80" t="s">
        <v>1024</v>
      </c>
      <c r="G3033" s="58" t="s">
        <v>8032</v>
      </c>
      <c r="H3033" s="58" t="s">
        <v>1763</v>
      </c>
      <c r="I3033" s="64" t="s">
        <v>8033</v>
      </c>
      <c r="J3033" s="66"/>
      <c r="K3033" s="66"/>
      <c r="L3033" s="68"/>
      <c r="M3033" s="63" t="str">
        <f>HYPERLINK("http://nsgreg.nga.mil/genc/view?v=865812&amp;end_month=12&amp;end_day=31&amp;end_year=2016","Correlation")</f>
        <v>Correlation</v>
      </c>
    </row>
    <row r="3034" spans="1:13" x14ac:dyDescent="0.2">
      <c r="A3034" s="113"/>
      <c r="B3034" s="58" t="s">
        <v>8034</v>
      </c>
      <c r="C3034" s="58" t="s">
        <v>1763</v>
      </c>
      <c r="D3034" s="58" t="s">
        <v>8035</v>
      </c>
      <c r="E3034" s="60" t="b">
        <v>1</v>
      </c>
      <c r="F3034" s="80" t="s">
        <v>1024</v>
      </c>
      <c r="G3034" s="58" t="s">
        <v>8034</v>
      </c>
      <c r="H3034" s="58" t="s">
        <v>1763</v>
      </c>
      <c r="I3034" s="64" t="s">
        <v>8035</v>
      </c>
      <c r="J3034" s="66"/>
      <c r="K3034" s="66"/>
      <c r="L3034" s="68"/>
      <c r="M3034" s="63" t="str">
        <f>HYPERLINK("http://nsgreg.nga.mil/genc/view?v=865813&amp;end_month=12&amp;end_day=31&amp;end_year=2016","Correlation")</f>
        <v>Correlation</v>
      </c>
    </row>
    <row r="3035" spans="1:13" x14ac:dyDescent="0.2">
      <c r="A3035" s="113"/>
      <c r="B3035" s="58" t="s">
        <v>8036</v>
      </c>
      <c r="C3035" s="58" t="s">
        <v>1763</v>
      </c>
      <c r="D3035" s="58" t="s">
        <v>8037</v>
      </c>
      <c r="E3035" s="60" t="b">
        <v>1</v>
      </c>
      <c r="F3035" s="80" t="s">
        <v>1024</v>
      </c>
      <c r="G3035" s="58" t="s">
        <v>8036</v>
      </c>
      <c r="H3035" s="58" t="s">
        <v>1763</v>
      </c>
      <c r="I3035" s="64" t="s">
        <v>8037</v>
      </c>
      <c r="J3035" s="66"/>
      <c r="K3035" s="66"/>
      <c r="L3035" s="68"/>
      <c r="M3035" s="63" t="str">
        <f>HYPERLINK("http://nsgreg.nga.mil/genc/view?v=865814&amp;end_month=12&amp;end_day=31&amp;end_year=2016","Correlation")</f>
        <v>Correlation</v>
      </c>
    </row>
    <row r="3036" spans="1:13" x14ac:dyDescent="0.2">
      <c r="A3036" s="113"/>
      <c r="B3036" s="58" t="s">
        <v>8038</v>
      </c>
      <c r="C3036" s="58" t="s">
        <v>1763</v>
      </c>
      <c r="D3036" s="58" t="s">
        <v>8039</v>
      </c>
      <c r="E3036" s="60" t="b">
        <v>1</v>
      </c>
      <c r="F3036" s="80" t="s">
        <v>1024</v>
      </c>
      <c r="G3036" s="58" t="s">
        <v>8038</v>
      </c>
      <c r="H3036" s="58" t="s">
        <v>1763</v>
      </c>
      <c r="I3036" s="64" t="s">
        <v>8039</v>
      </c>
      <c r="J3036" s="66"/>
      <c r="K3036" s="66"/>
      <c r="L3036" s="68"/>
      <c r="M3036" s="63" t="str">
        <f>HYPERLINK("http://nsgreg.nga.mil/genc/view?v=865815&amp;end_month=12&amp;end_day=31&amp;end_year=2016","Correlation")</f>
        <v>Correlation</v>
      </c>
    </row>
    <row r="3037" spans="1:13" x14ac:dyDescent="0.2">
      <c r="A3037" s="113"/>
      <c r="B3037" s="58" t="s">
        <v>8040</v>
      </c>
      <c r="C3037" s="58" t="s">
        <v>1763</v>
      </c>
      <c r="D3037" s="58" t="s">
        <v>8041</v>
      </c>
      <c r="E3037" s="60" t="b">
        <v>1</v>
      </c>
      <c r="F3037" s="80" t="s">
        <v>1024</v>
      </c>
      <c r="G3037" s="58" t="s">
        <v>8040</v>
      </c>
      <c r="H3037" s="58" t="s">
        <v>1763</v>
      </c>
      <c r="I3037" s="64" t="s">
        <v>8041</v>
      </c>
      <c r="J3037" s="66"/>
      <c r="K3037" s="66"/>
      <c r="L3037" s="68"/>
      <c r="M3037" s="63" t="str">
        <f>HYPERLINK("http://nsgreg.nga.mil/genc/view?v=865816&amp;end_month=12&amp;end_day=31&amp;end_year=2016","Correlation")</f>
        <v>Correlation</v>
      </c>
    </row>
    <row r="3038" spans="1:13" x14ac:dyDescent="0.2">
      <c r="A3038" s="113"/>
      <c r="B3038" s="58" t="s">
        <v>8042</v>
      </c>
      <c r="C3038" s="58" t="s">
        <v>1763</v>
      </c>
      <c r="D3038" s="58" t="s">
        <v>8043</v>
      </c>
      <c r="E3038" s="60" t="b">
        <v>1</v>
      </c>
      <c r="F3038" s="80" t="s">
        <v>1024</v>
      </c>
      <c r="G3038" s="58" t="s">
        <v>8042</v>
      </c>
      <c r="H3038" s="58" t="s">
        <v>1763</v>
      </c>
      <c r="I3038" s="64" t="s">
        <v>8043</v>
      </c>
      <c r="J3038" s="66"/>
      <c r="K3038" s="66"/>
      <c r="L3038" s="68"/>
      <c r="M3038" s="63" t="str">
        <f>HYPERLINK("http://nsgreg.nga.mil/genc/view?v=865817&amp;end_month=12&amp;end_day=31&amp;end_year=2016","Correlation")</f>
        <v>Correlation</v>
      </c>
    </row>
    <row r="3039" spans="1:13" x14ac:dyDescent="0.2">
      <c r="A3039" s="113"/>
      <c r="B3039" s="58" t="s">
        <v>8044</v>
      </c>
      <c r="C3039" s="58" t="s">
        <v>1763</v>
      </c>
      <c r="D3039" s="58" t="s">
        <v>8045</v>
      </c>
      <c r="E3039" s="60" t="b">
        <v>1</v>
      </c>
      <c r="F3039" s="80" t="s">
        <v>1024</v>
      </c>
      <c r="G3039" s="58" t="s">
        <v>8044</v>
      </c>
      <c r="H3039" s="58" t="s">
        <v>1763</v>
      </c>
      <c r="I3039" s="64" t="s">
        <v>8045</v>
      </c>
      <c r="J3039" s="66"/>
      <c r="K3039" s="66"/>
      <c r="L3039" s="68"/>
      <c r="M3039" s="63" t="str">
        <f>HYPERLINK("http://nsgreg.nga.mil/genc/view?v=865818&amp;end_month=12&amp;end_day=31&amp;end_year=2016","Correlation")</f>
        <v>Correlation</v>
      </c>
    </row>
    <row r="3040" spans="1:13" x14ac:dyDescent="0.2">
      <c r="A3040" s="113"/>
      <c r="B3040" s="58" t="s">
        <v>8046</v>
      </c>
      <c r="C3040" s="58" t="s">
        <v>1763</v>
      </c>
      <c r="D3040" s="58" t="s">
        <v>8047</v>
      </c>
      <c r="E3040" s="60" t="b">
        <v>1</v>
      </c>
      <c r="F3040" s="80" t="s">
        <v>1024</v>
      </c>
      <c r="G3040" s="58" t="s">
        <v>8046</v>
      </c>
      <c r="H3040" s="58" t="s">
        <v>1763</v>
      </c>
      <c r="I3040" s="64" t="s">
        <v>8047</v>
      </c>
      <c r="J3040" s="66"/>
      <c r="K3040" s="66"/>
      <c r="L3040" s="68"/>
      <c r="M3040" s="63" t="str">
        <f>HYPERLINK("http://nsgreg.nga.mil/genc/view?v=865819&amp;end_month=12&amp;end_day=31&amp;end_year=2016","Correlation")</f>
        <v>Correlation</v>
      </c>
    </row>
    <row r="3041" spans="1:13" x14ac:dyDescent="0.2">
      <c r="A3041" s="113"/>
      <c r="B3041" s="58" t="s">
        <v>8048</v>
      </c>
      <c r="C3041" s="58" t="s">
        <v>1763</v>
      </c>
      <c r="D3041" s="58" t="s">
        <v>8049</v>
      </c>
      <c r="E3041" s="60" t="b">
        <v>1</v>
      </c>
      <c r="F3041" s="80" t="s">
        <v>1024</v>
      </c>
      <c r="G3041" s="58" t="s">
        <v>8048</v>
      </c>
      <c r="H3041" s="58" t="s">
        <v>1763</v>
      </c>
      <c r="I3041" s="64" t="s">
        <v>8049</v>
      </c>
      <c r="J3041" s="66"/>
      <c r="K3041" s="66"/>
      <c r="L3041" s="68"/>
      <c r="M3041" s="63" t="str">
        <f>HYPERLINK("http://nsgreg.nga.mil/genc/view?v=865820&amp;end_month=12&amp;end_day=31&amp;end_year=2016","Correlation")</f>
        <v>Correlation</v>
      </c>
    </row>
    <row r="3042" spans="1:13" x14ac:dyDescent="0.2">
      <c r="A3042" s="114"/>
      <c r="B3042" s="71" t="s">
        <v>8050</v>
      </c>
      <c r="C3042" s="71" t="s">
        <v>1763</v>
      </c>
      <c r="D3042" s="71" t="s">
        <v>8051</v>
      </c>
      <c r="E3042" s="73" t="b">
        <v>1</v>
      </c>
      <c r="F3042" s="81" t="s">
        <v>1024</v>
      </c>
      <c r="G3042" s="71" t="s">
        <v>8050</v>
      </c>
      <c r="H3042" s="71" t="s">
        <v>1763</v>
      </c>
      <c r="I3042" s="74" t="s">
        <v>8051</v>
      </c>
      <c r="J3042" s="76"/>
      <c r="K3042" s="76"/>
      <c r="L3042" s="82"/>
      <c r="M3042" s="77" t="str">
        <f>HYPERLINK("http://nsgreg.nga.mil/genc/view?v=865821&amp;end_month=12&amp;end_day=31&amp;end_year=2016","Correlation")</f>
        <v>Correlation</v>
      </c>
    </row>
    <row r="3043" spans="1:13" x14ac:dyDescent="0.2">
      <c r="A3043" s="112" t="s">
        <v>1034</v>
      </c>
      <c r="B3043" s="50" t="s">
        <v>8052</v>
      </c>
      <c r="C3043" s="50" t="s">
        <v>1413</v>
      </c>
      <c r="D3043" s="50" t="s">
        <v>8053</v>
      </c>
      <c r="E3043" s="52" t="b">
        <v>1</v>
      </c>
      <c r="F3043" s="78" t="s">
        <v>1034</v>
      </c>
      <c r="G3043" s="50" t="s">
        <v>8052</v>
      </c>
      <c r="H3043" s="50" t="s">
        <v>1413</v>
      </c>
      <c r="I3043" s="53" t="s">
        <v>8053</v>
      </c>
      <c r="J3043" s="55"/>
      <c r="K3043" s="55"/>
      <c r="L3043" s="79"/>
      <c r="M3043" s="56" t="str">
        <f>HYPERLINK("http://nsgreg.nga.mil/genc/view?v=865560&amp;end_month=12&amp;end_day=31&amp;end_year=2016","Correlation")</f>
        <v>Correlation</v>
      </c>
    </row>
    <row r="3044" spans="1:13" x14ac:dyDescent="0.2">
      <c r="A3044" s="113"/>
      <c r="B3044" s="58" t="s">
        <v>8054</v>
      </c>
      <c r="C3044" s="58" t="s">
        <v>1413</v>
      </c>
      <c r="D3044" s="58" t="s">
        <v>8055</v>
      </c>
      <c r="E3044" s="60" t="b">
        <v>1</v>
      </c>
      <c r="F3044" s="80" t="s">
        <v>1034</v>
      </c>
      <c r="G3044" s="58" t="s">
        <v>8054</v>
      </c>
      <c r="H3044" s="58" t="s">
        <v>1413</v>
      </c>
      <c r="I3044" s="64" t="s">
        <v>8055</v>
      </c>
      <c r="J3044" s="66"/>
      <c r="K3044" s="66"/>
      <c r="L3044" s="68"/>
      <c r="M3044" s="63" t="str">
        <f>HYPERLINK("http://nsgreg.nga.mil/genc/view?v=865564&amp;end_month=12&amp;end_day=31&amp;end_year=2016","Correlation")</f>
        <v>Correlation</v>
      </c>
    </row>
    <row r="3045" spans="1:13" x14ac:dyDescent="0.2">
      <c r="A3045" s="113"/>
      <c r="B3045" s="58" t="s">
        <v>8056</v>
      </c>
      <c r="C3045" s="58" t="s">
        <v>1413</v>
      </c>
      <c r="D3045" s="58" t="s">
        <v>8057</v>
      </c>
      <c r="E3045" s="60" t="b">
        <v>1</v>
      </c>
      <c r="F3045" s="80" t="s">
        <v>1034</v>
      </c>
      <c r="G3045" s="58" t="s">
        <v>8056</v>
      </c>
      <c r="H3045" s="58" t="s">
        <v>1413</v>
      </c>
      <c r="I3045" s="64" t="s">
        <v>8057</v>
      </c>
      <c r="J3045" s="66"/>
      <c r="K3045" s="66"/>
      <c r="L3045" s="68"/>
      <c r="M3045" s="63" t="str">
        <f>HYPERLINK("http://nsgreg.nga.mil/genc/view?v=865562&amp;end_month=12&amp;end_day=31&amp;end_year=2016","Correlation")</f>
        <v>Correlation</v>
      </c>
    </row>
    <row r="3046" spans="1:13" x14ac:dyDescent="0.2">
      <c r="A3046" s="113"/>
      <c r="B3046" s="58" t="s">
        <v>4718</v>
      </c>
      <c r="C3046" s="58" t="s">
        <v>1413</v>
      </c>
      <c r="D3046" s="58" t="s">
        <v>8058</v>
      </c>
      <c r="E3046" s="60" t="b">
        <v>1</v>
      </c>
      <c r="F3046" s="80" t="s">
        <v>1034</v>
      </c>
      <c r="G3046" s="58" t="s">
        <v>4718</v>
      </c>
      <c r="H3046" s="58" t="s">
        <v>1413</v>
      </c>
      <c r="I3046" s="64" t="s">
        <v>8058</v>
      </c>
      <c r="J3046" s="66"/>
      <c r="K3046" s="66"/>
      <c r="L3046" s="68"/>
      <c r="M3046" s="63" t="str">
        <f>HYPERLINK("http://nsgreg.nga.mil/genc/view?v=865563&amp;end_month=12&amp;end_day=31&amp;end_year=2016","Correlation")</f>
        <v>Correlation</v>
      </c>
    </row>
    <row r="3047" spans="1:13" x14ac:dyDescent="0.2">
      <c r="A3047" s="113"/>
      <c r="B3047" s="58" t="s">
        <v>8059</v>
      </c>
      <c r="C3047" s="58" t="s">
        <v>1413</v>
      </c>
      <c r="D3047" s="58" t="s">
        <v>8060</v>
      </c>
      <c r="E3047" s="60" t="b">
        <v>1</v>
      </c>
      <c r="F3047" s="80" t="s">
        <v>1034</v>
      </c>
      <c r="G3047" s="58" t="s">
        <v>8059</v>
      </c>
      <c r="H3047" s="58" t="s">
        <v>1413</v>
      </c>
      <c r="I3047" s="64" t="s">
        <v>8060</v>
      </c>
      <c r="J3047" s="66"/>
      <c r="K3047" s="66"/>
      <c r="L3047" s="68"/>
      <c r="M3047" s="63" t="str">
        <f>HYPERLINK("http://nsgreg.nga.mil/genc/view?v=865565&amp;end_month=12&amp;end_day=31&amp;end_year=2016","Correlation")</f>
        <v>Correlation</v>
      </c>
    </row>
    <row r="3048" spans="1:13" x14ac:dyDescent="0.2">
      <c r="A3048" s="113"/>
      <c r="B3048" s="58" t="s">
        <v>8061</v>
      </c>
      <c r="C3048" s="58" t="s">
        <v>8062</v>
      </c>
      <c r="D3048" s="58" t="s">
        <v>8063</v>
      </c>
      <c r="E3048" s="60" t="b">
        <v>1</v>
      </c>
      <c r="F3048" s="80" t="s">
        <v>1034</v>
      </c>
      <c r="G3048" s="58" t="s">
        <v>8064</v>
      </c>
      <c r="H3048" s="58" t="s">
        <v>8062</v>
      </c>
      <c r="I3048" s="64" t="s">
        <v>8063</v>
      </c>
      <c r="J3048" s="66"/>
      <c r="K3048" s="66"/>
      <c r="L3048" s="68"/>
      <c r="M3048" s="63" t="str">
        <f>HYPERLINK("http://nsgreg.nga.mil/genc/view?v=865570&amp;end_month=12&amp;end_day=31&amp;end_year=2016","Correlation")</f>
        <v>Correlation</v>
      </c>
    </row>
    <row r="3049" spans="1:13" x14ac:dyDescent="0.2">
      <c r="A3049" s="113"/>
      <c r="B3049" s="58" t="s">
        <v>8065</v>
      </c>
      <c r="C3049" s="58" t="s">
        <v>1413</v>
      </c>
      <c r="D3049" s="58" t="s">
        <v>8066</v>
      </c>
      <c r="E3049" s="60" t="b">
        <v>1</v>
      </c>
      <c r="F3049" s="80" t="s">
        <v>1034</v>
      </c>
      <c r="G3049" s="58" t="s">
        <v>8065</v>
      </c>
      <c r="H3049" s="58" t="s">
        <v>1413</v>
      </c>
      <c r="I3049" s="64" t="s">
        <v>8066</v>
      </c>
      <c r="J3049" s="66"/>
      <c r="K3049" s="66"/>
      <c r="L3049" s="68"/>
      <c r="M3049" s="63" t="str">
        <f>HYPERLINK("http://nsgreg.nga.mil/genc/view?v=865566&amp;end_month=12&amp;end_day=31&amp;end_year=2016","Correlation")</f>
        <v>Correlation</v>
      </c>
    </row>
    <row r="3050" spans="1:13" x14ac:dyDescent="0.2">
      <c r="A3050" s="113"/>
      <c r="B3050" s="58" t="s">
        <v>8067</v>
      </c>
      <c r="C3050" s="58" t="s">
        <v>8062</v>
      </c>
      <c r="D3050" s="58" t="s">
        <v>8068</v>
      </c>
      <c r="E3050" s="60" t="b">
        <v>1</v>
      </c>
      <c r="F3050" s="80" t="s">
        <v>1034</v>
      </c>
      <c r="G3050" s="58" t="s">
        <v>8067</v>
      </c>
      <c r="H3050" s="58" t="s">
        <v>8062</v>
      </c>
      <c r="I3050" s="64" t="s">
        <v>8068</v>
      </c>
      <c r="J3050" s="66"/>
      <c r="K3050" s="66"/>
      <c r="L3050" s="68"/>
      <c r="M3050" s="63" t="str">
        <f>HYPERLINK("http://nsgreg.nga.mil/genc/view?v=865571&amp;end_month=12&amp;end_day=31&amp;end_year=2016","Correlation")</f>
        <v>Correlation</v>
      </c>
    </row>
    <row r="3051" spans="1:13" x14ac:dyDescent="0.2">
      <c r="A3051" s="113"/>
      <c r="B3051" s="58" t="s">
        <v>8069</v>
      </c>
      <c r="C3051" s="58" t="s">
        <v>1413</v>
      </c>
      <c r="D3051" s="58" t="s">
        <v>8070</v>
      </c>
      <c r="E3051" s="60" t="b">
        <v>1</v>
      </c>
      <c r="F3051" s="80" t="s">
        <v>1034</v>
      </c>
      <c r="G3051" s="58" t="s">
        <v>8069</v>
      </c>
      <c r="H3051" s="58" t="s">
        <v>1413</v>
      </c>
      <c r="I3051" s="64" t="s">
        <v>8070</v>
      </c>
      <c r="J3051" s="66"/>
      <c r="K3051" s="66"/>
      <c r="L3051" s="68"/>
      <c r="M3051" s="63" t="str">
        <f>HYPERLINK("http://nsgreg.nga.mil/genc/view?v=865567&amp;end_month=12&amp;end_day=31&amp;end_year=2016","Correlation")</f>
        <v>Correlation</v>
      </c>
    </row>
    <row r="3052" spans="1:13" x14ac:dyDescent="0.2">
      <c r="A3052" s="113"/>
      <c r="B3052" s="58" t="s">
        <v>8071</v>
      </c>
      <c r="C3052" s="58" t="s">
        <v>8062</v>
      </c>
      <c r="D3052" s="58" t="s">
        <v>8072</v>
      </c>
      <c r="E3052" s="60" t="b">
        <v>1</v>
      </c>
      <c r="F3052" s="80" t="s">
        <v>1034</v>
      </c>
      <c r="G3052" s="58" t="s">
        <v>8071</v>
      </c>
      <c r="H3052" s="58" t="s">
        <v>8062</v>
      </c>
      <c r="I3052" s="64" t="s">
        <v>8072</v>
      </c>
      <c r="J3052" s="66"/>
      <c r="K3052" s="66"/>
      <c r="L3052" s="68"/>
      <c r="M3052" s="63" t="str">
        <f>HYPERLINK("http://nsgreg.nga.mil/genc/view?v=865572&amp;end_month=12&amp;end_day=31&amp;end_year=2016","Correlation")</f>
        <v>Correlation</v>
      </c>
    </row>
    <row r="3053" spans="1:13" x14ac:dyDescent="0.2">
      <c r="A3053" s="113"/>
      <c r="B3053" s="58" t="s">
        <v>8073</v>
      </c>
      <c r="C3053" s="58" t="s">
        <v>1413</v>
      </c>
      <c r="D3053" s="58" t="s">
        <v>8074</v>
      </c>
      <c r="E3053" s="60" t="b">
        <v>1</v>
      </c>
      <c r="F3053" s="80" t="s">
        <v>1034</v>
      </c>
      <c r="G3053" s="58" t="s">
        <v>8073</v>
      </c>
      <c r="H3053" s="58" t="s">
        <v>1413</v>
      </c>
      <c r="I3053" s="64" t="s">
        <v>8074</v>
      </c>
      <c r="J3053" s="66"/>
      <c r="K3053" s="66"/>
      <c r="L3053" s="68"/>
      <c r="M3053" s="63" t="str">
        <f>HYPERLINK("http://nsgreg.nga.mil/genc/view?v=865568&amp;end_month=12&amp;end_day=31&amp;end_year=2016","Correlation")</f>
        <v>Correlation</v>
      </c>
    </row>
    <row r="3054" spans="1:13" x14ac:dyDescent="0.2">
      <c r="A3054" s="113"/>
      <c r="B3054" s="58" t="s">
        <v>8075</v>
      </c>
      <c r="C3054" s="58" t="s">
        <v>1413</v>
      </c>
      <c r="D3054" s="58" t="s">
        <v>8076</v>
      </c>
      <c r="E3054" s="60" t="b">
        <v>1</v>
      </c>
      <c r="F3054" s="80" t="s">
        <v>1034</v>
      </c>
      <c r="G3054" s="58" t="s">
        <v>8075</v>
      </c>
      <c r="H3054" s="58" t="s">
        <v>1413</v>
      </c>
      <c r="I3054" s="64" t="s">
        <v>8076</v>
      </c>
      <c r="J3054" s="66"/>
      <c r="K3054" s="66"/>
      <c r="L3054" s="68"/>
      <c r="M3054" s="63" t="str">
        <f>HYPERLINK("http://nsgreg.nga.mil/genc/view?v=865561&amp;end_month=12&amp;end_day=31&amp;end_year=2016","Correlation")</f>
        <v>Correlation</v>
      </c>
    </row>
    <row r="3055" spans="1:13" x14ac:dyDescent="0.2">
      <c r="A3055" s="114"/>
      <c r="B3055" s="71" t="s">
        <v>8077</v>
      </c>
      <c r="C3055" s="71" t="s">
        <v>1413</v>
      </c>
      <c r="D3055" s="71" t="s">
        <v>8078</v>
      </c>
      <c r="E3055" s="73" t="b">
        <v>1</v>
      </c>
      <c r="F3055" s="81" t="s">
        <v>1034</v>
      </c>
      <c r="G3055" s="71" t="s">
        <v>8077</v>
      </c>
      <c r="H3055" s="71" t="s">
        <v>1413</v>
      </c>
      <c r="I3055" s="74" t="s">
        <v>8078</v>
      </c>
      <c r="J3055" s="76"/>
      <c r="K3055" s="76"/>
      <c r="L3055" s="82"/>
      <c r="M3055" s="77" t="str">
        <f>HYPERLINK("http://nsgreg.nga.mil/genc/view?v=865569&amp;end_month=12&amp;end_day=31&amp;end_year=2016","Correlation")</f>
        <v>Correlation</v>
      </c>
    </row>
    <row r="3056" spans="1:13" x14ac:dyDescent="0.2">
      <c r="A3056" s="112" t="s">
        <v>1038</v>
      </c>
      <c r="B3056" s="50" t="s">
        <v>8079</v>
      </c>
      <c r="C3056" s="50" t="s">
        <v>3080</v>
      </c>
      <c r="D3056" s="50" t="s">
        <v>8080</v>
      </c>
      <c r="E3056" s="52" t="b">
        <v>1</v>
      </c>
      <c r="F3056" s="78" t="s">
        <v>1038</v>
      </c>
      <c r="G3056" s="50" t="s">
        <v>8079</v>
      </c>
      <c r="H3056" s="50" t="s">
        <v>3080</v>
      </c>
      <c r="I3056" s="53" t="s">
        <v>8080</v>
      </c>
      <c r="J3056" s="55"/>
      <c r="K3056" s="55"/>
      <c r="L3056" s="79"/>
      <c r="M3056" s="56" t="str">
        <f>HYPERLINK("http://nsgreg.nga.mil/genc/view?v=865620&amp;end_month=12&amp;end_day=31&amp;end_year=2016","Correlation")</f>
        <v>Correlation</v>
      </c>
    </row>
    <row r="3057" spans="1:13" x14ac:dyDescent="0.2">
      <c r="A3057" s="113"/>
      <c r="B3057" s="58" t="s">
        <v>2411</v>
      </c>
      <c r="C3057" s="58" t="s">
        <v>1413</v>
      </c>
      <c r="D3057" s="58" t="s">
        <v>8081</v>
      </c>
      <c r="E3057" s="60" t="b">
        <v>1</v>
      </c>
      <c r="F3057" s="80" t="s">
        <v>1038</v>
      </c>
      <c r="G3057" s="58" t="s">
        <v>2411</v>
      </c>
      <c r="H3057" s="58" t="s">
        <v>1413</v>
      </c>
      <c r="I3057" s="64" t="s">
        <v>8081</v>
      </c>
      <c r="J3057" s="66"/>
      <c r="K3057" s="66"/>
      <c r="L3057" s="68"/>
      <c r="M3057" s="63" t="str">
        <f>HYPERLINK("http://nsgreg.nga.mil/genc/view?v=865605&amp;end_month=12&amp;end_day=31&amp;end_year=2016","Correlation")</f>
        <v>Correlation</v>
      </c>
    </row>
    <row r="3058" spans="1:13" x14ac:dyDescent="0.2">
      <c r="A3058" s="113"/>
      <c r="B3058" s="58" t="s">
        <v>8082</v>
      </c>
      <c r="C3058" s="58" t="s">
        <v>1413</v>
      </c>
      <c r="D3058" s="58" t="s">
        <v>8083</v>
      </c>
      <c r="E3058" s="60" t="b">
        <v>1</v>
      </c>
      <c r="F3058" s="80" t="s">
        <v>1038</v>
      </c>
      <c r="G3058" s="58" t="s">
        <v>8082</v>
      </c>
      <c r="H3058" s="58" t="s">
        <v>1413</v>
      </c>
      <c r="I3058" s="64" t="s">
        <v>8083</v>
      </c>
      <c r="J3058" s="66"/>
      <c r="K3058" s="66"/>
      <c r="L3058" s="68"/>
      <c r="M3058" s="63" t="str">
        <f>HYPERLINK("http://nsgreg.nga.mil/genc/view?v=865604&amp;end_month=12&amp;end_day=31&amp;end_year=2016","Correlation")</f>
        <v>Correlation</v>
      </c>
    </row>
    <row r="3059" spans="1:13" x14ac:dyDescent="0.2">
      <c r="A3059" s="113"/>
      <c r="B3059" s="58" t="s">
        <v>8084</v>
      </c>
      <c r="C3059" s="58" t="s">
        <v>1413</v>
      </c>
      <c r="D3059" s="58" t="s">
        <v>8085</v>
      </c>
      <c r="E3059" s="60" t="b">
        <v>1</v>
      </c>
      <c r="F3059" s="80" t="s">
        <v>1038</v>
      </c>
      <c r="G3059" s="58" t="s">
        <v>8084</v>
      </c>
      <c r="H3059" s="58" t="s">
        <v>1413</v>
      </c>
      <c r="I3059" s="64" t="s">
        <v>8085</v>
      </c>
      <c r="J3059" s="66"/>
      <c r="K3059" s="66"/>
      <c r="L3059" s="68"/>
      <c r="M3059" s="63" t="str">
        <f>HYPERLINK("http://nsgreg.nga.mil/genc/view?v=865607&amp;end_month=12&amp;end_day=31&amp;end_year=2016","Correlation")</f>
        <v>Correlation</v>
      </c>
    </row>
    <row r="3060" spans="1:13" x14ac:dyDescent="0.2">
      <c r="A3060" s="113"/>
      <c r="B3060" s="58" t="s">
        <v>8086</v>
      </c>
      <c r="C3060" s="58" t="s">
        <v>1413</v>
      </c>
      <c r="D3060" s="58" t="s">
        <v>8087</v>
      </c>
      <c r="E3060" s="60" t="b">
        <v>1</v>
      </c>
      <c r="F3060" s="80" t="s">
        <v>1038</v>
      </c>
      <c r="G3060" s="58" t="s">
        <v>8086</v>
      </c>
      <c r="H3060" s="58" t="s">
        <v>1413</v>
      </c>
      <c r="I3060" s="64" t="s">
        <v>8087</v>
      </c>
      <c r="J3060" s="66"/>
      <c r="K3060" s="66"/>
      <c r="L3060" s="68"/>
      <c r="M3060" s="63" t="str">
        <f>HYPERLINK("http://nsgreg.nga.mil/genc/view?v=865606&amp;end_month=12&amp;end_day=31&amp;end_year=2016","Correlation")</f>
        <v>Correlation</v>
      </c>
    </row>
    <row r="3061" spans="1:13" x14ac:dyDescent="0.2">
      <c r="A3061" s="113"/>
      <c r="B3061" s="58" t="s">
        <v>8088</v>
      </c>
      <c r="C3061" s="58" t="s">
        <v>1413</v>
      </c>
      <c r="D3061" s="58" t="s">
        <v>8089</v>
      </c>
      <c r="E3061" s="60" t="b">
        <v>1</v>
      </c>
      <c r="F3061" s="80" t="s">
        <v>1038</v>
      </c>
      <c r="G3061" s="58" t="s">
        <v>8088</v>
      </c>
      <c r="H3061" s="58" t="s">
        <v>1413</v>
      </c>
      <c r="I3061" s="64" t="s">
        <v>8089</v>
      </c>
      <c r="J3061" s="66"/>
      <c r="K3061" s="66"/>
      <c r="L3061" s="68"/>
      <c r="M3061" s="63" t="str">
        <f>HYPERLINK("http://nsgreg.nga.mil/genc/view?v=865609&amp;end_month=12&amp;end_day=31&amp;end_year=2016","Correlation")</f>
        <v>Correlation</v>
      </c>
    </row>
    <row r="3062" spans="1:13" x14ac:dyDescent="0.2">
      <c r="A3062" s="113"/>
      <c r="B3062" s="58" t="s">
        <v>8090</v>
      </c>
      <c r="C3062" s="58" t="s">
        <v>1413</v>
      </c>
      <c r="D3062" s="58" t="s">
        <v>8091</v>
      </c>
      <c r="E3062" s="60" t="b">
        <v>1</v>
      </c>
      <c r="F3062" s="80" t="s">
        <v>1038</v>
      </c>
      <c r="G3062" s="58" t="s">
        <v>8090</v>
      </c>
      <c r="H3062" s="58" t="s">
        <v>1413</v>
      </c>
      <c r="I3062" s="64" t="s">
        <v>8091</v>
      </c>
      <c r="J3062" s="66"/>
      <c r="K3062" s="66"/>
      <c r="L3062" s="68"/>
      <c r="M3062" s="63" t="str">
        <f>HYPERLINK("http://nsgreg.nga.mil/genc/view?v=865608&amp;end_month=12&amp;end_day=31&amp;end_year=2016","Correlation")</f>
        <v>Correlation</v>
      </c>
    </row>
    <row r="3063" spans="1:13" x14ac:dyDescent="0.2">
      <c r="A3063" s="113"/>
      <c r="B3063" s="58" t="s">
        <v>8092</v>
      </c>
      <c r="C3063" s="58" t="s">
        <v>1413</v>
      </c>
      <c r="D3063" s="58" t="s">
        <v>8093</v>
      </c>
      <c r="E3063" s="60" t="b">
        <v>1</v>
      </c>
      <c r="F3063" s="80" t="s">
        <v>1038</v>
      </c>
      <c r="G3063" s="58" t="s">
        <v>8092</v>
      </c>
      <c r="H3063" s="58" t="s">
        <v>1413</v>
      </c>
      <c r="I3063" s="64" t="s">
        <v>8093</v>
      </c>
      <c r="J3063" s="66"/>
      <c r="K3063" s="66"/>
      <c r="L3063" s="68"/>
      <c r="M3063" s="63" t="str">
        <f>HYPERLINK("http://nsgreg.nga.mil/genc/view?v=865610&amp;end_month=12&amp;end_day=31&amp;end_year=2016","Correlation")</f>
        <v>Correlation</v>
      </c>
    </row>
    <row r="3064" spans="1:13" x14ac:dyDescent="0.2">
      <c r="A3064" s="113"/>
      <c r="B3064" s="58" t="s">
        <v>8094</v>
      </c>
      <c r="C3064" s="58" t="s">
        <v>1413</v>
      </c>
      <c r="D3064" s="58" t="s">
        <v>8095</v>
      </c>
      <c r="E3064" s="60" t="b">
        <v>1</v>
      </c>
      <c r="F3064" s="80" t="s">
        <v>1038</v>
      </c>
      <c r="G3064" s="58" t="s">
        <v>8094</v>
      </c>
      <c r="H3064" s="58" t="s">
        <v>1413</v>
      </c>
      <c r="I3064" s="64" t="s">
        <v>8095</v>
      </c>
      <c r="J3064" s="66"/>
      <c r="K3064" s="66"/>
      <c r="L3064" s="68"/>
      <c r="M3064" s="63" t="str">
        <f>HYPERLINK("http://nsgreg.nga.mil/genc/view?v=865611&amp;end_month=12&amp;end_day=31&amp;end_year=2016","Correlation")</f>
        <v>Correlation</v>
      </c>
    </row>
    <row r="3065" spans="1:13" x14ac:dyDescent="0.2">
      <c r="A3065" s="113"/>
      <c r="B3065" s="58" t="s">
        <v>8096</v>
      </c>
      <c r="C3065" s="58" t="s">
        <v>1413</v>
      </c>
      <c r="D3065" s="58" t="s">
        <v>8097</v>
      </c>
      <c r="E3065" s="60" t="b">
        <v>1</v>
      </c>
      <c r="F3065" s="80" t="s">
        <v>1038</v>
      </c>
      <c r="G3065" s="58" t="s">
        <v>8096</v>
      </c>
      <c r="H3065" s="58" t="s">
        <v>1413</v>
      </c>
      <c r="I3065" s="64" t="s">
        <v>8097</v>
      </c>
      <c r="J3065" s="66"/>
      <c r="K3065" s="66"/>
      <c r="L3065" s="68"/>
      <c r="M3065" s="63" t="str">
        <f>HYPERLINK("http://nsgreg.nga.mil/genc/view?v=865612&amp;end_month=12&amp;end_day=31&amp;end_year=2016","Correlation")</f>
        <v>Correlation</v>
      </c>
    </row>
    <row r="3066" spans="1:13" x14ac:dyDescent="0.2">
      <c r="A3066" s="113"/>
      <c r="B3066" s="58" t="s">
        <v>8098</v>
      </c>
      <c r="C3066" s="58" t="s">
        <v>1413</v>
      </c>
      <c r="D3066" s="58" t="s">
        <v>8099</v>
      </c>
      <c r="E3066" s="60" t="b">
        <v>1</v>
      </c>
      <c r="F3066" s="80" t="s">
        <v>1038</v>
      </c>
      <c r="G3066" s="58" t="s">
        <v>8098</v>
      </c>
      <c r="H3066" s="58" t="s">
        <v>1413</v>
      </c>
      <c r="I3066" s="64" t="s">
        <v>8099</v>
      </c>
      <c r="J3066" s="66"/>
      <c r="K3066" s="66"/>
      <c r="L3066" s="68"/>
      <c r="M3066" s="63" t="str">
        <f>HYPERLINK("http://nsgreg.nga.mil/genc/view?v=865615&amp;end_month=12&amp;end_day=31&amp;end_year=2016","Correlation")</f>
        <v>Correlation</v>
      </c>
    </row>
    <row r="3067" spans="1:13" x14ac:dyDescent="0.2">
      <c r="A3067" s="113"/>
      <c r="B3067" s="58" t="s">
        <v>8100</v>
      </c>
      <c r="C3067" s="58" t="s">
        <v>1413</v>
      </c>
      <c r="D3067" s="58" t="s">
        <v>8101</v>
      </c>
      <c r="E3067" s="60" t="b">
        <v>1</v>
      </c>
      <c r="F3067" s="80" t="s">
        <v>1038</v>
      </c>
      <c r="G3067" s="58" t="s">
        <v>8100</v>
      </c>
      <c r="H3067" s="58" t="s">
        <v>1413</v>
      </c>
      <c r="I3067" s="64" t="s">
        <v>8101</v>
      </c>
      <c r="J3067" s="66"/>
      <c r="K3067" s="66"/>
      <c r="L3067" s="68"/>
      <c r="M3067" s="63" t="str">
        <f>HYPERLINK("http://nsgreg.nga.mil/genc/view?v=865616&amp;end_month=12&amp;end_day=31&amp;end_year=2016","Correlation")</f>
        <v>Correlation</v>
      </c>
    </row>
    <row r="3068" spans="1:13" x14ac:dyDescent="0.2">
      <c r="A3068" s="113"/>
      <c r="B3068" s="58" t="s">
        <v>8102</v>
      </c>
      <c r="C3068" s="58" t="s">
        <v>1413</v>
      </c>
      <c r="D3068" s="58" t="s">
        <v>8103</v>
      </c>
      <c r="E3068" s="60" t="b">
        <v>1</v>
      </c>
      <c r="F3068" s="80" t="s">
        <v>1038</v>
      </c>
      <c r="G3068" s="58" t="s">
        <v>8102</v>
      </c>
      <c r="H3068" s="58" t="s">
        <v>1413</v>
      </c>
      <c r="I3068" s="64" t="s">
        <v>8103</v>
      </c>
      <c r="J3068" s="66"/>
      <c r="K3068" s="66"/>
      <c r="L3068" s="68"/>
      <c r="M3068" s="63" t="str">
        <f>HYPERLINK("http://nsgreg.nga.mil/genc/view?v=865613&amp;end_month=12&amp;end_day=31&amp;end_year=2016","Correlation")</f>
        <v>Correlation</v>
      </c>
    </row>
    <row r="3069" spans="1:13" x14ac:dyDescent="0.2">
      <c r="A3069" s="113"/>
      <c r="B3069" s="58" t="s">
        <v>8104</v>
      </c>
      <c r="C3069" s="58" t="s">
        <v>1413</v>
      </c>
      <c r="D3069" s="58" t="s">
        <v>8105</v>
      </c>
      <c r="E3069" s="60" t="b">
        <v>1</v>
      </c>
      <c r="F3069" s="80" t="s">
        <v>1038</v>
      </c>
      <c r="G3069" s="58" t="s">
        <v>8104</v>
      </c>
      <c r="H3069" s="58" t="s">
        <v>1413</v>
      </c>
      <c r="I3069" s="64" t="s">
        <v>8105</v>
      </c>
      <c r="J3069" s="66"/>
      <c r="K3069" s="66"/>
      <c r="L3069" s="68"/>
      <c r="M3069" s="63" t="str">
        <f>HYPERLINK("http://nsgreg.nga.mil/genc/view?v=865614&amp;end_month=12&amp;end_day=31&amp;end_year=2016","Correlation")</f>
        <v>Correlation</v>
      </c>
    </row>
    <row r="3070" spans="1:13" x14ac:dyDescent="0.2">
      <c r="A3070" s="113"/>
      <c r="B3070" s="58" t="s">
        <v>8106</v>
      </c>
      <c r="C3070" s="58" t="s">
        <v>1796</v>
      </c>
      <c r="D3070" s="58" t="s">
        <v>8107</v>
      </c>
      <c r="E3070" s="60" t="b">
        <v>1</v>
      </c>
      <c r="F3070" s="80" t="s">
        <v>1038</v>
      </c>
      <c r="G3070" s="58" t="s">
        <v>8108</v>
      </c>
      <c r="H3070" s="58" t="s">
        <v>1796</v>
      </c>
      <c r="I3070" s="64" t="s">
        <v>8107</v>
      </c>
      <c r="J3070" s="66"/>
      <c r="K3070" s="66"/>
      <c r="L3070" s="68"/>
      <c r="M3070" s="63" t="str">
        <f>HYPERLINK("http://nsgreg.nga.mil/genc/view?v=865617&amp;end_month=12&amp;end_day=31&amp;end_year=2016","Correlation")</f>
        <v>Correlation</v>
      </c>
    </row>
    <row r="3071" spans="1:13" x14ac:dyDescent="0.2">
      <c r="A3071" s="113"/>
      <c r="B3071" s="58" t="s">
        <v>8109</v>
      </c>
      <c r="C3071" s="58" t="s">
        <v>1413</v>
      </c>
      <c r="D3071" s="58" t="s">
        <v>8110</v>
      </c>
      <c r="E3071" s="60" t="b">
        <v>1</v>
      </c>
      <c r="F3071" s="80" t="s">
        <v>1038</v>
      </c>
      <c r="G3071" s="58" t="s">
        <v>8109</v>
      </c>
      <c r="H3071" s="58" t="s">
        <v>1413</v>
      </c>
      <c r="I3071" s="64" t="s">
        <v>8110</v>
      </c>
      <c r="J3071" s="66"/>
      <c r="K3071" s="66"/>
      <c r="L3071" s="68"/>
      <c r="M3071" s="63" t="str">
        <f>HYPERLINK("http://nsgreg.nga.mil/genc/view?v=865618&amp;end_month=12&amp;end_day=31&amp;end_year=2016","Correlation")</f>
        <v>Correlation</v>
      </c>
    </row>
    <row r="3072" spans="1:13" x14ac:dyDescent="0.2">
      <c r="A3072" s="113"/>
      <c r="B3072" s="58" t="s">
        <v>4071</v>
      </c>
      <c r="C3072" s="58" t="s">
        <v>1413</v>
      </c>
      <c r="D3072" s="58" t="s">
        <v>8111</v>
      </c>
      <c r="E3072" s="60" t="b">
        <v>1</v>
      </c>
      <c r="F3072" s="80" t="s">
        <v>1038</v>
      </c>
      <c r="G3072" s="58" t="s">
        <v>4071</v>
      </c>
      <c r="H3072" s="58" t="s">
        <v>1413</v>
      </c>
      <c r="I3072" s="64" t="s">
        <v>8111</v>
      </c>
      <c r="J3072" s="66"/>
      <c r="K3072" s="66"/>
      <c r="L3072" s="68"/>
      <c r="M3072" s="63" t="str">
        <f>HYPERLINK("http://nsgreg.nga.mil/genc/view?v=865619&amp;end_month=12&amp;end_day=31&amp;end_year=2016","Correlation")</f>
        <v>Correlation</v>
      </c>
    </row>
    <row r="3073" spans="1:13" x14ac:dyDescent="0.2">
      <c r="A3073" s="113"/>
      <c r="B3073" s="58" t="s">
        <v>8112</v>
      </c>
      <c r="C3073" s="58" t="s">
        <v>1413</v>
      </c>
      <c r="D3073" s="58" t="s">
        <v>8113</v>
      </c>
      <c r="E3073" s="60" t="b">
        <v>1</v>
      </c>
      <c r="F3073" s="80" t="s">
        <v>1038</v>
      </c>
      <c r="G3073" s="58" t="s">
        <v>8112</v>
      </c>
      <c r="H3073" s="58" t="s">
        <v>1413</v>
      </c>
      <c r="I3073" s="64" t="s">
        <v>8113</v>
      </c>
      <c r="J3073" s="66"/>
      <c r="K3073" s="66"/>
      <c r="L3073" s="68"/>
      <c r="M3073" s="63" t="str">
        <f>HYPERLINK("http://nsgreg.nga.mil/genc/view?v=865622&amp;end_month=12&amp;end_day=31&amp;end_year=2016","Correlation")</f>
        <v>Correlation</v>
      </c>
    </row>
    <row r="3074" spans="1:13" x14ac:dyDescent="0.2">
      <c r="A3074" s="113"/>
      <c r="B3074" s="58" t="s">
        <v>4083</v>
      </c>
      <c r="C3074" s="58" t="s">
        <v>1413</v>
      </c>
      <c r="D3074" s="58" t="s">
        <v>8114</v>
      </c>
      <c r="E3074" s="60" t="b">
        <v>1</v>
      </c>
      <c r="F3074" s="80" t="s">
        <v>1038</v>
      </c>
      <c r="G3074" s="58" t="s">
        <v>4083</v>
      </c>
      <c r="H3074" s="58" t="s">
        <v>1413</v>
      </c>
      <c r="I3074" s="64" t="s">
        <v>8114</v>
      </c>
      <c r="J3074" s="66"/>
      <c r="K3074" s="66"/>
      <c r="L3074" s="68"/>
      <c r="M3074" s="63" t="str">
        <f>HYPERLINK("http://nsgreg.nga.mil/genc/view?v=865625&amp;end_month=12&amp;end_day=31&amp;end_year=2016","Correlation")</f>
        <v>Correlation</v>
      </c>
    </row>
    <row r="3075" spans="1:13" x14ac:dyDescent="0.2">
      <c r="A3075" s="113"/>
      <c r="B3075" s="58" t="s">
        <v>8115</v>
      </c>
      <c r="C3075" s="58" t="s">
        <v>1413</v>
      </c>
      <c r="D3075" s="58" t="s">
        <v>8116</v>
      </c>
      <c r="E3075" s="60" t="b">
        <v>1</v>
      </c>
      <c r="F3075" s="80" t="s">
        <v>1038</v>
      </c>
      <c r="G3075" s="58" t="s">
        <v>8115</v>
      </c>
      <c r="H3075" s="58" t="s">
        <v>1413</v>
      </c>
      <c r="I3075" s="64" t="s">
        <v>8116</v>
      </c>
      <c r="J3075" s="66"/>
      <c r="K3075" s="66"/>
      <c r="L3075" s="68"/>
      <c r="M3075" s="63" t="str">
        <f>HYPERLINK("http://nsgreg.nga.mil/genc/view?v=865624&amp;end_month=12&amp;end_day=31&amp;end_year=2016","Correlation")</f>
        <v>Correlation</v>
      </c>
    </row>
    <row r="3076" spans="1:13" x14ac:dyDescent="0.2">
      <c r="A3076" s="113"/>
      <c r="B3076" s="58" t="s">
        <v>8117</v>
      </c>
      <c r="C3076" s="58" t="s">
        <v>1413</v>
      </c>
      <c r="D3076" s="58" t="s">
        <v>8118</v>
      </c>
      <c r="E3076" s="60" t="b">
        <v>1</v>
      </c>
      <c r="F3076" s="80" t="s">
        <v>1038</v>
      </c>
      <c r="G3076" s="58" t="s">
        <v>8117</v>
      </c>
      <c r="H3076" s="58" t="s">
        <v>1413</v>
      </c>
      <c r="I3076" s="64" t="s">
        <v>8118</v>
      </c>
      <c r="J3076" s="66"/>
      <c r="K3076" s="66"/>
      <c r="L3076" s="68"/>
      <c r="M3076" s="63" t="str">
        <f>HYPERLINK("http://nsgreg.nga.mil/genc/view?v=865623&amp;end_month=12&amp;end_day=31&amp;end_year=2016","Correlation")</f>
        <v>Correlation</v>
      </c>
    </row>
    <row r="3077" spans="1:13" x14ac:dyDescent="0.2">
      <c r="A3077" s="114"/>
      <c r="B3077" s="71" t="s">
        <v>8119</v>
      </c>
      <c r="C3077" s="71" t="s">
        <v>1413</v>
      </c>
      <c r="D3077" s="71" t="s">
        <v>8120</v>
      </c>
      <c r="E3077" s="73" t="b">
        <v>1</v>
      </c>
      <c r="F3077" s="81" t="s">
        <v>1038</v>
      </c>
      <c r="G3077" s="71" t="s">
        <v>8119</v>
      </c>
      <c r="H3077" s="71" t="s">
        <v>1413</v>
      </c>
      <c r="I3077" s="74" t="s">
        <v>8120</v>
      </c>
      <c r="J3077" s="76"/>
      <c r="K3077" s="76"/>
      <c r="L3077" s="82"/>
      <c r="M3077" s="77" t="str">
        <f>HYPERLINK("http://nsgreg.nga.mil/genc/view?v=865621&amp;end_month=12&amp;end_day=31&amp;end_year=2016","Correlation")</f>
        <v>Correlation</v>
      </c>
    </row>
    <row r="3078" spans="1:13" x14ac:dyDescent="0.2">
      <c r="A3078" s="112" t="s">
        <v>1054</v>
      </c>
      <c r="B3078" s="50" t="s">
        <v>8121</v>
      </c>
      <c r="C3078" s="50" t="s">
        <v>2294</v>
      </c>
      <c r="D3078" s="50" t="s">
        <v>8122</v>
      </c>
      <c r="E3078" s="52" t="b">
        <v>1</v>
      </c>
      <c r="F3078" s="78" t="s">
        <v>1054</v>
      </c>
      <c r="G3078" s="50" t="s">
        <v>8121</v>
      </c>
      <c r="H3078" s="50" t="s">
        <v>2294</v>
      </c>
      <c r="I3078" s="53" t="s">
        <v>8122</v>
      </c>
      <c r="J3078" s="55"/>
      <c r="K3078" s="55"/>
      <c r="L3078" s="79"/>
      <c r="M3078" s="56" t="str">
        <f>HYPERLINK("http://nsgreg.nga.mil/genc/view?v=865829&amp;end_month=12&amp;end_day=31&amp;end_year=2016","Correlation")</f>
        <v>Correlation</v>
      </c>
    </row>
    <row r="3079" spans="1:13" x14ac:dyDescent="0.2">
      <c r="A3079" s="113"/>
      <c r="B3079" s="58" t="s">
        <v>8123</v>
      </c>
      <c r="C3079" s="58" t="s">
        <v>2294</v>
      </c>
      <c r="D3079" s="58" t="s">
        <v>8124</v>
      </c>
      <c r="E3079" s="60" t="b">
        <v>1</v>
      </c>
      <c r="F3079" s="80" t="s">
        <v>1054</v>
      </c>
      <c r="G3079" s="58" t="s">
        <v>8123</v>
      </c>
      <c r="H3079" s="58" t="s">
        <v>2294</v>
      </c>
      <c r="I3079" s="64" t="s">
        <v>8124</v>
      </c>
      <c r="J3079" s="66"/>
      <c r="K3079" s="66"/>
      <c r="L3079" s="68"/>
      <c r="M3079" s="63" t="str">
        <f>HYPERLINK("http://nsgreg.nga.mil/genc/view?v=865823&amp;end_month=12&amp;end_day=31&amp;end_year=2016","Correlation")</f>
        <v>Correlation</v>
      </c>
    </row>
    <row r="3080" spans="1:13" x14ac:dyDescent="0.2">
      <c r="A3080" s="113"/>
      <c r="B3080" s="58" t="s">
        <v>8125</v>
      </c>
      <c r="C3080" s="58" t="s">
        <v>2294</v>
      </c>
      <c r="D3080" s="58" t="s">
        <v>8126</v>
      </c>
      <c r="E3080" s="60" t="b">
        <v>1</v>
      </c>
      <c r="F3080" s="80" t="s">
        <v>1054</v>
      </c>
      <c r="G3080" s="58" t="s">
        <v>8125</v>
      </c>
      <c r="H3080" s="58" t="s">
        <v>2294</v>
      </c>
      <c r="I3080" s="64" t="s">
        <v>8126</v>
      </c>
      <c r="J3080" s="66"/>
      <c r="K3080" s="66"/>
      <c r="L3080" s="68"/>
      <c r="M3080" s="63" t="str">
        <f>HYPERLINK("http://nsgreg.nga.mil/genc/view?v=865826&amp;end_month=12&amp;end_day=31&amp;end_year=2016","Correlation")</f>
        <v>Correlation</v>
      </c>
    </row>
    <row r="3081" spans="1:13" x14ac:dyDescent="0.2">
      <c r="A3081" s="113"/>
      <c r="B3081" s="58" t="s">
        <v>8127</v>
      </c>
      <c r="C3081" s="58" t="s">
        <v>3140</v>
      </c>
      <c r="D3081" s="58" t="s">
        <v>8128</v>
      </c>
      <c r="E3081" s="60" t="b">
        <v>1</v>
      </c>
      <c r="F3081" s="80" t="s">
        <v>1054</v>
      </c>
      <c r="G3081" s="58" t="s">
        <v>8127</v>
      </c>
      <c r="H3081" s="58" t="s">
        <v>6972</v>
      </c>
      <c r="I3081" s="64" t="s">
        <v>8128</v>
      </c>
      <c r="J3081" s="66"/>
      <c r="K3081" s="66"/>
      <c r="L3081" s="68"/>
      <c r="M3081" s="63" t="str">
        <f>HYPERLINK("http://nsgreg.nga.mil/genc/view?v=865839&amp;end_month=12&amp;end_day=31&amp;end_year=2016","Correlation")</f>
        <v>Correlation</v>
      </c>
    </row>
    <row r="3082" spans="1:13" x14ac:dyDescent="0.2">
      <c r="A3082" s="113"/>
      <c r="B3082" s="58" t="s">
        <v>8129</v>
      </c>
      <c r="C3082" s="58" t="s">
        <v>2294</v>
      </c>
      <c r="D3082" s="58" t="s">
        <v>8130</v>
      </c>
      <c r="E3082" s="60" t="b">
        <v>1</v>
      </c>
      <c r="F3082" s="80" t="s">
        <v>1054</v>
      </c>
      <c r="G3082" s="58" t="s">
        <v>8129</v>
      </c>
      <c r="H3082" s="58" t="s">
        <v>2294</v>
      </c>
      <c r="I3082" s="64" t="s">
        <v>8130</v>
      </c>
      <c r="J3082" s="66"/>
      <c r="K3082" s="66"/>
      <c r="L3082" s="68"/>
      <c r="M3082" s="63" t="str">
        <f>HYPERLINK("http://nsgreg.nga.mil/genc/view?v=865830&amp;end_month=12&amp;end_day=31&amp;end_year=2016","Correlation")</f>
        <v>Correlation</v>
      </c>
    </row>
    <row r="3083" spans="1:13" x14ac:dyDescent="0.2">
      <c r="A3083" s="113"/>
      <c r="B3083" s="58" t="s">
        <v>8131</v>
      </c>
      <c r="C3083" s="58" t="s">
        <v>2294</v>
      </c>
      <c r="D3083" s="58" t="s">
        <v>8132</v>
      </c>
      <c r="E3083" s="60" t="b">
        <v>1</v>
      </c>
      <c r="F3083" s="80" t="s">
        <v>1054</v>
      </c>
      <c r="G3083" s="58" t="s">
        <v>8131</v>
      </c>
      <c r="H3083" s="58" t="s">
        <v>2294</v>
      </c>
      <c r="I3083" s="64" t="s">
        <v>8132</v>
      </c>
      <c r="J3083" s="66"/>
      <c r="K3083" s="66"/>
      <c r="L3083" s="68"/>
      <c r="M3083" s="63" t="str">
        <f>HYPERLINK("http://nsgreg.nga.mil/genc/view?v=865834&amp;end_month=12&amp;end_day=31&amp;end_year=2016","Correlation")</f>
        <v>Correlation</v>
      </c>
    </row>
    <row r="3084" spans="1:13" x14ac:dyDescent="0.2">
      <c r="A3084" s="113"/>
      <c r="B3084" s="58" t="s">
        <v>8133</v>
      </c>
      <c r="C3084" s="58" t="s">
        <v>2294</v>
      </c>
      <c r="D3084" s="58" t="s">
        <v>8134</v>
      </c>
      <c r="E3084" s="60" t="b">
        <v>1</v>
      </c>
      <c r="F3084" s="80" t="s">
        <v>1054</v>
      </c>
      <c r="G3084" s="58" t="s">
        <v>8133</v>
      </c>
      <c r="H3084" s="58" t="s">
        <v>2294</v>
      </c>
      <c r="I3084" s="64" t="s">
        <v>8134</v>
      </c>
      <c r="J3084" s="66"/>
      <c r="K3084" s="66"/>
      <c r="L3084" s="68"/>
      <c r="M3084" s="63" t="str">
        <f>HYPERLINK("http://nsgreg.nga.mil/genc/view?v=865835&amp;end_month=12&amp;end_day=31&amp;end_year=2016","Correlation")</f>
        <v>Correlation</v>
      </c>
    </row>
    <row r="3085" spans="1:13" x14ac:dyDescent="0.2">
      <c r="A3085" s="113"/>
      <c r="B3085" s="58" t="s">
        <v>8135</v>
      </c>
      <c r="C3085" s="58" t="s">
        <v>2294</v>
      </c>
      <c r="D3085" s="58" t="s">
        <v>8136</v>
      </c>
      <c r="E3085" s="60" t="b">
        <v>1</v>
      </c>
      <c r="F3085" s="80" t="s">
        <v>1054</v>
      </c>
      <c r="G3085" s="58" t="s">
        <v>8135</v>
      </c>
      <c r="H3085" s="58" t="s">
        <v>2294</v>
      </c>
      <c r="I3085" s="64" t="s">
        <v>8136</v>
      </c>
      <c r="J3085" s="66"/>
      <c r="K3085" s="66"/>
      <c r="L3085" s="68"/>
      <c r="M3085" s="63" t="str">
        <f>HYPERLINK("http://nsgreg.nga.mil/genc/view?v=865827&amp;end_month=12&amp;end_day=31&amp;end_year=2016","Correlation")</f>
        <v>Correlation</v>
      </c>
    </row>
    <row r="3086" spans="1:13" x14ac:dyDescent="0.2">
      <c r="A3086" s="113"/>
      <c r="B3086" s="58" t="s">
        <v>2411</v>
      </c>
      <c r="C3086" s="58" t="s">
        <v>2294</v>
      </c>
      <c r="D3086" s="58" t="s">
        <v>8137</v>
      </c>
      <c r="E3086" s="60" t="b">
        <v>1</v>
      </c>
      <c r="F3086" s="80" t="s">
        <v>1054</v>
      </c>
      <c r="G3086" s="58" t="s">
        <v>2411</v>
      </c>
      <c r="H3086" s="58" t="s">
        <v>2294</v>
      </c>
      <c r="I3086" s="64" t="s">
        <v>8137</v>
      </c>
      <c r="J3086" s="66"/>
      <c r="K3086" s="66"/>
      <c r="L3086" s="68"/>
      <c r="M3086" s="63" t="str">
        <f>HYPERLINK("http://nsgreg.nga.mil/genc/view?v=865824&amp;end_month=12&amp;end_day=31&amp;end_year=2016","Correlation")</f>
        <v>Correlation</v>
      </c>
    </row>
    <row r="3087" spans="1:13" x14ac:dyDescent="0.2">
      <c r="A3087" s="113"/>
      <c r="B3087" s="58" t="s">
        <v>8138</v>
      </c>
      <c r="C3087" s="58" t="s">
        <v>2294</v>
      </c>
      <c r="D3087" s="58" t="s">
        <v>8139</v>
      </c>
      <c r="E3087" s="60" t="b">
        <v>1</v>
      </c>
      <c r="F3087" s="80" t="s">
        <v>1054</v>
      </c>
      <c r="G3087" s="58" t="s">
        <v>8138</v>
      </c>
      <c r="H3087" s="58" t="s">
        <v>2294</v>
      </c>
      <c r="I3087" s="64" t="s">
        <v>8139</v>
      </c>
      <c r="J3087" s="66"/>
      <c r="K3087" s="66"/>
      <c r="L3087" s="68"/>
      <c r="M3087" s="63" t="str">
        <f>HYPERLINK("http://nsgreg.nga.mil/genc/view?v=865822&amp;end_month=12&amp;end_day=31&amp;end_year=2016","Correlation")</f>
        <v>Correlation</v>
      </c>
    </row>
    <row r="3088" spans="1:13" x14ac:dyDescent="0.2">
      <c r="A3088" s="113"/>
      <c r="B3088" s="58" t="s">
        <v>8140</v>
      </c>
      <c r="C3088" s="58" t="s">
        <v>2294</v>
      </c>
      <c r="D3088" s="58" t="s">
        <v>8141</v>
      </c>
      <c r="E3088" s="60" t="b">
        <v>1</v>
      </c>
      <c r="F3088" s="80" t="s">
        <v>1054</v>
      </c>
      <c r="G3088" s="58" t="s">
        <v>8140</v>
      </c>
      <c r="H3088" s="58" t="s">
        <v>2294</v>
      </c>
      <c r="I3088" s="64" t="s">
        <v>8141</v>
      </c>
      <c r="J3088" s="66"/>
      <c r="K3088" s="66"/>
      <c r="L3088" s="68"/>
      <c r="M3088" s="63" t="str">
        <f>HYPERLINK("http://nsgreg.nga.mil/genc/view?v=865832&amp;end_month=12&amp;end_day=31&amp;end_year=2016","Correlation")</f>
        <v>Correlation</v>
      </c>
    </row>
    <row r="3089" spans="1:13" x14ac:dyDescent="0.2">
      <c r="A3089" s="113"/>
      <c r="B3089" s="58" t="s">
        <v>8142</v>
      </c>
      <c r="C3089" s="58" t="s">
        <v>2294</v>
      </c>
      <c r="D3089" s="58" t="s">
        <v>8143</v>
      </c>
      <c r="E3089" s="60" t="b">
        <v>1</v>
      </c>
      <c r="F3089" s="80" t="s">
        <v>1054</v>
      </c>
      <c r="G3089" s="58" t="s">
        <v>8142</v>
      </c>
      <c r="H3089" s="58" t="s">
        <v>2294</v>
      </c>
      <c r="I3089" s="64" t="s">
        <v>8143</v>
      </c>
      <c r="J3089" s="66"/>
      <c r="K3089" s="66"/>
      <c r="L3089" s="68"/>
      <c r="M3089" s="63" t="str">
        <f>HYPERLINK("http://nsgreg.nga.mil/genc/view?v=865833&amp;end_month=12&amp;end_day=31&amp;end_year=2016","Correlation")</f>
        <v>Correlation</v>
      </c>
    </row>
    <row r="3090" spans="1:13" x14ac:dyDescent="0.2">
      <c r="A3090" s="113"/>
      <c r="B3090" s="58" t="s">
        <v>8144</v>
      </c>
      <c r="C3090" s="58" t="s">
        <v>2294</v>
      </c>
      <c r="D3090" s="58" t="s">
        <v>8145</v>
      </c>
      <c r="E3090" s="60" t="b">
        <v>1</v>
      </c>
      <c r="F3090" s="80" t="s">
        <v>1054</v>
      </c>
      <c r="G3090" s="58" t="s">
        <v>8144</v>
      </c>
      <c r="H3090" s="58" t="s">
        <v>2294</v>
      </c>
      <c r="I3090" s="64" t="s">
        <v>8145</v>
      </c>
      <c r="J3090" s="66"/>
      <c r="K3090" s="66"/>
      <c r="L3090" s="68"/>
      <c r="M3090" s="63" t="str">
        <f>HYPERLINK("http://nsgreg.nga.mil/genc/view?v=865836&amp;end_month=12&amp;end_day=31&amp;end_year=2016","Correlation")</f>
        <v>Correlation</v>
      </c>
    </row>
    <row r="3091" spans="1:13" x14ac:dyDescent="0.2">
      <c r="A3091" s="113"/>
      <c r="B3091" s="58" t="s">
        <v>1704</v>
      </c>
      <c r="C3091" s="58" t="s">
        <v>2294</v>
      </c>
      <c r="D3091" s="58" t="s">
        <v>8146</v>
      </c>
      <c r="E3091" s="60" t="b">
        <v>1</v>
      </c>
      <c r="F3091" s="80" t="s">
        <v>1054</v>
      </c>
      <c r="G3091" s="58" t="s">
        <v>1704</v>
      </c>
      <c r="H3091" s="58" t="s">
        <v>2294</v>
      </c>
      <c r="I3091" s="64" t="s">
        <v>8146</v>
      </c>
      <c r="J3091" s="66"/>
      <c r="K3091" s="66"/>
      <c r="L3091" s="68"/>
      <c r="M3091" s="63" t="str">
        <f>HYPERLINK("http://nsgreg.nga.mil/genc/view?v=865837&amp;end_month=12&amp;end_day=31&amp;end_year=2016","Correlation")</f>
        <v>Correlation</v>
      </c>
    </row>
    <row r="3092" spans="1:13" x14ac:dyDescent="0.2">
      <c r="A3092" s="113"/>
      <c r="B3092" s="58" t="s">
        <v>8147</v>
      </c>
      <c r="C3092" s="58" t="s">
        <v>2294</v>
      </c>
      <c r="D3092" s="58" t="s">
        <v>8148</v>
      </c>
      <c r="E3092" s="60" t="b">
        <v>1</v>
      </c>
      <c r="F3092" s="80" t="s">
        <v>1054</v>
      </c>
      <c r="G3092" s="58" t="s">
        <v>8147</v>
      </c>
      <c r="H3092" s="58" t="s">
        <v>2294</v>
      </c>
      <c r="I3092" s="64" t="s">
        <v>8148</v>
      </c>
      <c r="J3092" s="66"/>
      <c r="K3092" s="66"/>
      <c r="L3092" s="68"/>
      <c r="M3092" s="63" t="str">
        <f>HYPERLINK("http://nsgreg.nga.mil/genc/view?v=865825&amp;end_month=12&amp;end_day=31&amp;end_year=2016","Correlation")</f>
        <v>Correlation</v>
      </c>
    </row>
    <row r="3093" spans="1:13" x14ac:dyDescent="0.2">
      <c r="A3093" s="113"/>
      <c r="B3093" s="58" t="s">
        <v>8149</v>
      </c>
      <c r="C3093" s="58" t="s">
        <v>2294</v>
      </c>
      <c r="D3093" s="58" t="s">
        <v>8150</v>
      </c>
      <c r="E3093" s="60" t="b">
        <v>1</v>
      </c>
      <c r="F3093" s="80" t="s">
        <v>1054</v>
      </c>
      <c r="G3093" s="58" t="s">
        <v>8149</v>
      </c>
      <c r="H3093" s="58" t="s">
        <v>2294</v>
      </c>
      <c r="I3093" s="64" t="s">
        <v>8150</v>
      </c>
      <c r="J3093" s="66"/>
      <c r="K3093" s="66"/>
      <c r="L3093" s="68"/>
      <c r="M3093" s="63" t="str">
        <f>HYPERLINK("http://nsgreg.nga.mil/genc/view?v=865838&amp;end_month=12&amp;end_day=31&amp;end_year=2016","Correlation")</f>
        <v>Correlation</v>
      </c>
    </row>
    <row r="3094" spans="1:13" x14ac:dyDescent="0.2">
      <c r="A3094" s="113"/>
      <c r="B3094" s="58" t="s">
        <v>8151</v>
      </c>
      <c r="C3094" s="58" t="s">
        <v>2294</v>
      </c>
      <c r="D3094" s="58" t="s">
        <v>8152</v>
      </c>
      <c r="E3094" s="60" t="b">
        <v>1</v>
      </c>
      <c r="F3094" s="80" t="s">
        <v>1054</v>
      </c>
      <c r="G3094" s="58" t="s">
        <v>8151</v>
      </c>
      <c r="H3094" s="58" t="s">
        <v>2294</v>
      </c>
      <c r="I3094" s="64" t="s">
        <v>8152</v>
      </c>
      <c r="J3094" s="66"/>
      <c r="K3094" s="66"/>
      <c r="L3094" s="68"/>
      <c r="M3094" s="63" t="str">
        <f>HYPERLINK("http://nsgreg.nga.mil/genc/view?v=865828&amp;end_month=12&amp;end_day=31&amp;end_year=2016","Correlation")</f>
        <v>Correlation</v>
      </c>
    </row>
    <row r="3095" spans="1:13" x14ac:dyDescent="0.2">
      <c r="A3095" s="114"/>
      <c r="B3095" s="71" t="s">
        <v>8153</v>
      </c>
      <c r="C3095" s="71" t="s">
        <v>2294</v>
      </c>
      <c r="D3095" s="71" t="s">
        <v>8154</v>
      </c>
      <c r="E3095" s="73" t="b">
        <v>1</v>
      </c>
      <c r="F3095" s="81" t="s">
        <v>1054</v>
      </c>
      <c r="G3095" s="71" t="s">
        <v>8153</v>
      </c>
      <c r="H3095" s="71" t="s">
        <v>2294</v>
      </c>
      <c r="I3095" s="74" t="s">
        <v>8154</v>
      </c>
      <c r="J3095" s="76"/>
      <c r="K3095" s="76"/>
      <c r="L3095" s="82"/>
      <c r="M3095" s="77" t="str">
        <f>HYPERLINK("http://nsgreg.nga.mil/genc/view?v=865831&amp;end_month=12&amp;end_day=31&amp;end_year=2016","Correlation")</f>
        <v>Correlation</v>
      </c>
    </row>
    <row r="3096" spans="1:13" x14ac:dyDescent="0.2">
      <c r="A3096" s="112" t="s">
        <v>1058</v>
      </c>
      <c r="B3096" s="50" t="s">
        <v>2450</v>
      </c>
      <c r="C3096" s="50" t="s">
        <v>1728</v>
      </c>
      <c r="D3096" s="50" t="s">
        <v>8155</v>
      </c>
      <c r="E3096" s="52" t="b">
        <v>1</v>
      </c>
      <c r="F3096" s="78" t="s">
        <v>1058</v>
      </c>
      <c r="G3096" s="50" t="s">
        <v>2450</v>
      </c>
      <c r="H3096" s="50" t="s">
        <v>1728</v>
      </c>
      <c r="I3096" s="53" t="s">
        <v>8155</v>
      </c>
      <c r="J3096" s="55"/>
      <c r="K3096" s="55"/>
      <c r="L3096" s="79"/>
      <c r="M3096" s="56" t="str">
        <f>HYPERLINK("http://nsgreg.nga.mil/genc/view?v=865573&amp;end_month=12&amp;end_day=31&amp;end_year=2016","Correlation")</f>
        <v>Correlation</v>
      </c>
    </row>
    <row r="3097" spans="1:13" x14ac:dyDescent="0.2">
      <c r="A3097" s="113"/>
      <c r="B3097" s="58" t="s">
        <v>8156</v>
      </c>
      <c r="C3097" s="58" t="s">
        <v>1728</v>
      </c>
      <c r="D3097" s="58" t="s">
        <v>8157</v>
      </c>
      <c r="E3097" s="60" t="b">
        <v>1</v>
      </c>
      <c r="F3097" s="80" t="s">
        <v>1058</v>
      </c>
      <c r="G3097" s="58" t="s">
        <v>8156</v>
      </c>
      <c r="H3097" s="58" t="s">
        <v>1728</v>
      </c>
      <c r="I3097" s="64" t="s">
        <v>8157</v>
      </c>
      <c r="J3097" s="66"/>
      <c r="K3097" s="66"/>
      <c r="L3097" s="68"/>
      <c r="M3097" s="63" t="str">
        <f>HYPERLINK("http://nsgreg.nga.mil/genc/view?v=865574&amp;end_month=12&amp;end_day=31&amp;end_year=2016","Correlation")</f>
        <v>Correlation</v>
      </c>
    </row>
    <row r="3098" spans="1:13" x14ac:dyDescent="0.2">
      <c r="A3098" s="113"/>
      <c r="B3098" s="58" t="s">
        <v>8158</v>
      </c>
      <c r="C3098" s="58" t="s">
        <v>1728</v>
      </c>
      <c r="D3098" s="58" t="s">
        <v>8159</v>
      </c>
      <c r="E3098" s="60" t="b">
        <v>1</v>
      </c>
      <c r="F3098" s="80" t="s">
        <v>1058</v>
      </c>
      <c r="G3098" s="58" t="s">
        <v>8158</v>
      </c>
      <c r="H3098" s="58" t="s">
        <v>1728</v>
      </c>
      <c r="I3098" s="64" t="s">
        <v>8159</v>
      </c>
      <c r="J3098" s="66"/>
      <c r="K3098" s="66"/>
      <c r="L3098" s="68"/>
      <c r="M3098" s="63" t="str">
        <f>HYPERLINK("http://nsgreg.nga.mil/genc/view?v=865575&amp;end_month=12&amp;end_day=31&amp;end_year=2016","Correlation")</f>
        <v>Correlation</v>
      </c>
    </row>
    <row r="3099" spans="1:13" x14ac:dyDescent="0.2">
      <c r="A3099" s="113"/>
      <c r="B3099" s="58" t="s">
        <v>8160</v>
      </c>
      <c r="C3099" s="58" t="s">
        <v>1728</v>
      </c>
      <c r="D3099" s="58" t="s">
        <v>8161</v>
      </c>
      <c r="E3099" s="60" t="b">
        <v>1</v>
      </c>
      <c r="F3099" s="80" t="s">
        <v>1058</v>
      </c>
      <c r="G3099" s="58" t="s">
        <v>8160</v>
      </c>
      <c r="H3099" s="58" t="s">
        <v>1728</v>
      </c>
      <c r="I3099" s="64" t="s">
        <v>8161</v>
      </c>
      <c r="J3099" s="66"/>
      <c r="K3099" s="66"/>
      <c r="L3099" s="68"/>
      <c r="M3099" s="63" t="str">
        <f>HYPERLINK("http://nsgreg.nga.mil/genc/view?v=865576&amp;end_month=12&amp;end_day=31&amp;end_year=2016","Correlation")</f>
        <v>Correlation</v>
      </c>
    </row>
    <row r="3100" spans="1:13" x14ac:dyDescent="0.2">
      <c r="A3100" s="113"/>
      <c r="B3100" s="58" t="s">
        <v>8162</v>
      </c>
      <c r="C3100" s="58" t="s">
        <v>1728</v>
      </c>
      <c r="D3100" s="58" t="s">
        <v>8163</v>
      </c>
      <c r="E3100" s="60" t="b">
        <v>1</v>
      </c>
      <c r="F3100" s="80" t="s">
        <v>1058</v>
      </c>
      <c r="G3100" s="58" t="s">
        <v>8162</v>
      </c>
      <c r="H3100" s="58" t="s">
        <v>1728</v>
      </c>
      <c r="I3100" s="64" t="s">
        <v>8163</v>
      </c>
      <c r="J3100" s="66"/>
      <c r="K3100" s="66"/>
      <c r="L3100" s="68"/>
      <c r="M3100" s="63" t="str">
        <f>HYPERLINK("http://nsgreg.nga.mil/genc/view?v=865577&amp;end_month=12&amp;end_day=31&amp;end_year=2016","Correlation")</f>
        <v>Correlation</v>
      </c>
    </row>
    <row r="3101" spans="1:13" x14ac:dyDescent="0.2">
      <c r="A3101" s="113"/>
      <c r="B3101" s="58" t="s">
        <v>8164</v>
      </c>
      <c r="C3101" s="58" t="s">
        <v>1728</v>
      </c>
      <c r="D3101" s="58" t="s">
        <v>8165</v>
      </c>
      <c r="E3101" s="60" t="b">
        <v>1</v>
      </c>
      <c r="F3101" s="80" t="s">
        <v>1058</v>
      </c>
      <c r="G3101" s="58" t="s">
        <v>8164</v>
      </c>
      <c r="H3101" s="58" t="s">
        <v>1728</v>
      </c>
      <c r="I3101" s="64" t="s">
        <v>8165</v>
      </c>
      <c r="J3101" s="66"/>
      <c r="K3101" s="66"/>
      <c r="L3101" s="68"/>
      <c r="M3101" s="63" t="str">
        <f>HYPERLINK("http://nsgreg.nga.mil/genc/view?v=865578&amp;end_month=12&amp;end_day=31&amp;end_year=2016","Correlation")</f>
        <v>Correlation</v>
      </c>
    </row>
    <row r="3102" spans="1:13" x14ac:dyDescent="0.2">
      <c r="A3102" s="113"/>
      <c r="B3102" s="58" t="s">
        <v>8166</v>
      </c>
      <c r="C3102" s="58" t="s">
        <v>1728</v>
      </c>
      <c r="D3102" s="58" t="s">
        <v>8167</v>
      </c>
      <c r="E3102" s="60" t="b">
        <v>1</v>
      </c>
      <c r="F3102" s="80" t="s">
        <v>1058</v>
      </c>
      <c r="G3102" s="58" t="s">
        <v>8168</v>
      </c>
      <c r="H3102" s="58" t="s">
        <v>1728</v>
      </c>
      <c r="I3102" s="64" t="s">
        <v>8167</v>
      </c>
      <c r="J3102" s="66"/>
      <c r="K3102" s="66"/>
      <c r="L3102" s="68"/>
      <c r="M3102" s="63" t="str">
        <f>HYPERLINK("http://nsgreg.nga.mil/genc/view?v=865579&amp;end_month=12&amp;end_day=31&amp;end_year=2016","Correlation")</f>
        <v>Correlation</v>
      </c>
    </row>
    <row r="3103" spans="1:13" x14ac:dyDescent="0.2">
      <c r="A3103" s="113"/>
      <c r="B3103" s="58" t="s">
        <v>8169</v>
      </c>
      <c r="C3103" s="58" t="s">
        <v>1728</v>
      </c>
      <c r="D3103" s="58" t="s">
        <v>8170</v>
      </c>
      <c r="E3103" s="60" t="b">
        <v>1</v>
      </c>
      <c r="F3103" s="80" t="s">
        <v>1058</v>
      </c>
      <c r="G3103" s="58" t="s">
        <v>8171</v>
      </c>
      <c r="H3103" s="58" t="s">
        <v>1728</v>
      </c>
      <c r="I3103" s="64" t="s">
        <v>8170</v>
      </c>
      <c r="J3103" s="66"/>
      <c r="K3103" s="66"/>
      <c r="L3103" s="68"/>
      <c r="M3103" s="63" t="str">
        <f>HYPERLINK("http://nsgreg.nga.mil/genc/view?v=865580&amp;end_month=12&amp;end_day=31&amp;end_year=2016","Correlation")</f>
        <v>Correlation</v>
      </c>
    </row>
    <row r="3104" spans="1:13" x14ac:dyDescent="0.2">
      <c r="A3104" s="113"/>
      <c r="B3104" s="58" t="s">
        <v>8172</v>
      </c>
      <c r="C3104" s="58" t="s">
        <v>1728</v>
      </c>
      <c r="D3104" s="58" t="s">
        <v>8173</v>
      </c>
      <c r="E3104" s="60" t="b">
        <v>1</v>
      </c>
      <c r="F3104" s="80" t="s">
        <v>1058</v>
      </c>
      <c r="G3104" s="58" t="s">
        <v>8172</v>
      </c>
      <c r="H3104" s="58" t="s">
        <v>1728</v>
      </c>
      <c r="I3104" s="64" t="s">
        <v>8173</v>
      </c>
      <c r="J3104" s="66"/>
      <c r="K3104" s="66"/>
      <c r="L3104" s="68"/>
      <c r="M3104" s="63" t="str">
        <f>HYPERLINK("http://nsgreg.nga.mil/genc/view?v=865582&amp;end_month=12&amp;end_day=31&amp;end_year=2016","Correlation")</f>
        <v>Correlation</v>
      </c>
    </row>
    <row r="3105" spans="1:13" x14ac:dyDescent="0.2">
      <c r="A3105" s="113"/>
      <c r="B3105" s="58" t="s">
        <v>8174</v>
      </c>
      <c r="C3105" s="58" t="s">
        <v>1728</v>
      </c>
      <c r="D3105" s="58" t="s">
        <v>8175</v>
      </c>
      <c r="E3105" s="60" t="b">
        <v>1</v>
      </c>
      <c r="F3105" s="80" t="s">
        <v>1058</v>
      </c>
      <c r="G3105" s="58" t="s">
        <v>8174</v>
      </c>
      <c r="H3105" s="58" t="s">
        <v>1728</v>
      </c>
      <c r="I3105" s="64" t="s">
        <v>8175</v>
      </c>
      <c r="J3105" s="66"/>
      <c r="K3105" s="66"/>
      <c r="L3105" s="68"/>
      <c r="M3105" s="63" t="str">
        <f>HYPERLINK("http://nsgreg.nga.mil/genc/view?v=865581&amp;end_month=12&amp;end_day=31&amp;end_year=2016","Correlation")</f>
        <v>Correlation</v>
      </c>
    </row>
    <row r="3106" spans="1:13" x14ac:dyDescent="0.2">
      <c r="A3106" s="113"/>
      <c r="B3106" s="58" t="s">
        <v>8176</v>
      </c>
      <c r="C3106" s="58" t="s">
        <v>1728</v>
      </c>
      <c r="D3106" s="58" t="s">
        <v>8177</v>
      </c>
      <c r="E3106" s="60" t="b">
        <v>1</v>
      </c>
      <c r="F3106" s="80" t="s">
        <v>1058</v>
      </c>
      <c r="G3106" s="58" t="s">
        <v>8176</v>
      </c>
      <c r="H3106" s="58" t="s">
        <v>1728</v>
      </c>
      <c r="I3106" s="64" t="s">
        <v>8177</v>
      </c>
      <c r="J3106" s="66"/>
      <c r="K3106" s="66"/>
      <c r="L3106" s="68"/>
      <c r="M3106" s="63" t="str">
        <f>HYPERLINK("http://nsgreg.nga.mil/genc/view?v=865583&amp;end_month=12&amp;end_day=31&amp;end_year=2016","Correlation")</f>
        <v>Correlation</v>
      </c>
    </row>
    <row r="3107" spans="1:13" x14ac:dyDescent="0.2">
      <c r="A3107" s="113"/>
      <c r="B3107" s="58" t="s">
        <v>8178</v>
      </c>
      <c r="C3107" s="58" t="s">
        <v>1728</v>
      </c>
      <c r="D3107" s="58" t="s">
        <v>8179</v>
      </c>
      <c r="E3107" s="60" t="b">
        <v>1</v>
      </c>
      <c r="F3107" s="80" t="s">
        <v>1058</v>
      </c>
      <c r="G3107" s="58" t="s">
        <v>8178</v>
      </c>
      <c r="H3107" s="58" t="s">
        <v>1728</v>
      </c>
      <c r="I3107" s="64" t="s">
        <v>8179</v>
      </c>
      <c r="J3107" s="66"/>
      <c r="K3107" s="66"/>
      <c r="L3107" s="68"/>
      <c r="M3107" s="63" t="str">
        <f>HYPERLINK("http://nsgreg.nga.mil/genc/view?v=865584&amp;end_month=12&amp;end_day=31&amp;end_year=2016","Correlation")</f>
        <v>Correlation</v>
      </c>
    </row>
    <row r="3108" spans="1:13" x14ac:dyDescent="0.2">
      <c r="A3108" s="113"/>
      <c r="B3108" s="58" t="s">
        <v>3940</v>
      </c>
      <c r="C3108" s="58" t="s">
        <v>1728</v>
      </c>
      <c r="D3108" s="58" t="s">
        <v>8180</v>
      </c>
      <c r="E3108" s="60" t="b">
        <v>1</v>
      </c>
      <c r="F3108" s="80" t="s">
        <v>1058</v>
      </c>
      <c r="G3108" s="58" t="s">
        <v>3940</v>
      </c>
      <c r="H3108" s="58" t="s">
        <v>1728</v>
      </c>
      <c r="I3108" s="64" t="s">
        <v>8180</v>
      </c>
      <c r="J3108" s="66"/>
      <c r="K3108" s="66"/>
      <c r="L3108" s="68"/>
      <c r="M3108" s="63" t="str">
        <f>HYPERLINK("http://nsgreg.nga.mil/genc/view?v=865585&amp;end_month=12&amp;end_day=31&amp;end_year=2016","Correlation")</f>
        <v>Correlation</v>
      </c>
    </row>
    <row r="3109" spans="1:13" x14ac:dyDescent="0.2">
      <c r="A3109" s="113"/>
      <c r="B3109" s="58" t="s">
        <v>8181</v>
      </c>
      <c r="C3109" s="58" t="s">
        <v>1728</v>
      </c>
      <c r="D3109" s="58" t="s">
        <v>8182</v>
      </c>
      <c r="E3109" s="60" t="b">
        <v>1</v>
      </c>
      <c r="F3109" s="80" t="s">
        <v>1058</v>
      </c>
      <c r="G3109" s="58" t="s">
        <v>8181</v>
      </c>
      <c r="H3109" s="58" t="s">
        <v>1728</v>
      </c>
      <c r="I3109" s="64" t="s">
        <v>8182</v>
      </c>
      <c r="J3109" s="66"/>
      <c r="K3109" s="66"/>
      <c r="L3109" s="68"/>
      <c r="M3109" s="63" t="str">
        <f>HYPERLINK("http://nsgreg.nga.mil/genc/view?v=865586&amp;end_month=12&amp;end_day=31&amp;end_year=2016","Correlation")</f>
        <v>Correlation</v>
      </c>
    </row>
    <row r="3110" spans="1:13" x14ac:dyDescent="0.2">
      <c r="A3110" s="113"/>
      <c r="B3110" s="58" t="s">
        <v>8183</v>
      </c>
      <c r="C3110" s="58" t="s">
        <v>1413</v>
      </c>
      <c r="D3110" s="58" t="s">
        <v>8184</v>
      </c>
      <c r="E3110" s="60" t="b">
        <v>1</v>
      </c>
      <c r="F3110" s="80" t="s">
        <v>1058</v>
      </c>
      <c r="G3110" s="58" t="s">
        <v>8185</v>
      </c>
      <c r="H3110" s="58" t="s">
        <v>1816</v>
      </c>
      <c r="I3110" s="64" t="s">
        <v>8184</v>
      </c>
      <c r="J3110" s="66"/>
      <c r="K3110" s="66"/>
      <c r="L3110" s="68"/>
      <c r="M3110" s="63" t="str">
        <f>HYPERLINK("http://nsgreg.nga.mil/genc/view?v=865588&amp;end_month=12&amp;end_day=31&amp;end_year=2016","Correlation")</f>
        <v>Correlation</v>
      </c>
    </row>
    <row r="3111" spans="1:13" x14ac:dyDescent="0.2">
      <c r="A3111" s="113"/>
      <c r="B3111" s="58" t="s">
        <v>8183</v>
      </c>
      <c r="C3111" s="58" t="s">
        <v>1728</v>
      </c>
      <c r="D3111" s="58" t="s">
        <v>8186</v>
      </c>
      <c r="E3111" s="60" t="b">
        <v>1</v>
      </c>
      <c r="F3111" s="80" t="s">
        <v>1058</v>
      </c>
      <c r="G3111" s="58" t="s">
        <v>8183</v>
      </c>
      <c r="H3111" s="58" t="s">
        <v>1728</v>
      </c>
      <c r="I3111" s="64" t="s">
        <v>8186</v>
      </c>
      <c r="J3111" s="66"/>
      <c r="K3111" s="66"/>
      <c r="L3111" s="68"/>
      <c r="M3111" s="63" t="str">
        <f>HYPERLINK("http://nsgreg.nga.mil/genc/view?v=865587&amp;end_month=12&amp;end_day=31&amp;end_year=2016","Correlation")</f>
        <v>Correlation</v>
      </c>
    </row>
    <row r="3112" spans="1:13" x14ac:dyDescent="0.2">
      <c r="A3112" s="113"/>
      <c r="B3112" s="58" t="s">
        <v>8187</v>
      </c>
      <c r="C3112" s="58" t="s">
        <v>1728</v>
      </c>
      <c r="D3112" s="58" t="s">
        <v>8188</v>
      </c>
      <c r="E3112" s="60" t="b">
        <v>1</v>
      </c>
      <c r="F3112" s="80" t="s">
        <v>1058</v>
      </c>
      <c r="G3112" s="58" t="s">
        <v>8187</v>
      </c>
      <c r="H3112" s="58" t="s">
        <v>1728</v>
      </c>
      <c r="I3112" s="64" t="s">
        <v>8188</v>
      </c>
      <c r="J3112" s="66"/>
      <c r="K3112" s="66"/>
      <c r="L3112" s="68"/>
      <c r="M3112" s="63" t="str">
        <f>HYPERLINK("http://nsgreg.nga.mil/genc/view?v=865589&amp;end_month=12&amp;end_day=31&amp;end_year=2016","Correlation")</f>
        <v>Correlation</v>
      </c>
    </row>
    <row r="3113" spans="1:13" x14ac:dyDescent="0.2">
      <c r="A3113" s="113"/>
      <c r="B3113" s="58" t="s">
        <v>8189</v>
      </c>
      <c r="C3113" s="58" t="s">
        <v>1728</v>
      </c>
      <c r="D3113" s="58" t="s">
        <v>8190</v>
      </c>
      <c r="E3113" s="60" t="b">
        <v>1</v>
      </c>
      <c r="F3113" s="80" t="s">
        <v>1058</v>
      </c>
      <c r="G3113" s="58" t="s">
        <v>8189</v>
      </c>
      <c r="H3113" s="58" t="s">
        <v>1728</v>
      </c>
      <c r="I3113" s="64" t="s">
        <v>8190</v>
      </c>
      <c r="J3113" s="66"/>
      <c r="K3113" s="66"/>
      <c r="L3113" s="68"/>
      <c r="M3113" s="63" t="str">
        <f>HYPERLINK("http://nsgreg.nga.mil/genc/view?v=865590&amp;end_month=12&amp;end_day=31&amp;end_year=2016","Correlation")</f>
        <v>Correlation</v>
      </c>
    </row>
    <row r="3114" spans="1:13" x14ac:dyDescent="0.2">
      <c r="A3114" s="113"/>
      <c r="B3114" s="58" t="s">
        <v>8191</v>
      </c>
      <c r="C3114" s="58" t="s">
        <v>1728</v>
      </c>
      <c r="D3114" s="58" t="s">
        <v>8192</v>
      </c>
      <c r="E3114" s="60" t="b">
        <v>1</v>
      </c>
      <c r="F3114" s="80" t="s">
        <v>1058</v>
      </c>
      <c r="G3114" s="58" t="s">
        <v>8191</v>
      </c>
      <c r="H3114" s="58" t="s">
        <v>1728</v>
      </c>
      <c r="I3114" s="64" t="s">
        <v>8192</v>
      </c>
      <c r="J3114" s="66"/>
      <c r="K3114" s="66"/>
      <c r="L3114" s="68"/>
      <c r="M3114" s="63" t="str">
        <f>HYPERLINK("http://nsgreg.nga.mil/genc/view?v=865591&amp;end_month=12&amp;end_day=31&amp;end_year=2016","Correlation")</f>
        <v>Correlation</v>
      </c>
    </row>
    <row r="3115" spans="1:13" x14ac:dyDescent="0.2">
      <c r="A3115" s="113"/>
      <c r="B3115" s="58" t="s">
        <v>8193</v>
      </c>
      <c r="C3115" s="58" t="s">
        <v>1728</v>
      </c>
      <c r="D3115" s="58" t="s">
        <v>8194</v>
      </c>
      <c r="E3115" s="60" t="b">
        <v>1</v>
      </c>
      <c r="F3115" s="80" t="s">
        <v>1058</v>
      </c>
      <c r="G3115" s="58" t="s">
        <v>8193</v>
      </c>
      <c r="H3115" s="58" t="s">
        <v>1728</v>
      </c>
      <c r="I3115" s="64" t="s">
        <v>8194</v>
      </c>
      <c r="J3115" s="66"/>
      <c r="K3115" s="66"/>
      <c r="L3115" s="68"/>
      <c r="M3115" s="63" t="str">
        <f>HYPERLINK("http://nsgreg.nga.mil/genc/view?v=865592&amp;end_month=12&amp;end_day=31&amp;end_year=2016","Correlation")</f>
        <v>Correlation</v>
      </c>
    </row>
    <row r="3116" spans="1:13" x14ac:dyDescent="0.2">
      <c r="A3116" s="113"/>
      <c r="B3116" s="58" t="s">
        <v>8195</v>
      </c>
      <c r="C3116" s="58" t="s">
        <v>1728</v>
      </c>
      <c r="D3116" s="58" t="s">
        <v>8196</v>
      </c>
      <c r="E3116" s="60" t="b">
        <v>1</v>
      </c>
      <c r="F3116" s="80" t="s">
        <v>1058</v>
      </c>
      <c r="G3116" s="58" t="s">
        <v>8195</v>
      </c>
      <c r="H3116" s="58" t="s">
        <v>1728</v>
      </c>
      <c r="I3116" s="64" t="s">
        <v>8196</v>
      </c>
      <c r="J3116" s="66"/>
      <c r="K3116" s="66"/>
      <c r="L3116" s="68"/>
      <c r="M3116" s="63" t="str">
        <f>HYPERLINK("http://nsgreg.nga.mil/genc/view?v=865593&amp;end_month=12&amp;end_day=31&amp;end_year=2016","Correlation")</f>
        <v>Correlation</v>
      </c>
    </row>
    <row r="3117" spans="1:13" x14ac:dyDescent="0.2">
      <c r="A3117" s="113"/>
      <c r="B3117" s="58" t="s">
        <v>8197</v>
      </c>
      <c r="C3117" s="58" t="s">
        <v>1728</v>
      </c>
      <c r="D3117" s="58" t="s">
        <v>8198</v>
      </c>
      <c r="E3117" s="60" t="b">
        <v>1</v>
      </c>
      <c r="F3117" s="80" t="s">
        <v>1058</v>
      </c>
      <c r="G3117" s="58" t="s">
        <v>8197</v>
      </c>
      <c r="H3117" s="58" t="s">
        <v>1728</v>
      </c>
      <c r="I3117" s="64" t="s">
        <v>8198</v>
      </c>
      <c r="J3117" s="66"/>
      <c r="K3117" s="66"/>
      <c r="L3117" s="68"/>
      <c r="M3117" s="63" t="str">
        <f>HYPERLINK("http://nsgreg.nga.mil/genc/view?v=865594&amp;end_month=12&amp;end_day=31&amp;end_year=2016","Correlation")</f>
        <v>Correlation</v>
      </c>
    </row>
    <row r="3118" spans="1:13" x14ac:dyDescent="0.2">
      <c r="A3118" s="113"/>
      <c r="B3118" s="58" t="s">
        <v>8199</v>
      </c>
      <c r="C3118" s="58" t="s">
        <v>1728</v>
      </c>
      <c r="D3118" s="58" t="s">
        <v>8200</v>
      </c>
      <c r="E3118" s="60" t="b">
        <v>1</v>
      </c>
      <c r="F3118" s="80" t="s">
        <v>1058</v>
      </c>
      <c r="G3118" s="58" t="s">
        <v>8199</v>
      </c>
      <c r="H3118" s="58" t="s">
        <v>1728</v>
      </c>
      <c r="I3118" s="64" t="s">
        <v>8200</v>
      </c>
      <c r="J3118" s="66"/>
      <c r="K3118" s="66"/>
      <c r="L3118" s="68"/>
      <c r="M3118" s="63" t="str">
        <f>HYPERLINK("http://nsgreg.nga.mil/genc/view?v=865595&amp;end_month=12&amp;end_day=31&amp;end_year=2016","Correlation")</f>
        <v>Correlation</v>
      </c>
    </row>
    <row r="3119" spans="1:13" x14ac:dyDescent="0.2">
      <c r="A3119" s="113"/>
      <c r="B3119" s="58" t="s">
        <v>8201</v>
      </c>
      <c r="C3119" s="58" t="s">
        <v>1728</v>
      </c>
      <c r="D3119" s="58" t="s">
        <v>8202</v>
      </c>
      <c r="E3119" s="60" t="b">
        <v>1</v>
      </c>
      <c r="F3119" s="80" t="s">
        <v>1058</v>
      </c>
      <c r="G3119" s="58" t="s">
        <v>8201</v>
      </c>
      <c r="H3119" s="58" t="s">
        <v>1728</v>
      </c>
      <c r="I3119" s="64" t="s">
        <v>8202</v>
      </c>
      <c r="J3119" s="66"/>
      <c r="K3119" s="66"/>
      <c r="L3119" s="68"/>
      <c r="M3119" s="63" t="str">
        <f>HYPERLINK("http://nsgreg.nga.mil/genc/view?v=865596&amp;end_month=12&amp;end_day=31&amp;end_year=2016","Correlation")</f>
        <v>Correlation</v>
      </c>
    </row>
    <row r="3120" spans="1:13" x14ac:dyDescent="0.2">
      <c r="A3120" s="113"/>
      <c r="B3120" s="58" t="s">
        <v>8203</v>
      </c>
      <c r="C3120" s="58" t="s">
        <v>1728</v>
      </c>
      <c r="D3120" s="58" t="s">
        <v>8204</v>
      </c>
      <c r="E3120" s="60" t="b">
        <v>1</v>
      </c>
      <c r="F3120" s="80" t="s">
        <v>1058</v>
      </c>
      <c r="G3120" s="58" t="s">
        <v>8203</v>
      </c>
      <c r="H3120" s="58" t="s">
        <v>1728</v>
      </c>
      <c r="I3120" s="64" t="s">
        <v>8204</v>
      </c>
      <c r="J3120" s="66"/>
      <c r="K3120" s="66"/>
      <c r="L3120" s="68"/>
      <c r="M3120" s="63" t="str">
        <f>HYPERLINK("http://nsgreg.nga.mil/genc/view?v=865597&amp;end_month=12&amp;end_day=31&amp;end_year=2016","Correlation")</f>
        <v>Correlation</v>
      </c>
    </row>
    <row r="3121" spans="1:13" x14ac:dyDescent="0.2">
      <c r="A3121" s="114"/>
      <c r="B3121" s="71" t="s">
        <v>8205</v>
      </c>
      <c r="C3121" s="71" t="s">
        <v>1728</v>
      </c>
      <c r="D3121" s="71" t="s">
        <v>8206</v>
      </c>
      <c r="E3121" s="73" t="b">
        <v>1</v>
      </c>
      <c r="F3121" s="81" t="s">
        <v>1058</v>
      </c>
      <c r="G3121" s="71" t="s">
        <v>8205</v>
      </c>
      <c r="H3121" s="71" t="s">
        <v>1728</v>
      </c>
      <c r="I3121" s="74" t="s">
        <v>8206</v>
      </c>
      <c r="J3121" s="76"/>
      <c r="K3121" s="76"/>
      <c r="L3121" s="82"/>
      <c r="M3121" s="77" t="str">
        <f>HYPERLINK("http://nsgreg.nga.mil/genc/view?v=865598&amp;end_month=12&amp;end_day=31&amp;end_year=2016","Correlation")</f>
        <v>Correlation</v>
      </c>
    </row>
    <row r="3122" spans="1:13" x14ac:dyDescent="0.2">
      <c r="A3122" s="112" t="s">
        <v>1062</v>
      </c>
      <c r="B3122" s="50" t="s">
        <v>8207</v>
      </c>
      <c r="C3122" s="50" t="s">
        <v>1413</v>
      </c>
      <c r="D3122" s="50" t="s">
        <v>8208</v>
      </c>
      <c r="E3122" s="52" t="b">
        <v>1</v>
      </c>
      <c r="F3122" s="78" t="s">
        <v>1062</v>
      </c>
      <c r="G3122" s="50" t="s">
        <v>8207</v>
      </c>
      <c r="H3122" s="50" t="s">
        <v>1413</v>
      </c>
      <c r="I3122" s="53" t="s">
        <v>8208</v>
      </c>
      <c r="J3122" s="55"/>
      <c r="K3122" s="55"/>
      <c r="L3122" s="79"/>
      <c r="M3122" s="56" t="str">
        <f>HYPERLINK("http://nsgreg.nga.mil/genc/view?v=865643&amp;end_month=12&amp;end_day=31&amp;end_year=2016","Correlation")</f>
        <v>Correlation</v>
      </c>
    </row>
    <row r="3123" spans="1:13" x14ac:dyDescent="0.2">
      <c r="A3123" s="113"/>
      <c r="B3123" s="58" t="s">
        <v>8209</v>
      </c>
      <c r="C3123" s="58" t="s">
        <v>1413</v>
      </c>
      <c r="D3123" s="58" t="s">
        <v>8210</v>
      </c>
      <c r="E3123" s="60" t="b">
        <v>1</v>
      </c>
      <c r="F3123" s="80" t="s">
        <v>1062</v>
      </c>
      <c r="G3123" s="58" t="s">
        <v>8209</v>
      </c>
      <c r="H3123" s="58" t="s">
        <v>1413</v>
      </c>
      <c r="I3123" s="64" t="s">
        <v>8210</v>
      </c>
      <c r="J3123" s="66"/>
      <c r="K3123" s="66"/>
      <c r="L3123" s="68"/>
      <c r="M3123" s="63" t="str">
        <f>HYPERLINK("http://nsgreg.nga.mil/genc/view?v=865644&amp;end_month=12&amp;end_day=31&amp;end_year=2016","Correlation")</f>
        <v>Correlation</v>
      </c>
    </row>
    <row r="3124" spans="1:13" x14ac:dyDescent="0.2">
      <c r="A3124" s="113"/>
      <c r="B3124" s="58" t="s">
        <v>8211</v>
      </c>
      <c r="C3124" s="58" t="s">
        <v>1413</v>
      </c>
      <c r="D3124" s="58" t="s">
        <v>8212</v>
      </c>
      <c r="E3124" s="60" t="b">
        <v>1</v>
      </c>
      <c r="F3124" s="80" t="s">
        <v>1062</v>
      </c>
      <c r="G3124" s="58" t="s">
        <v>8211</v>
      </c>
      <c r="H3124" s="58" t="s">
        <v>1413</v>
      </c>
      <c r="I3124" s="64" t="s">
        <v>8212</v>
      </c>
      <c r="J3124" s="66"/>
      <c r="K3124" s="66"/>
      <c r="L3124" s="68"/>
      <c r="M3124" s="63" t="str">
        <f>HYPERLINK("http://nsgreg.nga.mil/genc/view?v=865645&amp;end_month=12&amp;end_day=31&amp;end_year=2016","Correlation")</f>
        <v>Correlation</v>
      </c>
    </row>
    <row r="3125" spans="1:13" x14ac:dyDescent="0.2">
      <c r="A3125" s="113"/>
      <c r="B3125" s="58" t="s">
        <v>8213</v>
      </c>
      <c r="C3125" s="58" t="s">
        <v>1413</v>
      </c>
      <c r="D3125" s="58" t="s">
        <v>8214</v>
      </c>
      <c r="E3125" s="60" t="b">
        <v>1</v>
      </c>
      <c r="F3125" s="80" t="s">
        <v>1062</v>
      </c>
      <c r="G3125" s="58" t="s">
        <v>8213</v>
      </c>
      <c r="H3125" s="58" t="s">
        <v>1413</v>
      </c>
      <c r="I3125" s="64" t="s">
        <v>8214</v>
      </c>
      <c r="J3125" s="66"/>
      <c r="K3125" s="66"/>
      <c r="L3125" s="68"/>
      <c r="M3125" s="63" t="str">
        <f>HYPERLINK("http://nsgreg.nga.mil/genc/view?v=865646&amp;end_month=12&amp;end_day=31&amp;end_year=2016","Correlation")</f>
        <v>Correlation</v>
      </c>
    </row>
    <row r="3126" spans="1:13" x14ac:dyDescent="0.2">
      <c r="A3126" s="113"/>
      <c r="B3126" s="58" t="s">
        <v>8215</v>
      </c>
      <c r="C3126" s="58" t="s">
        <v>1413</v>
      </c>
      <c r="D3126" s="58" t="s">
        <v>8216</v>
      </c>
      <c r="E3126" s="60" t="b">
        <v>1</v>
      </c>
      <c r="F3126" s="80" t="s">
        <v>1062</v>
      </c>
      <c r="G3126" s="58" t="s">
        <v>8215</v>
      </c>
      <c r="H3126" s="58" t="s">
        <v>1413</v>
      </c>
      <c r="I3126" s="64" t="s">
        <v>8216</v>
      </c>
      <c r="J3126" s="66"/>
      <c r="K3126" s="66"/>
      <c r="L3126" s="68"/>
      <c r="M3126" s="63" t="str">
        <f>HYPERLINK("http://nsgreg.nga.mil/genc/view?v=865647&amp;end_month=12&amp;end_day=31&amp;end_year=2016","Correlation")</f>
        <v>Correlation</v>
      </c>
    </row>
    <row r="3127" spans="1:13" x14ac:dyDescent="0.2">
      <c r="A3127" s="113"/>
      <c r="B3127" s="58" t="s">
        <v>8217</v>
      </c>
      <c r="C3127" s="58" t="s">
        <v>8218</v>
      </c>
      <c r="D3127" s="58" t="s">
        <v>8219</v>
      </c>
      <c r="E3127" s="60" t="b">
        <v>1</v>
      </c>
      <c r="F3127" s="61" t="s">
        <v>167</v>
      </c>
      <c r="G3127" s="61"/>
      <c r="H3127" s="61"/>
      <c r="I3127" s="61"/>
      <c r="J3127" s="61"/>
      <c r="K3127" s="61"/>
      <c r="L3127" s="62"/>
      <c r="M3127" s="63" t="str">
        <f>HYPERLINK("http://nsgreg.nga.mil/genc/view?v=865648&amp;end_month=12&amp;end_day=31&amp;end_year=2016","Correlation")</f>
        <v>Correlation</v>
      </c>
    </row>
    <row r="3128" spans="1:13" x14ac:dyDescent="0.2">
      <c r="A3128" s="113"/>
      <c r="B3128" s="58" t="s">
        <v>8220</v>
      </c>
      <c r="C3128" s="58" t="s">
        <v>1413</v>
      </c>
      <c r="D3128" s="58" t="s">
        <v>8221</v>
      </c>
      <c r="E3128" s="60" t="b">
        <v>1</v>
      </c>
      <c r="F3128" s="80" t="s">
        <v>1062</v>
      </c>
      <c r="G3128" s="58" t="s">
        <v>8220</v>
      </c>
      <c r="H3128" s="58" t="s">
        <v>1413</v>
      </c>
      <c r="I3128" s="64" t="s">
        <v>8221</v>
      </c>
      <c r="J3128" s="66"/>
      <c r="K3128" s="66"/>
      <c r="L3128" s="68"/>
      <c r="M3128" s="63" t="str">
        <f>HYPERLINK("http://nsgreg.nga.mil/genc/view?v=865649&amp;end_month=12&amp;end_day=31&amp;end_year=2016","Correlation")</f>
        <v>Correlation</v>
      </c>
    </row>
    <row r="3129" spans="1:13" x14ac:dyDescent="0.2">
      <c r="A3129" s="113"/>
      <c r="B3129" s="58" t="s">
        <v>8222</v>
      </c>
      <c r="C3129" s="58" t="s">
        <v>1413</v>
      </c>
      <c r="D3129" s="58" t="s">
        <v>8223</v>
      </c>
      <c r="E3129" s="60" t="b">
        <v>1</v>
      </c>
      <c r="F3129" s="80" t="s">
        <v>1062</v>
      </c>
      <c r="G3129" s="58" t="s">
        <v>8222</v>
      </c>
      <c r="H3129" s="58" t="s">
        <v>1413</v>
      </c>
      <c r="I3129" s="64" t="s">
        <v>8223</v>
      </c>
      <c r="J3129" s="66"/>
      <c r="K3129" s="66"/>
      <c r="L3129" s="68"/>
      <c r="M3129" s="63" t="str">
        <f>HYPERLINK("http://nsgreg.nga.mil/genc/view?v=865650&amp;end_month=12&amp;end_day=31&amp;end_year=2016","Correlation")</f>
        <v>Correlation</v>
      </c>
    </row>
    <row r="3130" spans="1:13" x14ac:dyDescent="0.2">
      <c r="A3130" s="113"/>
      <c r="B3130" s="58" t="s">
        <v>8224</v>
      </c>
      <c r="C3130" s="58" t="s">
        <v>1413</v>
      </c>
      <c r="D3130" s="58" t="s">
        <v>8225</v>
      </c>
      <c r="E3130" s="60" t="b">
        <v>1</v>
      </c>
      <c r="F3130" s="80" t="s">
        <v>1062</v>
      </c>
      <c r="G3130" s="58" t="s">
        <v>8224</v>
      </c>
      <c r="H3130" s="58" t="s">
        <v>1413</v>
      </c>
      <c r="I3130" s="64" t="s">
        <v>8225</v>
      </c>
      <c r="J3130" s="66"/>
      <c r="K3130" s="66"/>
      <c r="L3130" s="68"/>
      <c r="M3130" s="63" t="str">
        <f>HYPERLINK("http://nsgreg.nga.mil/genc/view?v=865651&amp;end_month=12&amp;end_day=31&amp;end_year=2016","Correlation")</f>
        <v>Correlation</v>
      </c>
    </row>
    <row r="3131" spans="1:13" x14ac:dyDescent="0.2">
      <c r="A3131" s="113"/>
      <c r="B3131" s="58" t="s">
        <v>8226</v>
      </c>
      <c r="C3131" s="58" t="s">
        <v>1728</v>
      </c>
      <c r="D3131" s="58" t="s">
        <v>8227</v>
      </c>
      <c r="E3131" s="60" t="b">
        <v>1</v>
      </c>
      <c r="F3131" s="80" t="s">
        <v>1062</v>
      </c>
      <c r="G3131" s="58" t="s">
        <v>8226</v>
      </c>
      <c r="H3131" s="58" t="s">
        <v>1728</v>
      </c>
      <c r="I3131" s="64" t="s">
        <v>8227</v>
      </c>
      <c r="J3131" s="66"/>
      <c r="K3131" s="66"/>
      <c r="L3131" s="68"/>
      <c r="M3131" s="63" t="str">
        <f>HYPERLINK("http://nsgreg.nga.mil/genc/view?v=865639&amp;end_month=12&amp;end_day=31&amp;end_year=2016","Correlation")</f>
        <v>Correlation</v>
      </c>
    </row>
    <row r="3132" spans="1:13" x14ac:dyDescent="0.2">
      <c r="A3132" s="113"/>
      <c r="B3132" s="58" t="s">
        <v>8228</v>
      </c>
      <c r="C3132" s="58" t="s">
        <v>8218</v>
      </c>
      <c r="D3132" s="58" t="s">
        <v>8229</v>
      </c>
      <c r="E3132" s="60" t="b">
        <v>1</v>
      </c>
      <c r="F3132" s="61" t="s">
        <v>167</v>
      </c>
      <c r="G3132" s="61"/>
      <c r="H3132" s="61"/>
      <c r="I3132" s="61"/>
      <c r="J3132" s="61"/>
      <c r="K3132" s="61"/>
      <c r="L3132" s="62"/>
      <c r="M3132" s="63" t="str">
        <f>HYPERLINK("http://nsgreg.nga.mil/genc/view?v=865652&amp;end_month=12&amp;end_day=31&amp;end_year=2016","Correlation")</f>
        <v>Correlation</v>
      </c>
    </row>
    <row r="3133" spans="1:13" x14ac:dyDescent="0.2">
      <c r="A3133" s="113"/>
      <c r="B3133" s="58" t="s">
        <v>8230</v>
      </c>
      <c r="C3133" s="58" t="s">
        <v>8218</v>
      </c>
      <c r="D3133" s="58" t="s">
        <v>8231</v>
      </c>
      <c r="E3133" s="60" t="b">
        <v>1</v>
      </c>
      <c r="F3133" s="61" t="s">
        <v>167</v>
      </c>
      <c r="G3133" s="61"/>
      <c r="H3133" s="61"/>
      <c r="I3133" s="61"/>
      <c r="J3133" s="61"/>
      <c r="K3133" s="61"/>
      <c r="L3133" s="62"/>
      <c r="M3133" s="63" t="str">
        <f>HYPERLINK("http://nsgreg.nga.mil/genc/view?v=865653&amp;end_month=12&amp;end_day=31&amp;end_year=2016","Correlation")</f>
        <v>Correlation</v>
      </c>
    </row>
    <row r="3134" spans="1:13" x14ac:dyDescent="0.2">
      <c r="A3134" s="113"/>
      <c r="B3134" s="58" t="s">
        <v>8232</v>
      </c>
      <c r="C3134" s="58" t="s">
        <v>1413</v>
      </c>
      <c r="D3134" s="58" t="s">
        <v>8233</v>
      </c>
      <c r="E3134" s="60" t="b">
        <v>1</v>
      </c>
      <c r="F3134" s="80" t="s">
        <v>1062</v>
      </c>
      <c r="G3134" s="58" t="s">
        <v>8232</v>
      </c>
      <c r="H3134" s="58" t="s">
        <v>1413</v>
      </c>
      <c r="I3134" s="64" t="s">
        <v>8233</v>
      </c>
      <c r="J3134" s="66"/>
      <c r="K3134" s="66"/>
      <c r="L3134" s="68"/>
      <c r="M3134" s="63" t="str">
        <f>HYPERLINK("http://nsgreg.nga.mil/genc/view?v=865655&amp;end_month=12&amp;end_day=31&amp;end_year=2016","Correlation")</f>
        <v>Correlation</v>
      </c>
    </row>
    <row r="3135" spans="1:13" x14ac:dyDescent="0.2">
      <c r="A3135" s="113"/>
      <c r="B3135" s="58" t="s">
        <v>8234</v>
      </c>
      <c r="C3135" s="58" t="s">
        <v>1413</v>
      </c>
      <c r="D3135" s="58" t="s">
        <v>8235</v>
      </c>
      <c r="E3135" s="60" t="b">
        <v>1</v>
      </c>
      <c r="F3135" s="80" t="s">
        <v>1062</v>
      </c>
      <c r="G3135" s="58" t="s">
        <v>8234</v>
      </c>
      <c r="H3135" s="58" t="s">
        <v>1413</v>
      </c>
      <c r="I3135" s="64" t="s">
        <v>8235</v>
      </c>
      <c r="J3135" s="66"/>
      <c r="K3135" s="66"/>
      <c r="L3135" s="68"/>
      <c r="M3135" s="63" t="str">
        <f>HYPERLINK("http://nsgreg.nga.mil/genc/view?v=865654&amp;end_month=12&amp;end_day=31&amp;end_year=2016","Correlation")</f>
        <v>Correlation</v>
      </c>
    </row>
    <row r="3136" spans="1:13" x14ac:dyDescent="0.2">
      <c r="A3136" s="113"/>
      <c r="B3136" s="58" t="s">
        <v>8236</v>
      </c>
      <c r="C3136" s="58" t="s">
        <v>1413</v>
      </c>
      <c r="D3136" s="58" t="s">
        <v>8237</v>
      </c>
      <c r="E3136" s="60" t="b">
        <v>1</v>
      </c>
      <c r="F3136" s="80" t="s">
        <v>1062</v>
      </c>
      <c r="G3136" s="58" t="s">
        <v>8236</v>
      </c>
      <c r="H3136" s="58" t="s">
        <v>1413</v>
      </c>
      <c r="I3136" s="64" t="s">
        <v>8237</v>
      </c>
      <c r="J3136" s="66"/>
      <c r="K3136" s="66"/>
      <c r="L3136" s="68"/>
      <c r="M3136" s="63" t="str">
        <f>HYPERLINK("http://nsgreg.nga.mil/genc/view?v=865660&amp;end_month=12&amp;end_day=31&amp;end_year=2016","Correlation")</f>
        <v>Correlation</v>
      </c>
    </row>
    <row r="3137" spans="1:13" x14ac:dyDescent="0.2">
      <c r="A3137" s="113"/>
      <c r="B3137" s="58" t="s">
        <v>8238</v>
      </c>
      <c r="C3137" s="58" t="s">
        <v>1413</v>
      </c>
      <c r="D3137" s="58" t="s">
        <v>8239</v>
      </c>
      <c r="E3137" s="60" t="b">
        <v>1</v>
      </c>
      <c r="F3137" s="80" t="s">
        <v>1062</v>
      </c>
      <c r="G3137" s="58" t="s">
        <v>8238</v>
      </c>
      <c r="H3137" s="58" t="s">
        <v>1413</v>
      </c>
      <c r="I3137" s="64" t="s">
        <v>8239</v>
      </c>
      <c r="J3137" s="66"/>
      <c r="K3137" s="66"/>
      <c r="L3137" s="68"/>
      <c r="M3137" s="63" t="str">
        <f>HYPERLINK("http://nsgreg.nga.mil/genc/view?v=865659&amp;end_month=12&amp;end_day=31&amp;end_year=2016","Correlation")</f>
        <v>Correlation</v>
      </c>
    </row>
    <row r="3138" spans="1:13" x14ac:dyDescent="0.2">
      <c r="A3138" s="113"/>
      <c r="B3138" s="58" t="s">
        <v>8240</v>
      </c>
      <c r="C3138" s="58" t="s">
        <v>1413</v>
      </c>
      <c r="D3138" s="58" t="s">
        <v>8241</v>
      </c>
      <c r="E3138" s="60" t="b">
        <v>1</v>
      </c>
      <c r="F3138" s="80" t="s">
        <v>1062</v>
      </c>
      <c r="G3138" s="58" t="s">
        <v>8240</v>
      </c>
      <c r="H3138" s="58" t="s">
        <v>1413</v>
      </c>
      <c r="I3138" s="64" t="s">
        <v>8241</v>
      </c>
      <c r="J3138" s="66"/>
      <c r="K3138" s="66"/>
      <c r="L3138" s="68"/>
      <c r="M3138" s="63" t="str">
        <f>HYPERLINK("http://nsgreg.nga.mil/genc/view?v=865656&amp;end_month=12&amp;end_day=31&amp;end_year=2016","Correlation")</f>
        <v>Correlation</v>
      </c>
    </row>
    <row r="3139" spans="1:13" x14ac:dyDescent="0.2">
      <c r="A3139" s="113"/>
      <c r="B3139" s="58" t="s">
        <v>8242</v>
      </c>
      <c r="C3139" s="58" t="s">
        <v>1728</v>
      </c>
      <c r="D3139" s="58" t="s">
        <v>8243</v>
      </c>
      <c r="E3139" s="60" t="b">
        <v>1</v>
      </c>
      <c r="F3139" s="80" t="s">
        <v>1062</v>
      </c>
      <c r="G3139" s="58" t="s">
        <v>8244</v>
      </c>
      <c r="H3139" s="58" t="s">
        <v>1728</v>
      </c>
      <c r="I3139" s="64" t="s">
        <v>8243</v>
      </c>
      <c r="J3139" s="66"/>
      <c r="K3139" s="66"/>
      <c r="L3139" s="68"/>
      <c r="M3139" s="63" t="str">
        <f>HYPERLINK("http://nsgreg.nga.mil/genc/view?v=865630&amp;end_month=12&amp;end_day=31&amp;end_year=2016","Correlation")</f>
        <v>Correlation</v>
      </c>
    </row>
    <row r="3140" spans="1:13" x14ac:dyDescent="0.2">
      <c r="A3140" s="113"/>
      <c r="B3140" s="58" t="s">
        <v>8245</v>
      </c>
      <c r="C3140" s="58" t="s">
        <v>1413</v>
      </c>
      <c r="D3140" s="58" t="s">
        <v>8246</v>
      </c>
      <c r="E3140" s="60" t="b">
        <v>1</v>
      </c>
      <c r="F3140" s="80" t="s">
        <v>1062</v>
      </c>
      <c r="G3140" s="58" t="s">
        <v>8245</v>
      </c>
      <c r="H3140" s="58" t="s">
        <v>1413</v>
      </c>
      <c r="I3140" s="64" t="s">
        <v>8246</v>
      </c>
      <c r="J3140" s="66"/>
      <c r="K3140" s="66"/>
      <c r="L3140" s="68"/>
      <c r="M3140" s="63" t="str">
        <f>HYPERLINK("http://nsgreg.nga.mil/genc/view?v=865657&amp;end_month=12&amp;end_day=31&amp;end_year=2016","Correlation")</f>
        <v>Correlation</v>
      </c>
    </row>
    <row r="3141" spans="1:13" x14ac:dyDescent="0.2">
      <c r="A3141" s="113"/>
      <c r="B3141" s="58" t="s">
        <v>8247</v>
      </c>
      <c r="C3141" s="58" t="s">
        <v>1413</v>
      </c>
      <c r="D3141" s="58" t="s">
        <v>8248</v>
      </c>
      <c r="E3141" s="60" t="b">
        <v>1</v>
      </c>
      <c r="F3141" s="80" t="s">
        <v>1062</v>
      </c>
      <c r="G3141" s="58" t="s">
        <v>8247</v>
      </c>
      <c r="H3141" s="58" t="s">
        <v>1413</v>
      </c>
      <c r="I3141" s="64" t="s">
        <v>8248</v>
      </c>
      <c r="J3141" s="66"/>
      <c r="K3141" s="66"/>
      <c r="L3141" s="68"/>
      <c r="M3141" s="63" t="str">
        <f>HYPERLINK("http://nsgreg.nga.mil/genc/view?v=865658&amp;end_month=12&amp;end_day=31&amp;end_year=2016","Correlation")</f>
        <v>Correlation</v>
      </c>
    </row>
    <row r="3142" spans="1:13" x14ac:dyDescent="0.2">
      <c r="A3142" s="113"/>
      <c r="B3142" s="58" t="s">
        <v>8249</v>
      </c>
      <c r="C3142" s="58" t="s">
        <v>1413</v>
      </c>
      <c r="D3142" s="58" t="s">
        <v>8250</v>
      </c>
      <c r="E3142" s="60" t="b">
        <v>1</v>
      </c>
      <c r="F3142" s="80" t="s">
        <v>1062</v>
      </c>
      <c r="G3142" s="58" t="s">
        <v>8249</v>
      </c>
      <c r="H3142" s="58" t="s">
        <v>1413</v>
      </c>
      <c r="I3142" s="64" t="s">
        <v>8250</v>
      </c>
      <c r="J3142" s="66"/>
      <c r="K3142" s="66"/>
      <c r="L3142" s="68"/>
      <c r="M3142" s="63" t="str">
        <f>HYPERLINK("http://nsgreg.nga.mil/genc/view?v=865661&amp;end_month=12&amp;end_day=31&amp;end_year=2016","Correlation")</f>
        <v>Correlation</v>
      </c>
    </row>
    <row r="3143" spans="1:13" x14ac:dyDescent="0.2">
      <c r="A3143" s="113"/>
      <c r="B3143" s="58" t="s">
        <v>8251</v>
      </c>
      <c r="C3143" s="58" t="s">
        <v>1413</v>
      </c>
      <c r="D3143" s="58" t="s">
        <v>8252</v>
      </c>
      <c r="E3143" s="60" t="b">
        <v>1</v>
      </c>
      <c r="F3143" s="80" t="s">
        <v>1062</v>
      </c>
      <c r="G3143" s="58" t="s">
        <v>8251</v>
      </c>
      <c r="H3143" s="58" t="s">
        <v>1413</v>
      </c>
      <c r="I3143" s="64" t="s">
        <v>8252</v>
      </c>
      <c r="J3143" s="66"/>
      <c r="K3143" s="66"/>
      <c r="L3143" s="68"/>
      <c r="M3143" s="63" t="str">
        <f>HYPERLINK("http://nsgreg.nga.mil/genc/view?v=865662&amp;end_month=12&amp;end_day=31&amp;end_year=2016","Correlation")</f>
        <v>Correlation</v>
      </c>
    </row>
    <row r="3144" spans="1:13" x14ac:dyDescent="0.2">
      <c r="A3144" s="113"/>
      <c r="B3144" s="58" t="s">
        <v>8253</v>
      </c>
      <c r="C3144" s="58" t="s">
        <v>8218</v>
      </c>
      <c r="D3144" s="58" t="s">
        <v>8254</v>
      </c>
      <c r="E3144" s="60" t="b">
        <v>1</v>
      </c>
      <c r="F3144" s="61" t="s">
        <v>167</v>
      </c>
      <c r="G3144" s="61"/>
      <c r="H3144" s="61"/>
      <c r="I3144" s="61"/>
      <c r="J3144" s="61"/>
      <c r="K3144" s="61"/>
      <c r="L3144" s="62"/>
      <c r="M3144" s="63" t="str">
        <f>HYPERLINK("http://nsgreg.nga.mil/genc/view?v=865663&amp;end_month=12&amp;end_day=31&amp;end_year=2016","Correlation")</f>
        <v>Correlation</v>
      </c>
    </row>
    <row r="3145" spans="1:13" x14ac:dyDescent="0.2">
      <c r="A3145" s="113"/>
      <c r="B3145" s="58" t="s">
        <v>8255</v>
      </c>
      <c r="C3145" s="58" t="s">
        <v>1413</v>
      </c>
      <c r="D3145" s="58" t="s">
        <v>8256</v>
      </c>
      <c r="E3145" s="60" t="b">
        <v>1</v>
      </c>
      <c r="F3145" s="80" t="s">
        <v>1062</v>
      </c>
      <c r="G3145" s="58" t="s">
        <v>8255</v>
      </c>
      <c r="H3145" s="58" t="s">
        <v>1413</v>
      </c>
      <c r="I3145" s="64" t="s">
        <v>8256</v>
      </c>
      <c r="J3145" s="66"/>
      <c r="K3145" s="66"/>
      <c r="L3145" s="68"/>
      <c r="M3145" s="63" t="str">
        <f>HYPERLINK("http://nsgreg.nga.mil/genc/view?v=865664&amp;end_month=12&amp;end_day=31&amp;end_year=2016","Correlation")</f>
        <v>Correlation</v>
      </c>
    </row>
    <row r="3146" spans="1:13" x14ac:dyDescent="0.2">
      <c r="A3146" s="113"/>
      <c r="B3146" s="58" t="s">
        <v>8257</v>
      </c>
      <c r="C3146" s="58" t="s">
        <v>8218</v>
      </c>
      <c r="D3146" s="58" t="s">
        <v>8258</v>
      </c>
      <c r="E3146" s="60" t="b">
        <v>1</v>
      </c>
      <c r="F3146" s="61" t="s">
        <v>167</v>
      </c>
      <c r="G3146" s="61"/>
      <c r="H3146" s="61"/>
      <c r="I3146" s="61"/>
      <c r="J3146" s="61"/>
      <c r="K3146" s="61"/>
      <c r="L3146" s="62"/>
      <c r="M3146" s="63" t="str">
        <f>HYPERLINK("http://nsgreg.nga.mil/genc/view?v=865674&amp;end_month=12&amp;end_day=31&amp;end_year=2016","Correlation")</f>
        <v>Correlation</v>
      </c>
    </row>
    <row r="3147" spans="1:13" x14ac:dyDescent="0.2">
      <c r="A3147" s="113"/>
      <c r="B3147" s="58" t="s">
        <v>8259</v>
      </c>
      <c r="C3147" s="58" t="s">
        <v>1728</v>
      </c>
      <c r="D3147" s="58" t="s">
        <v>8260</v>
      </c>
      <c r="E3147" s="60" t="b">
        <v>1</v>
      </c>
      <c r="F3147" s="80" t="s">
        <v>1062</v>
      </c>
      <c r="G3147" s="58" t="s">
        <v>8259</v>
      </c>
      <c r="H3147" s="58" t="s">
        <v>1728</v>
      </c>
      <c r="I3147" s="64" t="s">
        <v>8260</v>
      </c>
      <c r="J3147" s="66"/>
      <c r="K3147" s="66"/>
      <c r="L3147" s="68"/>
      <c r="M3147" s="63" t="str">
        <f>HYPERLINK("http://nsgreg.nga.mil/genc/view?v=865628&amp;end_month=12&amp;end_day=31&amp;end_year=2016","Correlation")</f>
        <v>Correlation</v>
      </c>
    </row>
    <row r="3148" spans="1:13" x14ac:dyDescent="0.2">
      <c r="A3148" s="113"/>
      <c r="B3148" s="58" t="s">
        <v>8261</v>
      </c>
      <c r="C3148" s="58" t="s">
        <v>1728</v>
      </c>
      <c r="D3148" s="58" t="s">
        <v>8262</v>
      </c>
      <c r="E3148" s="60" t="b">
        <v>1</v>
      </c>
      <c r="F3148" s="80" t="s">
        <v>1062</v>
      </c>
      <c r="G3148" s="58" t="s">
        <v>8263</v>
      </c>
      <c r="H3148" s="58" t="s">
        <v>1728</v>
      </c>
      <c r="I3148" s="64" t="s">
        <v>8262</v>
      </c>
      <c r="J3148" s="66"/>
      <c r="K3148" s="66"/>
      <c r="L3148" s="68"/>
      <c r="M3148" s="63" t="str">
        <f>HYPERLINK("http://nsgreg.nga.mil/genc/view?v=865641&amp;end_month=12&amp;end_day=31&amp;end_year=2016","Correlation")</f>
        <v>Correlation</v>
      </c>
    </row>
    <row r="3149" spans="1:13" x14ac:dyDescent="0.2">
      <c r="A3149" s="113"/>
      <c r="B3149" s="58" t="s">
        <v>8264</v>
      </c>
      <c r="C3149" s="58" t="s">
        <v>8218</v>
      </c>
      <c r="D3149" s="58" t="s">
        <v>8265</v>
      </c>
      <c r="E3149" s="60" t="b">
        <v>1</v>
      </c>
      <c r="F3149" s="61" t="s">
        <v>167</v>
      </c>
      <c r="G3149" s="61"/>
      <c r="H3149" s="61"/>
      <c r="I3149" s="61"/>
      <c r="J3149" s="61"/>
      <c r="K3149" s="61"/>
      <c r="L3149" s="62"/>
      <c r="M3149" s="63" t="str">
        <f>HYPERLINK("http://nsgreg.nga.mil/genc/view?v=865665&amp;end_month=12&amp;end_day=31&amp;end_year=2016","Correlation")</f>
        <v>Correlation</v>
      </c>
    </row>
    <row r="3150" spans="1:13" x14ac:dyDescent="0.2">
      <c r="A3150" s="113"/>
      <c r="B3150" s="58" t="s">
        <v>8266</v>
      </c>
      <c r="C3150" s="58" t="s">
        <v>1413</v>
      </c>
      <c r="D3150" s="58" t="s">
        <v>8267</v>
      </c>
      <c r="E3150" s="60" t="b">
        <v>1</v>
      </c>
      <c r="F3150" s="80" t="s">
        <v>1062</v>
      </c>
      <c r="G3150" s="58" t="s">
        <v>8266</v>
      </c>
      <c r="H3150" s="58" t="s">
        <v>1413</v>
      </c>
      <c r="I3150" s="64" t="s">
        <v>8267</v>
      </c>
      <c r="J3150" s="66"/>
      <c r="K3150" s="66"/>
      <c r="L3150" s="68"/>
      <c r="M3150" s="63" t="str">
        <f>HYPERLINK("http://nsgreg.nga.mil/genc/view?v=865667&amp;end_month=12&amp;end_day=31&amp;end_year=2016","Correlation")</f>
        <v>Correlation</v>
      </c>
    </row>
    <row r="3151" spans="1:13" x14ac:dyDescent="0.2">
      <c r="A3151" s="113"/>
      <c r="B3151" s="58" t="s">
        <v>8268</v>
      </c>
      <c r="C3151" s="58" t="s">
        <v>1413</v>
      </c>
      <c r="D3151" s="58" t="s">
        <v>8269</v>
      </c>
      <c r="E3151" s="60" t="b">
        <v>1</v>
      </c>
      <c r="F3151" s="80" t="s">
        <v>1062</v>
      </c>
      <c r="G3151" s="58" t="s">
        <v>8268</v>
      </c>
      <c r="H3151" s="58" t="s">
        <v>1413</v>
      </c>
      <c r="I3151" s="64" t="s">
        <v>8269</v>
      </c>
      <c r="J3151" s="66"/>
      <c r="K3151" s="66"/>
      <c r="L3151" s="68"/>
      <c r="M3151" s="63" t="str">
        <f>HYPERLINK("http://nsgreg.nga.mil/genc/view?v=865669&amp;end_month=12&amp;end_day=31&amp;end_year=2016","Correlation")</f>
        <v>Correlation</v>
      </c>
    </row>
    <row r="3152" spans="1:13" x14ac:dyDescent="0.2">
      <c r="A3152" s="113"/>
      <c r="B3152" s="58" t="s">
        <v>8270</v>
      </c>
      <c r="C3152" s="58" t="s">
        <v>1413</v>
      </c>
      <c r="D3152" s="58" t="s">
        <v>8271</v>
      </c>
      <c r="E3152" s="60" t="b">
        <v>1</v>
      </c>
      <c r="F3152" s="80" t="s">
        <v>1062</v>
      </c>
      <c r="G3152" s="58" t="s">
        <v>8270</v>
      </c>
      <c r="H3152" s="58" t="s">
        <v>1413</v>
      </c>
      <c r="I3152" s="64" t="s">
        <v>8271</v>
      </c>
      <c r="J3152" s="66"/>
      <c r="K3152" s="66"/>
      <c r="L3152" s="68"/>
      <c r="M3152" s="63" t="str">
        <f>HYPERLINK("http://nsgreg.nga.mil/genc/view?v=865666&amp;end_month=12&amp;end_day=31&amp;end_year=2016","Correlation")</f>
        <v>Correlation</v>
      </c>
    </row>
    <row r="3153" spans="1:13" x14ac:dyDescent="0.2">
      <c r="A3153" s="113"/>
      <c r="B3153" s="58" t="s">
        <v>8272</v>
      </c>
      <c r="C3153" s="58" t="s">
        <v>1413</v>
      </c>
      <c r="D3153" s="58" t="s">
        <v>8273</v>
      </c>
      <c r="E3153" s="60" t="b">
        <v>1</v>
      </c>
      <c r="F3153" s="80" t="s">
        <v>1062</v>
      </c>
      <c r="G3153" s="58" t="s">
        <v>8272</v>
      </c>
      <c r="H3153" s="58" t="s">
        <v>1413</v>
      </c>
      <c r="I3153" s="64" t="s">
        <v>8273</v>
      </c>
      <c r="J3153" s="66"/>
      <c r="K3153" s="66"/>
      <c r="L3153" s="68"/>
      <c r="M3153" s="63" t="str">
        <f>HYPERLINK("http://nsgreg.nga.mil/genc/view?v=865668&amp;end_month=12&amp;end_day=31&amp;end_year=2016","Correlation")</f>
        <v>Correlation</v>
      </c>
    </row>
    <row r="3154" spans="1:13" x14ac:dyDescent="0.2">
      <c r="A3154" s="113"/>
      <c r="B3154" s="58" t="s">
        <v>8274</v>
      </c>
      <c r="C3154" s="58" t="s">
        <v>1728</v>
      </c>
      <c r="D3154" s="58" t="s">
        <v>8275</v>
      </c>
      <c r="E3154" s="60" t="b">
        <v>1</v>
      </c>
      <c r="F3154" s="80" t="s">
        <v>1062</v>
      </c>
      <c r="G3154" s="58" t="s">
        <v>8276</v>
      </c>
      <c r="H3154" s="58" t="s">
        <v>1728</v>
      </c>
      <c r="I3154" s="64" t="s">
        <v>8275</v>
      </c>
      <c r="J3154" s="66"/>
      <c r="K3154" s="66"/>
      <c r="L3154" s="68"/>
      <c r="M3154" s="63" t="str">
        <f>HYPERLINK("http://nsgreg.nga.mil/genc/view?v=865638&amp;end_month=12&amp;end_day=31&amp;end_year=2016","Correlation")</f>
        <v>Correlation</v>
      </c>
    </row>
    <row r="3155" spans="1:13" x14ac:dyDescent="0.2">
      <c r="A3155" s="113"/>
      <c r="B3155" s="58" t="s">
        <v>8277</v>
      </c>
      <c r="C3155" s="58" t="s">
        <v>1413</v>
      </c>
      <c r="D3155" s="58" t="s">
        <v>8278</v>
      </c>
      <c r="E3155" s="60" t="b">
        <v>1</v>
      </c>
      <c r="F3155" s="80" t="s">
        <v>1062</v>
      </c>
      <c r="G3155" s="58" t="s">
        <v>8277</v>
      </c>
      <c r="H3155" s="58" t="s">
        <v>1413</v>
      </c>
      <c r="I3155" s="64" t="s">
        <v>8278</v>
      </c>
      <c r="J3155" s="66"/>
      <c r="K3155" s="66"/>
      <c r="L3155" s="68"/>
      <c r="M3155" s="63" t="str">
        <f>HYPERLINK("http://nsgreg.nga.mil/genc/view?v=865670&amp;end_month=12&amp;end_day=31&amp;end_year=2016","Correlation")</f>
        <v>Correlation</v>
      </c>
    </row>
    <row r="3156" spans="1:13" x14ac:dyDescent="0.2">
      <c r="A3156" s="113"/>
      <c r="B3156" s="58" t="s">
        <v>8279</v>
      </c>
      <c r="C3156" s="58" t="s">
        <v>1413</v>
      </c>
      <c r="D3156" s="58" t="s">
        <v>8280</v>
      </c>
      <c r="E3156" s="60" t="b">
        <v>1</v>
      </c>
      <c r="F3156" s="80" t="s">
        <v>1062</v>
      </c>
      <c r="G3156" s="58" t="s">
        <v>8279</v>
      </c>
      <c r="H3156" s="58" t="s">
        <v>1413</v>
      </c>
      <c r="I3156" s="64" t="s">
        <v>8280</v>
      </c>
      <c r="J3156" s="66"/>
      <c r="K3156" s="66"/>
      <c r="L3156" s="68"/>
      <c r="M3156" s="63" t="str">
        <f>HYPERLINK("http://nsgreg.nga.mil/genc/view?v=865671&amp;end_month=12&amp;end_day=31&amp;end_year=2016","Correlation")</f>
        <v>Correlation</v>
      </c>
    </row>
    <row r="3157" spans="1:13" x14ac:dyDescent="0.2">
      <c r="A3157" s="113"/>
      <c r="B3157" s="58" t="s">
        <v>8281</v>
      </c>
      <c r="C3157" s="58" t="s">
        <v>8218</v>
      </c>
      <c r="D3157" s="58" t="s">
        <v>8282</v>
      </c>
      <c r="E3157" s="60" t="b">
        <v>1</v>
      </c>
      <c r="F3157" s="61" t="s">
        <v>167</v>
      </c>
      <c r="G3157" s="61"/>
      <c r="H3157" s="61"/>
      <c r="I3157" s="61"/>
      <c r="J3157" s="61"/>
      <c r="K3157" s="61"/>
      <c r="L3157" s="62"/>
      <c r="M3157" s="63" t="str">
        <f>HYPERLINK("http://nsgreg.nga.mil/genc/view?v=865672&amp;end_month=12&amp;end_day=31&amp;end_year=2016","Correlation")</f>
        <v>Correlation</v>
      </c>
    </row>
    <row r="3158" spans="1:13" x14ac:dyDescent="0.2">
      <c r="A3158" s="113"/>
      <c r="B3158" s="58" t="s">
        <v>8281</v>
      </c>
      <c r="C3158" s="58" t="s">
        <v>1413</v>
      </c>
      <c r="D3158" s="58" t="s">
        <v>8283</v>
      </c>
      <c r="E3158" s="60" t="b">
        <v>1</v>
      </c>
      <c r="F3158" s="80" t="s">
        <v>1062</v>
      </c>
      <c r="G3158" s="58" t="s">
        <v>8281</v>
      </c>
      <c r="H3158" s="58" t="s">
        <v>1413</v>
      </c>
      <c r="I3158" s="64" t="s">
        <v>8283</v>
      </c>
      <c r="J3158" s="66"/>
      <c r="K3158" s="66"/>
      <c r="L3158" s="68"/>
      <c r="M3158" s="63" t="str">
        <f>HYPERLINK("http://nsgreg.nga.mil/genc/view?v=865673&amp;end_month=12&amp;end_day=31&amp;end_year=2016","Correlation")</f>
        <v>Correlation</v>
      </c>
    </row>
    <row r="3159" spans="1:13" x14ac:dyDescent="0.2">
      <c r="A3159" s="113"/>
      <c r="B3159" s="58" t="s">
        <v>8284</v>
      </c>
      <c r="C3159" s="58" t="s">
        <v>1728</v>
      </c>
      <c r="D3159" s="58" t="s">
        <v>8285</v>
      </c>
      <c r="E3159" s="60" t="b">
        <v>1</v>
      </c>
      <c r="F3159" s="80" t="s">
        <v>1062</v>
      </c>
      <c r="G3159" s="58" t="s">
        <v>8284</v>
      </c>
      <c r="H3159" s="58" t="s">
        <v>1728</v>
      </c>
      <c r="I3159" s="64" t="s">
        <v>8285</v>
      </c>
      <c r="J3159" s="66"/>
      <c r="K3159" s="66"/>
      <c r="L3159" s="68"/>
      <c r="M3159" s="63" t="str">
        <f>HYPERLINK("http://nsgreg.nga.mil/genc/view?v=865629&amp;end_month=12&amp;end_day=31&amp;end_year=2016","Correlation")</f>
        <v>Correlation</v>
      </c>
    </row>
    <row r="3160" spans="1:13" x14ac:dyDescent="0.2">
      <c r="A3160" s="113"/>
      <c r="B3160" s="58" t="s">
        <v>8286</v>
      </c>
      <c r="C3160" s="58" t="s">
        <v>1728</v>
      </c>
      <c r="D3160" s="58" t="s">
        <v>8287</v>
      </c>
      <c r="E3160" s="60" t="b">
        <v>1</v>
      </c>
      <c r="F3160" s="80" t="s">
        <v>1062</v>
      </c>
      <c r="G3160" s="58" t="s">
        <v>8286</v>
      </c>
      <c r="H3160" s="58" t="s">
        <v>1728</v>
      </c>
      <c r="I3160" s="64" t="s">
        <v>8287</v>
      </c>
      <c r="J3160" s="66"/>
      <c r="K3160" s="66"/>
      <c r="L3160" s="68"/>
      <c r="M3160" s="63" t="str">
        <f>HYPERLINK("http://nsgreg.nga.mil/genc/view?v=865632&amp;end_month=12&amp;end_day=31&amp;end_year=2016","Correlation")</f>
        <v>Correlation</v>
      </c>
    </row>
    <row r="3161" spans="1:13" x14ac:dyDescent="0.2">
      <c r="A3161" s="113"/>
      <c r="B3161" s="58" t="s">
        <v>8288</v>
      </c>
      <c r="C3161" s="58" t="s">
        <v>1413</v>
      </c>
      <c r="D3161" s="58" t="s">
        <v>8289</v>
      </c>
      <c r="E3161" s="60" t="b">
        <v>1</v>
      </c>
      <c r="F3161" s="80" t="s">
        <v>1062</v>
      </c>
      <c r="G3161" s="58" t="s">
        <v>8288</v>
      </c>
      <c r="H3161" s="58" t="s">
        <v>1413</v>
      </c>
      <c r="I3161" s="64" t="s">
        <v>8289</v>
      </c>
      <c r="J3161" s="66"/>
      <c r="K3161" s="66"/>
      <c r="L3161" s="68"/>
      <c r="M3161" s="63" t="str">
        <f>HYPERLINK("http://nsgreg.nga.mil/genc/view?v=865675&amp;end_month=12&amp;end_day=31&amp;end_year=2016","Correlation")</f>
        <v>Correlation</v>
      </c>
    </row>
    <row r="3162" spans="1:13" x14ac:dyDescent="0.2">
      <c r="A3162" s="113"/>
      <c r="B3162" s="58" t="s">
        <v>8290</v>
      </c>
      <c r="C3162" s="58" t="s">
        <v>1728</v>
      </c>
      <c r="D3162" s="58" t="s">
        <v>8291</v>
      </c>
      <c r="E3162" s="60" t="b">
        <v>1</v>
      </c>
      <c r="F3162" s="80" t="s">
        <v>1062</v>
      </c>
      <c r="G3162" s="58" t="s">
        <v>8292</v>
      </c>
      <c r="H3162" s="58" t="s">
        <v>1728</v>
      </c>
      <c r="I3162" s="64" t="s">
        <v>8291</v>
      </c>
      <c r="J3162" s="66"/>
      <c r="K3162" s="66"/>
      <c r="L3162" s="68"/>
      <c r="M3162" s="63" t="str">
        <f>HYPERLINK("http://nsgreg.nga.mil/genc/view?v=865640&amp;end_month=12&amp;end_day=31&amp;end_year=2016","Correlation")</f>
        <v>Correlation</v>
      </c>
    </row>
    <row r="3163" spans="1:13" x14ac:dyDescent="0.2">
      <c r="A3163" s="113"/>
      <c r="B3163" s="58" t="s">
        <v>8293</v>
      </c>
      <c r="C3163" s="58" t="s">
        <v>8294</v>
      </c>
      <c r="D3163" s="58" t="s">
        <v>8295</v>
      </c>
      <c r="E3163" s="60" t="b">
        <v>1</v>
      </c>
      <c r="F3163" s="61" t="s">
        <v>167</v>
      </c>
      <c r="G3163" s="61"/>
      <c r="H3163" s="61"/>
      <c r="I3163" s="61"/>
      <c r="J3163" s="61"/>
      <c r="K3163" s="61"/>
      <c r="L3163" s="62"/>
      <c r="M3163" s="63" t="str">
        <f>HYPERLINK("http://nsgreg.nga.mil/genc/view?v=865676&amp;end_month=12&amp;end_day=31&amp;end_year=2016","Correlation")</f>
        <v>Correlation</v>
      </c>
    </row>
    <row r="3164" spans="1:13" x14ac:dyDescent="0.2">
      <c r="A3164" s="113"/>
      <c r="B3164" s="58" t="s">
        <v>8293</v>
      </c>
      <c r="C3164" s="58" t="s">
        <v>1413</v>
      </c>
      <c r="D3164" s="58" t="s">
        <v>8296</v>
      </c>
      <c r="E3164" s="60" t="b">
        <v>1</v>
      </c>
      <c r="F3164" s="80" t="s">
        <v>1062</v>
      </c>
      <c r="G3164" s="58" t="s">
        <v>8293</v>
      </c>
      <c r="H3164" s="58" t="s">
        <v>1413</v>
      </c>
      <c r="I3164" s="64" t="s">
        <v>8296</v>
      </c>
      <c r="J3164" s="66"/>
      <c r="K3164" s="66"/>
      <c r="L3164" s="68"/>
      <c r="M3164" s="63" t="str">
        <f>HYPERLINK("http://nsgreg.nga.mil/genc/view?v=865720&amp;end_month=12&amp;end_day=31&amp;end_year=2016","Correlation")</f>
        <v>Correlation</v>
      </c>
    </row>
    <row r="3165" spans="1:13" x14ac:dyDescent="0.2">
      <c r="A3165" s="113"/>
      <c r="B3165" s="58" t="s">
        <v>8297</v>
      </c>
      <c r="C3165" s="58" t="s">
        <v>8294</v>
      </c>
      <c r="D3165" s="58" t="s">
        <v>8298</v>
      </c>
      <c r="E3165" s="60" t="b">
        <v>1</v>
      </c>
      <c r="F3165" s="61" t="s">
        <v>167</v>
      </c>
      <c r="G3165" s="61"/>
      <c r="H3165" s="61"/>
      <c r="I3165" s="61"/>
      <c r="J3165" s="61"/>
      <c r="K3165" s="61"/>
      <c r="L3165" s="62"/>
      <c r="M3165" s="63" t="str">
        <f>HYPERLINK("http://nsgreg.nga.mil/genc/view?v=865677&amp;end_month=12&amp;end_day=31&amp;end_year=2016","Correlation")</f>
        <v>Correlation</v>
      </c>
    </row>
    <row r="3166" spans="1:13" x14ac:dyDescent="0.2">
      <c r="A3166" s="113"/>
      <c r="B3166" s="58" t="s">
        <v>8299</v>
      </c>
      <c r="C3166" s="58" t="s">
        <v>8218</v>
      </c>
      <c r="D3166" s="58" t="s">
        <v>8300</v>
      </c>
      <c r="E3166" s="60" t="b">
        <v>1</v>
      </c>
      <c r="F3166" s="61" t="s">
        <v>167</v>
      </c>
      <c r="G3166" s="61"/>
      <c r="H3166" s="61"/>
      <c r="I3166" s="61"/>
      <c r="J3166" s="61"/>
      <c r="K3166" s="61"/>
      <c r="L3166" s="62"/>
      <c r="M3166" s="63" t="str">
        <f>HYPERLINK("http://nsgreg.nga.mil/genc/view?v=865683&amp;end_month=12&amp;end_day=31&amp;end_year=2016","Correlation")</f>
        <v>Correlation</v>
      </c>
    </row>
    <row r="3167" spans="1:13" x14ac:dyDescent="0.2">
      <c r="A3167" s="113"/>
      <c r="B3167" s="58" t="s">
        <v>8299</v>
      </c>
      <c r="C3167" s="58" t="s">
        <v>1728</v>
      </c>
      <c r="D3167" s="58" t="s">
        <v>8301</v>
      </c>
      <c r="E3167" s="60" t="b">
        <v>1</v>
      </c>
      <c r="F3167" s="80" t="s">
        <v>1062</v>
      </c>
      <c r="G3167" s="58" t="s">
        <v>8299</v>
      </c>
      <c r="H3167" s="58" t="s">
        <v>1728</v>
      </c>
      <c r="I3167" s="64" t="s">
        <v>8301</v>
      </c>
      <c r="J3167" s="66"/>
      <c r="K3167" s="66"/>
      <c r="L3167" s="68"/>
      <c r="M3167" s="63" t="str">
        <f>HYPERLINK("http://nsgreg.nga.mil/genc/view?v=865636&amp;end_month=12&amp;end_day=31&amp;end_year=2016","Correlation")</f>
        <v>Correlation</v>
      </c>
    </row>
    <row r="3168" spans="1:13" x14ac:dyDescent="0.2">
      <c r="A3168" s="113"/>
      <c r="B3168" s="58" t="s">
        <v>8302</v>
      </c>
      <c r="C3168" s="58" t="s">
        <v>1413</v>
      </c>
      <c r="D3168" s="58" t="s">
        <v>8303</v>
      </c>
      <c r="E3168" s="60" t="b">
        <v>1</v>
      </c>
      <c r="F3168" s="80" t="s">
        <v>1062</v>
      </c>
      <c r="G3168" s="58" t="s">
        <v>8302</v>
      </c>
      <c r="H3168" s="58" t="s">
        <v>1413</v>
      </c>
      <c r="I3168" s="64" t="s">
        <v>8303</v>
      </c>
      <c r="J3168" s="66"/>
      <c r="K3168" s="66"/>
      <c r="L3168" s="68"/>
      <c r="M3168" s="63" t="str">
        <f>HYPERLINK("http://nsgreg.nga.mil/genc/view?v=865680&amp;end_month=12&amp;end_day=31&amp;end_year=2016","Correlation")</f>
        <v>Correlation</v>
      </c>
    </row>
    <row r="3169" spans="1:13" x14ac:dyDescent="0.2">
      <c r="A3169" s="113"/>
      <c r="B3169" s="58" t="s">
        <v>8304</v>
      </c>
      <c r="C3169" s="58" t="s">
        <v>1413</v>
      </c>
      <c r="D3169" s="58" t="s">
        <v>8305</v>
      </c>
      <c r="E3169" s="60" t="b">
        <v>1</v>
      </c>
      <c r="F3169" s="80" t="s">
        <v>1062</v>
      </c>
      <c r="G3169" s="58" t="s">
        <v>8304</v>
      </c>
      <c r="H3169" s="58" t="s">
        <v>1413</v>
      </c>
      <c r="I3169" s="64" t="s">
        <v>8305</v>
      </c>
      <c r="J3169" s="66"/>
      <c r="K3169" s="66"/>
      <c r="L3169" s="68"/>
      <c r="M3169" s="63" t="str">
        <f>HYPERLINK("http://nsgreg.nga.mil/genc/view?v=865679&amp;end_month=12&amp;end_day=31&amp;end_year=2016","Correlation")</f>
        <v>Correlation</v>
      </c>
    </row>
    <row r="3170" spans="1:13" x14ac:dyDescent="0.2">
      <c r="A3170" s="113"/>
      <c r="B3170" s="58" t="s">
        <v>8306</v>
      </c>
      <c r="C3170" s="58" t="s">
        <v>1413</v>
      </c>
      <c r="D3170" s="58" t="s">
        <v>8307</v>
      </c>
      <c r="E3170" s="60" t="b">
        <v>1</v>
      </c>
      <c r="F3170" s="80" t="s">
        <v>1062</v>
      </c>
      <c r="G3170" s="58" t="s">
        <v>8306</v>
      </c>
      <c r="H3170" s="58" t="s">
        <v>1413</v>
      </c>
      <c r="I3170" s="64" t="s">
        <v>8307</v>
      </c>
      <c r="J3170" s="66"/>
      <c r="K3170" s="66"/>
      <c r="L3170" s="68"/>
      <c r="M3170" s="63" t="str">
        <f>HYPERLINK("http://nsgreg.nga.mil/genc/view?v=865682&amp;end_month=12&amp;end_day=31&amp;end_year=2016","Correlation")</f>
        <v>Correlation</v>
      </c>
    </row>
    <row r="3171" spans="1:13" x14ac:dyDescent="0.2">
      <c r="A3171" s="113"/>
      <c r="B3171" s="58" t="s">
        <v>8308</v>
      </c>
      <c r="C3171" s="58" t="s">
        <v>1413</v>
      </c>
      <c r="D3171" s="58" t="s">
        <v>8309</v>
      </c>
      <c r="E3171" s="60" t="b">
        <v>1</v>
      </c>
      <c r="F3171" s="80" t="s">
        <v>1062</v>
      </c>
      <c r="G3171" s="58" t="s">
        <v>8308</v>
      </c>
      <c r="H3171" s="58" t="s">
        <v>1413</v>
      </c>
      <c r="I3171" s="64" t="s">
        <v>8309</v>
      </c>
      <c r="J3171" s="66"/>
      <c r="K3171" s="66"/>
      <c r="L3171" s="68"/>
      <c r="M3171" s="63" t="str">
        <f>HYPERLINK("http://nsgreg.nga.mil/genc/view?v=865678&amp;end_month=12&amp;end_day=31&amp;end_year=2016","Correlation")</f>
        <v>Correlation</v>
      </c>
    </row>
    <row r="3172" spans="1:13" x14ac:dyDescent="0.2">
      <c r="A3172" s="113"/>
      <c r="B3172" s="58" t="s">
        <v>8310</v>
      </c>
      <c r="C3172" s="58" t="s">
        <v>1413</v>
      </c>
      <c r="D3172" s="58" t="s">
        <v>8311</v>
      </c>
      <c r="E3172" s="60" t="b">
        <v>1</v>
      </c>
      <c r="F3172" s="80" t="s">
        <v>1062</v>
      </c>
      <c r="G3172" s="58" t="s">
        <v>8310</v>
      </c>
      <c r="H3172" s="58" t="s">
        <v>1413</v>
      </c>
      <c r="I3172" s="64" t="s">
        <v>8311</v>
      </c>
      <c r="J3172" s="66"/>
      <c r="K3172" s="66"/>
      <c r="L3172" s="68"/>
      <c r="M3172" s="63" t="str">
        <f>HYPERLINK("http://nsgreg.nga.mil/genc/view?v=865681&amp;end_month=12&amp;end_day=31&amp;end_year=2016","Correlation")</f>
        <v>Correlation</v>
      </c>
    </row>
    <row r="3173" spans="1:13" x14ac:dyDescent="0.2">
      <c r="A3173" s="113"/>
      <c r="B3173" s="58" t="s">
        <v>8312</v>
      </c>
      <c r="C3173" s="58" t="s">
        <v>1413</v>
      </c>
      <c r="D3173" s="58" t="s">
        <v>8313</v>
      </c>
      <c r="E3173" s="60" t="b">
        <v>1</v>
      </c>
      <c r="F3173" s="80" t="s">
        <v>1062</v>
      </c>
      <c r="G3173" s="58" t="s">
        <v>8312</v>
      </c>
      <c r="H3173" s="58" t="s">
        <v>1413</v>
      </c>
      <c r="I3173" s="64" t="s">
        <v>8313</v>
      </c>
      <c r="J3173" s="66"/>
      <c r="K3173" s="66"/>
      <c r="L3173" s="68"/>
      <c r="M3173" s="63" t="str">
        <f>HYPERLINK("http://nsgreg.nga.mil/genc/view?v=865684&amp;end_month=12&amp;end_day=31&amp;end_year=2016","Correlation")</f>
        <v>Correlation</v>
      </c>
    </row>
    <row r="3174" spans="1:13" x14ac:dyDescent="0.2">
      <c r="A3174" s="113"/>
      <c r="B3174" s="58" t="s">
        <v>8314</v>
      </c>
      <c r="C3174" s="58" t="s">
        <v>1728</v>
      </c>
      <c r="D3174" s="58" t="s">
        <v>8315</v>
      </c>
      <c r="E3174" s="60" t="b">
        <v>1</v>
      </c>
      <c r="F3174" s="80" t="s">
        <v>1062</v>
      </c>
      <c r="G3174" s="58" t="s">
        <v>8314</v>
      </c>
      <c r="H3174" s="58" t="s">
        <v>1728</v>
      </c>
      <c r="I3174" s="64" t="s">
        <v>8315</v>
      </c>
      <c r="J3174" s="66"/>
      <c r="K3174" s="66"/>
      <c r="L3174" s="68"/>
      <c r="M3174" s="63" t="str">
        <f>HYPERLINK("http://nsgreg.nga.mil/genc/view?v=865633&amp;end_month=12&amp;end_day=31&amp;end_year=2016","Correlation")</f>
        <v>Correlation</v>
      </c>
    </row>
    <row r="3175" spans="1:13" x14ac:dyDescent="0.2">
      <c r="A3175" s="113"/>
      <c r="B3175" s="58" t="s">
        <v>8316</v>
      </c>
      <c r="C3175" s="58" t="s">
        <v>8218</v>
      </c>
      <c r="D3175" s="58" t="s">
        <v>8317</v>
      </c>
      <c r="E3175" s="60" t="b">
        <v>1</v>
      </c>
      <c r="F3175" s="61" t="s">
        <v>167</v>
      </c>
      <c r="G3175" s="61"/>
      <c r="H3175" s="61"/>
      <c r="I3175" s="61"/>
      <c r="J3175" s="61"/>
      <c r="K3175" s="61"/>
      <c r="L3175" s="62"/>
      <c r="M3175" s="63" t="str">
        <f>HYPERLINK("http://nsgreg.nga.mil/genc/view?v=865685&amp;end_month=12&amp;end_day=31&amp;end_year=2016","Correlation")</f>
        <v>Correlation</v>
      </c>
    </row>
    <row r="3176" spans="1:13" x14ac:dyDescent="0.2">
      <c r="A3176" s="113"/>
      <c r="B3176" s="58" t="s">
        <v>8318</v>
      </c>
      <c r="C3176" s="58" t="s">
        <v>1413</v>
      </c>
      <c r="D3176" s="58" t="s">
        <v>8319</v>
      </c>
      <c r="E3176" s="60" t="b">
        <v>1</v>
      </c>
      <c r="F3176" s="80" t="s">
        <v>1062</v>
      </c>
      <c r="G3176" s="58" t="s">
        <v>8318</v>
      </c>
      <c r="H3176" s="58" t="s">
        <v>1413</v>
      </c>
      <c r="I3176" s="64" t="s">
        <v>8319</v>
      </c>
      <c r="J3176" s="66"/>
      <c r="K3176" s="66"/>
      <c r="L3176" s="68"/>
      <c r="M3176" s="63" t="str">
        <f>HYPERLINK("http://nsgreg.nga.mil/genc/view?v=865686&amp;end_month=12&amp;end_day=31&amp;end_year=2016","Correlation")</f>
        <v>Correlation</v>
      </c>
    </row>
    <row r="3177" spans="1:13" x14ac:dyDescent="0.2">
      <c r="A3177" s="113"/>
      <c r="B3177" s="58" t="s">
        <v>8320</v>
      </c>
      <c r="C3177" s="58" t="s">
        <v>1413</v>
      </c>
      <c r="D3177" s="58" t="s">
        <v>8321</v>
      </c>
      <c r="E3177" s="60" t="b">
        <v>1</v>
      </c>
      <c r="F3177" s="80" t="s">
        <v>1062</v>
      </c>
      <c r="G3177" s="58" t="s">
        <v>8320</v>
      </c>
      <c r="H3177" s="58" t="s">
        <v>1413</v>
      </c>
      <c r="I3177" s="64" t="s">
        <v>8321</v>
      </c>
      <c r="J3177" s="66"/>
      <c r="K3177" s="66"/>
      <c r="L3177" s="68"/>
      <c r="M3177" s="63" t="str">
        <f>HYPERLINK("http://nsgreg.nga.mil/genc/view?v=865687&amp;end_month=12&amp;end_day=31&amp;end_year=2016","Correlation")</f>
        <v>Correlation</v>
      </c>
    </row>
    <row r="3178" spans="1:13" x14ac:dyDescent="0.2">
      <c r="A3178" s="113"/>
      <c r="B3178" s="58" t="s">
        <v>8322</v>
      </c>
      <c r="C3178" s="58" t="s">
        <v>8218</v>
      </c>
      <c r="D3178" s="58" t="s">
        <v>8323</v>
      </c>
      <c r="E3178" s="60" t="b">
        <v>1</v>
      </c>
      <c r="F3178" s="61" t="s">
        <v>167</v>
      </c>
      <c r="G3178" s="61"/>
      <c r="H3178" s="61"/>
      <c r="I3178" s="61"/>
      <c r="J3178" s="61"/>
      <c r="K3178" s="61"/>
      <c r="L3178" s="62"/>
      <c r="M3178" s="63" t="str">
        <f>HYPERLINK("http://nsgreg.nga.mil/genc/view?v=865688&amp;end_month=12&amp;end_day=31&amp;end_year=2016","Correlation")</f>
        <v>Correlation</v>
      </c>
    </row>
    <row r="3179" spans="1:13" x14ac:dyDescent="0.2">
      <c r="A3179" s="113"/>
      <c r="B3179" s="58" t="s">
        <v>8324</v>
      </c>
      <c r="C3179" s="58" t="s">
        <v>1728</v>
      </c>
      <c r="D3179" s="58" t="s">
        <v>8325</v>
      </c>
      <c r="E3179" s="60" t="b">
        <v>1</v>
      </c>
      <c r="F3179" s="80" t="s">
        <v>1062</v>
      </c>
      <c r="G3179" s="58" t="s">
        <v>8324</v>
      </c>
      <c r="H3179" s="58" t="s">
        <v>1728</v>
      </c>
      <c r="I3179" s="64" t="s">
        <v>8325</v>
      </c>
      <c r="J3179" s="66"/>
      <c r="K3179" s="66"/>
      <c r="L3179" s="68"/>
      <c r="M3179" s="63" t="str">
        <f>HYPERLINK("http://nsgreg.nga.mil/genc/view?v=865627&amp;end_month=12&amp;end_day=31&amp;end_year=2016","Correlation")</f>
        <v>Correlation</v>
      </c>
    </row>
    <row r="3180" spans="1:13" x14ac:dyDescent="0.2">
      <c r="A3180" s="113"/>
      <c r="B3180" s="58" t="s">
        <v>8326</v>
      </c>
      <c r="C3180" s="58" t="s">
        <v>1413</v>
      </c>
      <c r="D3180" s="58" t="s">
        <v>8327</v>
      </c>
      <c r="E3180" s="60" t="b">
        <v>1</v>
      </c>
      <c r="F3180" s="80" t="s">
        <v>1062</v>
      </c>
      <c r="G3180" s="58" t="s">
        <v>8326</v>
      </c>
      <c r="H3180" s="58" t="s">
        <v>1413</v>
      </c>
      <c r="I3180" s="64" t="s">
        <v>8327</v>
      </c>
      <c r="J3180" s="66"/>
      <c r="K3180" s="66"/>
      <c r="L3180" s="68"/>
      <c r="M3180" s="63" t="str">
        <f>HYPERLINK("http://nsgreg.nga.mil/genc/view?v=865690&amp;end_month=12&amp;end_day=31&amp;end_year=2016","Correlation")</f>
        <v>Correlation</v>
      </c>
    </row>
    <row r="3181" spans="1:13" x14ac:dyDescent="0.2">
      <c r="A3181" s="113"/>
      <c r="B3181" s="58" t="s">
        <v>8328</v>
      </c>
      <c r="C3181" s="58" t="s">
        <v>1413</v>
      </c>
      <c r="D3181" s="58" t="s">
        <v>8329</v>
      </c>
      <c r="E3181" s="60" t="b">
        <v>1</v>
      </c>
      <c r="F3181" s="80" t="s">
        <v>1062</v>
      </c>
      <c r="G3181" s="58" t="s">
        <v>8328</v>
      </c>
      <c r="H3181" s="58" t="s">
        <v>1413</v>
      </c>
      <c r="I3181" s="64" t="s">
        <v>8329</v>
      </c>
      <c r="J3181" s="66"/>
      <c r="K3181" s="66"/>
      <c r="L3181" s="68"/>
      <c r="M3181" s="63" t="str">
        <f>HYPERLINK("http://nsgreg.nga.mil/genc/view?v=865693&amp;end_month=12&amp;end_day=31&amp;end_year=2016","Correlation")</f>
        <v>Correlation</v>
      </c>
    </row>
    <row r="3182" spans="1:13" x14ac:dyDescent="0.2">
      <c r="A3182" s="113"/>
      <c r="B3182" s="58" t="s">
        <v>8330</v>
      </c>
      <c r="C3182" s="58" t="s">
        <v>8218</v>
      </c>
      <c r="D3182" s="58" t="s">
        <v>8331</v>
      </c>
      <c r="E3182" s="60" t="b">
        <v>1</v>
      </c>
      <c r="F3182" s="61" t="s">
        <v>167</v>
      </c>
      <c r="G3182" s="61"/>
      <c r="H3182" s="61"/>
      <c r="I3182" s="61"/>
      <c r="J3182" s="61"/>
      <c r="K3182" s="61"/>
      <c r="L3182" s="62"/>
      <c r="M3182" s="63" t="str">
        <f>HYPERLINK("http://nsgreg.nga.mil/genc/view?v=865691&amp;end_month=12&amp;end_day=31&amp;end_year=2016","Correlation")</f>
        <v>Correlation</v>
      </c>
    </row>
    <row r="3183" spans="1:13" x14ac:dyDescent="0.2">
      <c r="A3183" s="113"/>
      <c r="B3183" s="58" t="s">
        <v>8330</v>
      </c>
      <c r="C3183" s="58" t="s">
        <v>1413</v>
      </c>
      <c r="D3183" s="58" t="s">
        <v>8332</v>
      </c>
      <c r="E3183" s="60" t="b">
        <v>1</v>
      </c>
      <c r="F3183" s="80" t="s">
        <v>1062</v>
      </c>
      <c r="G3183" s="58" t="s">
        <v>8330</v>
      </c>
      <c r="H3183" s="58" t="s">
        <v>1413</v>
      </c>
      <c r="I3183" s="64" t="s">
        <v>8332</v>
      </c>
      <c r="J3183" s="66"/>
      <c r="K3183" s="66"/>
      <c r="L3183" s="68"/>
      <c r="M3183" s="63" t="str">
        <f>HYPERLINK("http://nsgreg.nga.mil/genc/view?v=865689&amp;end_month=12&amp;end_day=31&amp;end_year=2016","Correlation")</f>
        <v>Correlation</v>
      </c>
    </row>
    <row r="3184" spans="1:13" x14ac:dyDescent="0.2">
      <c r="A3184" s="113"/>
      <c r="B3184" s="58" t="s">
        <v>8333</v>
      </c>
      <c r="C3184" s="58" t="s">
        <v>1413</v>
      </c>
      <c r="D3184" s="58" t="s">
        <v>8334</v>
      </c>
      <c r="E3184" s="60" t="b">
        <v>1</v>
      </c>
      <c r="F3184" s="80" t="s">
        <v>1062</v>
      </c>
      <c r="G3184" s="58" t="s">
        <v>8333</v>
      </c>
      <c r="H3184" s="58" t="s">
        <v>1413</v>
      </c>
      <c r="I3184" s="64" t="s">
        <v>8334</v>
      </c>
      <c r="J3184" s="66"/>
      <c r="K3184" s="66"/>
      <c r="L3184" s="68"/>
      <c r="M3184" s="63" t="str">
        <f>HYPERLINK("http://nsgreg.nga.mil/genc/view?v=865694&amp;end_month=12&amp;end_day=31&amp;end_year=2016","Correlation")</f>
        <v>Correlation</v>
      </c>
    </row>
    <row r="3185" spans="1:13" x14ac:dyDescent="0.2">
      <c r="A3185" s="113"/>
      <c r="B3185" s="58" t="s">
        <v>8335</v>
      </c>
      <c r="C3185" s="58" t="s">
        <v>1413</v>
      </c>
      <c r="D3185" s="58" t="s">
        <v>8336</v>
      </c>
      <c r="E3185" s="60" t="b">
        <v>1</v>
      </c>
      <c r="F3185" s="80" t="s">
        <v>1062</v>
      </c>
      <c r="G3185" s="58" t="s">
        <v>8335</v>
      </c>
      <c r="H3185" s="58" t="s">
        <v>1413</v>
      </c>
      <c r="I3185" s="64" t="s">
        <v>8336</v>
      </c>
      <c r="J3185" s="66"/>
      <c r="K3185" s="66"/>
      <c r="L3185" s="68"/>
      <c r="M3185" s="63" t="str">
        <f>HYPERLINK("http://nsgreg.nga.mil/genc/view?v=865695&amp;end_month=12&amp;end_day=31&amp;end_year=2016","Correlation")</f>
        <v>Correlation</v>
      </c>
    </row>
    <row r="3186" spans="1:13" x14ac:dyDescent="0.2">
      <c r="A3186" s="113"/>
      <c r="B3186" s="58" t="s">
        <v>8337</v>
      </c>
      <c r="C3186" s="58" t="s">
        <v>1413</v>
      </c>
      <c r="D3186" s="58" t="s">
        <v>8338</v>
      </c>
      <c r="E3186" s="60" t="b">
        <v>1</v>
      </c>
      <c r="F3186" s="80" t="s">
        <v>1062</v>
      </c>
      <c r="G3186" s="58" t="s">
        <v>8337</v>
      </c>
      <c r="H3186" s="58" t="s">
        <v>1413</v>
      </c>
      <c r="I3186" s="64" t="s">
        <v>8338</v>
      </c>
      <c r="J3186" s="66"/>
      <c r="K3186" s="66"/>
      <c r="L3186" s="68"/>
      <c r="M3186" s="63" t="str">
        <f>HYPERLINK("http://nsgreg.nga.mil/genc/view?v=865696&amp;end_month=12&amp;end_day=31&amp;end_year=2016","Correlation")</f>
        <v>Correlation</v>
      </c>
    </row>
    <row r="3187" spans="1:13" x14ac:dyDescent="0.2">
      <c r="A3187" s="113"/>
      <c r="B3187" s="58" t="s">
        <v>8339</v>
      </c>
      <c r="C3187" s="58" t="s">
        <v>1413</v>
      </c>
      <c r="D3187" s="58" t="s">
        <v>8340</v>
      </c>
      <c r="E3187" s="60" t="b">
        <v>1</v>
      </c>
      <c r="F3187" s="80" t="s">
        <v>1062</v>
      </c>
      <c r="G3187" s="58" t="s">
        <v>8339</v>
      </c>
      <c r="H3187" s="58" t="s">
        <v>1413</v>
      </c>
      <c r="I3187" s="64" t="s">
        <v>8340</v>
      </c>
      <c r="J3187" s="66"/>
      <c r="K3187" s="66"/>
      <c r="L3187" s="68"/>
      <c r="M3187" s="63" t="str">
        <f>HYPERLINK("http://nsgreg.nga.mil/genc/view?v=865697&amp;end_month=12&amp;end_day=31&amp;end_year=2016","Correlation")</f>
        <v>Correlation</v>
      </c>
    </row>
    <row r="3188" spans="1:13" x14ac:dyDescent="0.2">
      <c r="A3188" s="113"/>
      <c r="B3188" s="58" t="s">
        <v>8341</v>
      </c>
      <c r="C3188" s="58" t="s">
        <v>1413</v>
      </c>
      <c r="D3188" s="58" t="s">
        <v>8342</v>
      </c>
      <c r="E3188" s="60" t="b">
        <v>1</v>
      </c>
      <c r="F3188" s="80" t="s">
        <v>1062</v>
      </c>
      <c r="G3188" s="58" t="s">
        <v>8341</v>
      </c>
      <c r="H3188" s="58" t="s">
        <v>1413</v>
      </c>
      <c r="I3188" s="64" t="s">
        <v>8342</v>
      </c>
      <c r="J3188" s="66"/>
      <c r="K3188" s="66"/>
      <c r="L3188" s="68"/>
      <c r="M3188" s="63" t="str">
        <f>HYPERLINK("http://nsgreg.nga.mil/genc/view?v=865699&amp;end_month=12&amp;end_day=31&amp;end_year=2016","Correlation")</f>
        <v>Correlation</v>
      </c>
    </row>
    <row r="3189" spans="1:13" x14ac:dyDescent="0.2">
      <c r="A3189" s="113"/>
      <c r="B3189" s="58" t="s">
        <v>8343</v>
      </c>
      <c r="C3189" s="58" t="s">
        <v>8218</v>
      </c>
      <c r="D3189" s="58" t="s">
        <v>8344</v>
      </c>
      <c r="E3189" s="60" t="b">
        <v>1</v>
      </c>
      <c r="F3189" s="61" t="s">
        <v>167</v>
      </c>
      <c r="G3189" s="61"/>
      <c r="H3189" s="61"/>
      <c r="I3189" s="61"/>
      <c r="J3189" s="61"/>
      <c r="K3189" s="61"/>
      <c r="L3189" s="62"/>
      <c r="M3189" s="63" t="str">
        <f>HYPERLINK("http://nsgreg.nga.mil/genc/view?v=865698&amp;end_month=12&amp;end_day=31&amp;end_year=2016","Correlation")</f>
        <v>Correlation</v>
      </c>
    </row>
    <row r="3190" spans="1:13" x14ac:dyDescent="0.2">
      <c r="A3190" s="113"/>
      <c r="B3190" s="58" t="s">
        <v>8345</v>
      </c>
      <c r="C3190" s="58" t="s">
        <v>8218</v>
      </c>
      <c r="D3190" s="58" t="s">
        <v>8346</v>
      </c>
      <c r="E3190" s="60" t="b">
        <v>1</v>
      </c>
      <c r="F3190" s="61" t="s">
        <v>167</v>
      </c>
      <c r="G3190" s="61"/>
      <c r="H3190" s="61"/>
      <c r="I3190" s="61"/>
      <c r="J3190" s="61"/>
      <c r="K3190" s="61"/>
      <c r="L3190" s="62"/>
      <c r="M3190" s="63" t="str">
        <f>HYPERLINK("http://nsgreg.nga.mil/genc/view?v=865692&amp;end_month=12&amp;end_day=31&amp;end_year=2016","Correlation")</f>
        <v>Correlation</v>
      </c>
    </row>
    <row r="3191" spans="1:13" x14ac:dyDescent="0.2">
      <c r="A3191" s="113"/>
      <c r="B3191" s="58" t="s">
        <v>8347</v>
      </c>
      <c r="C3191" s="58" t="s">
        <v>1413</v>
      </c>
      <c r="D3191" s="58" t="s">
        <v>8348</v>
      </c>
      <c r="E3191" s="60" t="b">
        <v>1</v>
      </c>
      <c r="F3191" s="80" t="s">
        <v>1062</v>
      </c>
      <c r="G3191" s="58" t="s">
        <v>8347</v>
      </c>
      <c r="H3191" s="58" t="s">
        <v>1413</v>
      </c>
      <c r="I3191" s="64" t="s">
        <v>8348</v>
      </c>
      <c r="J3191" s="66"/>
      <c r="K3191" s="66"/>
      <c r="L3191" s="68"/>
      <c r="M3191" s="63" t="str">
        <f>HYPERLINK("http://nsgreg.nga.mil/genc/view?v=865702&amp;end_month=12&amp;end_day=31&amp;end_year=2016","Correlation")</f>
        <v>Correlation</v>
      </c>
    </row>
    <row r="3192" spans="1:13" x14ac:dyDescent="0.2">
      <c r="A3192" s="113"/>
      <c r="B3192" s="58" t="s">
        <v>8349</v>
      </c>
      <c r="C3192" s="58" t="s">
        <v>1413</v>
      </c>
      <c r="D3192" s="58" t="s">
        <v>8350</v>
      </c>
      <c r="E3192" s="60" t="b">
        <v>1</v>
      </c>
      <c r="F3192" s="80" t="s">
        <v>1062</v>
      </c>
      <c r="G3192" s="58" t="s">
        <v>8349</v>
      </c>
      <c r="H3192" s="58" t="s">
        <v>1413</v>
      </c>
      <c r="I3192" s="64" t="s">
        <v>8350</v>
      </c>
      <c r="J3192" s="66"/>
      <c r="K3192" s="66"/>
      <c r="L3192" s="68"/>
      <c r="M3192" s="63" t="str">
        <f>HYPERLINK("http://nsgreg.nga.mil/genc/view?v=865700&amp;end_month=12&amp;end_day=31&amp;end_year=2016","Correlation")</f>
        <v>Correlation</v>
      </c>
    </row>
    <row r="3193" spans="1:13" x14ac:dyDescent="0.2">
      <c r="A3193" s="113"/>
      <c r="B3193" s="58" t="s">
        <v>8351</v>
      </c>
      <c r="C3193" s="58" t="s">
        <v>8218</v>
      </c>
      <c r="D3193" s="58" t="s">
        <v>8352</v>
      </c>
      <c r="E3193" s="60" t="b">
        <v>1</v>
      </c>
      <c r="F3193" s="61" t="s">
        <v>167</v>
      </c>
      <c r="G3193" s="61"/>
      <c r="H3193" s="61"/>
      <c r="I3193" s="61"/>
      <c r="J3193" s="61"/>
      <c r="K3193" s="61"/>
      <c r="L3193" s="62"/>
      <c r="M3193" s="63" t="str">
        <f>HYPERLINK("http://nsgreg.nga.mil/genc/view?v=865701&amp;end_month=12&amp;end_day=31&amp;end_year=2016","Correlation")</f>
        <v>Correlation</v>
      </c>
    </row>
    <row r="3194" spans="1:13" x14ac:dyDescent="0.2">
      <c r="A3194" s="113"/>
      <c r="B3194" s="58" t="s">
        <v>8353</v>
      </c>
      <c r="C3194" s="58" t="s">
        <v>1413</v>
      </c>
      <c r="D3194" s="58" t="s">
        <v>8354</v>
      </c>
      <c r="E3194" s="60" t="b">
        <v>1</v>
      </c>
      <c r="F3194" s="80" t="s">
        <v>1062</v>
      </c>
      <c r="G3194" s="58" t="s">
        <v>8353</v>
      </c>
      <c r="H3194" s="58" t="s">
        <v>1413</v>
      </c>
      <c r="I3194" s="64" t="s">
        <v>8354</v>
      </c>
      <c r="J3194" s="66"/>
      <c r="K3194" s="66"/>
      <c r="L3194" s="68"/>
      <c r="M3194" s="63" t="str">
        <f>HYPERLINK("http://nsgreg.nga.mil/genc/view?v=865704&amp;end_month=12&amp;end_day=31&amp;end_year=2016","Correlation")</f>
        <v>Correlation</v>
      </c>
    </row>
    <row r="3195" spans="1:13" x14ac:dyDescent="0.2">
      <c r="A3195" s="113"/>
      <c r="B3195" s="58" t="s">
        <v>8355</v>
      </c>
      <c r="C3195" s="58" t="s">
        <v>8218</v>
      </c>
      <c r="D3195" s="58" t="s">
        <v>8356</v>
      </c>
      <c r="E3195" s="60" t="b">
        <v>1</v>
      </c>
      <c r="F3195" s="61" t="s">
        <v>167</v>
      </c>
      <c r="G3195" s="61"/>
      <c r="H3195" s="61"/>
      <c r="I3195" s="61"/>
      <c r="J3195" s="61"/>
      <c r="K3195" s="61"/>
      <c r="L3195" s="62"/>
      <c r="M3195" s="63" t="str">
        <f>HYPERLINK("http://nsgreg.nga.mil/genc/view?v=865705&amp;end_month=12&amp;end_day=31&amp;end_year=2016","Correlation")</f>
        <v>Correlation</v>
      </c>
    </row>
    <row r="3196" spans="1:13" x14ac:dyDescent="0.2">
      <c r="A3196" s="113"/>
      <c r="B3196" s="58" t="s">
        <v>8357</v>
      </c>
      <c r="C3196" s="58" t="s">
        <v>8218</v>
      </c>
      <c r="D3196" s="58" t="s">
        <v>8358</v>
      </c>
      <c r="E3196" s="60" t="b">
        <v>1</v>
      </c>
      <c r="F3196" s="61" t="s">
        <v>167</v>
      </c>
      <c r="G3196" s="61"/>
      <c r="H3196" s="61"/>
      <c r="I3196" s="61"/>
      <c r="J3196" s="61"/>
      <c r="K3196" s="61"/>
      <c r="L3196" s="62"/>
      <c r="M3196" s="63" t="str">
        <f>HYPERLINK("http://nsgreg.nga.mil/genc/view?v=865706&amp;end_month=12&amp;end_day=31&amp;end_year=2016","Correlation")</f>
        <v>Correlation</v>
      </c>
    </row>
    <row r="3197" spans="1:13" x14ac:dyDescent="0.2">
      <c r="A3197" s="113"/>
      <c r="B3197" s="58" t="s">
        <v>8359</v>
      </c>
      <c r="C3197" s="58" t="s">
        <v>8218</v>
      </c>
      <c r="D3197" s="58" t="s">
        <v>8360</v>
      </c>
      <c r="E3197" s="60" t="b">
        <v>1</v>
      </c>
      <c r="F3197" s="61" t="s">
        <v>167</v>
      </c>
      <c r="G3197" s="61"/>
      <c r="H3197" s="61"/>
      <c r="I3197" s="61"/>
      <c r="J3197" s="61"/>
      <c r="K3197" s="61"/>
      <c r="L3197" s="62"/>
      <c r="M3197" s="63" t="str">
        <f>HYPERLINK("http://nsgreg.nga.mil/genc/view?v=865713&amp;end_month=12&amp;end_day=31&amp;end_year=2016","Correlation")</f>
        <v>Correlation</v>
      </c>
    </row>
    <row r="3198" spans="1:13" x14ac:dyDescent="0.2">
      <c r="A3198" s="113"/>
      <c r="B3198" s="58" t="s">
        <v>8361</v>
      </c>
      <c r="C3198" s="58" t="s">
        <v>8218</v>
      </c>
      <c r="D3198" s="58" t="s">
        <v>8362</v>
      </c>
      <c r="E3198" s="60" t="b">
        <v>1</v>
      </c>
      <c r="F3198" s="61" t="s">
        <v>167</v>
      </c>
      <c r="G3198" s="61"/>
      <c r="H3198" s="61"/>
      <c r="I3198" s="61"/>
      <c r="J3198" s="61"/>
      <c r="K3198" s="61"/>
      <c r="L3198" s="62"/>
      <c r="M3198" s="63" t="str">
        <f>HYPERLINK("http://nsgreg.nga.mil/genc/view?v=865712&amp;end_month=12&amp;end_day=31&amp;end_year=2016","Correlation")</f>
        <v>Correlation</v>
      </c>
    </row>
    <row r="3199" spans="1:13" x14ac:dyDescent="0.2">
      <c r="A3199" s="113"/>
      <c r="B3199" s="58" t="s">
        <v>8363</v>
      </c>
      <c r="C3199" s="58" t="s">
        <v>8218</v>
      </c>
      <c r="D3199" s="58" t="s">
        <v>8364</v>
      </c>
      <c r="E3199" s="60" t="b">
        <v>1</v>
      </c>
      <c r="F3199" s="61" t="s">
        <v>167</v>
      </c>
      <c r="G3199" s="61"/>
      <c r="H3199" s="61"/>
      <c r="I3199" s="61"/>
      <c r="J3199" s="61"/>
      <c r="K3199" s="61"/>
      <c r="L3199" s="62"/>
      <c r="M3199" s="63" t="str">
        <f>HYPERLINK("http://nsgreg.nga.mil/genc/view?v=865707&amp;end_month=12&amp;end_day=31&amp;end_year=2016","Correlation")</f>
        <v>Correlation</v>
      </c>
    </row>
    <row r="3200" spans="1:13" x14ac:dyDescent="0.2">
      <c r="A3200" s="113"/>
      <c r="B3200" s="58" t="s">
        <v>8365</v>
      </c>
      <c r="C3200" s="58" t="s">
        <v>8218</v>
      </c>
      <c r="D3200" s="58" t="s">
        <v>8366</v>
      </c>
      <c r="E3200" s="60" t="b">
        <v>1</v>
      </c>
      <c r="F3200" s="61" t="s">
        <v>167</v>
      </c>
      <c r="G3200" s="61"/>
      <c r="H3200" s="61"/>
      <c r="I3200" s="61"/>
      <c r="J3200" s="61"/>
      <c r="K3200" s="61"/>
      <c r="L3200" s="62"/>
      <c r="M3200" s="63" t="str">
        <f>HYPERLINK("http://nsgreg.nga.mil/genc/view?v=865708&amp;end_month=12&amp;end_day=31&amp;end_year=2016","Correlation")</f>
        <v>Correlation</v>
      </c>
    </row>
    <row r="3201" spans="1:13" x14ac:dyDescent="0.2">
      <c r="A3201" s="113"/>
      <c r="B3201" s="58" t="s">
        <v>8367</v>
      </c>
      <c r="C3201" s="58" t="s">
        <v>1413</v>
      </c>
      <c r="D3201" s="58" t="s">
        <v>8368</v>
      </c>
      <c r="E3201" s="60" t="b">
        <v>1</v>
      </c>
      <c r="F3201" s="80" t="s">
        <v>1062</v>
      </c>
      <c r="G3201" s="58" t="s">
        <v>8367</v>
      </c>
      <c r="H3201" s="58" t="s">
        <v>1413</v>
      </c>
      <c r="I3201" s="64" t="s">
        <v>8368</v>
      </c>
      <c r="J3201" s="66"/>
      <c r="K3201" s="66"/>
      <c r="L3201" s="68"/>
      <c r="M3201" s="63" t="str">
        <f>HYPERLINK("http://nsgreg.nga.mil/genc/view?v=865703&amp;end_month=12&amp;end_day=31&amp;end_year=2016","Correlation")</f>
        <v>Correlation</v>
      </c>
    </row>
    <row r="3202" spans="1:13" x14ac:dyDescent="0.2">
      <c r="A3202" s="113"/>
      <c r="B3202" s="58" t="s">
        <v>8369</v>
      </c>
      <c r="C3202" s="58" t="s">
        <v>1413</v>
      </c>
      <c r="D3202" s="58" t="s">
        <v>8370</v>
      </c>
      <c r="E3202" s="60" t="b">
        <v>1</v>
      </c>
      <c r="F3202" s="80" t="s">
        <v>1062</v>
      </c>
      <c r="G3202" s="58" t="s">
        <v>8369</v>
      </c>
      <c r="H3202" s="58" t="s">
        <v>1413</v>
      </c>
      <c r="I3202" s="64" t="s">
        <v>8370</v>
      </c>
      <c r="J3202" s="66"/>
      <c r="K3202" s="66"/>
      <c r="L3202" s="68"/>
      <c r="M3202" s="63" t="str">
        <f>HYPERLINK("http://nsgreg.nga.mil/genc/view?v=865709&amp;end_month=12&amp;end_day=31&amp;end_year=2016","Correlation")</f>
        <v>Correlation</v>
      </c>
    </row>
    <row r="3203" spans="1:13" x14ac:dyDescent="0.2">
      <c r="A3203" s="113"/>
      <c r="B3203" s="58" t="s">
        <v>8371</v>
      </c>
      <c r="C3203" s="58" t="s">
        <v>1728</v>
      </c>
      <c r="D3203" s="58" t="s">
        <v>8372</v>
      </c>
      <c r="E3203" s="60" t="b">
        <v>1</v>
      </c>
      <c r="F3203" s="80" t="s">
        <v>1062</v>
      </c>
      <c r="G3203" s="58" t="s">
        <v>8373</v>
      </c>
      <c r="H3203" s="58" t="s">
        <v>1728</v>
      </c>
      <c r="I3203" s="64" t="s">
        <v>8372</v>
      </c>
      <c r="J3203" s="66"/>
      <c r="K3203" s="66"/>
      <c r="L3203" s="68"/>
      <c r="M3203" s="63" t="str">
        <f>HYPERLINK("http://nsgreg.nga.mil/genc/view?v=865642&amp;end_month=12&amp;end_day=31&amp;end_year=2016","Correlation")</f>
        <v>Correlation</v>
      </c>
    </row>
    <row r="3204" spans="1:13" x14ac:dyDescent="0.2">
      <c r="A3204" s="113"/>
      <c r="B3204" s="58" t="s">
        <v>8374</v>
      </c>
      <c r="C3204" s="58" t="s">
        <v>1413</v>
      </c>
      <c r="D3204" s="58" t="s">
        <v>8375</v>
      </c>
      <c r="E3204" s="60" t="b">
        <v>1</v>
      </c>
      <c r="F3204" s="80" t="s">
        <v>1062</v>
      </c>
      <c r="G3204" s="58" t="s">
        <v>8374</v>
      </c>
      <c r="H3204" s="58" t="s">
        <v>1413</v>
      </c>
      <c r="I3204" s="64" t="s">
        <v>8375</v>
      </c>
      <c r="J3204" s="66"/>
      <c r="K3204" s="66"/>
      <c r="L3204" s="68"/>
      <c r="M3204" s="63" t="str">
        <f>HYPERLINK("http://nsgreg.nga.mil/genc/view?v=865715&amp;end_month=12&amp;end_day=31&amp;end_year=2016","Correlation")</f>
        <v>Correlation</v>
      </c>
    </row>
    <row r="3205" spans="1:13" x14ac:dyDescent="0.2">
      <c r="A3205" s="113"/>
      <c r="B3205" s="58" t="s">
        <v>8376</v>
      </c>
      <c r="C3205" s="58" t="s">
        <v>1413</v>
      </c>
      <c r="D3205" s="58" t="s">
        <v>8377</v>
      </c>
      <c r="E3205" s="60" t="b">
        <v>1</v>
      </c>
      <c r="F3205" s="80" t="s">
        <v>1062</v>
      </c>
      <c r="G3205" s="58" t="s">
        <v>8376</v>
      </c>
      <c r="H3205" s="58" t="s">
        <v>1413</v>
      </c>
      <c r="I3205" s="64" t="s">
        <v>8377</v>
      </c>
      <c r="J3205" s="66"/>
      <c r="K3205" s="66"/>
      <c r="L3205" s="68"/>
      <c r="M3205" s="63" t="str">
        <f>HYPERLINK("http://nsgreg.nga.mil/genc/view?v=865716&amp;end_month=12&amp;end_day=31&amp;end_year=2016","Correlation")</f>
        <v>Correlation</v>
      </c>
    </row>
    <row r="3206" spans="1:13" x14ac:dyDescent="0.2">
      <c r="A3206" s="113"/>
      <c r="B3206" s="58" t="s">
        <v>8378</v>
      </c>
      <c r="C3206" s="58" t="s">
        <v>1413</v>
      </c>
      <c r="D3206" s="58" t="s">
        <v>8379</v>
      </c>
      <c r="E3206" s="60" t="b">
        <v>1</v>
      </c>
      <c r="F3206" s="80" t="s">
        <v>1062</v>
      </c>
      <c r="G3206" s="58" t="s">
        <v>8380</v>
      </c>
      <c r="H3206" s="58" t="s">
        <v>1413</v>
      </c>
      <c r="I3206" s="64" t="s">
        <v>8379</v>
      </c>
      <c r="J3206" s="66"/>
      <c r="K3206" s="66"/>
      <c r="L3206" s="68"/>
      <c r="M3206" s="63" t="str">
        <f>HYPERLINK("http://nsgreg.nga.mil/genc/view?v=865714&amp;end_month=12&amp;end_day=31&amp;end_year=2016","Correlation")</f>
        <v>Correlation</v>
      </c>
    </row>
    <row r="3207" spans="1:13" x14ac:dyDescent="0.2">
      <c r="A3207" s="113"/>
      <c r="B3207" s="58" t="s">
        <v>8381</v>
      </c>
      <c r="C3207" s="58" t="s">
        <v>8218</v>
      </c>
      <c r="D3207" s="58" t="s">
        <v>8382</v>
      </c>
      <c r="E3207" s="60" t="b">
        <v>1</v>
      </c>
      <c r="F3207" s="61" t="s">
        <v>167</v>
      </c>
      <c r="G3207" s="61"/>
      <c r="H3207" s="61"/>
      <c r="I3207" s="61"/>
      <c r="J3207" s="61"/>
      <c r="K3207" s="61"/>
      <c r="L3207" s="62"/>
      <c r="M3207" s="63" t="str">
        <f>HYPERLINK("http://nsgreg.nga.mil/genc/view?v=865717&amp;end_month=12&amp;end_day=31&amp;end_year=2016","Correlation")</f>
        <v>Correlation</v>
      </c>
    </row>
    <row r="3208" spans="1:13" x14ac:dyDescent="0.2">
      <c r="A3208" s="113"/>
      <c r="B3208" s="58" t="s">
        <v>8383</v>
      </c>
      <c r="C3208" s="58" t="s">
        <v>8294</v>
      </c>
      <c r="D3208" s="58" t="s">
        <v>8384</v>
      </c>
      <c r="E3208" s="60" t="b">
        <v>1</v>
      </c>
      <c r="F3208" s="61" t="s">
        <v>167</v>
      </c>
      <c r="G3208" s="61"/>
      <c r="H3208" s="61"/>
      <c r="I3208" s="61"/>
      <c r="J3208" s="61"/>
      <c r="K3208" s="61"/>
      <c r="L3208" s="62"/>
      <c r="M3208" s="63" t="str">
        <f>HYPERLINK("http://nsgreg.nga.mil/genc/view?v=865718&amp;end_month=12&amp;end_day=31&amp;end_year=2016","Correlation")</f>
        <v>Correlation</v>
      </c>
    </row>
    <row r="3209" spans="1:13" x14ac:dyDescent="0.2">
      <c r="A3209" s="113"/>
      <c r="B3209" s="58" t="s">
        <v>8385</v>
      </c>
      <c r="C3209" s="58" t="s">
        <v>1728</v>
      </c>
      <c r="D3209" s="58" t="s">
        <v>8386</v>
      </c>
      <c r="E3209" s="60" t="b">
        <v>1</v>
      </c>
      <c r="F3209" s="80" t="s">
        <v>1062</v>
      </c>
      <c r="G3209" s="58" t="s">
        <v>8385</v>
      </c>
      <c r="H3209" s="58" t="s">
        <v>1728</v>
      </c>
      <c r="I3209" s="64" t="s">
        <v>8386</v>
      </c>
      <c r="J3209" s="66"/>
      <c r="K3209" s="66"/>
      <c r="L3209" s="68"/>
      <c r="M3209" s="63" t="str">
        <f>HYPERLINK("http://nsgreg.nga.mil/genc/view?v=865626&amp;end_month=12&amp;end_day=31&amp;end_year=2016","Correlation")</f>
        <v>Correlation</v>
      </c>
    </row>
    <row r="3210" spans="1:13" x14ac:dyDescent="0.2">
      <c r="A3210" s="113"/>
      <c r="B3210" s="58" t="s">
        <v>8387</v>
      </c>
      <c r="C3210" s="58" t="s">
        <v>8218</v>
      </c>
      <c r="D3210" s="58" t="s">
        <v>8388</v>
      </c>
      <c r="E3210" s="60" t="b">
        <v>1</v>
      </c>
      <c r="F3210" s="61" t="s">
        <v>167</v>
      </c>
      <c r="G3210" s="61"/>
      <c r="H3210" s="61"/>
      <c r="I3210" s="61"/>
      <c r="J3210" s="61"/>
      <c r="K3210" s="61"/>
      <c r="L3210" s="62"/>
      <c r="M3210" s="63" t="str">
        <f>HYPERLINK("http://nsgreg.nga.mil/genc/view?v=865719&amp;end_month=12&amp;end_day=31&amp;end_year=2016","Correlation")</f>
        <v>Correlation</v>
      </c>
    </row>
    <row r="3211" spans="1:13" x14ac:dyDescent="0.2">
      <c r="A3211" s="113"/>
      <c r="B3211" s="58" t="s">
        <v>8389</v>
      </c>
      <c r="C3211" s="58" t="s">
        <v>1413</v>
      </c>
      <c r="D3211" s="58" t="s">
        <v>8390</v>
      </c>
      <c r="E3211" s="60" t="b">
        <v>1</v>
      </c>
      <c r="F3211" s="80" t="s">
        <v>1062</v>
      </c>
      <c r="G3211" s="58" t="s">
        <v>8389</v>
      </c>
      <c r="H3211" s="58" t="s">
        <v>1413</v>
      </c>
      <c r="I3211" s="64" t="s">
        <v>8390</v>
      </c>
      <c r="J3211" s="66"/>
      <c r="K3211" s="66"/>
      <c r="L3211" s="68"/>
      <c r="M3211" s="63" t="str">
        <f>HYPERLINK("http://nsgreg.nga.mil/genc/view?v=865721&amp;end_month=12&amp;end_day=31&amp;end_year=2016","Correlation")</f>
        <v>Correlation</v>
      </c>
    </row>
    <row r="3212" spans="1:13" x14ac:dyDescent="0.2">
      <c r="A3212" s="113"/>
      <c r="B3212" s="58" t="s">
        <v>8391</v>
      </c>
      <c r="C3212" s="58" t="s">
        <v>1413</v>
      </c>
      <c r="D3212" s="58" t="s">
        <v>8392</v>
      </c>
      <c r="E3212" s="60" t="b">
        <v>1</v>
      </c>
      <c r="F3212" s="80" t="s">
        <v>1062</v>
      </c>
      <c r="G3212" s="58" t="s">
        <v>8391</v>
      </c>
      <c r="H3212" s="58" t="s">
        <v>1413</v>
      </c>
      <c r="I3212" s="64" t="s">
        <v>8392</v>
      </c>
      <c r="J3212" s="66"/>
      <c r="K3212" s="66"/>
      <c r="L3212" s="68"/>
      <c r="M3212" s="63" t="str">
        <f>HYPERLINK("http://nsgreg.nga.mil/genc/view?v=865722&amp;end_month=12&amp;end_day=31&amp;end_year=2016","Correlation")</f>
        <v>Correlation</v>
      </c>
    </row>
    <row r="3213" spans="1:13" x14ac:dyDescent="0.2">
      <c r="A3213" s="113"/>
      <c r="B3213" s="58" t="s">
        <v>8393</v>
      </c>
      <c r="C3213" s="58" t="s">
        <v>1728</v>
      </c>
      <c r="D3213" s="58" t="s">
        <v>8394</v>
      </c>
      <c r="E3213" s="60" t="b">
        <v>1</v>
      </c>
      <c r="F3213" s="80" t="s">
        <v>1062</v>
      </c>
      <c r="G3213" s="58" t="s">
        <v>8393</v>
      </c>
      <c r="H3213" s="58" t="s">
        <v>1728</v>
      </c>
      <c r="I3213" s="64" t="s">
        <v>8394</v>
      </c>
      <c r="J3213" s="66"/>
      <c r="K3213" s="66"/>
      <c r="L3213" s="68"/>
      <c r="M3213" s="63" t="str">
        <f>HYPERLINK("http://nsgreg.nga.mil/genc/view?v=865635&amp;end_month=12&amp;end_day=31&amp;end_year=2016","Correlation")</f>
        <v>Correlation</v>
      </c>
    </row>
    <row r="3214" spans="1:13" x14ac:dyDescent="0.2">
      <c r="A3214" s="113"/>
      <c r="B3214" s="58" t="s">
        <v>8395</v>
      </c>
      <c r="C3214" s="58" t="s">
        <v>1413</v>
      </c>
      <c r="D3214" s="58" t="s">
        <v>8396</v>
      </c>
      <c r="E3214" s="60" t="b">
        <v>1</v>
      </c>
      <c r="F3214" s="80" t="s">
        <v>1062</v>
      </c>
      <c r="G3214" s="58" t="s">
        <v>8395</v>
      </c>
      <c r="H3214" s="58" t="s">
        <v>1413</v>
      </c>
      <c r="I3214" s="64" t="s">
        <v>8396</v>
      </c>
      <c r="J3214" s="66"/>
      <c r="K3214" s="66"/>
      <c r="L3214" s="68"/>
      <c r="M3214" s="63" t="str">
        <f>HYPERLINK("http://nsgreg.nga.mil/genc/view?v=865723&amp;end_month=12&amp;end_day=31&amp;end_year=2016","Correlation")</f>
        <v>Correlation</v>
      </c>
    </row>
    <row r="3215" spans="1:13" x14ac:dyDescent="0.2">
      <c r="A3215" s="113"/>
      <c r="B3215" s="58" t="s">
        <v>8397</v>
      </c>
      <c r="C3215" s="58" t="s">
        <v>1413</v>
      </c>
      <c r="D3215" s="58" t="s">
        <v>8398</v>
      </c>
      <c r="E3215" s="60" t="b">
        <v>1</v>
      </c>
      <c r="F3215" s="80" t="s">
        <v>1062</v>
      </c>
      <c r="G3215" s="58" t="s">
        <v>8397</v>
      </c>
      <c r="H3215" s="58" t="s">
        <v>1413</v>
      </c>
      <c r="I3215" s="64" t="s">
        <v>8398</v>
      </c>
      <c r="J3215" s="66"/>
      <c r="K3215" s="66"/>
      <c r="L3215" s="68"/>
      <c r="M3215" s="63" t="str">
        <f>HYPERLINK("http://nsgreg.nga.mil/genc/view?v=865724&amp;end_month=12&amp;end_day=31&amp;end_year=2016","Correlation")</f>
        <v>Correlation</v>
      </c>
    </row>
    <row r="3216" spans="1:13" x14ac:dyDescent="0.2">
      <c r="A3216" s="113"/>
      <c r="B3216" s="58" t="s">
        <v>8399</v>
      </c>
      <c r="C3216" s="58" t="s">
        <v>1413</v>
      </c>
      <c r="D3216" s="58" t="s">
        <v>8400</v>
      </c>
      <c r="E3216" s="60" t="b">
        <v>1</v>
      </c>
      <c r="F3216" s="80" t="s">
        <v>1062</v>
      </c>
      <c r="G3216" s="58" t="s">
        <v>8399</v>
      </c>
      <c r="H3216" s="58" t="s">
        <v>1413</v>
      </c>
      <c r="I3216" s="64" t="s">
        <v>8400</v>
      </c>
      <c r="J3216" s="66"/>
      <c r="K3216" s="66"/>
      <c r="L3216" s="68"/>
      <c r="M3216" s="63" t="str">
        <f>HYPERLINK("http://nsgreg.nga.mil/genc/view?v=865725&amp;end_month=12&amp;end_day=31&amp;end_year=2016","Correlation")</f>
        <v>Correlation</v>
      </c>
    </row>
    <row r="3217" spans="1:13" x14ac:dyDescent="0.2">
      <c r="A3217" s="113"/>
      <c r="B3217" s="58" t="s">
        <v>8401</v>
      </c>
      <c r="C3217" s="58" t="s">
        <v>1413</v>
      </c>
      <c r="D3217" s="58" t="s">
        <v>8402</v>
      </c>
      <c r="E3217" s="60" t="b">
        <v>1</v>
      </c>
      <c r="F3217" s="80" t="s">
        <v>1062</v>
      </c>
      <c r="G3217" s="58" t="s">
        <v>8403</v>
      </c>
      <c r="H3217" s="58" t="s">
        <v>1413</v>
      </c>
      <c r="I3217" s="64" t="s">
        <v>8402</v>
      </c>
      <c r="J3217" s="66"/>
      <c r="K3217" s="66"/>
      <c r="L3217" s="68"/>
      <c r="M3217" s="63" t="str">
        <f>HYPERLINK("http://nsgreg.nga.mil/genc/view?v=865710&amp;end_month=12&amp;end_day=31&amp;end_year=2016","Correlation")</f>
        <v>Correlation</v>
      </c>
    </row>
    <row r="3218" spans="1:13" x14ac:dyDescent="0.2">
      <c r="A3218" s="113"/>
      <c r="B3218" s="58" t="s">
        <v>8404</v>
      </c>
      <c r="C3218" s="58" t="s">
        <v>8218</v>
      </c>
      <c r="D3218" s="58" t="s">
        <v>8405</v>
      </c>
      <c r="E3218" s="60" t="b">
        <v>1</v>
      </c>
      <c r="F3218" s="61" t="s">
        <v>167</v>
      </c>
      <c r="G3218" s="61"/>
      <c r="H3218" s="61"/>
      <c r="I3218" s="61"/>
      <c r="J3218" s="61"/>
      <c r="K3218" s="61"/>
      <c r="L3218" s="62"/>
      <c r="M3218" s="63" t="str">
        <f>HYPERLINK("http://nsgreg.nga.mil/genc/view?v=865726&amp;end_month=12&amp;end_day=31&amp;end_year=2016","Correlation")</f>
        <v>Correlation</v>
      </c>
    </row>
    <row r="3219" spans="1:13" x14ac:dyDescent="0.2">
      <c r="A3219" s="113"/>
      <c r="B3219" s="58" t="s">
        <v>8406</v>
      </c>
      <c r="C3219" s="58" t="s">
        <v>1413</v>
      </c>
      <c r="D3219" s="58" t="s">
        <v>8407</v>
      </c>
      <c r="E3219" s="60" t="b">
        <v>1</v>
      </c>
      <c r="F3219" s="80" t="s">
        <v>1062</v>
      </c>
      <c r="G3219" s="58" t="s">
        <v>8408</v>
      </c>
      <c r="H3219" s="58" t="s">
        <v>1413</v>
      </c>
      <c r="I3219" s="64" t="s">
        <v>8407</v>
      </c>
      <c r="J3219" s="66"/>
      <c r="K3219" s="66"/>
      <c r="L3219" s="68"/>
      <c r="M3219" s="63" t="str">
        <f>HYPERLINK("http://nsgreg.nga.mil/genc/view?v=865711&amp;end_month=12&amp;end_day=31&amp;end_year=2016","Correlation")</f>
        <v>Correlation</v>
      </c>
    </row>
    <row r="3220" spans="1:13" x14ac:dyDescent="0.2">
      <c r="A3220" s="113"/>
      <c r="B3220" s="58" t="s">
        <v>8409</v>
      </c>
      <c r="C3220" s="58" t="s">
        <v>8294</v>
      </c>
      <c r="D3220" s="58" t="s">
        <v>8410</v>
      </c>
      <c r="E3220" s="60" t="b">
        <v>1</v>
      </c>
      <c r="F3220" s="61" t="s">
        <v>167</v>
      </c>
      <c r="G3220" s="61"/>
      <c r="H3220" s="61"/>
      <c r="I3220" s="61"/>
      <c r="J3220" s="61"/>
      <c r="K3220" s="61"/>
      <c r="L3220" s="62"/>
      <c r="M3220" s="63" t="str">
        <f>HYPERLINK("http://nsgreg.nga.mil/genc/view?v=865727&amp;end_month=12&amp;end_day=31&amp;end_year=2016","Correlation")</f>
        <v>Correlation</v>
      </c>
    </row>
    <row r="3221" spans="1:13" x14ac:dyDescent="0.2">
      <c r="A3221" s="113"/>
      <c r="B3221" s="58" t="s">
        <v>8411</v>
      </c>
      <c r="C3221" s="58" t="s">
        <v>1413</v>
      </c>
      <c r="D3221" s="58" t="s">
        <v>8412</v>
      </c>
      <c r="E3221" s="60" t="b">
        <v>1</v>
      </c>
      <c r="F3221" s="80" t="s">
        <v>1062</v>
      </c>
      <c r="G3221" s="58" t="s">
        <v>8411</v>
      </c>
      <c r="H3221" s="58" t="s">
        <v>1413</v>
      </c>
      <c r="I3221" s="64" t="s">
        <v>8412</v>
      </c>
      <c r="J3221" s="66"/>
      <c r="K3221" s="66"/>
      <c r="L3221" s="68"/>
      <c r="M3221" s="63" t="str">
        <f>HYPERLINK("http://nsgreg.nga.mil/genc/view?v=865732&amp;end_month=12&amp;end_day=31&amp;end_year=2016","Correlation")</f>
        <v>Correlation</v>
      </c>
    </row>
    <row r="3222" spans="1:13" x14ac:dyDescent="0.2">
      <c r="A3222" s="113"/>
      <c r="B3222" s="58" t="s">
        <v>8413</v>
      </c>
      <c r="C3222" s="58" t="s">
        <v>1413</v>
      </c>
      <c r="D3222" s="58" t="s">
        <v>8414</v>
      </c>
      <c r="E3222" s="60" t="b">
        <v>1</v>
      </c>
      <c r="F3222" s="80" t="s">
        <v>1062</v>
      </c>
      <c r="G3222" s="58" t="s">
        <v>8413</v>
      </c>
      <c r="H3222" s="58" t="s">
        <v>1413</v>
      </c>
      <c r="I3222" s="64" t="s">
        <v>8414</v>
      </c>
      <c r="J3222" s="66"/>
      <c r="K3222" s="66"/>
      <c r="L3222" s="68"/>
      <c r="M3222" s="63" t="str">
        <f>HYPERLINK("http://nsgreg.nga.mil/genc/view?v=865728&amp;end_month=12&amp;end_day=31&amp;end_year=2016","Correlation")</f>
        <v>Correlation</v>
      </c>
    </row>
    <row r="3223" spans="1:13" x14ac:dyDescent="0.2">
      <c r="A3223" s="113"/>
      <c r="B3223" s="58" t="s">
        <v>8415</v>
      </c>
      <c r="C3223" s="58" t="s">
        <v>1413</v>
      </c>
      <c r="D3223" s="58" t="s">
        <v>8416</v>
      </c>
      <c r="E3223" s="60" t="b">
        <v>1</v>
      </c>
      <c r="F3223" s="80" t="s">
        <v>1062</v>
      </c>
      <c r="G3223" s="58" t="s">
        <v>8415</v>
      </c>
      <c r="H3223" s="58" t="s">
        <v>1413</v>
      </c>
      <c r="I3223" s="64" t="s">
        <v>8416</v>
      </c>
      <c r="J3223" s="66"/>
      <c r="K3223" s="66"/>
      <c r="L3223" s="68"/>
      <c r="M3223" s="63" t="str">
        <f>HYPERLINK("http://nsgreg.nga.mil/genc/view?v=865729&amp;end_month=12&amp;end_day=31&amp;end_year=2016","Correlation")</f>
        <v>Correlation</v>
      </c>
    </row>
    <row r="3224" spans="1:13" x14ac:dyDescent="0.2">
      <c r="A3224" s="113"/>
      <c r="B3224" s="58" t="s">
        <v>8417</v>
      </c>
      <c r="C3224" s="58" t="s">
        <v>8218</v>
      </c>
      <c r="D3224" s="58" t="s">
        <v>8418</v>
      </c>
      <c r="E3224" s="60" t="b">
        <v>1</v>
      </c>
      <c r="F3224" s="61" t="s">
        <v>167</v>
      </c>
      <c r="G3224" s="61"/>
      <c r="H3224" s="61"/>
      <c r="I3224" s="61"/>
      <c r="J3224" s="61"/>
      <c r="K3224" s="61"/>
      <c r="L3224" s="62"/>
      <c r="M3224" s="63" t="str">
        <f>HYPERLINK("http://nsgreg.nga.mil/genc/view?v=865730&amp;end_month=12&amp;end_day=31&amp;end_year=2016","Correlation")</f>
        <v>Correlation</v>
      </c>
    </row>
    <row r="3225" spans="1:13" x14ac:dyDescent="0.2">
      <c r="A3225" s="113"/>
      <c r="B3225" s="58" t="s">
        <v>8419</v>
      </c>
      <c r="C3225" s="58" t="s">
        <v>8218</v>
      </c>
      <c r="D3225" s="58" t="s">
        <v>8420</v>
      </c>
      <c r="E3225" s="60" t="b">
        <v>1</v>
      </c>
      <c r="F3225" s="61" t="s">
        <v>167</v>
      </c>
      <c r="G3225" s="61"/>
      <c r="H3225" s="61"/>
      <c r="I3225" s="61"/>
      <c r="J3225" s="61"/>
      <c r="K3225" s="61"/>
      <c r="L3225" s="62"/>
      <c r="M3225" s="63" t="str">
        <f>HYPERLINK("http://nsgreg.nga.mil/genc/view?v=865731&amp;end_month=12&amp;end_day=31&amp;end_year=2016","Correlation")</f>
        <v>Correlation</v>
      </c>
    </row>
    <row r="3226" spans="1:13" x14ac:dyDescent="0.2">
      <c r="A3226" s="113"/>
      <c r="B3226" s="58" t="s">
        <v>8421</v>
      </c>
      <c r="C3226" s="58" t="s">
        <v>8218</v>
      </c>
      <c r="D3226" s="58" t="s">
        <v>8422</v>
      </c>
      <c r="E3226" s="60" t="b">
        <v>1</v>
      </c>
      <c r="F3226" s="61" t="s">
        <v>167</v>
      </c>
      <c r="G3226" s="61"/>
      <c r="H3226" s="61"/>
      <c r="I3226" s="61"/>
      <c r="J3226" s="61"/>
      <c r="K3226" s="61"/>
      <c r="L3226" s="62"/>
      <c r="M3226" s="63" t="str">
        <f>HYPERLINK("http://nsgreg.nga.mil/genc/view?v=865734&amp;end_month=12&amp;end_day=31&amp;end_year=2016","Correlation")</f>
        <v>Correlation</v>
      </c>
    </row>
    <row r="3227" spans="1:13" x14ac:dyDescent="0.2">
      <c r="A3227" s="113"/>
      <c r="B3227" s="58" t="s">
        <v>8423</v>
      </c>
      <c r="C3227" s="58" t="s">
        <v>8218</v>
      </c>
      <c r="D3227" s="58" t="s">
        <v>8424</v>
      </c>
      <c r="E3227" s="60" t="b">
        <v>1</v>
      </c>
      <c r="F3227" s="61" t="s">
        <v>167</v>
      </c>
      <c r="G3227" s="61"/>
      <c r="H3227" s="61"/>
      <c r="I3227" s="61"/>
      <c r="J3227" s="61"/>
      <c r="K3227" s="61"/>
      <c r="L3227" s="62"/>
      <c r="M3227" s="63" t="str">
        <f>HYPERLINK("http://nsgreg.nga.mil/genc/view?v=865733&amp;end_month=12&amp;end_day=31&amp;end_year=2016","Correlation")</f>
        <v>Correlation</v>
      </c>
    </row>
    <row r="3228" spans="1:13" x14ac:dyDescent="0.2">
      <c r="A3228" s="113"/>
      <c r="B3228" s="58" t="s">
        <v>8425</v>
      </c>
      <c r="C3228" s="58" t="s">
        <v>8218</v>
      </c>
      <c r="D3228" s="58" t="s">
        <v>8426</v>
      </c>
      <c r="E3228" s="60" t="b">
        <v>1</v>
      </c>
      <c r="F3228" s="61" t="s">
        <v>167</v>
      </c>
      <c r="G3228" s="61"/>
      <c r="H3228" s="61"/>
      <c r="I3228" s="61"/>
      <c r="J3228" s="61"/>
      <c r="K3228" s="61"/>
      <c r="L3228" s="62"/>
      <c r="M3228" s="63" t="str">
        <f>HYPERLINK("http://nsgreg.nga.mil/genc/view?v=865737&amp;end_month=12&amp;end_day=31&amp;end_year=2016","Correlation")</f>
        <v>Correlation</v>
      </c>
    </row>
    <row r="3229" spans="1:13" x14ac:dyDescent="0.2">
      <c r="A3229" s="113"/>
      <c r="B3229" s="58" t="s">
        <v>8425</v>
      </c>
      <c r="C3229" s="58" t="s">
        <v>1413</v>
      </c>
      <c r="D3229" s="58" t="s">
        <v>8427</v>
      </c>
      <c r="E3229" s="60" t="b">
        <v>1</v>
      </c>
      <c r="F3229" s="80" t="s">
        <v>1062</v>
      </c>
      <c r="G3229" s="58" t="s">
        <v>8425</v>
      </c>
      <c r="H3229" s="58" t="s">
        <v>1413</v>
      </c>
      <c r="I3229" s="64" t="s">
        <v>8427</v>
      </c>
      <c r="J3229" s="66"/>
      <c r="K3229" s="66"/>
      <c r="L3229" s="68"/>
      <c r="M3229" s="63" t="str">
        <f>HYPERLINK("http://nsgreg.nga.mil/genc/view?v=865735&amp;end_month=12&amp;end_day=31&amp;end_year=2016","Correlation")</f>
        <v>Correlation</v>
      </c>
    </row>
    <row r="3230" spans="1:13" x14ac:dyDescent="0.2">
      <c r="A3230" s="113"/>
      <c r="B3230" s="58" t="s">
        <v>8428</v>
      </c>
      <c r="C3230" s="58" t="s">
        <v>1413</v>
      </c>
      <c r="D3230" s="58" t="s">
        <v>8429</v>
      </c>
      <c r="E3230" s="60" t="b">
        <v>1</v>
      </c>
      <c r="F3230" s="80" t="s">
        <v>1062</v>
      </c>
      <c r="G3230" s="58" t="s">
        <v>8428</v>
      </c>
      <c r="H3230" s="58" t="s">
        <v>1413</v>
      </c>
      <c r="I3230" s="64" t="s">
        <v>8429</v>
      </c>
      <c r="J3230" s="66"/>
      <c r="K3230" s="66"/>
      <c r="L3230" s="68"/>
      <c r="M3230" s="63" t="str">
        <f>HYPERLINK("http://nsgreg.nga.mil/genc/view?v=865736&amp;end_month=12&amp;end_day=31&amp;end_year=2016","Correlation")</f>
        <v>Correlation</v>
      </c>
    </row>
    <row r="3231" spans="1:13" x14ac:dyDescent="0.2">
      <c r="A3231" s="113"/>
      <c r="B3231" s="58" t="s">
        <v>8430</v>
      </c>
      <c r="C3231" s="58" t="s">
        <v>1413</v>
      </c>
      <c r="D3231" s="58" t="s">
        <v>8431</v>
      </c>
      <c r="E3231" s="60" t="b">
        <v>1</v>
      </c>
      <c r="F3231" s="80" t="s">
        <v>1062</v>
      </c>
      <c r="G3231" s="58" t="s">
        <v>8430</v>
      </c>
      <c r="H3231" s="58" t="s">
        <v>1413</v>
      </c>
      <c r="I3231" s="64" t="s">
        <v>8431</v>
      </c>
      <c r="J3231" s="66"/>
      <c r="K3231" s="66"/>
      <c r="L3231" s="68"/>
      <c r="M3231" s="63" t="str">
        <f>HYPERLINK("http://nsgreg.nga.mil/genc/view?v=865738&amp;end_month=12&amp;end_day=31&amp;end_year=2016","Correlation")</f>
        <v>Correlation</v>
      </c>
    </row>
    <row r="3232" spans="1:13" x14ac:dyDescent="0.2">
      <c r="A3232" s="113"/>
      <c r="B3232" s="58" t="s">
        <v>8432</v>
      </c>
      <c r="C3232" s="58" t="s">
        <v>1413</v>
      </c>
      <c r="D3232" s="58" t="s">
        <v>8433</v>
      </c>
      <c r="E3232" s="60" t="b">
        <v>1</v>
      </c>
      <c r="F3232" s="80" t="s">
        <v>1062</v>
      </c>
      <c r="G3232" s="58" t="s">
        <v>8432</v>
      </c>
      <c r="H3232" s="58" t="s">
        <v>1413</v>
      </c>
      <c r="I3232" s="64" t="s">
        <v>8433</v>
      </c>
      <c r="J3232" s="66"/>
      <c r="K3232" s="66"/>
      <c r="L3232" s="68"/>
      <c r="M3232" s="63" t="str">
        <f>HYPERLINK("http://nsgreg.nga.mil/genc/view?v=865739&amp;end_month=12&amp;end_day=31&amp;end_year=2016","Correlation")</f>
        <v>Correlation</v>
      </c>
    </row>
    <row r="3233" spans="1:13" x14ac:dyDescent="0.2">
      <c r="A3233" s="113"/>
      <c r="B3233" s="58" t="s">
        <v>8434</v>
      </c>
      <c r="C3233" s="58" t="s">
        <v>1413</v>
      </c>
      <c r="D3233" s="58" t="s">
        <v>8435</v>
      </c>
      <c r="E3233" s="60" t="b">
        <v>1</v>
      </c>
      <c r="F3233" s="80" t="s">
        <v>1062</v>
      </c>
      <c r="G3233" s="58" t="s">
        <v>8434</v>
      </c>
      <c r="H3233" s="58" t="s">
        <v>1413</v>
      </c>
      <c r="I3233" s="64" t="s">
        <v>8435</v>
      </c>
      <c r="J3233" s="66"/>
      <c r="K3233" s="66"/>
      <c r="L3233" s="68"/>
      <c r="M3233" s="63" t="str">
        <f>HYPERLINK("http://nsgreg.nga.mil/genc/view?v=865756&amp;end_month=12&amp;end_day=31&amp;end_year=2016","Correlation")</f>
        <v>Correlation</v>
      </c>
    </row>
    <row r="3234" spans="1:13" x14ac:dyDescent="0.2">
      <c r="A3234" s="113"/>
      <c r="B3234" s="58" t="s">
        <v>1712</v>
      </c>
      <c r="C3234" s="58" t="s">
        <v>8218</v>
      </c>
      <c r="D3234" s="58" t="s">
        <v>8436</v>
      </c>
      <c r="E3234" s="60" t="b">
        <v>1</v>
      </c>
      <c r="F3234" s="61" t="s">
        <v>167</v>
      </c>
      <c r="G3234" s="61"/>
      <c r="H3234" s="61"/>
      <c r="I3234" s="61"/>
      <c r="J3234" s="61"/>
      <c r="K3234" s="61"/>
      <c r="L3234" s="62"/>
      <c r="M3234" s="63" t="str">
        <f>HYPERLINK("http://nsgreg.nga.mil/genc/view?v=865746&amp;end_month=12&amp;end_day=31&amp;end_year=2016","Correlation")</f>
        <v>Correlation</v>
      </c>
    </row>
    <row r="3235" spans="1:13" x14ac:dyDescent="0.2">
      <c r="A3235" s="113"/>
      <c r="B3235" s="58" t="s">
        <v>3821</v>
      </c>
      <c r="C3235" s="58" t="s">
        <v>8294</v>
      </c>
      <c r="D3235" s="58" t="s">
        <v>8437</v>
      </c>
      <c r="E3235" s="60" t="b">
        <v>1</v>
      </c>
      <c r="F3235" s="61" t="s">
        <v>167</v>
      </c>
      <c r="G3235" s="61"/>
      <c r="H3235" s="61"/>
      <c r="I3235" s="61"/>
      <c r="J3235" s="61"/>
      <c r="K3235" s="61"/>
      <c r="L3235" s="62"/>
      <c r="M3235" s="63" t="str">
        <f>HYPERLINK("http://nsgreg.nga.mil/genc/view?v=865740&amp;end_month=12&amp;end_day=31&amp;end_year=2016","Correlation")</f>
        <v>Correlation</v>
      </c>
    </row>
    <row r="3236" spans="1:13" x14ac:dyDescent="0.2">
      <c r="A3236" s="113"/>
      <c r="B3236" s="58" t="s">
        <v>8438</v>
      </c>
      <c r="C3236" s="58" t="s">
        <v>1413</v>
      </c>
      <c r="D3236" s="58" t="s">
        <v>8439</v>
      </c>
      <c r="E3236" s="60" t="b">
        <v>1</v>
      </c>
      <c r="F3236" s="80" t="s">
        <v>1062</v>
      </c>
      <c r="G3236" s="58" t="s">
        <v>8438</v>
      </c>
      <c r="H3236" s="58" t="s">
        <v>1413</v>
      </c>
      <c r="I3236" s="64" t="s">
        <v>8439</v>
      </c>
      <c r="J3236" s="66"/>
      <c r="K3236" s="66"/>
      <c r="L3236" s="68"/>
      <c r="M3236" s="63" t="str">
        <f>HYPERLINK("http://nsgreg.nga.mil/genc/view?v=865741&amp;end_month=12&amp;end_day=31&amp;end_year=2016","Correlation")</f>
        <v>Correlation</v>
      </c>
    </row>
    <row r="3237" spans="1:13" x14ac:dyDescent="0.2">
      <c r="A3237" s="113"/>
      <c r="B3237" s="58" t="s">
        <v>8440</v>
      </c>
      <c r="C3237" s="58" t="s">
        <v>1413</v>
      </c>
      <c r="D3237" s="58" t="s">
        <v>8441</v>
      </c>
      <c r="E3237" s="60" t="b">
        <v>1</v>
      </c>
      <c r="F3237" s="80" t="s">
        <v>1062</v>
      </c>
      <c r="G3237" s="58" t="s">
        <v>8440</v>
      </c>
      <c r="H3237" s="58" t="s">
        <v>1413</v>
      </c>
      <c r="I3237" s="64" t="s">
        <v>8441</v>
      </c>
      <c r="J3237" s="66"/>
      <c r="K3237" s="66"/>
      <c r="L3237" s="68"/>
      <c r="M3237" s="63" t="str">
        <f>HYPERLINK("http://nsgreg.nga.mil/genc/view?v=865743&amp;end_month=12&amp;end_day=31&amp;end_year=2016","Correlation")</f>
        <v>Correlation</v>
      </c>
    </row>
    <row r="3238" spans="1:13" x14ac:dyDescent="0.2">
      <c r="A3238" s="113"/>
      <c r="B3238" s="58" t="s">
        <v>8442</v>
      </c>
      <c r="C3238" s="58" t="s">
        <v>1728</v>
      </c>
      <c r="D3238" s="58" t="s">
        <v>8443</v>
      </c>
      <c r="E3238" s="60" t="b">
        <v>1</v>
      </c>
      <c r="F3238" s="80" t="s">
        <v>1062</v>
      </c>
      <c r="G3238" s="58" t="s">
        <v>8444</v>
      </c>
      <c r="H3238" s="58" t="s">
        <v>1728</v>
      </c>
      <c r="I3238" s="64" t="s">
        <v>8443</v>
      </c>
      <c r="J3238" s="66"/>
      <c r="K3238" s="66"/>
      <c r="L3238" s="68"/>
      <c r="M3238" s="63" t="str">
        <f>HYPERLINK("http://nsgreg.nga.mil/genc/view?v=865637&amp;end_month=12&amp;end_day=31&amp;end_year=2016","Correlation")</f>
        <v>Correlation</v>
      </c>
    </row>
    <row r="3239" spans="1:13" x14ac:dyDescent="0.2">
      <c r="A3239" s="113"/>
      <c r="B3239" s="58" t="s">
        <v>8445</v>
      </c>
      <c r="C3239" s="58" t="s">
        <v>1413</v>
      </c>
      <c r="D3239" s="58" t="s">
        <v>8446</v>
      </c>
      <c r="E3239" s="60" t="b">
        <v>1</v>
      </c>
      <c r="F3239" s="80" t="s">
        <v>1062</v>
      </c>
      <c r="G3239" s="58" t="s">
        <v>8445</v>
      </c>
      <c r="H3239" s="58" t="s">
        <v>1413</v>
      </c>
      <c r="I3239" s="64" t="s">
        <v>8446</v>
      </c>
      <c r="J3239" s="66"/>
      <c r="K3239" s="66"/>
      <c r="L3239" s="68"/>
      <c r="M3239" s="63" t="str">
        <f>HYPERLINK("http://nsgreg.nga.mil/genc/view?v=865747&amp;end_month=12&amp;end_day=31&amp;end_year=2016","Correlation")</f>
        <v>Correlation</v>
      </c>
    </row>
    <row r="3240" spans="1:13" x14ac:dyDescent="0.2">
      <c r="A3240" s="113"/>
      <c r="B3240" s="58" t="s">
        <v>8447</v>
      </c>
      <c r="C3240" s="58" t="s">
        <v>1413</v>
      </c>
      <c r="D3240" s="58" t="s">
        <v>8448</v>
      </c>
      <c r="E3240" s="60" t="b">
        <v>1</v>
      </c>
      <c r="F3240" s="80" t="s">
        <v>1062</v>
      </c>
      <c r="G3240" s="58" t="s">
        <v>8447</v>
      </c>
      <c r="H3240" s="58" t="s">
        <v>1413</v>
      </c>
      <c r="I3240" s="64" t="s">
        <v>8448</v>
      </c>
      <c r="J3240" s="66"/>
      <c r="K3240" s="66"/>
      <c r="L3240" s="68"/>
      <c r="M3240" s="63" t="str">
        <f>HYPERLINK("http://nsgreg.nga.mil/genc/view?v=865742&amp;end_month=12&amp;end_day=31&amp;end_year=2016","Correlation")</f>
        <v>Correlation</v>
      </c>
    </row>
    <row r="3241" spans="1:13" x14ac:dyDescent="0.2">
      <c r="A3241" s="113"/>
      <c r="B3241" s="58" t="s">
        <v>8449</v>
      </c>
      <c r="C3241" s="58" t="s">
        <v>1413</v>
      </c>
      <c r="D3241" s="58" t="s">
        <v>8450</v>
      </c>
      <c r="E3241" s="60" t="b">
        <v>1</v>
      </c>
      <c r="F3241" s="80" t="s">
        <v>1062</v>
      </c>
      <c r="G3241" s="58" t="s">
        <v>8449</v>
      </c>
      <c r="H3241" s="58" t="s">
        <v>1413</v>
      </c>
      <c r="I3241" s="64" t="s">
        <v>8450</v>
      </c>
      <c r="J3241" s="66"/>
      <c r="K3241" s="66"/>
      <c r="L3241" s="68"/>
      <c r="M3241" s="63" t="str">
        <f>HYPERLINK("http://nsgreg.nga.mil/genc/view?v=865744&amp;end_month=12&amp;end_day=31&amp;end_year=2016","Correlation")</f>
        <v>Correlation</v>
      </c>
    </row>
    <row r="3242" spans="1:13" x14ac:dyDescent="0.2">
      <c r="A3242" s="113"/>
      <c r="B3242" s="58" t="s">
        <v>8451</v>
      </c>
      <c r="C3242" s="58" t="s">
        <v>1413</v>
      </c>
      <c r="D3242" s="58" t="s">
        <v>8452</v>
      </c>
      <c r="E3242" s="60" t="b">
        <v>1</v>
      </c>
      <c r="F3242" s="80" t="s">
        <v>1062</v>
      </c>
      <c r="G3242" s="58" t="s">
        <v>8451</v>
      </c>
      <c r="H3242" s="58" t="s">
        <v>1413</v>
      </c>
      <c r="I3242" s="64" t="s">
        <v>8452</v>
      </c>
      <c r="J3242" s="66"/>
      <c r="K3242" s="66"/>
      <c r="L3242" s="68"/>
      <c r="M3242" s="63" t="str">
        <f>HYPERLINK("http://nsgreg.nga.mil/genc/view?v=865748&amp;end_month=12&amp;end_day=31&amp;end_year=2016","Correlation")</f>
        <v>Correlation</v>
      </c>
    </row>
    <row r="3243" spans="1:13" x14ac:dyDescent="0.2">
      <c r="A3243" s="113"/>
      <c r="B3243" s="58" t="s">
        <v>8453</v>
      </c>
      <c r="C3243" s="58" t="s">
        <v>1413</v>
      </c>
      <c r="D3243" s="58" t="s">
        <v>8454</v>
      </c>
      <c r="E3243" s="60" t="b">
        <v>1</v>
      </c>
      <c r="F3243" s="80" t="s">
        <v>1062</v>
      </c>
      <c r="G3243" s="58" t="s">
        <v>8453</v>
      </c>
      <c r="H3243" s="58" t="s">
        <v>1413</v>
      </c>
      <c r="I3243" s="64" t="s">
        <v>8454</v>
      </c>
      <c r="J3243" s="66"/>
      <c r="K3243" s="66"/>
      <c r="L3243" s="68"/>
      <c r="M3243" s="63" t="str">
        <f>HYPERLINK("http://nsgreg.nga.mil/genc/view?v=865745&amp;end_month=12&amp;end_day=31&amp;end_year=2016","Correlation")</f>
        <v>Correlation</v>
      </c>
    </row>
    <row r="3244" spans="1:13" x14ac:dyDescent="0.2">
      <c r="A3244" s="113"/>
      <c r="B3244" s="58" t="s">
        <v>8455</v>
      </c>
      <c r="C3244" s="58" t="s">
        <v>1413</v>
      </c>
      <c r="D3244" s="58" t="s">
        <v>8456</v>
      </c>
      <c r="E3244" s="60" t="b">
        <v>1</v>
      </c>
      <c r="F3244" s="80" t="s">
        <v>1062</v>
      </c>
      <c r="G3244" s="58" t="s">
        <v>8455</v>
      </c>
      <c r="H3244" s="58" t="s">
        <v>1413</v>
      </c>
      <c r="I3244" s="64" t="s">
        <v>8456</v>
      </c>
      <c r="J3244" s="66"/>
      <c r="K3244" s="66"/>
      <c r="L3244" s="68"/>
      <c r="M3244" s="63" t="str">
        <f>HYPERLINK("http://nsgreg.nga.mil/genc/view?v=865749&amp;end_month=12&amp;end_day=31&amp;end_year=2016","Correlation")</f>
        <v>Correlation</v>
      </c>
    </row>
    <row r="3245" spans="1:13" x14ac:dyDescent="0.2">
      <c r="A3245" s="113"/>
      <c r="B3245" s="58" t="s">
        <v>8457</v>
      </c>
      <c r="C3245" s="58" t="s">
        <v>1413</v>
      </c>
      <c r="D3245" s="58" t="s">
        <v>8458</v>
      </c>
      <c r="E3245" s="60" t="b">
        <v>1</v>
      </c>
      <c r="F3245" s="80" t="s">
        <v>1062</v>
      </c>
      <c r="G3245" s="58" t="s">
        <v>8457</v>
      </c>
      <c r="H3245" s="58" t="s">
        <v>1413</v>
      </c>
      <c r="I3245" s="64" t="s">
        <v>8458</v>
      </c>
      <c r="J3245" s="66"/>
      <c r="K3245" s="66"/>
      <c r="L3245" s="68"/>
      <c r="M3245" s="63" t="str">
        <f>HYPERLINK("http://nsgreg.nga.mil/genc/view?v=865750&amp;end_month=12&amp;end_day=31&amp;end_year=2016","Correlation")</f>
        <v>Correlation</v>
      </c>
    </row>
    <row r="3246" spans="1:13" x14ac:dyDescent="0.2">
      <c r="A3246" s="113"/>
      <c r="B3246" s="58" t="s">
        <v>8459</v>
      </c>
      <c r="C3246" s="58" t="s">
        <v>8218</v>
      </c>
      <c r="D3246" s="58" t="s">
        <v>8460</v>
      </c>
      <c r="E3246" s="60" t="b">
        <v>1</v>
      </c>
      <c r="F3246" s="61" t="s">
        <v>167</v>
      </c>
      <c r="G3246" s="61"/>
      <c r="H3246" s="61"/>
      <c r="I3246" s="61"/>
      <c r="J3246" s="61"/>
      <c r="K3246" s="61"/>
      <c r="L3246" s="62"/>
      <c r="M3246" s="63" t="str">
        <f>HYPERLINK("http://nsgreg.nga.mil/genc/view?v=865751&amp;end_month=12&amp;end_day=31&amp;end_year=2016","Correlation")</f>
        <v>Correlation</v>
      </c>
    </row>
    <row r="3247" spans="1:13" x14ac:dyDescent="0.2">
      <c r="A3247" s="113"/>
      <c r="B3247" s="58" t="s">
        <v>8461</v>
      </c>
      <c r="C3247" s="58" t="s">
        <v>8218</v>
      </c>
      <c r="D3247" s="58" t="s">
        <v>8462</v>
      </c>
      <c r="E3247" s="60" t="b">
        <v>1</v>
      </c>
      <c r="F3247" s="61" t="s">
        <v>167</v>
      </c>
      <c r="G3247" s="61"/>
      <c r="H3247" s="61"/>
      <c r="I3247" s="61"/>
      <c r="J3247" s="61"/>
      <c r="K3247" s="61"/>
      <c r="L3247" s="62"/>
      <c r="M3247" s="63" t="str">
        <f>HYPERLINK("http://nsgreg.nga.mil/genc/view?v=865752&amp;end_month=12&amp;end_day=31&amp;end_year=2016","Correlation")</f>
        <v>Correlation</v>
      </c>
    </row>
    <row r="3248" spans="1:13" x14ac:dyDescent="0.2">
      <c r="A3248" s="113"/>
      <c r="B3248" s="58" t="s">
        <v>8463</v>
      </c>
      <c r="C3248" s="58" t="s">
        <v>1413</v>
      </c>
      <c r="D3248" s="58" t="s">
        <v>8464</v>
      </c>
      <c r="E3248" s="60" t="b">
        <v>1</v>
      </c>
      <c r="F3248" s="80" t="s">
        <v>1062</v>
      </c>
      <c r="G3248" s="58" t="s">
        <v>8463</v>
      </c>
      <c r="H3248" s="58" t="s">
        <v>1413</v>
      </c>
      <c r="I3248" s="64" t="s">
        <v>8464</v>
      </c>
      <c r="J3248" s="66"/>
      <c r="K3248" s="66"/>
      <c r="L3248" s="68"/>
      <c r="M3248" s="63" t="str">
        <f>HYPERLINK("http://nsgreg.nga.mil/genc/view?v=865753&amp;end_month=12&amp;end_day=31&amp;end_year=2016","Correlation")</f>
        <v>Correlation</v>
      </c>
    </row>
    <row r="3249" spans="1:13" x14ac:dyDescent="0.2">
      <c r="A3249" s="113"/>
      <c r="B3249" s="58" t="s">
        <v>8465</v>
      </c>
      <c r="C3249" s="58" t="s">
        <v>1413</v>
      </c>
      <c r="D3249" s="58" t="s">
        <v>8466</v>
      </c>
      <c r="E3249" s="60" t="b">
        <v>1</v>
      </c>
      <c r="F3249" s="80" t="s">
        <v>1062</v>
      </c>
      <c r="G3249" s="58" t="s">
        <v>8465</v>
      </c>
      <c r="H3249" s="58" t="s">
        <v>1413</v>
      </c>
      <c r="I3249" s="64" t="s">
        <v>8466</v>
      </c>
      <c r="J3249" s="66"/>
      <c r="K3249" s="66"/>
      <c r="L3249" s="68"/>
      <c r="M3249" s="63" t="str">
        <f>HYPERLINK("http://nsgreg.nga.mil/genc/view?v=865754&amp;end_month=12&amp;end_day=31&amp;end_year=2016","Correlation")</f>
        <v>Correlation</v>
      </c>
    </row>
    <row r="3250" spans="1:13" x14ac:dyDescent="0.2">
      <c r="A3250" s="113"/>
      <c r="B3250" s="58" t="s">
        <v>8467</v>
      </c>
      <c r="C3250" s="58" t="s">
        <v>8218</v>
      </c>
      <c r="D3250" s="58" t="s">
        <v>8468</v>
      </c>
      <c r="E3250" s="60" t="b">
        <v>1</v>
      </c>
      <c r="F3250" s="61" t="s">
        <v>167</v>
      </c>
      <c r="G3250" s="61"/>
      <c r="H3250" s="61"/>
      <c r="I3250" s="61"/>
      <c r="J3250" s="61"/>
      <c r="K3250" s="61"/>
      <c r="L3250" s="62"/>
      <c r="M3250" s="63" t="str">
        <f>HYPERLINK("http://nsgreg.nga.mil/genc/view?v=865755&amp;end_month=12&amp;end_day=31&amp;end_year=2016","Correlation")</f>
        <v>Correlation</v>
      </c>
    </row>
    <row r="3251" spans="1:13" x14ac:dyDescent="0.2">
      <c r="A3251" s="113"/>
      <c r="B3251" s="58" t="s">
        <v>8469</v>
      </c>
      <c r="C3251" s="58" t="s">
        <v>1728</v>
      </c>
      <c r="D3251" s="58" t="s">
        <v>8470</v>
      </c>
      <c r="E3251" s="60" t="b">
        <v>1</v>
      </c>
      <c r="F3251" s="80" t="s">
        <v>1062</v>
      </c>
      <c r="G3251" s="58" t="s">
        <v>8469</v>
      </c>
      <c r="H3251" s="58" t="s">
        <v>1728</v>
      </c>
      <c r="I3251" s="64" t="s">
        <v>8470</v>
      </c>
      <c r="J3251" s="66"/>
      <c r="K3251" s="66"/>
      <c r="L3251" s="68"/>
      <c r="M3251" s="63" t="str">
        <f>HYPERLINK("http://nsgreg.nga.mil/genc/view?v=865631&amp;end_month=12&amp;end_day=31&amp;end_year=2016","Correlation")</f>
        <v>Correlation</v>
      </c>
    </row>
    <row r="3252" spans="1:13" x14ac:dyDescent="0.2">
      <c r="A3252" s="113"/>
      <c r="B3252" s="58" t="s">
        <v>8471</v>
      </c>
      <c r="C3252" s="58" t="s">
        <v>1413</v>
      </c>
      <c r="D3252" s="58" t="s">
        <v>8472</v>
      </c>
      <c r="E3252" s="60" t="b">
        <v>1</v>
      </c>
      <c r="F3252" s="80" t="s">
        <v>1062</v>
      </c>
      <c r="G3252" s="58" t="s">
        <v>8471</v>
      </c>
      <c r="H3252" s="58" t="s">
        <v>1413</v>
      </c>
      <c r="I3252" s="64" t="s">
        <v>8472</v>
      </c>
      <c r="J3252" s="66"/>
      <c r="K3252" s="66"/>
      <c r="L3252" s="68"/>
      <c r="M3252" s="63" t="str">
        <f>HYPERLINK("http://nsgreg.nga.mil/genc/view?v=865760&amp;end_month=12&amp;end_day=31&amp;end_year=2016","Correlation")</f>
        <v>Correlation</v>
      </c>
    </row>
    <row r="3253" spans="1:13" x14ac:dyDescent="0.2">
      <c r="A3253" s="113"/>
      <c r="B3253" s="58" t="s">
        <v>8473</v>
      </c>
      <c r="C3253" s="58" t="s">
        <v>8218</v>
      </c>
      <c r="D3253" s="58" t="s">
        <v>8474</v>
      </c>
      <c r="E3253" s="60" t="b">
        <v>1</v>
      </c>
      <c r="F3253" s="61" t="s">
        <v>167</v>
      </c>
      <c r="G3253" s="61"/>
      <c r="H3253" s="61"/>
      <c r="I3253" s="61"/>
      <c r="J3253" s="61"/>
      <c r="K3253" s="61"/>
      <c r="L3253" s="62"/>
      <c r="M3253" s="63" t="str">
        <f>HYPERLINK("http://nsgreg.nga.mil/genc/view?v=865757&amp;end_month=12&amp;end_day=31&amp;end_year=2016","Correlation")</f>
        <v>Correlation</v>
      </c>
    </row>
    <row r="3254" spans="1:13" x14ac:dyDescent="0.2">
      <c r="A3254" s="113"/>
      <c r="B3254" s="58" t="s">
        <v>8475</v>
      </c>
      <c r="C3254" s="58" t="s">
        <v>1413</v>
      </c>
      <c r="D3254" s="58" t="s">
        <v>8476</v>
      </c>
      <c r="E3254" s="60" t="b">
        <v>1</v>
      </c>
      <c r="F3254" s="80" t="s">
        <v>1062</v>
      </c>
      <c r="G3254" s="58" t="s">
        <v>8475</v>
      </c>
      <c r="H3254" s="58" t="s">
        <v>1413</v>
      </c>
      <c r="I3254" s="64" t="s">
        <v>8476</v>
      </c>
      <c r="J3254" s="66"/>
      <c r="K3254" s="66"/>
      <c r="L3254" s="68"/>
      <c r="M3254" s="63" t="str">
        <f>HYPERLINK("http://nsgreg.nga.mil/genc/view?v=865758&amp;end_month=12&amp;end_day=31&amp;end_year=2016","Correlation")</f>
        <v>Correlation</v>
      </c>
    </row>
    <row r="3255" spans="1:13" x14ac:dyDescent="0.2">
      <c r="A3255" s="113"/>
      <c r="B3255" s="58" t="s">
        <v>8477</v>
      </c>
      <c r="C3255" s="58" t="s">
        <v>1413</v>
      </c>
      <c r="D3255" s="58" t="s">
        <v>8478</v>
      </c>
      <c r="E3255" s="60" t="b">
        <v>1</v>
      </c>
      <c r="F3255" s="80" t="s">
        <v>1062</v>
      </c>
      <c r="G3255" s="58" t="s">
        <v>8477</v>
      </c>
      <c r="H3255" s="58" t="s">
        <v>1413</v>
      </c>
      <c r="I3255" s="64" t="s">
        <v>8478</v>
      </c>
      <c r="J3255" s="66"/>
      <c r="K3255" s="66"/>
      <c r="L3255" s="68"/>
      <c r="M3255" s="63" t="str">
        <f>HYPERLINK("http://nsgreg.nga.mil/genc/view?v=865759&amp;end_month=12&amp;end_day=31&amp;end_year=2016","Correlation")</f>
        <v>Correlation</v>
      </c>
    </row>
    <row r="3256" spans="1:13" x14ac:dyDescent="0.2">
      <c r="A3256" s="113"/>
      <c r="B3256" s="58" t="s">
        <v>8479</v>
      </c>
      <c r="C3256" s="58" t="s">
        <v>1728</v>
      </c>
      <c r="D3256" s="58" t="s">
        <v>8480</v>
      </c>
      <c r="E3256" s="60" t="b">
        <v>1</v>
      </c>
      <c r="F3256" s="80" t="s">
        <v>1062</v>
      </c>
      <c r="G3256" s="58" t="s">
        <v>8479</v>
      </c>
      <c r="H3256" s="58" t="s">
        <v>1728</v>
      </c>
      <c r="I3256" s="64" t="s">
        <v>8480</v>
      </c>
      <c r="J3256" s="66"/>
      <c r="K3256" s="66"/>
      <c r="L3256" s="68"/>
      <c r="M3256" s="63" t="str">
        <f>HYPERLINK("http://nsgreg.nga.mil/genc/view?v=865634&amp;end_month=12&amp;end_day=31&amp;end_year=2016","Correlation")</f>
        <v>Correlation</v>
      </c>
    </row>
    <row r="3257" spans="1:13" x14ac:dyDescent="0.2">
      <c r="A3257" s="114"/>
      <c r="B3257" s="71" t="s">
        <v>8481</v>
      </c>
      <c r="C3257" s="71" t="s">
        <v>1413</v>
      </c>
      <c r="D3257" s="71" t="s">
        <v>8482</v>
      </c>
      <c r="E3257" s="73" t="b">
        <v>1</v>
      </c>
      <c r="F3257" s="81" t="s">
        <v>1062</v>
      </c>
      <c r="G3257" s="71" t="s">
        <v>8481</v>
      </c>
      <c r="H3257" s="71" t="s">
        <v>1413</v>
      </c>
      <c r="I3257" s="74" t="s">
        <v>8482</v>
      </c>
      <c r="J3257" s="76"/>
      <c r="K3257" s="76"/>
      <c r="L3257" s="82"/>
      <c r="M3257" s="77" t="str">
        <f>HYPERLINK("http://nsgreg.nga.mil/genc/view?v=865761&amp;end_month=12&amp;end_day=31&amp;end_year=2016","Correlation")</f>
        <v>Correlation</v>
      </c>
    </row>
    <row r="3258" spans="1:13" x14ac:dyDescent="0.2">
      <c r="A3258" s="112" t="s">
        <v>1071</v>
      </c>
      <c r="B3258" s="50" t="s">
        <v>8483</v>
      </c>
      <c r="C3258" s="50" t="s">
        <v>1413</v>
      </c>
      <c r="D3258" s="50" t="s">
        <v>8484</v>
      </c>
      <c r="E3258" s="52" t="b">
        <v>1</v>
      </c>
      <c r="F3258" s="78" t="s">
        <v>1071</v>
      </c>
      <c r="G3258" s="50" t="s">
        <v>8483</v>
      </c>
      <c r="H3258" s="50" t="s">
        <v>1413</v>
      </c>
      <c r="I3258" s="53" t="s">
        <v>8484</v>
      </c>
      <c r="J3258" s="55"/>
      <c r="K3258" s="55"/>
      <c r="L3258" s="79"/>
      <c r="M3258" s="56" t="str">
        <f>HYPERLINK("http://nsgreg.nga.mil/genc/view?v=865770&amp;end_month=12&amp;end_day=31&amp;end_year=2016","Correlation")</f>
        <v>Correlation</v>
      </c>
    </row>
    <row r="3259" spans="1:13" x14ac:dyDescent="0.2">
      <c r="A3259" s="113"/>
      <c r="B3259" s="58" t="s">
        <v>8485</v>
      </c>
      <c r="C3259" s="58" t="s">
        <v>1413</v>
      </c>
      <c r="D3259" s="58" t="s">
        <v>8486</v>
      </c>
      <c r="E3259" s="60" t="b">
        <v>1</v>
      </c>
      <c r="F3259" s="80" t="s">
        <v>1071</v>
      </c>
      <c r="G3259" s="58" t="s">
        <v>8487</v>
      </c>
      <c r="H3259" s="58" t="s">
        <v>1413</v>
      </c>
      <c r="I3259" s="64" t="s">
        <v>8486</v>
      </c>
      <c r="J3259" s="66"/>
      <c r="K3259" s="66"/>
      <c r="L3259" s="68"/>
      <c r="M3259" s="63" t="str">
        <f>HYPERLINK("http://nsgreg.nga.mil/genc/view?v=865771&amp;end_month=12&amp;end_day=31&amp;end_year=2016","Correlation")</f>
        <v>Correlation</v>
      </c>
    </row>
    <row r="3260" spans="1:13" x14ac:dyDescent="0.2">
      <c r="A3260" s="113"/>
      <c r="B3260" s="58" t="s">
        <v>8488</v>
      </c>
      <c r="C3260" s="58" t="s">
        <v>1413</v>
      </c>
      <c r="D3260" s="58" t="s">
        <v>8489</v>
      </c>
      <c r="E3260" s="60" t="b">
        <v>1</v>
      </c>
      <c r="F3260" s="80" t="s">
        <v>1071</v>
      </c>
      <c r="G3260" s="58" t="s">
        <v>8488</v>
      </c>
      <c r="H3260" s="58" t="s">
        <v>1413</v>
      </c>
      <c r="I3260" s="64" t="s">
        <v>8489</v>
      </c>
      <c r="J3260" s="66"/>
      <c r="K3260" s="66"/>
      <c r="L3260" s="68"/>
      <c r="M3260" s="63" t="str">
        <f>HYPERLINK("http://nsgreg.nga.mil/genc/view?v=865773&amp;end_month=12&amp;end_day=31&amp;end_year=2016","Correlation")</f>
        <v>Correlation</v>
      </c>
    </row>
    <row r="3261" spans="1:13" x14ac:dyDescent="0.2">
      <c r="A3261" s="113"/>
      <c r="B3261" s="58" t="s">
        <v>8490</v>
      </c>
      <c r="C3261" s="58" t="s">
        <v>1413</v>
      </c>
      <c r="D3261" s="58" t="s">
        <v>8491</v>
      </c>
      <c r="E3261" s="60" t="b">
        <v>1</v>
      </c>
      <c r="F3261" s="80" t="s">
        <v>1071</v>
      </c>
      <c r="G3261" s="58" t="s">
        <v>8490</v>
      </c>
      <c r="H3261" s="58" t="s">
        <v>1413</v>
      </c>
      <c r="I3261" s="64" t="s">
        <v>8491</v>
      </c>
      <c r="J3261" s="66"/>
      <c r="K3261" s="66"/>
      <c r="L3261" s="68"/>
      <c r="M3261" s="63" t="str">
        <f>HYPERLINK("http://nsgreg.nga.mil/genc/view?v=865774&amp;end_month=12&amp;end_day=31&amp;end_year=2016","Correlation")</f>
        <v>Correlation</v>
      </c>
    </row>
    <row r="3262" spans="1:13" x14ac:dyDescent="0.2">
      <c r="A3262" s="113"/>
      <c r="B3262" s="58" t="s">
        <v>8492</v>
      </c>
      <c r="C3262" s="58" t="s">
        <v>1413</v>
      </c>
      <c r="D3262" s="58" t="s">
        <v>8493</v>
      </c>
      <c r="E3262" s="60" t="b">
        <v>1</v>
      </c>
      <c r="F3262" s="80" t="s">
        <v>1071</v>
      </c>
      <c r="G3262" s="58" t="s">
        <v>8492</v>
      </c>
      <c r="H3262" s="58" t="s">
        <v>1413</v>
      </c>
      <c r="I3262" s="64" t="s">
        <v>8493</v>
      </c>
      <c r="J3262" s="66"/>
      <c r="K3262" s="66"/>
      <c r="L3262" s="68"/>
      <c r="M3262" s="63" t="str">
        <f>HYPERLINK("http://nsgreg.nga.mil/genc/view?v=865772&amp;end_month=12&amp;end_day=31&amp;end_year=2016","Correlation")</f>
        <v>Correlation</v>
      </c>
    </row>
    <row r="3263" spans="1:13" x14ac:dyDescent="0.2">
      <c r="A3263" s="113"/>
      <c r="B3263" s="58" t="s">
        <v>8494</v>
      </c>
      <c r="C3263" s="58" t="s">
        <v>1413</v>
      </c>
      <c r="D3263" s="58" t="s">
        <v>8495</v>
      </c>
      <c r="E3263" s="60" t="b">
        <v>1</v>
      </c>
      <c r="F3263" s="80" t="s">
        <v>1071</v>
      </c>
      <c r="G3263" s="58" t="s">
        <v>8494</v>
      </c>
      <c r="H3263" s="58" t="s">
        <v>1413</v>
      </c>
      <c r="I3263" s="64" t="s">
        <v>8495</v>
      </c>
      <c r="J3263" s="66"/>
      <c r="K3263" s="66"/>
      <c r="L3263" s="68"/>
      <c r="M3263" s="63" t="str">
        <f>HYPERLINK("http://nsgreg.nga.mil/genc/view?v=865775&amp;end_month=12&amp;end_day=31&amp;end_year=2016","Correlation")</f>
        <v>Correlation</v>
      </c>
    </row>
    <row r="3264" spans="1:13" x14ac:dyDescent="0.2">
      <c r="A3264" s="113"/>
      <c r="B3264" s="58" t="s">
        <v>8496</v>
      </c>
      <c r="C3264" s="58" t="s">
        <v>1413</v>
      </c>
      <c r="D3264" s="58" t="s">
        <v>8497</v>
      </c>
      <c r="E3264" s="60" t="b">
        <v>1</v>
      </c>
      <c r="F3264" s="80" t="s">
        <v>1071</v>
      </c>
      <c r="G3264" s="58" t="s">
        <v>8496</v>
      </c>
      <c r="H3264" s="58" t="s">
        <v>1413</v>
      </c>
      <c r="I3264" s="64" t="s">
        <v>8497</v>
      </c>
      <c r="J3264" s="66"/>
      <c r="K3264" s="66"/>
      <c r="L3264" s="68"/>
      <c r="M3264" s="63" t="str">
        <f>HYPERLINK("http://nsgreg.nga.mil/genc/view?v=865776&amp;end_month=12&amp;end_day=31&amp;end_year=2016","Correlation")</f>
        <v>Correlation</v>
      </c>
    </row>
    <row r="3265" spans="1:13" x14ac:dyDescent="0.2">
      <c r="A3265" s="113"/>
      <c r="B3265" s="58" t="s">
        <v>8498</v>
      </c>
      <c r="C3265" s="58" t="s">
        <v>1413</v>
      </c>
      <c r="D3265" s="58" t="s">
        <v>8499</v>
      </c>
      <c r="E3265" s="60" t="b">
        <v>1</v>
      </c>
      <c r="F3265" s="80" t="s">
        <v>1071</v>
      </c>
      <c r="G3265" s="58" t="s">
        <v>8498</v>
      </c>
      <c r="H3265" s="58" t="s">
        <v>1413</v>
      </c>
      <c r="I3265" s="64" t="s">
        <v>8499</v>
      </c>
      <c r="J3265" s="66"/>
      <c r="K3265" s="66"/>
      <c r="L3265" s="68"/>
      <c r="M3265" s="63" t="str">
        <f>HYPERLINK("http://nsgreg.nga.mil/genc/view?v=865777&amp;end_month=12&amp;end_day=31&amp;end_year=2016","Correlation")</f>
        <v>Correlation</v>
      </c>
    </row>
    <row r="3266" spans="1:13" x14ac:dyDescent="0.2">
      <c r="A3266" s="113"/>
      <c r="B3266" s="58" t="s">
        <v>8500</v>
      </c>
      <c r="C3266" s="58" t="s">
        <v>1413</v>
      </c>
      <c r="D3266" s="58" t="s">
        <v>8501</v>
      </c>
      <c r="E3266" s="60" t="b">
        <v>1</v>
      </c>
      <c r="F3266" s="80" t="s">
        <v>1071</v>
      </c>
      <c r="G3266" s="58" t="s">
        <v>8500</v>
      </c>
      <c r="H3266" s="58" t="s">
        <v>1413</v>
      </c>
      <c r="I3266" s="64" t="s">
        <v>8501</v>
      </c>
      <c r="J3266" s="66"/>
      <c r="K3266" s="66"/>
      <c r="L3266" s="68"/>
      <c r="M3266" s="63" t="str">
        <f>HYPERLINK("http://nsgreg.nga.mil/genc/view?v=865779&amp;end_month=12&amp;end_day=31&amp;end_year=2016","Correlation")</f>
        <v>Correlation</v>
      </c>
    </row>
    <row r="3267" spans="1:13" x14ac:dyDescent="0.2">
      <c r="A3267" s="113"/>
      <c r="B3267" s="58" t="s">
        <v>8502</v>
      </c>
      <c r="C3267" s="58" t="s">
        <v>1413</v>
      </c>
      <c r="D3267" s="58" t="s">
        <v>8503</v>
      </c>
      <c r="E3267" s="60" t="b">
        <v>1</v>
      </c>
      <c r="F3267" s="80" t="s">
        <v>1071</v>
      </c>
      <c r="G3267" s="58" t="s">
        <v>8502</v>
      </c>
      <c r="H3267" s="58" t="s">
        <v>1413</v>
      </c>
      <c r="I3267" s="64" t="s">
        <v>8503</v>
      </c>
      <c r="J3267" s="66"/>
      <c r="K3267" s="66"/>
      <c r="L3267" s="68"/>
      <c r="M3267" s="63" t="str">
        <f>HYPERLINK("http://nsgreg.nga.mil/genc/view?v=865778&amp;end_month=12&amp;end_day=31&amp;end_year=2016","Correlation")</f>
        <v>Correlation</v>
      </c>
    </row>
    <row r="3268" spans="1:13" x14ac:dyDescent="0.2">
      <c r="A3268" s="113"/>
      <c r="B3268" s="58" t="s">
        <v>8504</v>
      </c>
      <c r="C3268" s="58" t="s">
        <v>1413</v>
      </c>
      <c r="D3268" s="58" t="s">
        <v>8505</v>
      </c>
      <c r="E3268" s="60" t="b">
        <v>1</v>
      </c>
      <c r="F3268" s="80" t="s">
        <v>1071</v>
      </c>
      <c r="G3268" s="58" t="s">
        <v>8504</v>
      </c>
      <c r="H3268" s="58" t="s">
        <v>1413</v>
      </c>
      <c r="I3268" s="64" t="s">
        <v>8505</v>
      </c>
      <c r="J3268" s="66"/>
      <c r="K3268" s="66"/>
      <c r="L3268" s="68"/>
      <c r="M3268" s="63" t="str">
        <f>HYPERLINK("http://nsgreg.nga.mil/genc/view?v=865780&amp;end_month=12&amp;end_day=31&amp;end_year=2016","Correlation")</f>
        <v>Correlation</v>
      </c>
    </row>
    <row r="3269" spans="1:13" x14ac:dyDescent="0.2">
      <c r="A3269" s="113"/>
      <c r="B3269" s="58" t="s">
        <v>8506</v>
      </c>
      <c r="C3269" s="58" t="s">
        <v>1413</v>
      </c>
      <c r="D3269" s="58" t="s">
        <v>8507</v>
      </c>
      <c r="E3269" s="60" t="b">
        <v>1</v>
      </c>
      <c r="F3269" s="80" t="s">
        <v>1071</v>
      </c>
      <c r="G3269" s="58" t="s">
        <v>8506</v>
      </c>
      <c r="H3269" s="58" t="s">
        <v>1413</v>
      </c>
      <c r="I3269" s="64" t="s">
        <v>8507</v>
      </c>
      <c r="J3269" s="66"/>
      <c r="K3269" s="66"/>
      <c r="L3269" s="68"/>
      <c r="M3269" s="63" t="str">
        <f>HYPERLINK("http://nsgreg.nga.mil/genc/view?v=865782&amp;end_month=12&amp;end_day=31&amp;end_year=2016","Correlation")</f>
        <v>Correlation</v>
      </c>
    </row>
    <row r="3270" spans="1:13" x14ac:dyDescent="0.2">
      <c r="A3270" s="113"/>
      <c r="B3270" s="58" t="s">
        <v>8508</v>
      </c>
      <c r="C3270" s="58" t="s">
        <v>1413</v>
      </c>
      <c r="D3270" s="58" t="s">
        <v>8509</v>
      </c>
      <c r="E3270" s="60" t="b">
        <v>1</v>
      </c>
      <c r="F3270" s="80" t="s">
        <v>1071</v>
      </c>
      <c r="G3270" s="58" t="s">
        <v>8508</v>
      </c>
      <c r="H3270" s="58" t="s">
        <v>1413</v>
      </c>
      <c r="I3270" s="64" t="s">
        <v>8509</v>
      </c>
      <c r="J3270" s="66"/>
      <c r="K3270" s="66"/>
      <c r="L3270" s="68"/>
      <c r="M3270" s="63" t="str">
        <f>HYPERLINK("http://nsgreg.nga.mil/genc/view?v=865781&amp;end_month=12&amp;end_day=31&amp;end_year=2016","Correlation")</f>
        <v>Correlation</v>
      </c>
    </row>
    <row r="3271" spans="1:13" x14ac:dyDescent="0.2">
      <c r="A3271" s="113"/>
      <c r="B3271" s="58" t="s">
        <v>8510</v>
      </c>
      <c r="C3271" s="58" t="s">
        <v>1413</v>
      </c>
      <c r="D3271" s="58" t="s">
        <v>8511</v>
      </c>
      <c r="E3271" s="60" t="b">
        <v>1</v>
      </c>
      <c r="F3271" s="80" t="s">
        <v>1071</v>
      </c>
      <c r="G3271" s="58" t="s">
        <v>8512</v>
      </c>
      <c r="H3271" s="58" t="s">
        <v>1413</v>
      </c>
      <c r="I3271" s="64" t="s">
        <v>8511</v>
      </c>
      <c r="J3271" s="66"/>
      <c r="K3271" s="66"/>
      <c r="L3271" s="68"/>
      <c r="M3271" s="63" t="str">
        <f>HYPERLINK("http://nsgreg.nga.mil/genc/view?v=865783&amp;end_month=12&amp;end_day=31&amp;end_year=2016","Correlation")</f>
        <v>Correlation</v>
      </c>
    </row>
    <row r="3272" spans="1:13" x14ac:dyDescent="0.2">
      <c r="A3272" s="113"/>
      <c r="B3272" s="58" t="s">
        <v>8513</v>
      </c>
      <c r="C3272" s="58" t="s">
        <v>1413</v>
      </c>
      <c r="D3272" s="58" t="s">
        <v>8514</v>
      </c>
      <c r="E3272" s="60" t="b">
        <v>1</v>
      </c>
      <c r="F3272" s="80" t="s">
        <v>1071</v>
      </c>
      <c r="G3272" s="58" t="s">
        <v>8513</v>
      </c>
      <c r="H3272" s="58" t="s">
        <v>1413</v>
      </c>
      <c r="I3272" s="64" t="s">
        <v>8514</v>
      </c>
      <c r="J3272" s="66"/>
      <c r="K3272" s="66"/>
      <c r="L3272" s="68"/>
      <c r="M3272" s="63" t="str">
        <f>HYPERLINK("http://nsgreg.nga.mil/genc/view?v=865784&amp;end_month=12&amp;end_day=31&amp;end_year=2016","Correlation")</f>
        <v>Correlation</v>
      </c>
    </row>
    <row r="3273" spans="1:13" x14ac:dyDescent="0.2">
      <c r="A3273" s="114"/>
      <c r="B3273" s="71" t="s">
        <v>8515</v>
      </c>
      <c r="C3273" s="71" t="s">
        <v>1413</v>
      </c>
      <c r="D3273" s="71" t="s">
        <v>8516</v>
      </c>
      <c r="E3273" s="73" t="b">
        <v>1</v>
      </c>
      <c r="F3273" s="81" t="s">
        <v>1071</v>
      </c>
      <c r="G3273" s="71" t="s">
        <v>8515</v>
      </c>
      <c r="H3273" s="71" t="s">
        <v>1413</v>
      </c>
      <c r="I3273" s="74" t="s">
        <v>8516</v>
      </c>
      <c r="J3273" s="76"/>
      <c r="K3273" s="76"/>
      <c r="L3273" s="82"/>
      <c r="M3273" s="77" t="str">
        <f>HYPERLINK("http://nsgreg.nga.mil/genc/view?v=865785&amp;end_month=12&amp;end_day=31&amp;end_year=2016","Correlation")</f>
        <v>Correlation</v>
      </c>
    </row>
    <row r="3274" spans="1:13" x14ac:dyDescent="0.2">
      <c r="A3274" s="112" t="s">
        <v>1075</v>
      </c>
      <c r="B3274" s="50" t="s">
        <v>8517</v>
      </c>
      <c r="C3274" s="50" t="s">
        <v>1796</v>
      </c>
      <c r="D3274" s="50" t="s">
        <v>8518</v>
      </c>
      <c r="E3274" s="52" t="b">
        <v>1</v>
      </c>
      <c r="F3274" s="78" t="s">
        <v>1075</v>
      </c>
      <c r="G3274" s="50" t="s">
        <v>8517</v>
      </c>
      <c r="H3274" s="50" t="s">
        <v>1796</v>
      </c>
      <c r="I3274" s="53" t="s">
        <v>8518</v>
      </c>
      <c r="J3274" s="55"/>
      <c r="K3274" s="55"/>
      <c r="L3274" s="79"/>
      <c r="M3274" s="56" t="str">
        <f>HYPERLINK("http://nsgreg.nga.mil/genc/view?v=865786&amp;end_month=12&amp;end_day=31&amp;end_year=2016","Correlation")</f>
        <v>Correlation</v>
      </c>
    </row>
    <row r="3275" spans="1:13" x14ac:dyDescent="0.2">
      <c r="A3275" s="113"/>
      <c r="B3275" s="58" t="s">
        <v>8519</v>
      </c>
      <c r="C3275" s="58" t="s">
        <v>3080</v>
      </c>
      <c r="D3275" s="58" t="s">
        <v>8520</v>
      </c>
      <c r="E3275" s="60" t="b">
        <v>1</v>
      </c>
      <c r="F3275" s="80" t="s">
        <v>1075</v>
      </c>
      <c r="G3275" s="58" t="s">
        <v>8521</v>
      </c>
      <c r="H3275" s="58" t="s">
        <v>3080</v>
      </c>
      <c r="I3275" s="64" t="s">
        <v>8520</v>
      </c>
      <c r="J3275" s="66"/>
      <c r="K3275" s="66"/>
      <c r="L3275" s="68"/>
      <c r="M3275" s="63" t="str">
        <f>HYPERLINK("http://nsgreg.nga.mil/genc/view?v=865804&amp;end_month=12&amp;end_day=31&amp;end_year=2016","Correlation")</f>
        <v>Correlation</v>
      </c>
    </row>
    <row r="3276" spans="1:13" x14ac:dyDescent="0.2">
      <c r="A3276" s="113"/>
      <c r="B3276" s="58" t="s">
        <v>8522</v>
      </c>
      <c r="C3276" s="58" t="s">
        <v>1796</v>
      </c>
      <c r="D3276" s="58" t="s">
        <v>8523</v>
      </c>
      <c r="E3276" s="60" t="b">
        <v>1</v>
      </c>
      <c r="F3276" s="80" t="s">
        <v>1075</v>
      </c>
      <c r="G3276" s="58" t="s">
        <v>8522</v>
      </c>
      <c r="H3276" s="58" t="s">
        <v>1796</v>
      </c>
      <c r="I3276" s="64" t="s">
        <v>8523</v>
      </c>
      <c r="J3276" s="66"/>
      <c r="K3276" s="66"/>
      <c r="L3276" s="68"/>
      <c r="M3276" s="63" t="str">
        <f>HYPERLINK("http://nsgreg.nga.mil/genc/view?v=865787&amp;end_month=12&amp;end_day=31&amp;end_year=2016","Correlation")</f>
        <v>Correlation</v>
      </c>
    </row>
    <row r="3277" spans="1:13" x14ac:dyDescent="0.2">
      <c r="A3277" s="113"/>
      <c r="B3277" s="58" t="s">
        <v>8524</v>
      </c>
      <c r="C3277" s="58" t="s">
        <v>1796</v>
      </c>
      <c r="D3277" s="58" t="s">
        <v>8525</v>
      </c>
      <c r="E3277" s="60" t="b">
        <v>1</v>
      </c>
      <c r="F3277" s="80" t="s">
        <v>1075</v>
      </c>
      <c r="G3277" s="58" t="s">
        <v>8524</v>
      </c>
      <c r="H3277" s="58" t="s">
        <v>1796</v>
      </c>
      <c r="I3277" s="64" t="s">
        <v>8525</v>
      </c>
      <c r="J3277" s="66"/>
      <c r="K3277" s="66"/>
      <c r="L3277" s="68"/>
      <c r="M3277" s="63" t="str">
        <f>HYPERLINK("http://nsgreg.nga.mil/genc/view?v=865788&amp;end_month=12&amp;end_day=31&amp;end_year=2016","Correlation")</f>
        <v>Correlation</v>
      </c>
    </row>
    <row r="3278" spans="1:13" x14ac:dyDescent="0.2">
      <c r="A3278" s="113"/>
      <c r="B3278" s="58" t="s">
        <v>8526</v>
      </c>
      <c r="C3278" s="58" t="s">
        <v>1796</v>
      </c>
      <c r="D3278" s="58" t="s">
        <v>8527</v>
      </c>
      <c r="E3278" s="60" t="b">
        <v>1</v>
      </c>
      <c r="F3278" s="80" t="s">
        <v>1075</v>
      </c>
      <c r="G3278" s="58" t="s">
        <v>8526</v>
      </c>
      <c r="H3278" s="58" t="s">
        <v>1796</v>
      </c>
      <c r="I3278" s="64" t="s">
        <v>8527</v>
      </c>
      <c r="J3278" s="66"/>
      <c r="K3278" s="66"/>
      <c r="L3278" s="68"/>
      <c r="M3278" s="63" t="str">
        <f>HYPERLINK("http://nsgreg.nga.mil/genc/view?v=865789&amp;end_month=12&amp;end_day=31&amp;end_year=2016","Correlation")</f>
        <v>Correlation</v>
      </c>
    </row>
    <row r="3279" spans="1:13" x14ac:dyDescent="0.2">
      <c r="A3279" s="113"/>
      <c r="B3279" s="58" t="s">
        <v>8528</v>
      </c>
      <c r="C3279" s="58" t="s">
        <v>1796</v>
      </c>
      <c r="D3279" s="58" t="s">
        <v>8529</v>
      </c>
      <c r="E3279" s="60" t="b">
        <v>1</v>
      </c>
      <c r="F3279" s="80" t="s">
        <v>1075</v>
      </c>
      <c r="G3279" s="58" t="s">
        <v>8528</v>
      </c>
      <c r="H3279" s="58" t="s">
        <v>1796</v>
      </c>
      <c r="I3279" s="64" t="s">
        <v>8529</v>
      </c>
      <c r="J3279" s="66"/>
      <c r="K3279" s="66"/>
      <c r="L3279" s="68"/>
      <c r="M3279" s="63" t="str">
        <f>HYPERLINK("http://nsgreg.nga.mil/genc/view?v=865790&amp;end_month=12&amp;end_day=31&amp;end_year=2016","Correlation")</f>
        <v>Correlation</v>
      </c>
    </row>
    <row r="3280" spans="1:13" x14ac:dyDescent="0.2">
      <c r="A3280" s="113"/>
      <c r="B3280" s="58" t="s">
        <v>8530</v>
      </c>
      <c r="C3280" s="58" t="s">
        <v>1796</v>
      </c>
      <c r="D3280" s="58" t="s">
        <v>8531</v>
      </c>
      <c r="E3280" s="60" t="b">
        <v>1</v>
      </c>
      <c r="F3280" s="80" t="s">
        <v>1075</v>
      </c>
      <c r="G3280" s="58" t="s">
        <v>8530</v>
      </c>
      <c r="H3280" s="58" t="s">
        <v>1796</v>
      </c>
      <c r="I3280" s="64" t="s">
        <v>8531</v>
      </c>
      <c r="J3280" s="66"/>
      <c r="K3280" s="66"/>
      <c r="L3280" s="68"/>
      <c r="M3280" s="63" t="str">
        <f>HYPERLINK("http://nsgreg.nga.mil/genc/view?v=865791&amp;end_month=12&amp;end_day=31&amp;end_year=2016","Correlation")</f>
        <v>Correlation</v>
      </c>
    </row>
    <row r="3281" spans="1:13" x14ac:dyDescent="0.2">
      <c r="A3281" s="113"/>
      <c r="B3281" s="58" t="s">
        <v>8532</v>
      </c>
      <c r="C3281" s="58" t="s">
        <v>1796</v>
      </c>
      <c r="D3281" s="58" t="s">
        <v>8533</v>
      </c>
      <c r="E3281" s="60" t="b">
        <v>1</v>
      </c>
      <c r="F3281" s="80" t="s">
        <v>1075</v>
      </c>
      <c r="G3281" s="58" t="s">
        <v>8532</v>
      </c>
      <c r="H3281" s="58" t="s">
        <v>1796</v>
      </c>
      <c r="I3281" s="64" t="s">
        <v>8533</v>
      </c>
      <c r="J3281" s="66"/>
      <c r="K3281" s="66"/>
      <c r="L3281" s="68"/>
      <c r="M3281" s="63" t="str">
        <f>HYPERLINK("http://nsgreg.nga.mil/genc/view?v=865792&amp;end_month=12&amp;end_day=31&amp;end_year=2016","Correlation")</f>
        <v>Correlation</v>
      </c>
    </row>
    <row r="3282" spans="1:13" x14ac:dyDescent="0.2">
      <c r="A3282" s="113"/>
      <c r="B3282" s="58" t="s">
        <v>8534</v>
      </c>
      <c r="C3282" s="58" t="s">
        <v>1796</v>
      </c>
      <c r="D3282" s="58" t="s">
        <v>8535</v>
      </c>
      <c r="E3282" s="60" t="b">
        <v>1</v>
      </c>
      <c r="F3282" s="80" t="s">
        <v>1075</v>
      </c>
      <c r="G3282" s="58" t="s">
        <v>8534</v>
      </c>
      <c r="H3282" s="58" t="s">
        <v>1796</v>
      </c>
      <c r="I3282" s="64" t="s">
        <v>8535</v>
      </c>
      <c r="J3282" s="66"/>
      <c r="K3282" s="66"/>
      <c r="L3282" s="68"/>
      <c r="M3282" s="63" t="str">
        <f>HYPERLINK("http://nsgreg.nga.mil/genc/view?v=865793&amp;end_month=12&amp;end_day=31&amp;end_year=2016","Correlation")</f>
        <v>Correlation</v>
      </c>
    </row>
    <row r="3283" spans="1:13" x14ac:dyDescent="0.2">
      <c r="A3283" s="113"/>
      <c r="B3283" s="58" t="s">
        <v>8536</v>
      </c>
      <c r="C3283" s="58" t="s">
        <v>1796</v>
      </c>
      <c r="D3283" s="58" t="s">
        <v>8537</v>
      </c>
      <c r="E3283" s="60" t="b">
        <v>1</v>
      </c>
      <c r="F3283" s="80" t="s">
        <v>1075</v>
      </c>
      <c r="G3283" s="58" t="s">
        <v>8536</v>
      </c>
      <c r="H3283" s="58" t="s">
        <v>1796</v>
      </c>
      <c r="I3283" s="64" t="s">
        <v>8537</v>
      </c>
      <c r="J3283" s="66"/>
      <c r="K3283" s="66"/>
      <c r="L3283" s="68"/>
      <c r="M3283" s="63" t="str">
        <f>HYPERLINK("http://nsgreg.nga.mil/genc/view?v=865794&amp;end_month=12&amp;end_day=31&amp;end_year=2016","Correlation")</f>
        <v>Correlation</v>
      </c>
    </row>
    <row r="3284" spans="1:13" x14ac:dyDescent="0.2">
      <c r="A3284" s="113"/>
      <c r="B3284" s="58" t="s">
        <v>8538</v>
      </c>
      <c r="C3284" s="58" t="s">
        <v>1796</v>
      </c>
      <c r="D3284" s="58" t="s">
        <v>8539</v>
      </c>
      <c r="E3284" s="60" t="b">
        <v>1</v>
      </c>
      <c r="F3284" s="80" t="s">
        <v>1075</v>
      </c>
      <c r="G3284" s="58" t="s">
        <v>8538</v>
      </c>
      <c r="H3284" s="58" t="s">
        <v>1796</v>
      </c>
      <c r="I3284" s="64" t="s">
        <v>8539</v>
      </c>
      <c r="J3284" s="66"/>
      <c r="K3284" s="66"/>
      <c r="L3284" s="68"/>
      <c r="M3284" s="63" t="str">
        <f>HYPERLINK("http://nsgreg.nga.mil/genc/view?v=865795&amp;end_month=12&amp;end_day=31&amp;end_year=2016","Correlation")</f>
        <v>Correlation</v>
      </c>
    </row>
    <row r="3285" spans="1:13" x14ac:dyDescent="0.2">
      <c r="A3285" s="113"/>
      <c r="B3285" s="58" t="s">
        <v>8540</v>
      </c>
      <c r="C3285" s="58" t="s">
        <v>1796</v>
      </c>
      <c r="D3285" s="58" t="s">
        <v>8541</v>
      </c>
      <c r="E3285" s="60" t="b">
        <v>1</v>
      </c>
      <c r="F3285" s="80" t="s">
        <v>1075</v>
      </c>
      <c r="G3285" s="58" t="s">
        <v>8540</v>
      </c>
      <c r="H3285" s="58" t="s">
        <v>1796</v>
      </c>
      <c r="I3285" s="64" t="s">
        <v>8541</v>
      </c>
      <c r="J3285" s="66"/>
      <c r="K3285" s="66"/>
      <c r="L3285" s="68"/>
      <c r="M3285" s="63" t="str">
        <f>HYPERLINK("http://nsgreg.nga.mil/genc/view?v=865796&amp;end_month=12&amp;end_day=31&amp;end_year=2016","Correlation")</f>
        <v>Correlation</v>
      </c>
    </row>
    <row r="3286" spans="1:13" x14ac:dyDescent="0.2">
      <c r="A3286" s="113"/>
      <c r="B3286" s="58" t="s">
        <v>8542</v>
      </c>
      <c r="C3286" s="58" t="s">
        <v>3080</v>
      </c>
      <c r="D3286" s="58" t="s">
        <v>8543</v>
      </c>
      <c r="E3286" s="60" t="b">
        <v>1</v>
      </c>
      <c r="F3286" s="80" t="s">
        <v>1075</v>
      </c>
      <c r="G3286" s="58" t="s">
        <v>8544</v>
      </c>
      <c r="H3286" s="58" t="s">
        <v>3080</v>
      </c>
      <c r="I3286" s="64" t="s">
        <v>8543</v>
      </c>
      <c r="J3286" s="66"/>
      <c r="K3286" s="66"/>
      <c r="L3286" s="68"/>
      <c r="M3286" s="63" t="str">
        <f>HYPERLINK("http://nsgreg.nga.mil/genc/view?v=865805&amp;end_month=12&amp;end_day=31&amp;end_year=2016","Correlation")</f>
        <v>Correlation</v>
      </c>
    </row>
    <row r="3287" spans="1:13" x14ac:dyDescent="0.2">
      <c r="A3287" s="113"/>
      <c r="B3287" s="58" t="s">
        <v>8545</v>
      </c>
      <c r="C3287" s="58" t="s">
        <v>1796</v>
      </c>
      <c r="D3287" s="58" t="s">
        <v>8546</v>
      </c>
      <c r="E3287" s="60" t="b">
        <v>1</v>
      </c>
      <c r="F3287" s="80" t="s">
        <v>1075</v>
      </c>
      <c r="G3287" s="58" t="s">
        <v>8545</v>
      </c>
      <c r="H3287" s="58" t="s">
        <v>1796</v>
      </c>
      <c r="I3287" s="64" t="s">
        <v>8546</v>
      </c>
      <c r="J3287" s="66"/>
      <c r="K3287" s="66"/>
      <c r="L3287" s="68"/>
      <c r="M3287" s="63" t="str">
        <f>HYPERLINK("http://nsgreg.nga.mil/genc/view?v=865797&amp;end_month=12&amp;end_day=31&amp;end_year=2016","Correlation")</f>
        <v>Correlation</v>
      </c>
    </row>
    <row r="3288" spans="1:13" x14ac:dyDescent="0.2">
      <c r="A3288" s="113"/>
      <c r="B3288" s="58" t="s">
        <v>8547</v>
      </c>
      <c r="C3288" s="58" t="s">
        <v>1796</v>
      </c>
      <c r="D3288" s="58" t="s">
        <v>8548</v>
      </c>
      <c r="E3288" s="60" t="b">
        <v>1</v>
      </c>
      <c r="F3288" s="80" t="s">
        <v>1075</v>
      </c>
      <c r="G3288" s="58" t="s">
        <v>8547</v>
      </c>
      <c r="H3288" s="58" t="s">
        <v>1796</v>
      </c>
      <c r="I3288" s="64" t="s">
        <v>8548</v>
      </c>
      <c r="J3288" s="66"/>
      <c r="K3288" s="66"/>
      <c r="L3288" s="68"/>
      <c r="M3288" s="63" t="str">
        <f>HYPERLINK("http://nsgreg.nga.mil/genc/view?v=865798&amp;end_month=12&amp;end_day=31&amp;end_year=2016","Correlation")</f>
        <v>Correlation</v>
      </c>
    </row>
    <row r="3289" spans="1:13" x14ac:dyDescent="0.2">
      <c r="A3289" s="113"/>
      <c r="B3289" s="58" t="s">
        <v>8549</v>
      </c>
      <c r="C3289" s="58" t="s">
        <v>1796</v>
      </c>
      <c r="D3289" s="58" t="s">
        <v>8550</v>
      </c>
      <c r="E3289" s="60" t="b">
        <v>1</v>
      </c>
      <c r="F3289" s="80" t="s">
        <v>1075</v>
      </c>
      <c r="G3289" s="58" t="s">
        <v>8549</v>
      </c>
      <c r="H3289" s="58" t="s">
        <v>1796</v>
      </c>
      <c r="I3289" s="64" t="s">
        <v>8550</v>
      </c>
      <c r="J3289" s="66"/>
      <c r="K3289" s="66"/>
      <c r="L3289" s="68"/>
      <c r="M3289" s="63" t="str">
        <f>HYPERLINK("http://nsgreg.nga.mil/genc/view?v=865799&amp;end_month=12&amp;end_day=31&amp;end_year=2016","Correlation")</f>
        <v>Correlation</v>
      </c>
    </row>
    <row r="3290" spans="1:13" x14ac:dyDescent="0.2">
      <c r="A3290" s="113"/>
      <c r="B3290" s="58" t="s">
        <v>8551</v>
      </c>
      <c r="C3290" s="58" t="s">
        <v>1796</v>
      </c>
      <c r="D3290" s="58" t="s">
        <v>8552</v>
      </c>
      <c r="E3290" s="60" t="b">
        <v>1</v>
      </c>
      <c r="F3290" s="80" t="s">
        <v>1075</v>
      </c>
      <c r="G3290" s="58" t="s">
        <v>8551</v>
      </c>
      <c r="H3290" s="58" t="s">
        <v>1796</v>
      </c>
      <c r="I3290" s="64" t="s">
        <v>8552</v>
      </c>
      <c r="J3290" s="66"/>
      <c r="K3290" s="66"/>
      <c r="L3290" s="68"/>
      <c r="M3290" s="63" t="str">
        <f>HYPERLINK("http://nsgreg.nga.mil/genc/view?v=865800&amp;end_month=12&amp;end_day=31&amp;end_year=2016","Correlation")</f>
        <v>Correlation</v>
      </c>
    </row>
    <row r="3291" spans="1:13" x14ac:dyDescent="0.2">
      <c r="A3291" s="113"/>
      <c r="B3291" s="58" t="s">
        <v>8553</v>
      </c>
      <c r="C3291" s="58" t="s">
        <v>1796</v>
      </c>
      <c r="D3291" s="58" t="s">
        <v>8554</v>
      </c>
      <c r="E3291" s="60" t="b">
        <v>1</v>
      </c>
      <c r="F3291" s="80" t="s">
        <v>1075</v>
      </c>
      <c r="G3291" s="58" t="s">
        <v>8553</v>
      </c>
      <c r="H3291" s="58" t="s">
        <v>1796</v>
      </c>
      <c r="I3291" s="64" t="s">
        <v>8554</v>
      </c>
      <c r="J3291" s="66"/>
      <c r="K3291" s="66"/>
      <c r="L3291" s="68"/>
      <c r="M3291" s="63" t="str">
        <f>HYPERLINK("http://nsgreg.nga.mil/genc/view?v=865801&amp;end_month=12&amp;end_day=31&amp;end_year=2016","Correlation")</f>
        <v>Correlation</v>
      </c>
    </row>
    <row r="3292" spans="1:13" x14ac:dyDescent="0.2">
      <c r="A3292" s="113"/>
      <c r="B3292" s="58" t="s">
        <v>8555</v>
      </c>
      <c r="C3292" s="58" t="s">
        <v>1796</v>
      </c>
      <c r="D3292" s="58" t="s">
        <v>8556</v>
      </c>
      <c r="E3292" s="60" t="b">
        <v>1</v>
      </c>
      <c r="F3292" s="80" t="s">
        <v>1075</v>
      </c>
      <c r="G3292" s="58" t="s">
        <v>8555</v>
      </c>
      <c r="H3292" s="58" t="s">
        <v>1796</v>
      </c>
      <c r="I3292" s="64" t="s">
        <v>8556</v>
      </c>
      <c r="J3292" s="66"/>
      <c r="K3292" s="66"/>
      <c r="L3292" s="68"/>
      <c r="M3292" s="63" t="str">
        <f>HYPERLINK("http://nsgreg.nga.mil/genc/view?v=865802&amp;end_month=12&amp;end_day=31&amp;end_year=2016","Correlation")</f>
        <v>Correlation</v>
      </c>
    </row>
    <row r="3293" spans="1:13" x14ac:dyDescent="0.2">
      <c r="A3293" s="114"/>
      <c r="B3293" s="71" t="s">
        <v>8557</v>
      </c>
      <c r="C3293" s="71" t="s">
        <v>1796</v>
      </c>
      <c r="D3293" s="71" t="s">
        <v>8558</v>
      </c>
      <c r="E3293" s="73" t="b">
        <v>1</v>
      </c>
      <c r="F3293" s="81" t="s">
        <v>1075</v>
      </c>
      <c r="G3293" s="71" t="s">
        <v>8557</v>
      </c>
      <c r="H3293" s="71" t="s">
        <v>1796</v>
      </c>
      <c r="I3293" s="74" t="s">
        <v>8558</v>
      </c>
      <c r="J3293" s="76"/>
      <c r="K3293" s="76"/>
      <c r="L3293" s="82"/>
      <c r="M3293" s="77" t="str">
        <f>HYPERLINK("http://nsgreg.nga.mil/genc/view?v=865803&amp;end_month=12&amp;end_day=31&amp;end_year=2016","Correlation")</f>
        <v>Correlation</v>
      </c>
    </row>
    <row r="3294" spans="1:13" x14ac:dyDescent="0.2">
      <c r="A3294" s="112" t="s">
        <v>1085</v>
      </c>
      <c r="B3294" s="50" t="s">
        <v>8559</v>
      </c>
      <c r="C3294" s="50" t="s">
        <v>1816</v>
      </c>
      <c r="D3294" s="50" t="s">
        <v>8560</v>
      </c>
      <c r="E3294" s="52" t="b">
        <v>1</v>
      </c>
      <c r="F3294" s="78" t="s">
        <v>1085</v>
      </c>
      <c r="G3294" s="50" t="s">
        <v>8559</v>
      </c>
      <c r="H3294" s="50" t="s">
        <v>1816</v>
      </c>
      <c r="I3294" s="53" t="s">
        <v>8560</v>
      </c>
      <c r="J3294" s="55"/>
      <c r="K3294" s="55"/>
      <c r="L3294" s="79"/>
      <c r="M3294" s="56" t="str">
        <f>HYPERLINK("http://nsgreg.nga.mil/genc/view?v=865840&amp;end_month=12&amp;end_day=31&amp;end_year=2016","Correlation")</f>
        <v>Correlation</v>
      </c>
    </row>
    <row r="3295" spans="1:13" x14ac:dyDescent="0.2">
      <c r="A3295" s="113"/>
      <c r="B3295" s="58" t="s">
        <v>8561</v>
      </c>
      <c r="C3295" s="58" t="s">
        <v>1816</v>
      </c>
      <c r="D3295" s="58" t="s">
        <v>8562</v>
      </c>
      <c r="E3295" s="60" t="b">
        <v>1</v>
      </c>
      <c r="F3295" s="80" t="s">
        <v>1085</v>
      </c>
      <c r="G3295" s="58" t="s">
        <v>8561</v>
      </c>
      <c r="H3295" s="58" t="s">
        <v>1816</v>
      </c>
      <c r="I3295" s="64" t="s">
        <v>8562</v>
      </c>
      <c r="J3295" s="66"/>
      <c r="K3295" s="66"/>
      <c r="L3295" s="68"/>
      <c r="M3295" s="63" t="str">
        <f>HYPERLINK("http://nsgreg.nga.mil/genc/view?v=865841&amp;end_month=12&amp;end_day=31&amp;end_year=2016","Correlation")</f>
        <v>Correlation</v>
      </c>
    </row>
    <row r="3296" spans="1:13" x14ac:dyDescent="0.2">
      <c r="A3296" s="113"/>
      <c r="B3296" s="58" t="s">
        <v>8563</v>
      </c>
      <c r="C3296" s="58" t="s">
        <v>1816</v>
      </c>
      <c r="D3296" s="58" t="s">
        <v>8564</v>
      </c>
      <c r="E3296" s="60" t="b">
        <v>1</v>
      </c>
      <c r="F3296" s="80" t="s">
        <v>1085</v>
      </c>
      <c r="G3296" s="58" t="s">
        <v>8563</v>
      </c>
      <c r="H3296" s="58" t="s">
        <v>1816</v>
      </c>
      <c r="I3296" s="64" t="s">
        <v>8564</v>
      </c>
      <c r="J3296" s="66"/>
      <c r="K3296" s="66"/>
      <c r="L3296" s="68"/>
      <c r="M3296" s="63" t="str">
        <f>HYPERLINK("http://nsgreg.nga.mil/genc/view?v=865846&amp;end_month=12&amp;end_day=31&amp;end_year=2016","Correlation")</f>
        <v>Correlation</v>
      </c>
    </row>
    <row r="3297" spans="1:13" x14ac:dyDescent="0.2">
      <c r="A3297" s="113"/>
      <c r="B3297" s="58" t="s">
        <v>8565</v>
      </c>
      <c r="C3297" s="58" t="s">
        <v>1816</v>
      </c>
      <c r="D3297" s="58" t="s">
        <v>8566</v>
      </c>
      <c r="E3297" s="60" t="b">
        <v>1</v>
      </c>
      <c r="F3297" s="80" t="s">
        <v>1085</v>
      </c>
      <c r="G3297" s="58" t="s">
        <v>8565</v>
      </c>
      <c r="H3297" s="58" t="s">
        <v>1816</v>
      </c>
      <c r="I3297" s="64" t="s">
        <v>8566</v>
      </c>
      <c r="J3297" s="66"/>
      <c r="K3297" s="66"/>
      <c r="L3297" s="68"/>
      <c r="M3297" s="63" t="str">
        <f>HYPERLINK("http://nsgreg.nga.mil/genc/view?v=865843&amp;end_month=12&amp;end_day=31&amp;end_year=2016","Correlation")</f>
        <v>Correlation</v>
      </c>
    </row>
    <row r="3298" spans="1:13" x14ac:dyDescent="0.2">
      <c r="A3298" s="113"/>
      <c r="B3298" s="58" t="s">
        <v>8567</v>
      </c>
      <c r="C3298" s="58" t="s">
        <v>1816</v>
      </c>
      <c r="D3298" s="58" t="s">
        <v>8568</v>
      </c>
      <c r="E3298" s="60" t="b">
        <v>1</v>
      </c>
      <c r="F3298" s="80" t="s">
        <v>1085</v>
      </c>
      <c r="G3298" s="58" t="s">
        <v>8567</v>
      </c>
      <c r="H3298" s="58" t="s">
        <v>1816</v>
      </c>
      <c r="I3298" s="64" t="s">
        <v>8568</v>
      </c>
      <c r="J3298" s="66"/>
      <c r="K3298" s="66"/>
      <c r="L3298" s="68"/>
      <c r="M3298" s="63" t="str">
        <f>HYPERLINK("http://nsgreg.nga.mil/genc/view?v=865842&amp;end_month=12&amp;end_day=31&amp;end_year=2016","Correlation")</f>
        <v>Correlation</v>
      </c>
    </row>
    <row r="3299" spans="1:13" x14ac:dyDescent="0.2">
      <c r="A3299" s="113"/>
      <c r="B3299" s="58" t="s">
        <v>8569</v>
      </c>
      <c r="C3299" s="58" t="s">
        <v>1816</v>
      </c>
      <c r="D3299" s="58" t="s">
        <v>8570</v>
      </c>
      <c r="E3299" s="60" t="b">
        <v>1</v>
      </c>
      <c r="F3299" s="61" t="s">
        <v>167</v>
      </c>
      <c r="G3299" s="61"/>
      <c r="H3299" s="61"/>
      <c r="I3299" s="61"/>
      <c r="J3299" s="61"/>
      <c r="K3299" s="61"/>
      <c r="L3299" s="62"/>
      <c r="M3299" s="63" t="str">
        <f>HYPERLINK("http://nsgreg.nga.mil/genc/view?v=865844&amp;end_month=12&amp;end_day=31&amp;end_year=2016","Correlation")</f>
        <v>Correlation</v>
      </c>
    </row>
    <row r="3300" spans="1:13" x14ac:dyDescent="0.2">
      <c r="A3300" s="113"/>
      <c r="B3300" s="58" t="s">
        <v>8571</v>
      </c>
      <c r="C3300" s="58" t="s">
        <v>1816</v>
      </c>
      <c r="D3300" s="58" t="s">
        <v>8572</v>
      </c>
      <c r="E3300" s="60" t="b">
        <v>1</v>
      </c>
      <c r="F3300" s="80" t="s">
        <v>1085</v>
      </c>
      <c r="G3300" s="58" t="s">
        <v>8571</v>
      </c>
      <c r="H3300" s="58" t="s">
        <v>1816</v>
      </c>
      <c r="I3300" s="64" t="s">
        <v>8572</v>
      </c>
      <c r="J3300" s="66"/>
      <c r="K3300" s="66"/>
      <c r="L3300" s="68"/>
      <c r="M3300" s="63" t="str">
        <f>HYPERLINK("http://nsgreg.nga.mil/genc/view?v=865847&amp;end_month=12&amp;end_day=31&amp;end_year=2016","Correlation")</f>
        <v>Correlation</v>
      </c>
    </row>
    <row r="3301" spans="1:13" x14ac:dyDescent="0.2">
      <c r="A3301" s="114"/>
      <c r="B3301" s="71" t="s">
        <v>8573</v>
      </c>
      <c r="C3301" s="71" t="s">
        <v>1816</v>
      </c>
      <c r="D3301" s="71" t="s">
        <v>8574</v>
      </c>
      <c r="E3301" s="73" t="b">
        <v>1</v>
      </c>
      <c r="F3301" s="81" t="s">
        <v>1085</v>
      </c>
      <c r="G3301" s="71" t="s">
        <v>8573</v>
      </c>
      <c r="H3301" s="71" t="s">
        <v>1816</v>
      </c>
      <c r="I3301" s="74" t="s">
        <v>8574</v>
      </c>
      <c r="J3301" s="76"/>
      <c r="K3301" s="76"/>
      <c r="L3301" s="82"/>
      <c r="M3301" s="77" t="str">
        <f>HYPERLINK("http://nsgreg.nga.mil/genc/view?v=865845&amp;end_month=12&amp;end_day=31&amp;end_year=2016","Correlation")</f>
        <v>Correlation</v>
      </c>
    </row>
    <row r="3302" spans="1:13" x14ac:dyDescent="0.2">
      <c r="A3302" s="112" t="s">
        <v>1097</v>
      </c>
      <c r="B3302" s="50" t="s">
        <v>8575</v>
      </c>
      <c r="C3302" s="50" t="s">
        <v>1483</v>
      </c>
      <c r="D3302" s="50" t="s">
        <v>8576</v>
      </c>
      <c r="E3302" s="52" t="b">
        <v>1</v>
      </c>
      <c r="F3302" s="78" t="s">
        <v>1097</v>
      </c>
      <c r="G3302" s="50" t="s">
        <v>8575</v>
      </c>
      <c r="H3302" s="50" t="s">
        <v>2294</v>
      </c>
      <c r="I3302" s="53" t="s">
        <v>8576</v>
      </c>
      <c r="J3302" s="55"/>
      <c r="K3302" s="55"/>
      <c r="L3302" s="79"/>
      <c r="M3302" s="56" t="str">
        <f>HYPERLINK("http://nsgreg.nga.mil/genc/view?v=865848&amp;end_month=12&amp;end_day=31&amp;end_year=2016","Correlation")</f>
        <v>Correlation</v>
      </c>
    </row>
    <row r="3303" spans="1:13" x14ac:dyDescent="0.2">
      <c r="A3303" s="113"/>
      <c r="B3303" s="58" t="s">
        <v>8577</v>
      </c>
      <c r="C3303" s="58" t="s">
        <v>1483</v>
      </c>
      <c r="D3303" s="58" t="s">
        <v>8578</v>
      </c>
      <c r="E3303" s="60" t="b">
        <v>1</v>
      </c>
      <c r="F3303" s="80" t="s">
        <v>1097</v>
      </c>
      <c r="G3303" s="58" t="s">
        <v>8577</v>
      </c>
      <c r="H3303" s="58" t="s">
        <v>2294</v>
      </c>
      <c r="I3303" s="64" t="s">
        <v>8578</v>
      </c>
      <c r="J3303" s="66"/>
      <c r="K3303" s="66"/>
      <c r="L3303" s="68"/>
      <c r="M3303" s="63" t="str">
        <f>HYPERLINK("http://nsgreg.nga.mil/genc/view?v=865850&amp;end_month=12&amp;end_day=31&amp;end_year=2016","Correlation")</f>
        <v>Correlation</v>
      </c>
    </row>
    <row r="3304" spans="1:13" x14ac:dyDescent="0.2">
      <c r="A3304" s="113"/>
      <c r="B3304" s="58" t="s">
        <v>8579</v>
      </c>
      <c r="C3304" s="58" t="s">
        <v>1483</v>
      </c>
      <c r="D3304" s="58" t="s">
        <v>8580</v>
      </c>
      <c r="E3304" s="60" t="b">
        <v>1</v>
      </c>
      <c r="F3304" s="80" t="s">
        <v>1097</v>
      </c>
      <c r="G3304" s="58" t="s">
        <v>8579</v>
      </c>
      <c r="H3304" s="58" t="s">
        <v>2294</v>
      </c>
      <c r="I3304" s="64" t="s">
        <v>8580</v>
      </c>
      <c r="J3304" s="66"/>
      <c r="K3304" s="66"/>
      <c r="L3304" s="68"/>
      <c r="M3304" s="63" t="str">
        <f>HYPERLINK("http://nsgreg.nga.mil/genc/view?v=865849&amp;end_month=12&amp;end_day=31&amp;end_year=2016","Correlation")</f>
        <v>Correlation</v>
      </c>
    </row>
    <row r="3305" spans="1:13" x14ac:dyDescent="0.2">
      <c r="A3305" s="113"/>
      <c r="B3305" s="58" t="s">
        <v>8581</v>
      </c>
      <c r="C3305" s="58" t="s">
        <v>1483</v>
      </c>
      <c r="D3305" s="58" t="s">
        <v>8582</v>
      </c>
      <c r="E3305" s="60" t="b">
        <v>1</v>
      </c>
      <c r="F3305" s="80" t="s">
        <v>1097</v>
      </c>
      <c r="G3305" s="58" t="s">
        <v>8581</v>
      </c>
      <c r="H3305" s="58" t="s">
        <v>2294</v>
      </c>
      <c r="I3305" s="64" t="s">
        <v>8582</v>
      </c>
      <c r="J3305" s="66"/>
      <c r="K3305" s="66"/>
      <c r="L3305" s="68"/>
      <c r="M3305" s="63" t="str">
        <f>HYPERLINK("http://nsgreg.nga.mil/genc/view?v=865852&amp;end_month=12&amp;end_day=31&amp;end_year=2016","Correlation")</f>
        <v>Correlation</v>
      </c>
    </row>
    <row r="3306" spans="1:13" x14ac:dyDescent="0.2">
      <c r="A3306" s="113"/>
      <c r="B3306" s="58" t="s">
        <v>8583</v>
      </c>
      <c r="C3306" s="58" t="s">
        <v>1483</v>
      </c>
      <c r="D3306" s="58" t="s">
        <v>8584</v>
      </c>
      <c r="E3306" s="60" t="b">
        <v>1</v>
      </c>
      <c r="F3306" s="80" t="s">
        <v>1097</v>
      </c>
      <c r="G3306" s="58" t="s">
        <v>8583</v>
      </c>
      <c r="H3306" s="58" t="s">
        <v>2294</v>
      </c>
      <c r="I3306" s="64" t="s">
        <v>8584</v>
      </c>
      <c r="J3306" s="66"/>
      <c r="K3306" s="66"/>
      <c r="L3306" s="68"/>
      <c r="M3306" s="63" t="str">
        <f>HYPERLINK("http://nsgreg.nga.mil/genc/view?v=865853&amp;end_month=12&amp;end_day=31&amp;end_year=2016","Correlation")</f>
        <v>Correlation</v>
      </c>
    </row>
    <row r="3307" spans="1:13" x14ac:dyDescent="0.2">
      <c r="A3307" s="113"/>
      <c r="B3307" s="58" t="s">
        <v>8585</v>
      </c>
      <c r="C3307" s="58" t="s">
        <v>1483</v>
      </c>
      <c r="D3307" s="58" t="s">
        <v>8586</v>
      </c>
      <c r="E3307" s="60" t="b">
        <v>1</v>
      </c>
      <c r="F3307" s="80" t="s">
        <v>1097</v>
      </c>
      <c r="G3307" s="58" t="s">
        <v>8585</v>
      </c>
      <c r="H3307" s="58" t="s">
        <v>2294</v>
      </c>
      <c r="I3307" s="64" t="s">
        <v>8586</v>
      </c>
      <c r="J3307" s="66"/>
      <c r="K3307" s="66"/>
      <c r="L3307" s="68"/>
      <c r="M3307" s="63" t="str">
        <f>HYPERLINK("http://nsgreg.nga.mil/genc/view?v=865854&amp;end_month=12&amp;end_day=31&amp;end_year=2016","Correlation")</f>
        <v>Correlation</v>
      </c>
    </row>
    <row r="3308" spans="1:13" x14ac:dyDescent="0.2">
      <c r="A3308" s="113"/>
      <c r="B3308" s="58" t="s">
        <v>8587</v>
      </c>
      <c r="C3308" s="58" t="s">
        <v>1483</v>
      </c>
      <c r="D3308" s="58" t="s">
        <v>8588</v>
      </c>
      <c r="E3308" s="60" t="b">
        <v>1</v>
      </c>
      <c r="F3308" s="80" t="s">
        <v>1097</v>
      </c>
      <c r="G3308" s="58" t="s">
        <v>8587</v>
      </c>
      <c r="H3308" s="58" t="s">
        <v>2294</v>
      </c>
      <c r="I3308" s="64" t="s">
        <v>8588</v>
      </c>
      <c r="J3308" s="66"/>
      <c r="K3308" s="66"/>
      <c r="L3308" s="68"/>
      <c r="M3308" s="63" t="str">
        <f>HYPERLINK("http://nsgreg.nga.mil/genc/view?v=865856&amp;end_month=12&amp;end_day=31&amp;end_year=2016","Correlation")</f>
        <v>Correlation</v>
      </c>
    </row>
    <row r="3309" spans="1:13" x14ac:dyDescent="0.2">
      <c r="A3309" s="113"/>
      <c r="B3309" s="58" t="s">
        <v>8589</v>
      </c>
      <c r="C3309" s="58" t="s">
        <v>1483</v>
      </c>
      <c r="D3309" s="58" t="s">
        <v>8590</v>
      </c>
      <c r="E3309" s="60" t="b">
        <v>1</v>
      </c>
      <c r="F3309" s="80" t="s">
        <v>1097</v>
      </c>
      <c r="G3309" s="58" t="s">
        <v>8589</v>
      </c>
      <c r="H3309" s="58" t="s">
        <v>2294</v>
      </c>
      <c r="I3309" s="64" t="s">
        <v>8590</v>
      </c>
      <c r="J3309" s="66"/>
      <c r="K3309" s="66"/>
      <c r="L3309" s="68"/>
      <c r="M3309" s="63" t="str">
        <f>HYPERLINK("http://nsgreg.nga.mil/genc/view?v=865855&amp;end_month=12&amp;end_day=31&amp;end_year=2016","Correlation")</f>
        <v>Correlation</v>
      </c>
    </row>
    <row r="3310" spans="1:13" x14ac:dyDescent="0.2">
      <c r="A3310" s="113"/>
      <c r="B3310" s="58" t="s">
        <v>8591</v>
      </c>
      <c r="C3310" s="58" t="s">
        <v>1483</v>
      </c>
      <c r="D3310" s="58" t="s">
        <v>8592</v>
      </c>
      <c r="E3310" s="60" t="b">
        <v>1</v>
      </c>
      <c r="F3310" s="80" t="s">
        <v>1097</v>
      </c>
      <c r="G3310" s="58" t="s">
        <v>8591</v>
      </c>
      <c r="H3310" s="58" t="s">
        <v>2294</v>
      </c>
      <c r="I3310" s="64" t="s">
        <v>8592</v>
      </c>
      <c r="J3310" s="66"/>
      <c r="K3310" s="66"/>
      <c r="L3310" s="68"/>
      <c r="M3310" s="63" t="str">
        <f>HYPERLINK("http://nsgreg.nga.mil/genc/view?v=865857&amp;end_month=12&amp;end_day=31&amp;end_year=2016","Correlation")</f>
        <v>Correlation</v>
      </c>
    </row>
    <row r="3311" spans="1:13" x14ac:dyDescent="0.2">
      <c r="A3311" s="113"/>
      <c r="B3311" s="58" t="s">
        <v>8593</v>
      </c>
      <c r="C3311" s="58" t="s">
        <v>1816</v>
      </c>
      <c r="D3311" s="58" t="s">
        <v>8594</v>
      </c>
      <c r="E3311" s="60" t="b">
        <v>1</v>
      </c>
      <c r="F3311" s="80" t="s">
        <v>1097</v>
      </c>
      <c r="G3311" s="58" t="s">
        <v>8593</v>
      </c>
      <c r="H3311" s="58" t="s">
        <v>1816</v>
      </c>
      <c r="I3311" s="64" t="s">
        <v>8594</v>
      </c>
      <c r="J3311" s="66"/>
      <c r="K3311" s="66"/>
      <c r="L3311" s="68"/>
      <c r="M3311" s="63" t="str">
        <f>HYPERLINK("http://nsgreg.nga.mil/genc/view?v=865851&amp;end_month=12&amp;end_day=31&amp;end_year=2016","Correlation")</f>
        <v>Correlation</v>
      </c>
    </row>
    <row r="3312" spans="1:13" x14ac:dyDescent="0.2">
      <c r="A3312" s="113"/>
      <c r="B3312" s="58" t="s">
        <v>8595</v>
      </c>
      <c r="C3312" s="58" t="s">
        <v>1483</v>
      </c>
      <c r="D3312" s="58" t="s">
        <v>8596</v>
      </c>
      <c r="E3312" s="60" t="b">
        <v>1</v>
      </c>
      <c r="F3312" s="80" t="s">
        <v>1097</v>
      </c>
      <c r="G3312" s="58" t="s">
        <v>8595</v>
      </c>
      <c r="H3312" s="58" t="s">
        <v>2294</v>
      </c>
      <c r="I3312" s="64" t="s">
        <v>8596</v>
      </c>
      <c r="J3312" s="66"/>
      <c r="K3312" s="66"/>
      <c r="L3312" s="68"/>
      <c r="M3312" s="63" t="str">
        <f>HYPERLINK("http://nsgreg.nga.mil/genc/view?v=865858&amp;end_month=12&amp;end_day=31&amp;end_year=2016","Correlation")</f>
        <v>Correlation</v>
      </c>
    </row>
    <row r="3313" spans="1:13" x14ac:dyDescent="0.2">
      <c r="A3313" s="113"/>
      <c r="B3313" s="58" t="s">
        <v>7394</v>
      </c>
      <c r="C3313" s="58" t="s">
        <v>1483</v>
      </c>
      <c r="D3313" s="58" t="s">
        <v>8597</v>
      </c>
      <c r="E3313" s="60" t="b">
        <v>1</v>
      </c>
      <c r="F3313" s="80" t="s">
        <v>1097</v>
      </c>
      <c r="G3313" s="58" t="s">
        <v>7394</v>
      </c>
      <c r="H3313" s="58" t="s">
        <v>2294</v>
      </c>
      <c r="I3313" s="64" t="s">
        <v>8597</v>
      </c>
      <c r="J3313" s="66"/>
      <c r="K3313" s="66"/>
      <c r="L3313" s="68"/>
      <c r="M3313" s="63" t="str">
        <f>HYPERLINK("http://nsgreg.nga.mil/genc/view?v=865860&amp;end_month=12&amp;end_day=31&amp;end_year=2016","Correlation")</f>
        <v>Correlation</v>
      </c>
    </row>
    <row r="3314" spans="1:13" x14ac:dyDescent="0.2">
      <c r="A3314" s="113"/>
      <c r="B3314" s="58" t="s">
        <v>8598</v>
      </c>
      <c r="C3314" s="58" t="s">
        <v>1483</v>
      </c>
      <c r="D3314" s="58" t="s">
        <v>8599</v>
      </c>
      <c r="E3314" s="60" t="b">
        <v>1</v>
      </c>
      <c r="F3314" s="80" t="s">
        <v>1097</v>
      </c>
      <c r="G3314" s="58" t="s">
        <v>8598</v>
      </c>
      <c r="H3314" s="58" t="s">
        <v>2294</v>
      </c>
      <c r="I3314" s="64" t="s">
        <v>8599</v>
      </c>
      <c r="J3314" s="66"/>
      <c r="K3314" s="66"/>
      <c r="L3314" s="68"/>
      <c r="M3314" s="63" t="str">
        <f>HYPERLINK("http://nsgreg.nga.mil/genc/view?v=865861&amp;end_month=12&amp;end_day=31&amp;end_year=2016","Correlation")</f>
        <v>Correlation</v>
      </c>
    </row>
    <row r="3315" spans="1:13" x14ac:dyDescent="0.2">
      <c r="A3315" s="113"/>
      <c r="B3315" s="58" t="s">
        <v>8600</v>
      </c>
      <c r="C3315" s="58" t="s">
        <v>1483</v>
      </c>
      <c r="D3315" s="58" t="s">
        <v>8601</v>
      </c>
      <c r="E3315" s="60" t="b">
        <v>1</v>
      </c>
      <c r="F3315" s="80" t="s">
        <v>1097</v>
      </c>
      <c r="G3315" s="58" t="s">
        <v>8600</v>
      </c>
      <c r="H3315" s="58" t="s">
        <v>2294</v>
      </c>
      <c r="I3315" s="64" t="s">
        <v>8601</v>
      </c>
      <c r="J3315" s="66"/>
      <c r="K3315" s="66"/>
      <c r="L3315" s="68"/>
      <c r="M3315" s="63" t="str">
        <f>HYPERLINK("http://nsgreg.nga.mil/genc/view?v=865859&amp;end_month=12&amp;end_day=31&amp;end_year=2016","Correlation")</f>
        <v>Correlation</v>
      </c>
    </row>
    <row r="3316" spans="1:13" x14ac:dyDescent="0.2">
      <c r="A3316" s="113"/>
      <c r="B3316" s="58" t="s">
        <v>8602</v>
      </c>
      <c r="C3316" s="58" t="s">
        <v>1483</v>
      </c>
      <c r="D3316" s="58" t="s">
        <v>8603</v>
      </c>
      <c r="E3316" s="60" t="b">
        <v>1</v>
      </c>
      <c r="F3316" s="80" t="s">
        <v>1097</v>
      </c>
      <c r="G3316" s="58" t="s">
        <v>8602</v>
      </c>
      <c r="H3316" s="58" t="s">
        <v>2294</v>
      </c>
      <c r="I3316" s="64" t="s">
        <v>8603</v>
      </c>
      <c r="J3316" s="66"/>
      <c r="K3316" s="66"/>
      <c r="L3316" s="68"/>
      <c r="M3316" s="63" t="str">
        <f>HYPERLINK("http://nsgreg.nga.mil/genc/view?v=865862&amp;end_month=12&amp;end_day=31&amp;end_year=2016","Correlation")</f>
        <v>Correlation</v>
      </c>
    </row>
    <row r="3317" spans="1:13" x14ac:dyDescent="0.2">
      <c r="A3317" s="113"/>
      <c r="B3317" s="58" t="s">
        <v>8604</v>
      </c>
      <c r="C3317" s="58" t="s">
        <v>1483</v>
      </c>
      <c r="D3317" s="58" t="s">
        <v>8605</v>
      </c>
      <c r="E3317" s="60" t="b">
        <v>1</v>
      </c>
      <c r="F3317" s="80" t="s">
        <v>1097</v>
      </c>
      <c r="G3317" s="58" t="s">
        <v>8604</v>
      </c>
      <c r="H3317" s="58" t="s">
        <v>2294</v>
      </c>
      <c r="I3317" s="64" t="s">
        <v>8605</v>
      </c>
      <c r="J3317" s="66"/>
      <c r="K3317" s="66"/>
      <c r="L3317" s="68"/>
      <c r="M3317" s="63" t="str">
        <f>HYPERLINK("http://nsgreg.nga.mil/genc/view?v=865863&amp;end_month=12&amp;end_day=31&amp;end_year=2016","Correlation")</f>
        <v>Correlation</v>
      </c>
    </row>
    <row r="3318" spans="1:13" x14ac:dyDescent="0.2">
      <c r="A3318" s="113"/>
      <c r="B3318" s="58" t="s">
        <v>8606</v>
      </c>
      <c r="C3318" s="58" t="s">
        <v>1483</v>
      </c>
      <c r="D3318" s="58" t="s">
        <v>8607</v>
      </c>
      <c r="E3318" s="60" t="b">
        <v>1</v>
      </c>
      <c r="F3318" s="80" t="s">
        <v>1097</v>
      </c>
      <c r="G3318" s="58" t="s">
        <v>8606</v>
      </c>
      <c r="H3318" s="58" t="s">
        <v>2294</v>
      </c>
      <c r="I3318" s="64" t="s">
        <v>8607</v>
      </c>
      <c r="J3318" s="66"/>
      <c r="K3318" s="66"/>
      <c r="L3318" s="68"/>
      <c r="M3318" s="63" t="str">
        <f>HYPERLINK("http://nsgreg.nga.mil/genc/view?v=865864&amp;end_month=12&amp;end_day=31&amp;end_year=2016","Correlation")</f>
        <v>Correlation</v>
      </c>
    </row>
    <row r="3319" spans="1:13" x14ac:dyDescent="0.2">
      <c r="A3319" s="113"/>
      <c r="B3319" s="58" t="s">
        <v>8608</v>
      </c>
      <c r="C3319" s="58" t="s">
        <v>1483</v>
      </c>
      <c r="D3319" s="58" t="s">
        <v>8609</v>
      </c>
      <c r="E3319" s="60" t="b">
        <v>1</v>
      </c>
      <c r="F3319" s="80" t="s">
        <v>1097</v>
      </c>
      <c r="G3319" s="58" t="s">
        <v>8608</v>
      </c>
      <c r="H3319" s="58" t="s">
        <v>2294</v>
      </c>
      <c r="I3319" s="64" t="s">
        <v>8609</v>
      </c>
      <c r="J3319" s="66"/>
      <c r="K3319" s="66"/>
      <c r="L3319" s="68"/>
      <c r="M3319" s="63" t="str">
        <f>HYPERLINK("http://nsgreg.nga.mil/genc/view?v=865865&amp;end_month=12&amp;end_day=31&amp;end_year=2016","Correlation")</f>
        <v>Correlation</v>
      </c>
    </row>
    <row r="3320" spans="1:13" x14ac:dyDescent="0.2">
      <c r="A3320" s="113"/>
      <c r="B3320" s="58" t="s">
        <v>8610</v>
      </c>
      <c r="C3320" s="58" t="s">
        <v>1483</v>
      </c>
      <c r="D3320" s="58" t="s">
        <v>8611</v>
      </c>
      <c r="E3320" s="60" t="b">
        <v>1</v>
      </c>
      <c r="F3320" s="80" t="s">
        <v>1097</v>
      </c>
      <c r="G3320" s="58" t="s">
        <v>8610</v>
      </c>
      <c r="H3320" s="58" t="s">
        <v>2294</v>
      </c>
      <c r="I3320" s="64" t="s">
        <v>8611</v>
      </c>
      <c r="J3320" s="66"/>
      <c r="K3320" s="66"/>
      <c r="L3320" s="68"/>
      <c r="M3320" s="63" t="str">
        <f>HYPERLINK("http://nsgreg.nga.mil/genc/view?v=865867&amp;end_month=12&amp;end_day=31&amp;end_year=2016","Correlation")</f>
        <v>Correlation</v>
      </c>
    </row>
    <row r="3321" spans="1:13" x14ac:dyDescent="0.2">
      <c r="A3321" s="113"/>
      <c r="B3321" s="58" t="s">
        <v>8612</v>
      </c>
      <c r="C3321" s="58" t="s">
        <v>1483</v>
      </c>
      <c r="D3321" s="58" t="s">
        <v>8613</v>
      </c>
      <c r="E3321" s="60" t="b">
        <v>1</v>
      </c>
      <c r="F3321" s="80" t="s">
        <v>1097</v>
      </c>
      <c r="G3321" s="58" t="s">
        <v>8612</v>
      </c>
      <c r="H3321" s="58" t="s">
        <v>2294</v>
      </c>
      <c r="I3321" s="64" t="s">
        <v>8613</v>
      </c>
      <c r="J3321" s="66"/>
      <c r="K3321" s="66"/>
      <c r="L3321" s="68"/>
      <c r="M3321" s="63" t="str">
        <f>HYPERLINK("http://nsgreg.nga.mil/genc/view?v=865868&amp;end_month=12&amp;end_day=31&amp;end_year=2016","Correlation")</f>
        <v>Correlation</v>
      </c>
    </row>
    <row r="3322" spans="1:13" x14ac:dyDescent="0.2">
      <c r="A3322" s="113"/>
      <c r="B3322" s="58" t="s">
        <v>8614</v>
      </c>
      <c r="C3322" s="58" t="s">
        <v>1483</v>
      </c>
      <c r="D3322" s="58" t="s">
        <v>8615</v>
      </c>
      <c r="E3322" s="60" t="b">
        <v>1</v>
      </c>
      <c r="F3322" s="80" t="s">
        <v>1097</v>
      </c>
      <c r="G3322" s="58" t="s">
        <v>8614</v>
      </c>
      <c r="H3322" s="58" t="s">
        <v>2294</v>
      </c>
      <c r="I3322" s="64" t="s">
        <v>8615</v>
      </c>
      <c r="J3322" s="66"/>
      <c r="K3322" s="66"/>
      <c r="L3322" s="68"/>
      <c r="M3322" s="63" t="str">
        <f>HYPERLINK("http://nsgreg.nga.mil/genc/view?v=865866&amp;end_month=12&amp;end_day=31&amp;end_year=2016","Correlation")</f>
        <v>Correlation</v>
      </c>
    </row>
    <row r="3323" spans="1:13" x14ac:dyDescent="0.2">
      <c r="A3323" s="113"/>
      <c r="B3323" s="58" t="s">
        <v>8616</v>
      </c>
      <c r="C3323" s="58" t="s">
        <v>1483</v>
      </c>
      <c r="D3323" s="58" t="s">
        <v>8617</v>
      </c>
      <c r="E3323" s="60" t="b">
        <v>1</v>
      </c>
      <c r="F3323" s="80" t="s">
        <v>1097</v>
      </c>
      <c r="G3323" s="58" t="s">
        <v>8616</v>
      </c>
      <c r="H3323" s="58" t="s">
        <v>2294</v>
      </c>
      <c r="I3323" s="64" t="s">
        <v>8617</v>
      </c>
      <c r="J3323" s="66"/>
      <c r="K3323" s="66"/>
      <c r="L3323" s="68"/>
      <c r="M3323" s="63" t="str">
        <f>HYPERLINK("http://nsgreg.nga.mil/genc/view?v=865870&amp;end_month=12&amp;end_day=31&amp;end_year=2016","Correlation")</f>
        <v>Correlation</v>
      </c>
    </row>
    <row r="3324" spans="1:13" x14ac:dyDescent="0.2">
      <c r="A3324" s="113"/>
      <c r="B3324" s="58" t="s">
        <v>8618</v>
      </c>
      <c r="C3324" s="58" t="s">
        <v>1483</v>
      </c>
      <c r="D3324" s="58" t="s">
        <v>8619</v>
      </c>
      <c r="E3324" s="60" t="b">
        <v>1</v>
      </c>
      <c r="F3324" s="80" t="s">
        <v>1097</v>
      </c>
      <c r="G3324" s="58" t="s">
        <v>8618</v>
      </c>
      <c r="H3324" s="58" t="s">
        <v>2294</v>
      </c>
      <c r="I3324" s="64" t="s">
        <v>8619</v>
      </c>
      <c r="J3324" s="66"/>
      <c r="K3324" s="66"/>
      <c r="L3324" s="68"/>
      <c r="M3324" s="63" t="str">
        <f>HYPERLINK("http://nsgreg.nga.mil/genc/view?v=865869&amp;end_month=12&amp;end_day=31&amp;end_year=2016","Correlation")</f>
        <v>Correlation</v>
      </c>
    </row>
    <row r="3325" spans="1:13" x14ac:dyDescent="0.2">
      <c r="A3325" s="113"/>
      <c r="B3325" s="58" t="s">
        <v>8620</v>
      </c>
      <c r="C3325" s="58" t="s">
        <v>1483</v>
      </c>
      <c r="D3325" s="58" t="s">
        <v>8621</v>
      </c>
      <c r="E3325" s="60" t="b">
        <v>1</v>
      </c>
      <c r="F3325" s="80" t="s">
        <v>1097</v>
      </c>
      <c r="G3325" s="58" t="s">
        <v>8620</v>
      </c>
      <c r="H3325" s="58" t="s">
        <v>2294</v>
      </c>
      <c r="I3325" s="64" t="s">
        <v>8621</v>
      </c>
      <c r="J3325" s="66"/>
      <c r="K3325" s="66"/>
      <c r="L3325" s="68"/>
      <c r="M3325" s="63" t="str">
        <f>HYPERLINK("http://nsgreg.nga.mil/genc/view?v=865872&amp;end_month=12&amp;end_day=31&amp;end_year=2016","Correlation")</f>
        <v>Correlation</v>
      </c>
    </row>
    <row r="3326" spans="1:13" x14ac:dyDescent="0.2">
      <c r="A3326" s="113"/>
      <c r="B3326" s="58" t="s">
        <v>8622</v>
      </c>
      <c r="C3326" s="58" t="s">
        <v>1483</v>
      </c>
      <c r="D3326" s="58" t="s">
        <v>8623</v>
      </c>
      <c r="E3326" s="60" t="b">
        <v>1</v>
      </c>
      <c r="F3326" s="80" t="s">
        <v>1097</v>
      </c>
      <c r="G3326" s="58" t="s">
        <v>8622</v>
      </c>
      <c r="H3326" s="58" t="s">
        <v>2294</v>
      </c>
      <c r="I3326" s="64" t="s">
        <v>8623</v>
      </c>
      <c r="J3326" s="66"/>
      <c r="K3326" s="66"/>
      <c r="L3326" s="68"/>
      <c r="M3326" s="63" t="str">
        <f>HYPERLINK("http://nsgreg.nga.mil/genc/view?v=865873&amp;end_month=12&amp;end_day=31&amp;end_year=2016","Correlation")</f>
        <v>Correlation</v>
      </c>
    </row>
    <row r="3327" spans="1:13" x14ac:dyDescent="0.2">
      <c r="A3327" s="113"/>
      <c r="B3327" s="58" t="s">
        <v>8624</v>
      </c>
      <c r="C3327" s="58" t="s">
        <v>1483</v>
      </c>
      <c r="D3327" s="58" t="s">
        <v>8625</v>
      </c>
      <c r="E3327" s="60" t="b">
        <v>1</v>
      </c>
      <c r="F3327" s="80" t="s">
        <v>1097</v>
      </c>
      <c r="G3327" s="58" t="s">
        <v>8624</v>
      </c>
      <c r="H3327" s="58" t="s">
        <v>2294</v>
      </c>
      <c r="I3327" s="64" t="s">
        <v>8625</v>
      </c>
      <c r="J3327" s="66"/>
      <c r="K3327" s="66"/>
      <c r="L3327" s="68"/>
      <c r="M3327" s="63" t="str">
        <f>HYPERLINK("http://nsgreg.nga.mil/genc/view?v=865871&amp;end_month=12&amp;end_day=31&amp;end_year=2016","Correlation")</f>
        <v>Correlation</v>
      </c>
    </row>
    <row r="3328" spans="1:13" x14ac:dyDescent="0.2">
      <c r="A3328" s="113"/>
      <c r="B3328" s="58" t="s">
        <v>8626</v>
      </c>
      <c r="C3328" s="58" t="s">
        <v>1483</v>
      </c>
      <c r="D3328" s="58" t="s">
        <v>8627</v>
      </c>
      <c r="E3328" s="60" t="b">
        <v>1</v>
      </c>
      <c r="F3328" s="80" t="s">
        <v>1097</v>
      </c>
      <c r="G3328" s="58" t="s">
        <v>8626</v>
      </c>
      <c r="H3328" s="58" t="s">
        <v>2294</v>
      </c>
      <c r="I3328" s="64" t="s">
        <v>8627</v>
      </c>
      <c r="J3328" s="66"/>
      <c r="K3328" s="66"/>
      <c r="L3328" s="68"/>
      <c r="M3328" s="63" t="str">
        <f>HYPERLINK("http://nsgreg.nga.mil/genc/view?v=865875&amp;end_month=12&amp;end_day=31&amp;end_year=2016","Correlation")</f>
        <v>Correlation</v>
      </c>
    </row>
    <row r="3329" spans="1:13" x14ac:dyDescent="0.2">
      <c r="A3329" s="113"/>
      <c r="B3329" s="58" t="s">
        <v>8628</v>
      </c>
      <c r="C3329" s="58" t="s">
        <v>1483</v>
      </c>
      <c r="D3329" s="58" t="s">
        <v>8629</v>
      </c>
      <c r="E3329" s="60" t="b">
        <v>1</v>
      </c>
      <c r="F3329" s="80" t="s">
        <v>1097</v>
      </c>
      <c r="G3329" s="58" t="s">
        <v>8628</v>
      </c>
      <c r="H3329" s="58" t="s">
        <v>2294</v>
      </c>
      <c r="I3329" s="64" t="s">
        <v>8629</v>
      </c>
      <c r="J3329" s="66"/>
      <c r="K3329" s="66"/>
      <c r="L3329" s="68"/>
      <c r="M3329" s="63" t="str">
        <f>HYPERLINK("http://nsgreg.nga.mil/genc/view?v=865874&amp;end_month=12&amp;end_day=31&amp;end_year=2016","Correlation")</f>
        <v>Correlation</v>
      </c>
    </row>
    <row r="3330" spans="1:13" x14ac:dyDescent="0.2">
      <c r="A3330" s="113"/>
      <c r="B3330" s="58" t="s">
        <v>8630</v>
      </c>
      <c r="C3330" s="58" t="s">
        <v>1483</v>
      </c>
      <c r="D3330" s="58" t="s">
        <v>8631</v>
      </c>
      <c r="E3330" s="60" t="b">
        <v>1</v>
      </c>
      <c r="F3330" s="80" t="s">
        <v>1097</v>
      </c>
      <c r="G3330" s="58" t="s">
        <v>8630</v>
      </c>
      <c r="H3330" s="58" t="s">
        <v>2294</v>
      </c>
      <c r="I3330" s="64" t="s">
        <v>8631</v>
      </c>
      <c r="J3330" s="66"/>
      <c r="K3330" s="66"/>
      <c r="L3330" s="68"/>
      <c r="M3330" s="63" t="str">
        <f>HYPERLINK("http://nsgreg.nga.mil/genc/view?v=865876&amp;end_month=12&amp;end_day=31&amp;end_year=2016","Correlation")</f>
        <v>Correlation</v>
      </c>
    </row>
    <row r="3331" spans="1:13" x14ac:dyDescent="0.2">
      <c r="A3331" s="113"/>
      <c r="B3331" s="58" t="s">
        <v>8632</v>
      </c>
      <c r="C3331" s="58" t="s">
        <v>1483</v>
      </c>
      <c r="D3331" s="58" t="s">
        <v>8633</v>
      </c>
      <c r="E3331" s="60" t="b">
        <v>1</v>
      </c>
      <c r="F3331" s="80" t="s">
        <v>1097</v>
      </c>
      <c r="G3331" s="58" t="s">
        <v>8632</v>
      </c>
      <c r="H3331" s="58" t="s">
        <v>2294</v>
      </c>
      <c r="I3331" s="64" t="s">
        <v>8633</v>
      </c>
      <c r="J3331" s="66"/>
      <c r="K3331" s="66"/>
      <c r="L3331" s="68"/>
      <c r="M3331" s="63" t="str">
        <f>HYPERLINK("http://nsgreg.nga.mil/genc/view?v=865877&amp;end_month=12&amp;end_day=31&amp;end_year=2016","Correlation")</f>
        <v>Correlation</v>
      </c>
    </row>
    <row r="3332" spans="1:13" x14ac:dyDescent="0.2">
      <c r="A3332" s="113"/>
      <c r="B3332" s="58" t="s">
        <v>8634</v>
      </c>
      <c r="C3332" s="58" t="s">
        <v>1483</v>
      </c>
      <c r="D3332" s="58" t="s">
        <v>8635</v>
      </c>
      <c r="E3332" s="60" t="b">
        <v>1</v>
      </c>
      <c r="F3332" s="80" t="s">
        <v>1097</v>
      </c>
      <c r="G3332" s="58" t="s">
        <v>8634</v>
      </c>
      <c r="H3332" s="58" t="s">
        <v>2294</v>
      </c>
      <c r="I3332" s="64" t="s">
        <v>8635</v>
      </c>
      <c r="J3332" s="66"/>
      <c r="K3332" s="66"/>
      <c r="L3332" s="68"/>
      <c r="M3332" s="63" t="str">
        <f>HYPERLINK("http://nsgreg.nga.mil/genc/view?v=865878&amp;end_month=12&amp;end_day=31&amp;end_year=2016","Correlation")</f>
        <v>Correlation</v>
      </c>
    </row>
    <row r="3333" spans="1:13" x14ac:dyDescent="0.2">
      <c r="A3333" s="113"/>
      <c r="B3333" s="58" t="s">
        <v>8636</v>
      </c>
      <c r="C3333" s="58" t="s">
        <v>1483</v>
      </c>
      <c r="D3333" s="58" t="s">
        <v>8637</v>
      </c>
      <c r="E3333" s="60" t="b">
        <v>1</v>
      </c>
      <c r="F3333" s="80" t="s">
        <v>1097</v>
      </c>
      <c r="G3333" s="58" t="s">
        <v>8636</v>
      </c>
      <c r="H3333" s="58" t="s">
        <v>2294</v>
      </c>
      <c r="I3333" s="64" t="s">
        <v>8637</v>
      </c>
      <c r="J3333" s="66"/>
      <c r="K3333" s="66"/>
      <c r="L3333" s="68"/>
      <c r="M3333" s="63" t="str">
        <f>HYPERLINK("http://nsgreg.nga.mil/genc/view?v=865879&amp;end_month=12&amp;end_day=31&amp;end_year=2016","Correlation")</f>
        <v>Correlation</v>
      </c>
    </row>
    <row r="3334" spans="1:13" x14ac:dyDescent="0.2">
      <c r="A3334" s="113"/>
      <c r="B3334" s="58" t="s">
        <v>8638</v>
      </c>
      <c r="C3334" s="58" t="s">
        <v>1483</v>
      </c>
      <c r="D3334" s="58" t="s">
        <v>8639</v>
      </c>
      <c r="E3334" s="60" t="b">
        <v>1</v>
      </c>
      <c r="F3334" s="80" t="s">
        <v>1097</v>
      </c>
      <c r="G3334" s="58" t="s">
        <v>8638</v>
      </c>
      <c r="H3334" s="58" t="s">
        <v>2294</v>
      </c>
      <c r="I3334" s="64" t="s">
        <v>8639</v>
      </c>
      <c r="J3334" s="66"/>
      <c r="K3334" s="66"/>
      <c r="L3334" s="68"/>
      <c r="M3334" s="63" t="str">
        <f>HYPERLINK("http://nsgreg.nga.mil/genc/view?v=865881&amp;end_month=12&amp;end_day=31&amp;end_year=2016","Correlation")</f>
        <v>Correlation</v>
      </c>
    </row>
    <row r="3335" spans="1:13" x14ac:dyDescent="0.2">
      <c r="A3335" s="113"/>
      <c r="B3335" s="58" t="s">
        <v>8640</v>
      </c>
      <c r="C3335" s="58" t="s">
        <v>1483</v>
      </c>
      <c r="D3335" s="58" t="s">
        <v>8641</v>
      </c>
      <c r="E3335" s="60" t="b">
        <v>1</v>
      </c>
      <c r="F3335" s="80" t="s">
        <v>1097</v>
      </c>
      <c r="G3335" s="58" t="s">
        <v>8640</v>
      </c>
      <c r="H3335" s="58" t="s">
        <v>2294</v>
      </c>
      <c r="I3335" s="64" t="s">
        <v>8641</v>
      </c>
      <c r="J3335" s="66"/>
      <c r="K3335" s="66"/>
      <c r="L3335" s="68"/>
      <c r="M3335" s="63" t="str">
        <f>HYPERLINK("http://nsgreg.nga.mil/genc/view?v=865882&amp;end_month=12&amp;end_day=31&amp;end_year=2016","Correlation")</f>
        <v>Correlation</v>
      </c>
    </row>
    <row r="3336" spans="1:13" x14ac:dyDescent="0.2">
      <c r="A3336" s="113"/>
      <c r="B3336" s="58" t="s">
        <v>8642</v>
      </c>
      <c r="C3336" s="58" t="s">
        <v>1483</v>
      </c>
      <c r="D3336" s="58" t="s">
        <v>8643</v>
      </c>
      <c r="E3336" s="60" t="b">
        <v>1</v>
      </c>
      <c r="F3336" s="80" t="s">
        <v>1097</v>
      </c>
      <c r="G3336" s="58" t="s">
        <v>8642</v>
      </c>
      <c r="H3336" s="58" t="s">
        <v>2294</v>
      </c>
      <c r="I3336" s="64" t="s">
        <v>8643</v>
      </c>
      <c r="J3336" s="66"/>
      <c r="K3336" s="66"/>
      <c r="L3336" s="68"/>
      <c r="M3336" s="63" t="str">
        <f>HYPERLINK("http://nsgreg.nga.mil/genc/view?v=865880&amp;end_month=12&amp;end_day=31&amp;end_year=2016","Correlation")</f>
        <v>Correlation</v>
      </c>
    </row>
    <row r="3337" spans="1:13" x14ac:dyDescent="0.2">
      <c r="A3337" s="113"/>
      <c r="B3337" s="58" t="s">
        <v>8644</v>
      </c>
      <c r="C3337" s="58" t="s">
        <v>1483</v>
      </c>
      <c r="D3337" s="58" t="s">
        <v>8645</v>
      </c>
      <c r="E3337" s="60" t="b">
        <v>1</v>
      </c>
      <c r="F3337" s="80" t="s">
        <v>1097</v>
      </c>
      <c r="G3337" s="58" t="s">
        <v>8644</v>
      </c>
      <c r="H3337" s="58" t="s">
        <v>2294</v>
      </c>
      <c r="I3337" s="64" t="s">
        <v>8645</v>
      </c>
      <c r="J3337" s="66"/>
      <c r="K3337" s="66"/>
      <c r="L3337" s="68"/>
      <c r="M3337" s="63" t="str">
        <f>HYPERLINK("http://nsgreg.nga.mil/genc/view?v=865883&amp;end_month=12&amp;end_day=31&amp;end_year=2016","Correlation")</f>
        <v>Correlation</v>
      </c>
    </row>
    <row r="3338" spans="1:13" x14ac:dyDescent="0.2">
      <c r="A3338" s="113"/>
      <c r="B3338" s="58" t="s">
        <v>8646</v>
      </c>
      <c r="C3338" s="58" t="s">
        <v>1483</v>
      </c>
      <c r="D3338" s="58" t="s">
        <v>8647</v>
      </c>
      <c r="E3338" s="60" t="b">
        <v>1</v>
      </c>
      <c r="F3338" s="80" t="s">
        <v>1097</v>
      </c>
      <c r="G3338" s="58" t="s">
        <v>8646</v>
      </c>
      <c r="H3338" s="58" t="s">
        <v>2294</v>
      </c>
      <c r="I3338" s="64" t="s">
        <v>8647</v>
      </c>
      <c r="J3338" s="66"/>
      <c r="K3338" s="66"/>
      <c r="L3338" s="68"/>
      <c r="M3338" s="63" t="str">
        <f>HYPERLINK("http://nsgreg.nga.mil/genc/view?v=865886&amp;end_month=12&amp;end_day=31&amp;end_year=2016","Correlation")</f>
        <v>Correlation</v>
      </c>
    </row>
    <row r="3339" spans="1:13" x14ac:dyDescent="0.2">
      <c r="A3339" s="113"/>
      <c r="B3339" s="58" t="s">
        <v>8648</v>
      </c>
      <c r="C3339" s="58" t="s">
        <v>1483</v>
      </c>
      <c r="D3339" s="58" t="s">
        <v>8649</v>
      </c>
      <c r="E3339" s="60" t="b">
        <v>1</v>
      </c>
      <c r="F3339" s="80" t="s">
        <v>1097</v>
      </c>
      <c r="G3339" s="58" t="s">
        <v>8648</v>
      </c>
      <c r="H3339" s="58" t="s">
        <v>2294</v>
      </c>
      <c r="I3339" s="64" t="s">
        <v>8649</v>
      </c>
      <c r="J3339" s="66"/>
      <c r="K3339" s="66"/>
      <c r="L3339" s="68"/>
      <c r="M3339" s="63" t="str">
        <f>HYPERLINK("http://nsgreg.nga.mil/genc/view?v=865885&amp;end_month=12&amp;end_day=31&amp;end_year=2016","Correlation")</f>
        <v>Correlation</v>
      </c>
    </row>
    <row r="3340" spans="1:13" x14ac:dyDescent="0.2">
      <c r="A3340" s="113"/>
      <c r="B3340" s="58" t="s">
        <v>8650</v>
      </c>
      <c r="C3340" s="58" t="s">
        <v>1483</v>
      </c>
      <c r="D3340" s="58" t="s">
        <v>8651</v>
      </c>
      <c r="E3340" s="60" t="b">
        <v>1</v>
      </c>
      <c r="F3340" s="80" t="s">
        <v>1097</v>
      </c>
      <c r="G3340" s="58" t="s">
        <v>8650</v>
      </c>
      <c r="H3340" s="58" t="s">
        <v>2294</v>
      </c>
      <c r="I3340" s="64" t="s">
        <v>8651</v>
      </c>
      <c r="J3340" s="66"/>
      <c r="K3340" s="66"/>
      <c r="L3340" s="68"/>
      <c r="M3340" s="63" t="str">
        <f>HYPERLINK("http://nsgreg.nga.mil/genc/view?v=865884&amp;end_month=12&amp;end_day=31&amp;end_year=2016","Correlation")</f>
        <v>Correlation</v>
      </c>
    </row>
    <row r="3341" spans="1:13" x14ac:dyDescent="0.2">
      <c r="A3341" s="113"/>
      <c r="B3341" s="58" t="s">
        <v>8652</v>
      </c>
      <c r="C3341" s="58" t="s">
        <v>1483</v>
      </c>
      <c r="D3341" s="58" t="s">
        <v>8653</v>
      </c>
      <c r="E3341" s="60" t="b">
        <v>1</v>
      </c>
      <c r="F3341" s="80" t="s">
        <v>1097</v>
      </c>
      <c r="G3341" s="58" t="s">
        <v>8652</v>
      </c>
      <c r="H3341" s="58" t="s">
        <v>2294</v>
      </c>
      <c r="I3341" s="64" t="s">
        <v>8653</v>
      </c>
      <c r="J3341" s="66"/>
      <c r="K3341" s="66"/>
      <c r="L3341" s="68"/>
      <c r="M3341" s="63" t="str">
        <f>HYPERLINK("http://nsgreg.nga.mil/genc/view?v=865887&amp;end_month=12&amp;end_day=31&amp;end_year=2016","Correlation")</f>
        <v>Correlation</v>
      </c>
    </row>
    <row r="3342" spans="1:13" x14ac:dyDescent="0.2">
      <c r="A3342" s="113"/>
      <c r="B3342" s="58" t="s">
        <v>8654</v>
      </c>
      <c r="C3342" s="58" t="s">
        <v>1483</v>
      </c>
      <c r="D3342" s="58" t="s">
        <v>8655</v>
      </c>
      <c r="E3342" s="60" t="b">
        <v>1</v>
      </c>
      <c r="F3342" s="80" t="s">
        <v>1097</v>
      </c>
      <c r="G3342" s="58" t="s">
        <v>8654</v>
      </c>
      <c r="H3342" s="58" t="s">
        <v>2294</v>
      </c>
      <c r="I3342" s="64" t="s">
        <v>8655</v>
      </c>
      <c r="J3342" s="66"/>
      <c r="K3342" s="66"/>
      <c r="L3342" s="68"/>
      <c r="M3342" s="63" t="str">
        <f>HYPERLINK("http://nsgreg.nga.mil/genc/view?v=865889&amp;end_month=12&amp;end_day=31&amp;end_year=2016","Correlation")</f>
        <v>Correlation</v>
      </c>
    </row>
    <row r="3343" spans="1:13" x14ac:dyDescent="0.2">
      <c r="A3343" s="114"/>
      <c r="B3343" s="71" t="s">
        <v>8656</v>
      </c>
      <c r="C3343" s="71" t="s">
        <v>1483</v>
      </c>
      <c r="D3343" s="71" t="s">
        <v>8657</v>
      </c>
      <c r="E3343" s="73" t="b">
        <v>1</v>
      </c>
      <c r="F3343" s="81" t="s">
        <v>1097</v>
      </c>
      <c r="G3343" s="71" t="s">
        <v>8656</v>
      </c>
      <c r="H3343" s="71" t="s">
        <v>2294</v>
      </c>
      <c r="I3343" s="74" t="s">
        <v>8657</v>
      </c>
      <c r="J3343" s="76"/>
      <c r="K3343" s="76"/>
      <c r="L3343" s="82"/>
      <c r="M3343" s="77" t="str">
        <f>HYPERLINK("http://nsgreg.nga.mil/genc/view?v=865888&amp;end_month=12&amp;end_day=31&amp;end_year=2016","Correlation")</f>
        <v>Correlation</v>
      </c>
    </row>
    <row r="3344" spans="1:13" x14ac:dyDescent="0.2">
      <c r="A3344" s="112" t="s">
        <v>1101</v>
      </c>
      <c r="B3344" s="50" t="s">
        <v>8658</v>
      </c>
      <c r="C3344" s="50" t="s">
        <v>2408</v>
      </c>
      <c r="D3344" s="50" t="s">
        <v>8659</v>
      </c>
      <c r="E3344" s="52" t="b">
        <v>1</v>
      </c>
      <c r="F3344" s="78" t="s">
        <v>1105</v>
      </c>
      <c r="G3344" s="50" t="s">
        <v>8660</v>
      </c>
      <c r="H3344" s="50" t="s">
        <v>2408</v>
      </c>
      <c r="I3344" s="53" t="s">
        <v>8659</v>
      </c>
      <c r="J3344" s="55"/>
      <c r="K3344" s="55"/>
      <c r="L3344" s="79"/>
      <c r="M3344" s="56" t="str">
        <f>HYPERLINK("http://nsgreg.nga.mil/genc/view?v=866060&amp;end_month=12&amp;end_day=31&amp;end_year=2016","Correlation")</f>
        <v>Correlation</v>
      </c>
    </row>
    <row r="3345" spans="1:13" x14ac:dyDescent="0.2">
      <c r="A3345" s="113"/>
      <c r="B3345" s="58" t="s">
        <v>8661</v>
      </c>
      <c r="C3345" s="58" t="s">
        <v>2408</v>
      </c>
      <c r="D3345" s="58" t="s">
        <v>8662</v>
      </c>
      <c r="E3345" s="60" t="b">
        <v>1</v>
      </c>
      <c r="F3345" s="80" t="s">
        <v>1105</v>
      </c>
      <c r="G3345" s="58" t="s">
        <v>8663</v>
      </c>
      <c r="H3345" s="58" t="s">
        <v>2408</v>
      </c>
      <c r="I3345" s="64" t="s">
        <v>8662</v>
      </c>
      <c r="J3345" s="66"/>
      <c r="K3345" s="66"/>
      <c r="L3345" s="68"/>
      <c r="M3345" s="63" t="str">
        <f>HYPERLINK("http://nsgreg.nga.mil/genc/view?v=866061&amp;end_month=12&amp;end_day=31&amp;end_year=2016","Correlation")</f>
        <v>Correlation</v>
      </c>
    </row>
    <row r="3346" spans="1:13" x14ac:dyDescent="0.2">
      <c r="A3346" s="113"/>
      <c r="B3346" s="58" t="s">
        <v>8664</v>
      </c>
      <c r="C3346" s="58" t="s">
        <v>1796</v>
      </c>
      <c r="D3346" s="58" t="s">
        <v>8665</v>
      </c>
      <c r="E3346" s="60" t="b">
        <v>1</v>
      </c>
      <c r="F3346" s="80" t="s">
        <v>1105</v>
      </c>
      <c r="G3346" s="58" t="s">
        <v>8666</v>
      </c>
      <c r="H3346" s="58" t="s">
        <v>8667</v>
      </c>
      <c r="I3346" s="64" t="s">
        <v>8665</v>
      </c>
      <c r="J3346" s="66"/>
      <c r="K3346" s="66"/>
      <c r="L3346" s="68"/>
      <c r="M3346" s="63" t="str">
        <f>HYPERLINK("http://nsgreg.nga.mil/genc/view?v=866062&amp;end_month=12&amp;end_day=31&amp;end_year=2016","Correlation")</f>
        <v>Correlation</v>
      </c>
    </row>
    <row r="3347" spans="1:13" x14ac:dyDescent="0.2">
      <c r="A3347" s="113"/>
      <c r="B3347" s="58" t="s">
        <v>8668</v>
      </c>
      <c r="C3347" s="58" t="s">
        <v>1413</v>
      </c>
      <c r="D3347" s="58" t="s">
        <v>8669</v>
      </c>
      <c r="E3347" s="60" t="b">
        <v>1</v>
      </c>
      <c r="F3347" s="80" t="s">
        <v>1105</v>
      </c>
      <c r="G3347" s="58" t="s">
        <v>8670</v>
      </c>
      <c r="H3347" s="58" t="s">
        <v>4486</v>
      </c>
      <c r="I3347" s="64" t="s">
        <v>8669</v>
      </c>
      <c r="J3347" s="66"/>
      <c r="K3347" s="66"/>
      <c r="L3347" s="68"/>
      <c r="M3347" s="63" t="str">
        <f>HYPERLINK("http://nsgreg.nga.mil/genc/view?v=866063&amp;end_month=12&amp;end_day=31&amp;end_year=2016","Correlation")</f>
        <v>Correlation</v>
      </c>
    </row>
    <row r="3348" spans="1:13" x14ac:dyDescent="0.2">
      <c r="A3348" s="113"/>
      <c r="B3348" s="58" t="s">
        <v>8671</v>
      </c>
      <c r="C3348" s="58" t="s">
        <v>1413</v>
      </c>
      <c r="D3348" s="58" t="s">
        <v>8672</v>
      </c>
      <c r="E3348" s="60" t="b">
        <v>1</v>
      </c>
      <c r="F3348" s="80" t="s">
        <v>1105</v>
      </c>
      <c r="G3348" s="58" t="s">
        <v>8673</v>
      </c>
      <c r="H3348" s="58" t="s">
        <v>4486</v>
      </c>
      <c r="I3348" s="64" t="s">
        <v>8672</v>
      </c>
      <c r="J3348" s="66"/>
      <c r="K3348" s="66"/>
      <c r="L3348" s="68"/>
      <c r="M3348" s="63" t="str">
        <f>HYPERLINK("http://nsgreg.nga.mil/genc/view?v=866064&amp;end_month=12&amp;end_day=31&amp;end_year=2016","Correlation")</f>
        <v>Correlation</v>
      </c>
    </row>
    <row r="3349" spans="1:13" x14ac:dyDescent="0.2">
      <c r="A3349" s="113"/>
      <c r="B3349" s="58" t="s">
        <v>8674</v>
      </c>
      <c r="C3349" s="58" t="s">
        <v>1413</v>
      </c>
      <c r="D3349" s="58" t="s">
        <v>8675</v>
      </c>
      <c r="E3349" s="60" t="b">
        <v>1</v>
      </c>
      <c r="F3349" s="80" t="s">
        <v>1105</v>
      </c>
      <c r="G3349" s="58" t="s">
        <v>8676</v>
      </c>
      <c r="H3349" s="58" t="s">
        <v>4486</v>
      </c>
      <c r="I3349" s="64" t="s">
        <v>8675</v>
      </c>
      <c r="J3349" s="66"/>
      <c r="K3349" s="66"/>
      <c r="L3349" s="68"/>
      <c r="M3349" s="63" t="str">
        <f>HYPERLINK("http://nsgreg.nga.mil/genc/view?v=866065&amp;end_month=12&amp;end_day=31&amp;end_year=2016","Correlation")</f>
        <v>Correlation</v>
      </c>
    </row>
    <row r="3350" spans="1:13" x14ac:dyDescent="0.2">
      <c r="A3350" s="113"/>
      <c r="B3350" s="58" t="s">
        <v>8677</v>
      </c>
      <c r="C3350" s="58" t="s">
        <v>2408</v>
      </c>
      <c r="D3350" s="58" t="s">
        <v>8678</v>
      </c>
      <c r="E3350" s="60" t="b">
        <v>1</v>
      </c>
      <c r="F3350" s="80" t="s">
        <v>1105</v>
      </c>
      <c r="G3350" s="58" t="s">
        <v>8679</v>
      </c>
      <c r="H3350" s="58" t="s">
        <v>2408</v>
      </c>
      <c r="I3350" s="64" t="s">
        <v>8678</v>
      </c>
      <c r="J3350" s="66"/>
      <c r="K3350" s="66"/>
      <c r="L3350" s="68"/>
      <c r="M3350" s="63" t="str">
        <f>HYPERLINK("http://nsgreg.nga.mil/genc/view?v=866066&amp;end_month=12&amp;end_day=31&amp;end_year=2016","Correlation")</f>
        <v>Correlation</v>
      </c>
    </row>
    <row r="3351" spans="1:13" x14ac:dyDescent="0.2">
      <c r="A3351" s="113"/>
      <c r="B3351" s="58" t="s">
        <v>8680</v>
      </c>
      <c r="C3351" s="58" t="s">
        <v>1413</v>
      </c>
      <c r="D3351" s="58" t="s">
        <v>8681</v>
      </c>
      <c r="E3351" s="60" t="b">
        <v>1</v>
      </c>
      <c r="F3351" s="80" t="s">
        <v>1105</v>
      </c>
      <c r="G3351" s="58" t="s">
        <v>8682</v>
      </c>
      <c r="H3351" s="58" t="s">
        <v>4486</v>
      </c>
      <c r="I3351" s="64" t="s">
        <v>8681</v>
      </c>
      <c r="J3351" s="66"/>
      <c r="K3351" s="66"/>
      <c r="L3351" s="68"/>
      <c r="M3351" s="63" t="str">
        <f>HYPERLINK("http://nsgreg.nga.mil/genc/view?v=866067&amp;end_month=12&amp;end_day=31&amp;end_year=2016","Correlation")</f>
        <v>Correlation</v>
      </c>
    </row>
    <row r="3352" spans="1:13" x14ac:dyDescent="0.2">
      <c r="A3352" s="113"/>
      <c r="B3352" s="58" t="s">
        <v>8683</v>
      </c>
      <c r="C3352" s="58" t="s">
        <v>1413</v>
      </c>
      <c r="D3352" s="58" t="s">
        <v>8684</v>
      </c>
      <c r="E3352" s="60" t="b">
        <v>1</v>
      </c>
      <c r="F3352" s="80" t="s">
        <v>1105</v>
      </c>
      <c r="G3352" s="58" t="s">
        <v>8685</v>
      </c>
      <c r="H3352" s="58" t="s">
        <v>4486</v>
      </c>
      <c r="I3352" s="64" t="s">
        <v>8684</v>
      </c>
      <c r="J3352" s="66"/>
      <c r="K3352" s="66"/>
      <c r="L3352" s="68"/>
      <c r="M3352" s="63" t="str">
        <f>HYPERLINK("http://nsgreg.nga.mil/genc/view?v=866068&amp;end_month=12&amp;end_day=31&amp;end_year=2016","Correlation")</f>
        <v>Correlation</v>
      </c>
    </row>
    <row r="3353" spans="1:13" x14ac:dyDescent="0.2">
      <c r="A3353" s="113"/>
      <c r="B3353" s="58" t="s">
        <v>8686</v>
      </c>
      <c r="C3353" s="58" t="s">
        <v>2408</v>
      </c>
      <c r="D3353" s="58" t="s">
        <v>8687</v>
      </c>
      <c r="E3353" s="60" t="b">
        <v>1</v>
      </c>
      <c r="F3353" s="80" t="s">
        <v>1105</v>
      </c>
      <c r="G3353" s="58" t="s">
        <v>8688</v>
      </c>
      <c r="H3353" s="58" t="s">
        <v>2408</v>
      </c>
      <c r="I3353" s="64" t="s">
        <v>8687</v>
      </c>
      <c r="J3353" s="66"/>
      <c r="K3353" s="66"/>
      <c r="L3353" s="68"/>
      <c r="M3353" s="63" t="str">
        <f>HYPERLINK("http://nsgreg.nga.mil/genc/view?v=866069&amp;end_month=12&amp;end_day=31&amp;end_year=2016","Correlation")</f>
        <v>Correlation</v>
      </c>
    </row>
    <row r="3354" spans="1:13" x14ac:dyDescent="0.2">
      <c r="A3354" s="113"/>
      <c r="B3354" s="58" t="s">
        <v>8689</v>
      </c>
      <c r="C3354" s="58" t="s">
        <v>2408</v>
      </c>
      <c r="D3354" s="58" t="s">
        <v>8690</v>
      </c>
      <c r="E3354" s="60" t="b">
        <v>1</v>
      </c>
      <c r="F3354" s="80" t="s">
        <v>1105</v>
      </c>
      <c r="G3354" s="58" t="s">
        <v>8691</v>
      </c>
      <c r="H3354" s="58" t="s">
        <v>2408</v>
      </c>
      <c r="I3354" s="64" t="s">
        <v>8690</v>
      </c>
      <c r="J3354" s="66"/>
      <c r="K3354" s="66"/>
      <c r="L3354" s="68"/>
      <c r="M3354" s="63" t="str">
        <f>HYPERLINK("http://nsgreg.nga.mil/genc/view?v=866070&amp;end_month=12&amp;end_day=31&amp;end_year=2016","Correlation")</f>
        <v>Correlation</v>
      </c>
    </row>
    <row r="3355" spans="1:13" x14ac:dyDescent="0.2">
      <c r="A3355" s="113"/>
      <c r="B3355" s="58" t="s">
        <v>8692</v>
      </c>
      <c r="C3355" s="58" t="s">
        <v>1413</v>
      </c>
      <c r="D3355" s="58" t="s">
        <v>8693</v>
      </c>
      <c r="E3355" s="60" t="b">
        <v>1</v>
      </c>
      <c r="F3355" s="80" t="s">
        <v>1105</v>
      </c>
      <c r="G3355" s="58" t="s">
        <v>8694</v>
      </c>
      <c r="H3355" s="58" t="s">
        <v>4486</v>
      </c>
      <c r="I3355" s="64" t="s">
        <v>8693</v>
      </c>
      <c r="J3355" s="66"/>
      <c r="K3355" s="66"/>
      <c r="L3355" s="68"/>
      <c r="M3355" s="63" t="str">
        <f>HYPERLINK("http://nsgreg.nga.mil/genc/view?v=866071&amp;end_month=12&amp;end_day=31&amp;end_year=2016","Correlation")</f>
        <v>Correlation</v>
      </c>
    </row>
    <row r="3356" spans="1:13" x14ac:dyDescent="0.2">
      <c r="A3356" s="113"/>
      <c r="B3356" s="58" t="s">
        <v>8695</v>
      </c>
      <c r="C3356" s="58" t="s">
        <v>3080</v>
      </c>
      <c r="D3356" s="58" t="s">
        <v>8696</v>
      </c>
      <c r="E3356" s="60" t="b">
        <v>1</v>
      </c>
      <c r="F3356" s="80" t="s">
        <v>1105</v>
      </c>
      <c r="G3356" s="58" t="s">
        <v>8697</v>
      </c>
      <c r="H3356" s="58" t="s">
        <v>3301</v>
      </c>
      <c r="I3356" s="64" t="s">
        <v>8696</v>
      </c>
      <c r="J3356" s="66"/>
      <c r="K3356" s="66"/>
      <c r="L3356" s="68"/>
      <c r="M3356" s="63" t="str">
        <f>HYPERLINK("http://nsgreg.nga.mil/genc/view?v=866072&amp;end_month=12&amp;end_day=31&amp;end_year=2016","Correlation")</f>
        <v>Correlation</v>
      </c>
    </row>
    <row r="3357" spans="1:13" x14ac:dyDescent="0.2">
      <c r="A3357" s="113"/>
      <c r="B3357" s="58" t="s">
        <v>8698</v>
      </c>
      <c r="C3357" s="58" t="s">
        <v>2408</v>
      </c>
      <c r="D3357" s="58" t="s">
        <v>8699</v>
      </c>
      <c r="E3357" s="60" t="b">
        <v>1</v>
      </c>
      <c r="F3357" s="80" t="s">
        <v>1105</v>
      </c>
      <c r="G3357" s="58" t="s">
        <v>8700</v>
      </c>
      <c r="H3357" s="58" t="s">
        <v>2408</v>
      </c>
      <c r="I3357" s="64" t="s">
        <v>8699</v>
      </c>
      <c r="J3357" s="66"/>
      <c r="K3357" s="66"/>
      <c r="L3357" s="68"/>
      <c r="M3357" s="63" t="str">
        <f>HYPERLINK("http://nsgreg.nga.mil/genc/view?v=866073&amp;end_month=12&amp;end_day=31&amp;end_year=2016","Correlation")</f>
        <v>Correlation</v>
      </c>
    </row>
    <row r="3358" spans="1:13" x14ac:dyDescent="0.2">
      <c r="A3358" s="113"/>
      <c r="B3358" s="58" t="s">
        <v>8701</v>
      </c>
      <c r="C3358" s="58" t="s">
        <v>2408</v>
      </c>
      <c r="D3358" s="58" t="s">
        <v>8702</v>
      </c>
      <c r="E3358" s="60" t="b">
        <v>1</v>
      </c>
      <c r="F3358" s="80" t="s">
        <v>1105</v>
      </c>
      <c r="G3358" s="58" t="s">
        <v>8703</v>
      </c>
      <c r="H3358" s="58" t="s">
        <v>2408</v>
      </c>
      <c r="I3358" s="64" t="s">
        <v>8702</v>
      </c>
      <c r="J3358" s="66"/>
      <c r="K3358" s="66"/>
      <c r="L3358" s="68"/>
      <c r="M3358" s="63" t="str">
        <f>HYPERLINK("http://nsgreg.nga.mil/genc/view?v=866074&amp;end_month=12&amp;end_day=31&amp;end_year=2016","Correlation")</f>
        <v>Correlation</v>
      </c>
    </row>
    <row r="3359" spans="1:13" x14ac:dyDescent="0.2">
      <c r="A3359" s="113"/>
      <c r="B3359" s="58" t="s">
        <v>8704</v>
      </c>
      <c r="C3359" s="58" t="s">
        <v>2408</v>
      </c>
      <c r="D3359" s="58" t="s">
        <v>8705</v>
      </c>
      <c r="E3359" s="60" t="b">
        <v>1</v>
      </c>
      <c r="F3359" s="80" t="s">
        <v>1105</v>
      </c>
      <c r="G3359" s="58" t="s">
        <v>8706</v>
      </c>
      <c r="H3359" s="58" t="s">
        <v>2408</v>
      </c>
      <c r="I3359" s="64" t="s">
        <v>8705</v>
      </c>
      <c r="J3359" s="66"/>
      <c r="K3359" s="66"/>
      <c r="L3359" s="68"/>
      <c r="M3359" s="63" t="str">
        <f>HYPERLINK("http://nsgreg.nga.mil/genc/view?v=866075&amp;end_month=12&amp;end_day=31&amp;end_year=2016","Correlation")</f>
        <v>Correlation</v>
      </c>
    </row>
    <row r="3360" spans="1:13" x14ac:dyDescent="0.2">
      <c r="A3360" s="113"/>
      <c r="B3360" s="58" t="s">
        <v>8707</v>
      </c>
      <c r="C3360" s="58" t="s">
        <v>1413</v>
      </c>
      <c r="D3360" s="58" t="s">
        <v>8708</v>
      </c>
      <c r="E3360" s="60" t="b">
        <v>1</v>
      </c>
      <c r="F3360" s="80" t="s">
        <v>1105</v>
      </c>
      <c r="G3360" s="58" t="s">
        <v>8709</v>
      </c>
      <c r="H3360" s="58" t="s">
        <v>4486</v>
      </c>
      <c r="I3360" s="64" t="s">
        <v>8708</v>
      </c>
      <c r="J3360" s="66"/>
      <c r="K3360" s="66"/>
      <c r="L3360" s="68"/>
      <c r="M3360" s="63" t="str">
        <f>HYPERLINK("http://nsgreg.nga.mil/genc/view?v=866076&amp;end_month=12&amp;end_day=31&amp;end_year=2016","Correlation")</f>
        <v>Correlation</v>
      </c>
    </row>
    <row r="3361" spans="1:13" x14ac:dyDescent="0.2">
      <c r="A3361" s="113"/>
      <c r="B3361" s="58" t="s">
        <v>8710</v>
      </c>
      <c r="C3361" s="58" t="s">
        <v>1413</v>
      </c>
      <c r="D3361" s="58" t="s">
        <v>8711</v>
      </c>
      <c r="E3361" s="60" t="b">
        <v>1</v>
      </c>
      <c r="F3361" s="80" t="s">
        <v>1105</v>
      </c>
      <c r="G3361" s="58" t="s">
        <v>8712</v>
      </c>
      <c r="H3361" s="58" t="s">
        <v>4486</v>
      </c>
      <c r="I3361" s="64" t="s">
        <v>8711</v>
      </c>
      <c r="J3361" s="66"/>
      <c r="K3361" s="66"/>
      <c r="L3361" s="68"/>
      <c r="M3361" s="63" t="str">
        <f>HYPERLINK("http://nsgreg.nga.mil/genc/view?v=866077&amp;end_month=12&amp;end_day=31&amp;end_year=2016","Correlation")</f>
        <v>Correlation</v>
      </c>
    </row>
    <row r="3362" spans="1:13" x14ac:dyDescent="0.2">
      <c r="A3362" s="113"/>
      <c r="B3362" s="58" t="s">
        <v>8713</v>
      </c>
      <c r="C3362" s="58" t="s">
        <v>2408</v>
      </c>
      <c r="D3362" s="58" t="s">
        <v>8714</v>
      </c>
      <c r="E3362" s="60" t="b">
        <v>1</v>
      </c>
      <c r="F3362" s="80" t="s">
        <v>1105</v>
      </c>
      <c r="G3362" s="58" t="s">
        <v>8715</v>
      </c>
      <c r="H3362" s="58" t="s">
        <v>2408</v>
      </c>
      <c r="I3362" s="64" t="s">
        <v>8714</v>
      </c>
      <c r="J3362" s="66"/>
      <c r="K3362" s="66"/>
      <c r="L3362" s="68"/>
      <c r="M3362" s="63" t="str">
        <f>HYPERLINK("http://nsgreg.nga.mil/genc/view?v=866079&amp;end_month=12&amp;end_day=31&amp;end_year=2016","Correlation")</f>
        <v>Correlation</v>
      </c>
    </row>
    <row r="3363" spans="1:13" x14ac:dyDescent="0.2">
      <c r="A3363" s="113"/>
      <c r="B3363" s="58" t="s">
        <v>8716</v>
      </c>
      <c r="C3363" s="58" t="s">
        <v>1413</v>
      </c>
      <c r="D3363" s="58" t="s">
        <v>8717</v>
      </c>
      <c r="E3363" s="60" t="b">
        <v>1</v>
      </c>
      <c r="F3363" s="80" t="s">
        <v>1105</v>
      </c>
      <c r="G3363" s="58" t="s">
        <v>8718</v>
      </c>
      <c r="H3363" s="58" t="s">
        <v>4486</v>
      </c>
      <c r="I3363" s="64" t="s">
        <v>8717</v>
      </c>
      <c r="J3363" s="66"/>
      <c r="K3363" s="66"/>
      <c r="L3363" s="68"/>
      <c r="M3363" s="63" t="str">
        <f>HYPERLINK("http://nsgreg.nga.mil/genc/view?v=866083&amp;end_month=12&amp;end_day=31&amp;end_year=2016","Correlation")</f>
        <v>Correlation</v>
      </c>
    </row>
    <row r="3364" spans="1:13" x14ac:dyDescent="0.2">
      <c r="A3364" s="113"/>
      <c r="B3364" s="58" t="s">
        <v>8719</v>
      </c>
      <c r="C3364" s="58" t="s">
        <v>2408</v>
      </c>
      <c r="D3364" s="58" t="s">
        <v>8720</v>
      </c>
      <c r="E3364" s="60" t="b">
        <v>1</v>
      </c>
      <c r="F3364" s="80" t="s">
        <v>1105</v>
      </c>
      <c r="G3364" s="58" t="s">
        <v>8721</v>
      </c>
      <c r="H3364" s="58" t="s">
        <v>2408</v>
      </c>
      <c r="I3364" s="64" t="s">
        <v>8720</v>
      </c>
      <c r="J3364" s="66"/>
      <c r="K3364" s="66"/>
      <c r="L3364" s="68"/>
      <c r="M3364" s="63" t="str">
        <f>HYPERLINK("http://nsgreg.nga.mil/genc/view?v=866089&amp;end_month=12&amp;end_day=31&amp;end_year=2016","Correlation")</f>
        <v>Correlation</v>
      </c>
    </row>
    <row r="3365" spans="1:13" x14ac:dyDescent="0.2">
      <c r="A3365" s="113"/>
      <c r="B3365" s="58" t="s">
        <v>8722</v>
      </c>
      <c r="C3365" s="58" t="s">
        <v>1413</v>
      </c>
      <c r="D3365" s="58" t="s">
        <v>8723</v>
      </c>
      <c r="E3365" s="60" t="b">
        <v>1</v>
      </c>
      <c r="F3365" s="80" t="s">
        <v>1105</v>
      </c>
      <c r="G3365" s="58" t="s">
        <v>8724</v>
      </c>
      <c r="H3365" s="58" t="s">
        <v>4486</v>
      </c>
      <c r="I3365" s="64" t="s">
        <v>8723</v>
      </c>
      <c r="J3365" s="66"/>
      <c r="K3365" s="66"/>
      <c r="L3365" s="68"/>
      <c r="M3365" s="63" t="str">
        <f>HYPERLINK("http://nsgreg.nga.mil/genc/view?v=866090&amp;end_month=12&amp;end_day=31&amp;end_year=2016","Correlation")</f>
        <v>Correlation</v>
      </c>
    </row>
    <row r="3366" spans="1:13" x14ac:dyDescent="0.2">
      <c r="A3366" s="113"/>
      <c r="B3366" s="58" t="s">
        <v>8725</v>
      </c>
      <c r="C3366" s="58" t="s">
        <v>1796</v>
      </c>
      <c r="D3366" s="58" t="s">
        <v>8726</v>
      </c>
      <c r="E3366" s="60" t="b">
        <v>1</v>
      </c>
      <c r="F3366" s="80" t="s">
        <v>1105</v>
      </c>
      <c r="G3366" s="58" t="s">
        <v>8727</v>
      </c>
      <c r="H3366" s="58" t="s">
        <v>8667</v>
      </c>
      <c r="I3366" s="64" t="s">
        <v>8726</v>
      </c>
      <c r="J3366" s="66"/>
      <c r="K3366" s="66"/>
      <c r="L3366" s="68"/>
      <c r="M3366" s="63" t="str">
        <f>HYPERLINK("http://nsgreg.nga.mil/genc/view?v=866078&amp;end_month=12&amp;end_day=31&amp;end_year=2016","Correlation")</f>
        <v>Correlation</v>
      </c>
    </row>
    <row r="3367" spans="1:13" x14ac:dyDescent="0.2">
      <c r="A3367" s="113"/>
      <c r="B3367" s="58" t="s">
        <v>8728</v>
      </c>
      <c r="C3367" s="58" t="s">
        <v>2408</v>
      </c>
      <c r="D3367" s="58" t="s">
        <v>8729</v>
      </c>
      <c r="E3367" s="60" t="b">
        <v>1</v>
      </c>
      <c r="F3367" s="80" t="s">
        <v>1105</v>
      </c>
      <c r="G3367" s="58" t="s">
        <v>8730</v>
      </c>
      <c r="H3367" s="58" t="s">
        <v>2408</v>
      </c>
      <c r="I3367" s="64" t="s">
        <v>8729</v>
      </c>
      <c r="J3367" s="66"/>
      <c r="K3367" s="66"/>
      <c r="L3367" s="68"/>
      <c r="M3367" s="63" t="str">
        <f>HYPERLINK("http://nsgreg.nga.mil/genc/view?v=866080&amp;end_month=12&amp;end_day=31&amp;end_year=2016","Correlation")</f>
        <v>Correlation</v>
      </c>
    </row>
    <row r="3368" spans="1:13" x14ac:dyDescent="0.2">
      <c r="A3368" s="113"/>
      <c r="B3368" s="58" t="s">
        <v>8731</v>
      </c>
      <c r="C3368" s="58" t="s">
        <v>2408</v>
      </c>
      <c r="D3368" s="58" t="s">
        <v>8732</v>
      </c>
      <c r="E3368" s="60" t="b">
        <v>1</v>
      </c>
      <c r="F3368" s="80" t="s">
        <v>1105</v>
      </c>
      <c r="G3368" s="58" t="s">
        <v>8733</v>
      </c>
      <c r="H3368" s="58" t="s">
        <v>2408</v>
      </c>
      <c r="I3368" s="64" t="s">
        <v>8732</v>
      </c>
      <c r="J3368" s="66"/>
      <c r="K3368" s="66"/>
      <c r="L3368" s="68"/>
      <c r="M3368" s="63" t="str">
        <f>HYPERLINK("http://nsgreg.nga.mil/genc/view?v=866093&amp;end_month=12&amp;end_day=31&amp;end_year=2016","Correlation")</f>
        <v>Correlation</v>
      </c>
    </row>
    <row r="3369" spans="1:13" x14ac:dyDescent="0.2">
      <c r="A3369" s="113"/>
      <c r="B3369" s="58" t="s">
        <v>8734</v>
      </c>
      <c r="C3369" s="58" t="s">
        <v>1413</v>
      </c>
      <c r="D3369" s="58" t="s">
        <v>8735</v>
      </c>
      <c r="E3369" s="60" t="b">
        <v>1</v>
      </c>
      <c r="F3369" s="80" t="s">
        <v>1105</v>
      </c>
      <c r="G3369" s="58" t="s">
        <v>8736</v>
      </c>
      <c r="H3369" s="58" t="s">
        <v>4486</v>
      </c>
      <c r="I3369" s="64" t="s">
        <v>8735</v>
      </c>
      <c r="J3369" s="66"/>
      <c r="K3369" s="66"/>
      <c r="L3369" s="68"/>
      <c r="M3369" s="63" t="str">
        <f>HYPERLINK("http://nsgreg.nga.mil/genc/view?v=866082&amp;end_month=12&amp;end_day=31&amp;end_year=2016","Correlation")</f>
        <v>Correlation</v>
      </c>
    </row>
    <row r="3370" spans="1:13" x14ac:dyDescent="0.2">
      <c r="A3370" s="113"/>
      <c r="B3370" s="58" t="s">
        <v>8737</v>
      </c>
      <c r="C3370" s="58" t="s">
        <v>1796</v>
      </c>
      <c r="D3370" s="58" t="s">
        <v>8738</v>
      </c>
      <c r="E3370" s="60" t="b">
        <v>1</v>
      </c>
      <c r="F3370" s="80" t="s">
        <v>1105</v>
      </c>
      <c r="G3370" s="58" t="s">
        <v>8739</v>
      </c>
      <c r="H3370" s="58" t="s">
        <v>8667</v>
      </c>
      <c r="I3370" s="64" t="s">
        <v>8738</v>
      </c>
      <c r="J3370" s="66"/>
      <c r="K3370" s="66"/>
      <c r="L3370" s="68"/>
      <c r="M3370" s="63" t="str">
        <f>HYPERLINK("http://nsgreg.nga.mil/genc/view?v=866085&amp;end_month=12&amp;end_day=31&amp;end_year=2016","Correlation")</f>
        <v>Correlation</v>
      </c>
    </row>
    <row r="3371" spans="1:13" x14ac:dyDescent="0.2">
      <c r="A3371" s="113"/>
      <c r="B3371" s="58" t="s">
        <v>8740</v>
      </c>
      <c r="C3371" s="58" t="s">
        <v>2408</v>
      </c>
      <c r="D3371" s="58" t="s">
        <v>8741</v>
      </c>
      <c r="E3371" s="60" t="b">
        <v>1</v>
      </c>
      <c r="F3371" s="80" t="s">
        <v>1105</v>
      </c>
      <c r="G3371" s="58" t="s">
        <v>8742</v>
      </c>
      <c r="H3371" s="58" t="s">
        <v>2408</v>
      </c>
      <c r="I3371" s="64" t="s">
        <v>8741</v>
      </c>
      <c r="J3371" s="66"/>
      <c r="K3371" s="66"/>
      <c r="L3371" s="68"/>
      <c r="M3371" s="63" t="str">
        <f>HYPERLINK("http://nsgreg.nga.mil/genc/view?v=866088&amp;end_month=12&amp;end_day=31&amp;end_year=2016","Correlation")</f>
        <v>Correlation</v>
      </c>
    </row>
    <row r="3372" spans="1:13" x14ac:dyDescent="0.2">
      <c r="A3372" s="113"/>
      <c r="B3372" s="58" t="s">
        <v>8743</v>
      </c>
      <c r="C3372" s="58" t="s">
        <v>3080</v>
      </c>
      <c r="D3372" s="58" t="s">
        <v>8744</v>
      </c>
      <c r="E3372" s="60" t="b">
        <v>1</v>
      </c>
      <c r="F3372" s="80" t="s">
        <v>1105</v>
      </c>
      <c r="G3372" s="58" t="s">
        <v>8745</v>
      </c>
      <c r="H3372" s="58" t="s">
        <v>3301</v>
      </c>
      <c r="I3372" s="64" t="s">
        <v>8744</v>
      </c>
      <c r="J3372" s="66"/>
      <c r="K3372" s="66"/>
      <c r="L3372" s="68"/>
      <c r="M3372" s="63" t="str">
        <f>HYPERLINK("http://nsgreg.nga.mil/genc/view?v=866086&amp;end_month=12&amp;end_day=31&amp;end_year=2016","Correlation")</f>
        <v>Correlation</v>
      </c>
    </row>
    <row r="3373" spans="1:13" x14ac:dyDescent="0.2">
      <c r="A3373" s="113"/>
      <c r="B3373" s="58" t="s">
        <v>8746</v>
      </c>
      <c r="C3373" s="58" t="s">
        <v>1413</v>
      </c>
      <c r="D3373" s="58" t="s">
        <v>8747</v>
      </c>
      <c r="E3373" s="60" t="b">
        <v>1</v>
      </c>
      <c r="F3373" s="80" t="s">
        <v>1105</v>
      </c>
      <c r="G3373" s="58" t="s">
        <v>8748</v>
      </c>
      <c r="H3373" s="58" t="s">
        <v>4486</v>
      </c>
      <c r="I3373" s="64" t="s">
        <v>8747</v>
      </c>
      <c r="J3373" s="66"/>
      <c r="K3373" s="66"/>
      <c r="L3373" s="68"/>
      <c r="M3373" s="63" t="str">
        <f>HYPERLINK("http://nsgreg.nga.mil/genc/view?v=866087&amp;end_month=12&amp;end_day=31&amp;end_year=2016","Correlation")</f>
        <v>Correlation</v>
      </c>
    </row>
    <row r="3374" spans="1:13" x14ac:dyDescent="0.2">
      <c r="A3374" s="113"/>
      <c r="B3374" s="58" t="s">
        <v>8749</v>
      </c>
      <c r="C3374" s="58" t="s">
        <v>2408</v>
      </c>
      <c r="D3374" s="58" t="s">
        <v>8750</v>
      </c>
      <c r="E3374" s="60" t="b">
        <v>1</v>
      </c>
      <c r="F3374" s="80" t="s">
        <v>1105</v>
      </c>
      <c r="G3374" s="58" t="s">
        <v>8751</v>
      </c>
      <c r="H3374" s="58" t="s">
        <v>2408</v>
      </c>
      <c r="I3374" s="64" t="s">
        <v>8750</v>
      </c>
      <c r="J3374" s="66"/>
      <c r="K3374" s="66"/>
      <c r="L3374" s="68"/>
      <c r="M3374" s="63" t="str">
        <f>HYPERLINK("http://nsgreg.nga.mil/genc/view?v=866091&amp;end_month=12&amp;end_day=31&amp;end_year=2016","Correlation")</f>
        <v>Correlation</v>
      </c>
    </row>
    <row r="3375" spans="1:13" x14ac:dyDescent="0.2">
      <c r="A3375" s="113"/>
      <c r="B3375" s="58" t="s">
        <v>8752</v>
      </c>
      <c r="C3375" s="58" t="s">
        <v>1413</v>
      </c>
      <c r="D3375" s="58" t="s">
        <v>8753</v>
      </c>
      <c r="E3375" s="60" t="b">
        <v>1</v>
      </c>
      <c r="F3375" s="80" t="s">
        <v>1105</v>
      </c>
      <c r="G3375" s="58" t="s">
        <v>8754</v>
      </c>
      <c r="H3375" s="58" t="s">
        <v>4486</v>
      </c>
      <c r="I3375" s="64" t="s">
        <v>8753</v>
      </c>
      <c r="J3375" s="66"/>
      <c r="K3375" s="66"/>
      <c r="L3375" s="68"/>
      <c r="M3375" s="63" t="str">
        <f>HYPERLINK("http://nsgreg.nga.mil/genc/view?v=866092&amp;end_month=12&amp;end_day=31&amp;end_year=2016","Correlation")</f>
        <v>Correlation</v>
      </c>
    </row>
    <row r="3376" spans="1:13" x14ac:dyDescent="0.2">
      <c r="A3376" s="113"/>
      <c r="B3376" s="58" t="s">
        <v>8755</v>
      </c>
      <c r="C3376" s="58" t="s">
        <v>1796</v>
      </c>
      <c r="D3376" s="58" t="s">
        <v>8756</v>
      </c>
      <c r="E3376" s="60" t="b">
        <v>1</v>
      </c>
      <c r="F3376" s="80" t="s">
        <v>1105</v>
      </c>
      <c r="G3376" s="58" t="s">
        <v>8757</v>
      </c>
      <c r="H3376" s="58" t="s">
        <v>8667</v>
      </c>
      <c r="I3376" s="64" t="s">
        <v>8756</v>
      </c>
      <c r="J3376" s="66"/>
      <c r="K3376" s="66"/>
      <c r="L3376" s="68"/>
      <c r="M3376" s="63" t="str">
        <f>HYPERLINK("http://nsgreg.nga.mil/genc/view?v=866081&amp;end_month=12&amp;end_day=31&amp;end_year=2016","Correlation")</f>
        <v>Correlation</v>
      </c>
    </row>
    <row r="3377" spans="1:13" x14ac:dyDescent="0.2">
      <c r="A3377" s="113"/>
      <c r="B3377" s="58" t="s">
        <v>8758</v>
      </c>
      <c r="C3377" s="58" t="s">
        <v>1796</v>
      </c>
      <c r="D3377" s="58" t="s">
        <v>8759</v>
      </c>
      <c r="E3377" s="60" t="b">
        <v>1</v>
      </c>
      <c r="F3377" s="80" t="s">
        <v>1105</v>
      </c>
      <c r="G3377" s="58" t="s">
        <v>8760</v>
      </c>
      <c r="H3377" s="58" t="s">
        <v>8667</v>
      </c>
      <c r="I3377" s="64" t="s">
        <v>8759</v>
      </c>
      <c r="J3377" s="66"/>
      <c r="K3377" s="66"/>
      <c r="L3377" s="68"/>
      <c r="M3377" s="63" t="str">
        <f>HYPERLINK("http://nsgreg.nga.mil/genc/view?v=866095&amp;end_month=12&amp;end_day=31&amp;end_year=2016","Correlation")</f>
        <v>Correlation</v>
      </c>
    </row>
    <row r="3378" spans="1:13" x14ac:dyDescent="0.2">
      <c r="A3378" s="113"/>
      <c r="B3378" s="58" t="s">
        <v>8761</v>
      </c>
      <c r="C3378" s="58" t="s">
        <v>1413</v>
      </c>
      <c r="D3378" s="58" t="s">
        <v>8762</v>
      </c>
      <c r="E3378" s="60" t="b">
        <v>1</v>
      </c>
      <c r="F3378" s="80" t="s">
        <v>1105</v>
      </c>
      <c r="G3378" s="58" t="s">
        <v>8763</v>
      </c>
      <c r="H3378" s="58" t="s">
        <v>4486</v>
      </c>
      <c r="I3378" s="64" t="s">
        <v>8762</v>
      </c>
      <c r="J3378" s="66"/>
      <c r="K3378" s="66"/>
      <c r="L3378" s="68"/>
      <c r="M3378" s="63" t="str">
        <f>HYPERLINK("http://nsgreg.nga.mil/genc/view?v=866084&amp;end_month=12&amp;end_day=31&amp;end_year=2016","Correlation")</f>
        <v>Correlation</v>
      </c>
    </row>
    <row r="3379" spans="1:13" x14ac:dyDescent="0.2">
      <c r="A3379" s="113"/>
      <c r="B3379" s="58" t="s">
        <v>8764</v>
      </c>
      <c r="C3379" s="58" t="s">
        <v>1413</v>
      </c>
      <c r="D3379" s="58" t="s">
        <v>8765</v>
      </c>
      <c r="E3379" s="60" t="b">
        <v>1</v>
      </c>
      <c r="F3379" s="80" t="s">
        <v>1105</v>
      </c>
      <c r="G3379" s="58" t="s">
        <v>8766</v>
      </c>
      <c r="H3379" s="58" t="s">
        <v>4486</v>
      </c>
      <c r="I3379" s="64" t="s">
        <v>8765</v>
      </c>
      <c r="J3379" s="66"/>
      <c r="K3379" s="66"/>
      <c r="L3379" s="68"/>
      <c r="M3379" s="63" t="str">
        <f>HYPERLINK("http://nsgreg.nga.mil/genc/view?v=866094&amp;end_month=12&amp;end_day=31&amp;end_year=2016","Correlation")</f>
        <v>Correlation</v>
      </c>
    </row>
    <row r="3380" spans="1:13" x14ac:dyDescent="0.2">
      <c r="A3380" s="113"/>
      <c r="B3380" s="58" t="s">
        <v>8767</v>
      </c>
      <c r="C3380" s="58" t="s">
        <v>1413</v>
      </c>
      <c r="D3380" s="58" t="s">
        <v>8768</v>
      </c>
      <c r="E3380" s="60" t="b">
        <v>1</v>
      </c>
      <c r="F3380" s="80" t="s">
        <v>1105</v>
      </c>
      <c r="G3380" s="58" t="s">
        <v>8769</v>
      </c>
      <c r="H3380" s="58" t="s">
        <v>4486</v>
      </c>
      <c r="I3380" s="64" t="s">
        <v>8768</v>
      </c>
      <c r="J3380" s="66"/>
      <c r="K3380" s="66"/>
      <c r="L3380" s="68"/>
      <c r="M3380" s="63" t="str">
        <f>HYPERLINK("http://nsgreg.nga.mil/genc/view?v=866096&amp;end_month=12&amp;end_day=31&amp;end_year=2016","Correlation")</f>
        <v>Correlation</v>
      </c>
    </row>
    <row r="3381" spans="1:13" x14ac:dyDescent="0.2">
      <c r="A3381" s="113"/>
      <c r="B3381" s="58" t="s">
        <v>8770</v>
      </c>
      <c r="C3381" s="58" t="s">
        <v>1413</v>
      </c>
      <c r="D3381" s="58" t="s">
        <v>8771</v>
      </c>
      <c r="E3381" s="60" t="b">
        <v>1</v>
      </c>
      <c r="F3381" s="80" t="s">
        <v>1105</v>
      </c>
      <c r="G3381" s="58" t="s">
        <v>8772</v>
      </c>
      <c r="H3381" s="58" t="s">
        <v>4486</v>
      </c>
      <c r="I3381" s="64" t="s">
        <v>8771</v>
      </c>
      <c r="J3381" s="66"/>
      <c r="K3381" s="66"/>
      <c r="L3381" s="68"/>
      <c r="M3381" s="63" t="str">
        <f>HYPERLINK("http://nsgreg.nga.mil/genc/view?v=866097&amp;end_month=12&amp;end_day=31&amp;end_year=2016","Correlation")</f>
        <v>Correlation</v>
      </c>
    </row>
    <row r="3382" spans="1:13" x14ac:dyDescent="0.2">
      <c r="A3382" s="113"/>
      <c r="B3382" s="58" t="s">
        <v>8773</v>
      </c>
      <c r="C3382" s="58" t="s">
        <v>1413</v>
      </c>
      <c r="D3382" s="58" t="s">
        <v>8774</v>
      </c>
      <c r="E3382" s="60" t="b">
        <v>1</v>
      </c>
      <c r="F3382" s="80" t="s">
        <v>1105</v>
      </c>
      <c r="G3382" s="58" t="s">
        <v>8775</v>
      </c>
      <c r="H3382" s="58" t="s">
        <v>4486</v>
      </c>
      <c r="I3382" s="64" t="s">
        <v>8774</v>
      </c>
      <c r="J3382" s="66"/>
      <c r="K3382" s="66"/>
      <c r="L3382" s="68"/>
      <c r="M3382" s="63" t="str">
        <f>HYPERLINK("http://nsgreg.nga.mil/genc/view?v=866098&amp;end_month=12&amp;end_day=31&amp;end_year=2016","Correlation")</f>
        <v>Correlation</v>
      </c>
    </row>
    <row r="3383" spans="1:13" x14ac:dyDescent="0.2">
      <c r="A3383" s="113"/>
      <c r="B3383" s="58" t="s">
        <v>8776</v>
      </c>
      <c r="C3383" s="58" t="s">
        <v>2408</v>
      </c>
      <c r="D3383" s="58" t="s">
        <v>8777</v>
      </c>
      <c r="E3383" s="60" t="b">
        <v>1</v>
      </c>
      <c r="F3383" s="80" t="s">
        <v>1105</v>
      </c>
      <c r="G3383" s="58" t="s">
        <v>8778</v>
      </c>
      <c r="H3383" s="58" t="s">
        <v>2408</v>
      </c>
      <c r="I3383" s="64" t="s">
        <v>8777</v>
      </c>
      <c r="J3383" s="66"/>
      <c r="K3383" s="66"/>
      <c r="L3383" s="68"/>
      <c r="M3383" s="63" t="str">
        <f>HYPERLINK("http://nsgreg.nga.mil/genc/view?v=866099&amp;end_month=12&amp;end_day=31&amp;end_year=2016","Correlation")</f>
        <v>Correlation</v>
      </c>
    </row>
    <row r="3384" spans="1:13" x14ac:dyDescent="0.2">
      <c r="A3384" s="113"/>
      <c r="B3384" s="58" t="s">
        <v>8779</v>
      </c>
      <c r="C3384" s="58" t="s">
        <v>2408</v>
      </c>
      <c r="D3384" s="58" t="s">
        <v>8780</v>
      </c>
      <c r="E3384" s="60" t="b">
        <v>1</v>
      </c>
      <c r="F3384" s="80" t="s">
        <v>1105</v>
      </c>
      <c r="G3384" s="58" t="s">
        <v>8781</v>
      </c>
      <c r="H3384" s="58" t="s">
        <v>2408</v>
      </c>
      <c r="I3384" s="64" t="s">
        <v>8780</v>
      </c>
      <c r="J3384" s="66"/>
      <c r="K3384" s="66"/>
      <c r="L3384" s="68"/>
      <c r="M3384" s="63" t="str">
        <f>HYPERLINK("http://nsgreg.nga.mil/genc/view?v=866100&amp;end_month=12&amp;end_day=31&amp;end_year=2016","Correlation")</f>
        <v>Correlation</v>
      </c>
    </row>
    <row r="3385" spans="1:13" x14ac:dyDescent="0.2">
      <c r="A3385" s="113"/>
      <c r="B3385" s="58" t="s">
        <v>8782</v>
      </c>
      <c r="C3385" s="58" t="s">
        <v>1413</v>
      </c>
      <c r="D3385" s="58" t="s">
        <v>8783</v>
      </c>
      <c r="E3385" s="60" t="b">
        <v>1</v>
      </c>
      <c r="F3385" s="80" t="s">
        <v>1105</v>
      </c>
      <c r="G3385" s="58" t="s">
        <v>8784</v>
      </c>
      <c r="H3385" s="58" t="s">
        <v>4486</v>
      </c>
      <c r="I3385" s="64" t="s">
        <v>8783</v>
      </c>
      <c r="J3385" s="66"/>
      <c r="K3385" s="66"/>
      <c r="L3385" s="68"/>
      <c r="M3385" s="63" t="str">
        <f>HYPERLINK("http://nsgreg.nga.mil/genc/view?v=866101&amp;end_month=12&amp;end_day=31&amp;end_year=2016","Correlation")</f>
        <v>Correlation</v>
      </c>
    </row>
    <row r="3386" spans="1:13" x14ac:dyDescent="0.2">
      <c r="A3386" s="113"/>
      <c r="B3386" s="58" t="s">
        <v>8785</v>
      </c>
      <c r="C3386" s="58" t="s">
        <v>1681</v>
      </c>
      <c r="D3386" s="58" t="s">
        <v>8786</v>
      </c>
      <c r="E3386" s="60" t="b">
        <v>1</v>
      </c>
      <c r="F3386" s="80" t="s">
        <v>1105</v>
      </c>
      <c r="G3386" s="58" t="s">
        <v>8785</v>
      </c>
      <c r="H3386" s="58" t="s">
        <v>1678</v>
      </c>
      <c r="I3386" s="64" t="s">
        <v>8786</v>
      </c>
      <c r="J3386" s="66"/>
      <c r="K3386" s="66"/>
      <c r="L3386" s="68"/>
      <c r="M3386" s="63" t="str">
        <f>HYPERLINK("http://nsgreg.nga.mil/genc/view?v=866102&amp;end_month=12&amp;end_day=31&amp;end_year=2016","Correlation")</f>
        <v>Correlation</v>
      </c>
    </row>
    <row r="3387" spans="1:13" x14ac:dyDescent="0.2">
      <c r="A3387" s="113"/>
      <c r="B3387" s="58" t="s">
        <v>8787</v>
      </c>
      <c r="C3387" s="58" t="s">
        <v>1413</v>
      </c>
      <c r="D3387" s="58" t="s">
        <v>8788</v>
      </c>
      <c r="E3387" s="60" t="b">
        <v>1</v>
      </c>
      <c r="F3387" s="80" t="s">
        <v>1105</v>
      </c>
      <c r="G3387" s="58" t="s">
        <v>8789</v>
      </c>
      <c r="H3387" s="58" t="s">
        <v>4486</v>
      </c>
      <c r="I3387" s="64" t="s">
        <v>8788</v>
      </c>
      <c r="J3387" s="66"/>
      <c r="K3387" s="66"/>
      <c r="L3387" s="68"/>
      <c r="M3387" s="63" t="str">
        <f>HYPERLINK("http://nsgreg.nga.mil/genc/view?v=866103&amp;end_month=12&amp;end_day=31&amp;end_year=2016","Correlation")</f>
        <v>Correlation</v>
      </c>
    </row>
    <row r="3388" spans="1:13" x14ac:dyDescent="0.2">
      <c r="A3388" s="113"/>
      <c r="B3388" s="58" t="s">
        <v>8790</v>
      </c>
      <c r="C3388" s="58" t="s">
        <v>3080</v>
      </c>
      <c r="D3388" s="58" t="s">
        <v>8791</v>
      </c>
      <c r="E3388" s="60" t="b">
        <v>1</v>
      </c>
      <c r="F3388" s="80" t="s">
        <v>1105</v>
      </c>
      <c r="G3388" s="58" t="s">
        <v>8792</v>
      </c>
      <c r="H3388" s="58" t="s">
        <v>3301</v>
      </c>
      <c r="I3388" s="64" t="s">
        <v>8791</v>
      </c>
      <c r="J3388" s="66"/>
      <c r="K3388" s="66"/>
      <c r="L3388" s="68"/>
      <c r="M3388" s="63" t="str">
        <f>HYPERLINK("http://nsgreg.nga.mil/genc/view?v=866104&amp;end_month=12&amp;end_day=31&amp;end_year=2016","Correlation")</f>
        <v>Correlation</v>
      </c>
    </row>
    <row r="3389" spans="1:13" x14ac:dyDescent="0.2">
      <c r="A3389" s="113"/>
      <c r="B3389" s="58" t="s">
        <v>8793</v>
      </c>
      <c r="C3389" s="58" t="s">
        <v>1413</v>
      </c>
      <c r="D3389" s="58" t="s">
        <v>8794</v>
      </c>
      <c r="E3389" s="60" t="b">
        <v>1</v>
      </c>
      <c r="F3389" s="80" t="s">
        <v>1105</v>
      </c>
      <c r="G3389" s="58" t="s">
        <v>8795</v>
      </c>
      <c r="H3389" s="58" t="s">
        <v>4486</v>
      </c>
      <c r="I3389" s="64" t="s">
        <v>8794</v>
      </c>
      <c r="J3389" s="66"/>
      <c r="K3389" s="66"/>
      <c r="L3389" s="68"/>
      <c r="M3389" s="63" t="str">
        <f>HYPERLINK("http://nsgreg.nga.mil/genc/view?v=866106&amp;end_month=12&amp;end_day=31&amp;end_year=2016","Correlation")</f>
        <v>Correlation</v>
      </c>
    </row>
    <row r="3390" spans="1:13" x14ac:dyDescent="0.2">
      <c r="A3390" s="113"/>
      <c r="B3390" s="58" t="s">
        <v>8796</v>
      </c>
      <c r="C3390" s="58" t="s">
        <v>2408</v>
      </c>
      <c r="D3390" s="58" t="s">
        <v>8797</v>
      </c>
      <c r="E3390" s="60" t="b">
        <v>1</v>
      </c>
      <c r="F3390" s="80" t="s">
        <v>1105</v>
      </c>
      <c r="G3390" s="58" t="s">
        <v>8798</v>
      </c>
      <c r="H3390" s="58" t="s">
        <v>2408</v>
      </c>
      <c r="I3390" s="64" t="s">
        <v>8797</v>
      </c>
      <c r="J3390" s="66"/>
      <c r="K3390" s="66"/>
      <c r="L3390" s="68"/>
      <c r="M3390" s="63" t="str">
        <f>HYPERLINK("http://nsgreg.nga.mil/genc/view?v=866121&amp;end_month=12&amp;end_day=31&amp;end_year=2016","Correlation")</f>
        <v>Correlation</v>
      </c>
    </row>
    <row r="3391" spans="1:13" x14ac:dyDescent="0.2">
      <c r="A3391" s="113"/>
      <c r="B3391" s="58" t="s">
        <v>8799</v>
      </c>
      <c r="C3391" s="58" t="s">
        <v>1413</v>
      </c>
      <c r="D3391" s="58" t="s">
        <v>8800</v>
      </c>
      <c r="E3391" s="60" t="b">
        <v>1</v>
      </c>
      <c r="F3391" s="80" t="s">
        <v>1105</v>
      </c>
      <c r="G3391" s="58" t="s">
        <v>8801</v>
      </c>
      <c r="H3391" s="58" t="s">
        <v>4486</v>
      </c>
      <c r="I3391" s="64" t="s">
        <v>8800</v>
      </c>
      <c r="J3391" s="66"/>
      <c r="K3391" s="66"/>
      <c r="L3391" s="68"/>
      <c r="M3391" s="63" t="str">
        <f>HYPERLINK("http://nsgreg.nga.mil/genc/view?v=866105&amp;end_month=12&amp;end_day=31&amp;end_year=2016","Correlation")</f>
        <v>Correlation</v>
      </c>
    </row>
    <row r="3392" spans="1:13" x14ac:dyDescent="0.2">
      <c r="A3392" s="113"/>
      <c r="B3392" s="58" t="s">
        <v>8802</v>
      </c>
      <c r="C3392" s="58" t="s">
        <v>1413</v>
      </c>
      <c r="D3392" s="58" t="s">
        <v>8803</v>
      </c>
      <c r="E3392" s="60" t="b">
        <v>1</v>
      </c>
      <c r="F3392" s="80" t="s">
        <v>1105</v>
      </c>
      <c r="G3392" s="58" t="s">
        <v>8804</v>
      </c>
      <c r="H3392" s="58" t="s">
        <v>4486</v>
      </c>
      <c r="I3392" s="64" t="s">
        <v>8803</v>
      </c>
      <c r="J3392" s="66"/>
      <c r="K3392" s="66"/>
      <c r="L3392" s="68"/>
      <c r="M3392" s="63" t="str">
        <f>HYPERLINK("http://nsgreg.nga.mil/genc/view?v=866107&amp;end_month=12&amp;end_day=31&amp;end_year=2016","Correlation")</f>
        <v>Correlation</v>
      </c>
    </row>
    <row r="3393" spans="1:13" x14ac:dyDescent="0.2">
      <c r="A3393" s="113"/>
      <c r="B3393" s="58" t="s">
        <v>8805</v>
      </c>
      <c r="C3393" s="58" t="s">
        <v>1413</v>
      </c>
      <c r="D3393" s="58" t="s">
        <v>8806</v>
      </c>
      <c r="E3393" s="60" t="b">
        <v>1</v>
      </c>
      <c r="F3393" s="80" t="s">
        <v>1105</v>
      </c>
      <c r="G3393" s="58" t="s">
        <v>8807</v>
      </c>
      <c r="H3393" s="58" t="s">
        <v>4486</v>
      </c>
      <c r="I3393" s="64" t="s">
        <v>8806</v>
      </c>
      <c r="J3393" s="66"/>
      <c r="K3393" s="66"/>
      <c r="L3393" s="68"/>
      <c r="M3393" s="63" t="str">
        <f>HYPERLINK("http://nsgreg.nga.mil/genc/view?v=866108&amp;end_month=12&amp;end_day=31&amp;end_year=2016","Correlation")</f>
        <v>Correlation</v>
      </c>
    </row>
    <row r="3394" spans="1:13" x14ac:dyDescent="0.2">
      <c r="A3394" s="113"/>
      <c r="B3394" s="58" t="s">
        <v>8808</v>
      </c>
      <c r="C3394" s="58" t="s">
        <v>1413</v>
      </c>
      <c r="D3394" s="58" t="s">
        <v>8809</v>
      </c>
      <c r="E3394" s="60" t="b">
        <v>1</v>
      </c>
      <c r="F3394" s="80" t="s">
        <v>1105</v>
      </c>
      <c r="G3394" s="58" t="s">
        <v>8810</v>
      </c>
      <c r="H3394" s="58" t="s">
        <v>4486</v>
      </c>
      <c r="I3394" s="64" t="s">
        <v>8809</v>
      </c>
      <c r="J3394" s="66"/>
      <c r="K3394" s="66"/>
      <c r="L3394" s="68"/>
      <c r="M3394" s="63" t="str">
        <f>HYPERLINK("http://nsgreg.nga.mil/genc/view?v=866109&amp;end_month=12&amp;end_day=31&amp;end_year=2016","Correlation")</f>
        <v>Correlation</v>
      </c>
    </row>
    <row r="3395" spans="1:13" x14ac:dyDescent="0.2">
      <c r="A3395" s="113"/>
      <c r="B3395" s="58" t="s">
        <v>8811</v>
      </c>
      <c r="C3395" s="58" t="s">
        <v>1413</v>
      </c>
      <c r="D3395" s="58" t="s">
        <v>8812</v>
      </c>
      <c r="E3395" s="60" t="b">
        <v>1</v>
      </c>
      <c r="F3395" s="80" t="s">
        <v>1105</v>
      </c>
      <c r="G3395" s="58" t="s">
        <v>8813</v>
      </c>
      <c r="H3395" s="58" t="s">
        <v>4486</v>
      </c>
      <c r="I3395" s="64" t="s">
        <v>8812</v>
      </c>
      <c r="J3395" s="66"/>
      <c r="K3395" s="66"/>
      <c r="L3395" s="68"/>
      <c r="M3395" s="63" t="str">
        <f>HYPERLINK("http://nsgreg.nga.mil/genc/view?v=866110&amp;end_month=12&amp;end_day=31&amp;end_year=2016","Correlation")</f>
        <v>Correlation</v>
      </c>
    </row>
    <row r="3396" spans="1:13" x14ac:dyDescent="0.2">
      <c r="A3396" s="113"/>
      <c r="B3396" s="58" t="s">
        <v>8814</v>
      </c>
      <c r="C3396" s="58" t="s">
        <v>1413</v>
      </c>
      <c r="D3396" s="58" t="s">
        <v>8815</v>
      </c>
      <c r="E3396" s="60" t="b">
        <v>1</v>
      </c>
      <c r="F3396" s="80" t="s">
        <v>1105</v>
      </c>
      <c r="G3396" s="58" t="s">
        <v>8816</v>
      </c>
      <c r="H3396" s="58" t="s">
        <v>4486</v>
      </c>
      <c r="I3396" s="64" t="s">
        <v>8815</v>
      </c>
      <c r="J3396" s="66"/>
      <c r="K3396" s="66"/>
      <c r="L3396" s="68"/>
      <c r="M3396" s="63" t="str">
        <f>HYPERLINK("http://nsgreg.nga.mil/genc/view?v=866112&amp;end_month=12&amp;end_day=31&amp;end_year=2016","Correlation")</f>
        <v>Correlation</v>
      </c>
    </row>
    <row r="3397" spans="1:13" x14ac:dyDescent="0.2">
      <c r="A3397" s="113"/>
      <c r="B3397" s="58" t="s">
        <v>8817</v>
      </c>
      <c r="C3397" s="58" t="s">
        <v>1796</v>
      </c>
      <c r="D3397" s="58" t="s">
        <v>8818</v>
      </c>
      <c r="E3397" s="60" t="b">
        <v>1</v>
      </c>
      <c r="F3397" s="80" t="s">
        <v>1105</v>
      </c>
      <c r="G3397" s="58" t="s">
        <v>8819</v>
      </c>
      <c r="H3397" s="58" t="s">
        <v>8667</v>
      </c>
      <c r="I3397" s="64" t="s">
        <v>8818</v>
      </c>
      <c r="J3397" s="66"/>
      <c r="K3397" s="66"/>
      <c r="L3397" s="68"/>
      <c r="M3397" s="63" t="str">
        <f>HYPERLINK("http://nsgreg.nga.mil/genc/view?v=866111&amp;end_month=12&amp;end_day=31&amp;end_year=2016","Correlation")</f>
        <v>Correlation</v>
      </c>
    </row>
    <row r="3398" spans="1:13" x14ac:dyDescent="0.2">
      <c r="A3398" s="113"/>
      <c r="B3398" s="58" t="s">
        <v>8820</v>
      </c>
      <c r="C3398" s="58" t="s">
        <v>1796</v>
      </c>
      <c r="D3398" s="58" t="s">
        <v>8821</v>
      </c>
      <c r="E3398" s="60" t="b">
        <v>1</v>
      </c>
      <c r="F3398" s="80" t="s">
        <v>1105</v>
      </c>
      <c r="G3398" s="58" t="s">
        <v>8822</v>
      </c>
      <c r="H3398" s="58" t="s">
        <v>8667</v>
      </c>
      <c r="I3398" s="64" t="s">
        <v>8821</v>
      </c>
      <c r="J3398" s="66"/>
      <c r="K3398" s="66"/>
      <c r="L3398" s="68"/>
      <c r="M3398" s="63" t="str">
        <f>HYPERLINK("http://nsgreg.nga.mil/genc/view?v=866113&amp;end_month=12&amp;end_day=31&amp;end_year=2016","Correlation")</f>
        <v>Correlation</v>
      </c>
    </row>
    <row r="3399" spans="1:13" x14ac:dyDescent="0.2">
      <c r="A3399" s="113"/>
      <c r="B3399" s="58" t="s">
        <v>8823</v>
      </c>
      <c r="C3399" s="58" t="s">
        <v>1413</v>
      </c>
      <c r="D3399" s="58" t="s">
        <v>8824</v>
      </c>
      <c r="E3399" s="60" t="b">
        <v>1</v>
      </c>
      <c r="F3399" s="80" t="s">
        <v>1105</v>
      </c>
      <c r="G3399" s="58" t="s">
        <v>8825</v>
      </c>
      <c r="H3399" s="58" t="s">
        <v>4486</v>
      </c>
      <c r="I3399" s="64" t="s">
        <v>8824</v>
      </c>
      <c r="J3399" s="66"/>
      <c r="K3399" s="66"/>
      <c r="L3399" s="68"/>
      <c r="M3399" s="63" t="str">
        <f>HYPERLINK("http://nsgreg.nga.mil/genc/view?v=866114&amp;end_month=12&amp;end_day=31&amp;end_year=2016","Correlation")</f>
        <v>Correlation</v>
      </c>
    </row>
    <row r="3400" spans="1:13" x14ac:dyDescent="0.2">
      <c r="A3400" s="113"/>
      <c r="B3400" s="58" t="s">
        <v>8826</v>
      </c>
      <c r="C3400" s="58" t="s">
        <v>1413</v>
      </c>
      <c r="D3400" s="58" t="s">
        <v>8827</v>
      </c>
      <c r="E3400" s="60" t="b">
        <v>1</v>
      </c>
      <c r="F3400" s="80" t="s">
        <v>1105</v>
      </c>
      <c r="G3400" s="58" t="s">
        <v>8828</v>
      </c>
      <c r="H3400" s="58" t="s">
        <v>4486</v>
      </c>
      <c r="I3400" s="64" t="s">
        <v>8827</v>
      </c>
      <c r="J3400" s="66"/>
      <c r="K3400" s="66"/>
      <c r="L3400" s="68"/>
      <c r="M3400" s="63" t="str">
        <f>HYPERLINK("http://nsgreg.nga.mil/genc/view?v=866115&amp;end_month=12&amp;end_day=31&amp;end_year=2016","Correlation")</f>
        <v>Correlation</v>
      </c>
    </row>
    <row r="3401" spans="1:13" x14ac:dyDescent="0.2">
      <c r="A3401" s="113"/>
      <c r="B3401" s="58" t="s">
        <v>8829</v>
      </c>
      <c r="C3401" s="58" t="s">
        <v>1413</v>
      </c>
      <c r="D3401" s="58" t="s">
        <v>8830</v>
      </c>
      <c r="E3401" s="60" t="b">
        <v>1</v>
      </c>
      <c r="F3401" s="80" t="s">
        <v>1105</v>
      </c>
      <c r="G3401" s="58" t="s">
        <v>8831</v>
      </c>
      <c r="H3401" s="58" t="s">
        <v>4486</v>
      </c>
      <c r="I3401" s="64" t="s">
        <v>8830</v>
      </c>
      <c r="J3401" s="66"/>
      <c r="K3401" s="66"/>
      <c r="L3401" s="68"/>
      <c r="M3401" s="63" t="str">
        <f>HYPERLINK("http://nsgreg.nga.mil/genc/view?v=866116&amp;end_month=12&amp;end_day=31&amp;end_year=2016","Correlation")</f>
        <v>Correlation</v>
      </c>
    </row>
    <row r="3402" spans="1:13" x14ac:dyDescent="0.2">
      <c r="A3402" s="113"/>
      <c r="B3402" s="58" t="s">
        <v>8832</v>
      </c>
      <c r="C3402" s="58" t="s">
        <v>2408</v>
      </c>
      <c r="D3402" s="58" t="s">
        <v>8833</v>
      </c>
      <c r="E3402" s="60" t="b">
        <v>1</v>
      </c>
      <c r="F3402" s="80" t="s">
        <v>1105</v>
      </c>
      <c r="G3402" s="58" t="s">
        <v>8834</v>
      </c>
      <c r="H3402" s="58" t="s">
        <v>2408</v>
      </c>
      <c r="I3402" s="64" t="s">
        <v>8833</v>
      </c>
      <c r="J3402" s="66"/>
      <c r="K3402" s="66"/>
      <c r="L3402" s="68"/>
      <c r="M3402" s="63" t="str">
        <f>HYPERLINK("http://nsgreg.nga.mil/genc/view?v=866117&amp;end_month=12&amp;end_day=31&amp;end_year=2016","Correlation")</f>
        <v>Correlation</v>
      </c>
    </row>
    <row r="3403" spans="1:13" x14ac:dyDescent="0.2">
      <c r="A3403" s="113"/>
      <c r="B3403" s="58" t="s">
        <v>8835</v>
      </c>
      <c r="C3403" s="58" t="s">
        <v>1413</v>
      </c>
      <c r="D3403" s="58" t="s">
        <v>8836</v>
      </c>
      <c r="E3403" s="60" t="b">
        <v>1</v>
      </c>
      <c r="F3403" s="80" t="s">
        <v>1105</v>
      </c>
      <c r="G3403" s="58" t="s">
        <v>8837</v>
      </c>
      <c r="H3403" s="58" t="s">
        <v>4486</v>
      </c>
      <c r="I3403" s="64" t="s">
        <v>8836</v>
      </c>
      <c r="J3403" s="66"/>
      <c r="K3403" s="66"/>
      <c r="L3403" s="68"/>
      <c r="M3403" s="63" t="str">
        <f>HYPERLINK("http://nsgreg.nga.mil/genc/view?v=866118&amp;end_month=12&amp;end_day=31&amp;end_year=2016","Correlation")</f>
        <v>Correlation</v>
      </c>
    </row>
    <row r="3404" spans="1:13" x14ac:dyDescent="0.2">
      <c r="A3404" s="113"/>
      <c r="B3404" s="58" t="s">
        <v>8838</v>
      </c>
      <c r="C3404" s="58" t="s">
        <v>1413</v>
      </c>
      <c r="D3404" s="58" t="s">
        <v>8839</v>
      </c>
      <c r="E3404" s="60" t="b">
        <v>1</v>
      </c>
      <c r="F3404" s="80" t="s">
        <v>1105</v>
      </c>
      <c r="G3404" s="58" t="s">
        <v>8840</v>
      </c>
      <c r="H3404" s="58" t="s">
        <v>4486</v>
      </c>
      <c r="I3404" s="64" t="s">
        <v>8839</v>
      </c>
      <c r="J3404" s="66"/>
      <c r="K3404" s="66"/>
      <c r="L3404" s="68"/>
      <c r="M3404" s="63" t="str">
        <f>HYPERLINK("http://nsgreg.nga.mil/genc/view?v=866119&amp;end_month=12&amp;end_day=31&amp;end_year=2016","Correlation")</f>
        <v>Correlation</v>
      </c>
    </row>
    <row r="3405" spans="1:13" x14ac:dyDescent="0.2">
      <c r="A3405" s="113"/>
      <c r="B3405" s="58" t="s">
        <v>8841</v>
      </c>
      <c r="C3405" s="58" t="s">
        <v>1681</v>
      </c>
      <c r="D3405" s="58" t="s">
        <v>8842</v>
      </c>
      <c r="E3405" s="60" t="b">
        <v>1</v>
      </c>
      <c r="F3405" s="80" t="s">
        <v>1105</v>
      </c>
      <c r="G3405" s="58" t="s">
        <v>8841</v>
      </c>
      <c r="H3405" s="58" t="s">
        <v>1678</v>
      </c>
      <c r="I3405" s="64" t="s">
        <v>8842</v>
      </c>
      <c r="J3405" s="66"/>
      <c r="K3405" s="66"/>
      <c r="L3405" s="68"/>
      <c r="M3405" s="63" t="str">
        <f>HYPERLINK("http://nsgreg.nga.mil/genc/view?v=866123&amp;end_month=12&amp;end_day=31&amp;end_year=2016","Correlation")</f>
        <v>Correlation</v>
      </c>
    </row>
    <row r="3406" spans="1:13" x14ac:dyDescent="0.2">
      <c r="A3406" s="113"/>
      <c r="B3406" s="58" t="s">
        <v>8843</v>
      </c>
      <c r="C3406" s="58" t="s">
        <v>1413</v>
      </c>
      <c r="D3406" s="58" t="s">
        <v>8844</v>
      </c>
      <c r="E3406" s="60" t="b">
        <v>1</v>
      </c>
      <c r="F3406" s="80" t="s">
        <v>1105</v>
      </c>
      <c r="G3406" s="58" t="s">
        <v>8845</v>
      </c>
      <c r="H3406" s="58" t="s">
        <v>4486</v>
      </c>
      <c r="I3406" s="64" t="s">
        <v>8844</v>
      </c>
      <c r="J3406" s="66"/>
      <c r="K3406" s="66"/>
      <c r="L3406" s="68"/>
      <c r="M3406" s="63" t="str">
        <f>HYPERLINK("http://nsgreg.nga.mil/genc/view?v=866120&amp;end_month=12&amp;end_day=31&amp;end_year=2016","Correlation")</f>
        <v>Correlation</v>
      </c>
    </row>
    <row r="3407" spans="1:13" x14ac:dyDescent="0.2">
      <c r="A3407" s="113"/>
      <c r="B3407" s="58" t="s">
        <v>8846</v>
      </c>
      <c r="C3407" s="58" t="s">
        <v>1413</v>
      </c>
      <c r="D3407" s="58" t="s">
        <v>8847</v>
      </c>
      <c r="E3407" s="60" t="b">
        <v>1</v>
      </c>
      <c r="F3407" s="80" t="s">
        <v>1105</v>
      </c>
      <c r="G3407" s="58" t="s">
        <v>8848</v>
      </c>
      <c r="H3407" s="58" t="s">
        <v>4486</v>
      </c>
      <c r="I3407" s="64" t="s">
        <v>8847</v>
      </c>
      <c r="J3407" s="66"/>
      <c r="K3407" s="66"/>
      <c r="L3407" s="68"/>
      <c r="M3407" s="63" t="str">
        <f>HYPERLINK("http://nsgreg.nga.mil/genc/view?v=866122&amp;end_month=12&amp;end_day=31&amp;end_year=2016","Correlation")</f>
        <v>Correlation</v>
      </c>
    </row>
    <row r="3408" spans="1:13" x14ac:dyDescent="0.2">
      <c r="A3408" s="113"/>
      <c r="B3408" s="58" t="s">
        <v>8849</v>
      </c>
      <c r="C3408" s="58" t="s">
        <v>1796</v>
      </c>
      <c r="D3408" s="58" t="s">
        <v>8850</v>
      </c>
      <c r="E3408" s="60" t="b">
        <v>1</v>
      </c>
      <c r="F3408" s="80" t="s">
        <v>1105</v>
      </c>
      <c r="G3408" s="58" t="s">
        <v>8851</v>
      </c>
      <c r="H3408" s="58" t="s">
        <v>8667</v>
      </c>
      <c r="I3408" s="64" t="s">
        <v>8850</v>
      </c>
      <c r="J3408" s="66"/>
      <c r="K3408" s="66"/>
      <c r="L3408" s="68"/>
      <c r="M3408" s="63" t="str">
        <f>HYPERLINK("http://nsgreg.nga.mil/genc/view?v=866124&amp;end_month=12&amp;end_day=31&amp;end_year=2016","Correlation")</f>
        <v>Correlation</v>
      </c>
    </row>
    <row r="3409" spans="1:13" x14ac:dyDescent="0.2">
      <c r="A3409" s="113"/>
      <c r="B3409" s="58" t="s">
        <v>8852</v>
      </c>
      <c r="C3409" s="58" t="s">
        <v>1413</v>
      </c>
      <c r="D3409" s="58" t="s">
        <v>8853</v>
      </c>
      <c r="E3409" s="60" t="b">
        <v>1</v>
      </c>
      <c r="F3409" s="80" t="s">
        <v>1105</v>
      </c>
      <c r="G3409" s="58" t="s">
        <v>8854</v>
      </c>
      <c r="H3409" s="58" t="s">
        <v>4486</v>
      </c>
      <c r="I3409" s="64" t="s">
        <v>8853</v>
      </c>
      <c r="J3409" s="66"/>
      <c r="K3409" s="66"/>
      <c r="L3409" s="68"/>
      <c r="M3409" s="63" t="str">
        <f>HYPERLINK("http://nsgreg.nga.mil/genc/view?v=866125&amp;end_month=12&amp;end_day=31&amp;end_year=2016","Correlation")</f>
        <v>Correlation</v>
      </c>
    </row>
    <row r="3410" spans="1:13" x14ac:dyDescent="0.2">
      <c r="A3410" s="113"/>
      <c r="B3410" s="58" t="s">
        <v>8855</v>
      </c>
      <c r="C3410" s="58" t="s">
        <v>1413</v>
      </c>
      <c r="D3410" s="58" t="s">
        <v>8856</v>
      </c>
      <c r="E3410" s="60" t="b">
        <v>1</v>
      </c>
      <c r="F3410" s="80" t="s">
        <v>1105</v>
      </c>
      <c r="G3410" s="58" t="s">
        <v>8857</v>
      </c>
      <c r="H3410" s="58" t="s">
        <v>4486</v>
      </c>
      <c r="I3410" s="64" t="s">
        <v>8856</v>
      </c>
      <c r="J3410" s="66"/>
      <c r="K3410" s="66"/>
      <c r="L3410" s="68"/>
      <c r="M3410" s="63" t="str">
        <f>HYPERLINK("http://nsgreg.nga.mil/genc/view?v=866127&amp;end_month=12&amp;end_day=31&amp;end_year=2016","Correlation")</f>
        <v>Correlation</v>
      </c>
    </row>
    <row r="3411" spans="1:13" x14ac:dyDescent="0.2">
      <c r="A3411" s="113"/>
      <c r="B3411" s="58" t="s">
        <v>8858</v>
      </c>
      <c r="C3411" s="58" t="s">
        <v>2408</v>
      </c>
      <c r="D3411" s="58" t="s">
        <v>8859</v>
      </c>
      <c r="E3411" s="60" t="b">
        <v>1</v>
      </c>
      <c r="F3411" s="80" t="s">
        <v>1105</v>
      </c>
      <c r="G3411" s="58" t="s">
        <v>8860</v>
      </c>
      <c r="H3411" s="58" t="s">
        <v>2408</v>
      </c>
      <c r="I3411" s="64" t="s">
        <v>8859</v>
      </c>
      <c r="J3411" s="66"/>
      <c r="K3411" s="66"/>
      <c r="L3411" s="68"/>
      <c r="M3411" s="63" t="str">
        <f>HYPERLINK("http://nsgreg.nga.mil/genc/view?v=866126&amp;end_month=12&amp;end_day=31&amp;end_year=2016","Correlation")</f>
        <v>Correlation</v>
      </c>
    </row>
    <row r="3412" spans="1:13" x14ac:dyDescent="0.2">
      <c r="A3412" s="113"/>
      <c r="B3412" s="58" t="s">
        <v>8861</v>
      </c>
      <c r="C3412" s="58" t="s">
        <v>1413</v>
      </c>
      <c r="D3412" s="58" t="s">
        <v>8862</v>
      </c>
      <c r="E3412" s="60" t="b">
        <v>1</v>
      </c>
      <c r="F3412" s="80" t="s">
        <v>1105</v>
      </c>
      <c r="G3412" s="58" t="s">
        <v>8863</v>
      </c>
      <c r="H3412" s="58" t="s">
        <v>4486</v>
      </c>
      <c r="I3412" s="64" t="s">
        <v>8862</v>
      </c>
      <c r="J3412" s="66"/>
      <c r="K3412" s="66"/>
      <c r="L3412" s="68"/>
      <c r="M3412" s="63" t="str">
        <f>HYPERLINK("http://nsgreg.nga.mil/genc/view?v=866128&amp;end_month=12&amp;end_day=31&amp;end_year=2016","Correlation")</f>
        <v>Correlation</v>
      </c>
    </row>
    <row r="3413" spans="1:13" x14ac:dyDescent="0.2">
      <c r="A3413" s="113"/>
      <c r="B3413" s="58" t="s">
        <v>8864</v>
      </c>
      <c r="C3413" s="58" t="s">
        <v>1413</v>
      </c>
      <c r="D3413" s="58" t="s">
        <v>8865</v>
      </c>
      <c r="E3413" s="60" t="b">
        <v>1</v>
      </c>
      <c r="F3413" s="80" t="s">
        <v>1105</v>
      </c>
      <c r="G3413" s="58" t="s">
        <v>8866</v>
      </c>
      <c r="H3413" s="58" t="s">
        <v>4486</v>
      </c>
      <c r="I3413" s="64" t="s">
        <v>8865</v>
      </c>
      <c r="J3413" s="66"/>
      <c r="K3413" s="66"/>
      <c r="L3413" s="68"/>
      <c r="M3413" s="63" t="str">
        <f>HYPERLINK("http://nsgreg.nga.mil/genc/view?v=866129&amp;end_month=12&amp;end_day=31&amp;end_year=2016","Correlation")</f>
        <v>Correlation</v>
      </c>
    </row>
    <row r="3414" spans="1:13" x14ac:dyDescent="0.2">
      <c r="A3414" s="113"/>
      <c r="B3414" s="58" t="s">
        <v>8867</v>
      </c>
      <c r="C3414" s="58" t="s">
        <v>1413</v>
      </c>
      <c r="D3414" s="58" t="s">
        <v>8868</v>
      </c>
      <c r="E3414" s="60" t="b">
        <v>1</v>
      </c>
      <c r="F3414" s="80" t="s">
        <v>1105</v>
      </c>
      <c r="G3414" s="58" t="s">
        <v>8869</v>
      </c>
      <c r="H3414" s="58" t="s">
        <v>4486</v>
      </c>
      <c r="I3414" s="64" t="s">
        <v>8868</v>
      </c>
      <c r="J3414" s="66"/>
      <c r="K3414" s="66"/>
      <c r="L3414" s="68"/>
      <c r="M3414" s="63" t="str">
        <f>HYPERLINK("http://nsgreg.nga.mil/genc/view?v=866130&amp;end_month=12&amp;end_day=31&amp;end_year=2016","Correlation")</f>
        <v>Correlation</v>
      </c>
    </row>
    <row r="3415" spans="1:13" x14ac:dyDescent="0.2">
      <c r="A3415" s="113"/>
      <c r="B3415" s="58" t="s">
        <v>8870</v>
      </c>
      <c r="C3415" s="58" t="s">
        <v>1413</v>
      </c>
      <c r="D3415" s="58" t="s">
        <v>8871</v>
      </c>
      <c r="E3415" s="60" t="b">
        <v>1</v>
      </c>
      <c r="F3415" s="80" t="s">
        <v>1105</v>
      </c>
      <c r="G3415" s="58" t="s">
        <v>8872</v>
      </c>
      <c r="H3415" s="58" t="s">
        <v>4486</v>
      </c>
      <c r="I3415" s="64" t="s">
        <v>8871</v>
      </c>
      <c r="J3415" s="66"/>
      <c r="K3415" s="66"/>
      <c r="L3415" s="68"/>
      <c r="M3415" s="63" t="str">
        <f>HYPERLINK("http://nsgreg.nga.mil/genc/view?v=866132&amp;end_month=12&amp;end_day=31&amp;end_year=2016","Correlation")</f>
        <v>Correlation</v>
      </c>
    </row>
    <row r="3416" spans="1:13" x14ac:dyDescent="0.2">
      <c r="A3416" s="113"/>
      <c r="B3416" s="58" t="s">
        <v>8873</v>
      </c>
      <c r="C3416" s="58" t="s">
        <v>2408</v>
      </c>
      <c r="D3416" s="58" t="s">
        <v>8874</v>
      </c>
      <c r="E3416" s="60" t="b">
        <v>1</v>
      </c>
      <c r="F3416" s="80" t="s">
        <v>1105</v>
      </c>
      <c r="G3416" s="58" t="s">
        <v>8875</v>
      </c>
      <c r="H3416" s="58" t="s">
        <v>2408</v>
      </c>
      <c r="I3416" s="64" t="s">
        <v>8874</v>
      </c>
      <c r="J3416" s="66"/>
      <c r="K3416" s="66"/>
      <c r="L3416" s="68"/>
      <c r="M3416" s="63" t="str">
        <f>HYPERLINK("http://nsgreg.nga.mil/genc/view?v=866131&amp;end_month=12&amp;end_day=31&amp;end_year=2016","Correlation")</f>
        <v>Correlation</v>
      </c>
    </row>
    <row r="3417" spans="1:13" x14ac:dyDescent="0.2">
      <c r="A3417" s="113"/>
      <c r="B3417" s="58" t="s">
        <v>8876</v>
      </c>
      <c r="C3417" s="58" t="s">
        <v>2408</v>
      </c>
      <c r="D3417" s="58" t="s">
        <v>8877</v>
      </c>
      <c r="E3417" s="60" t="b">
        <v>1</v>
      </c>
      <c r="F3417" s="80" t="s">
        <v>1105</v>
      </c>
      <c r="G3417" s="58" t="s">
        <v>8878</v>
      </c>
      <c r="H3417" s="58" t="s">
        <v>2408</v>
      </c>
      <c r="I3417" s="64" t="s">
        <v>8877</v>
      </c>
      <c r="J3417" s="66"/>
      <c r="K3417" s="66"/>
      <c r="L3417" s="68"/>
      <c r="M3417" s="63" t="str">
        <f>HYPERLINK("http://nsgreg.nga.mil/genc/view?v=866133&amp;end_month=12&amp;end_day=31&amp;end_year=2016","Correlation")</f>
        <v>Correlation</v>
      </c>
    </row>
    <row r="3418" spans="1:13" x14ac:dyDescent="0.2">
      <c r="A3418" s="113"/>
      <c r="B3418" s="58" t="s">
        <v>8879</v>
      </c>
      <c r="C3418" s="58" t="s">
        <v>1413</v>
      </c>
      <c r="D3418" s="58" t="s">
        <v>8880</v>
      </c>
      <c r="E3418" s="60" t="b">
        <v>1</v>
      </c>
      <c r="F3418" s="80" t="s">
        <v>1105</v>
      </c>
      <c r="G3418" s="58" t="s">
        <v>8881</v>
      </c>
      <c r="H3418" s="58" t="s">
        <v>4486</v>
      </c>
      <c r="I3418" s="64" t="s">
        <v>8880</v>
      </c>
      <c r="J3418" s="66"/>
      <c r="K3418" s="66"/>
      <c r="L3418" s="68"/>
      <c r="M3418" s="63" t="str">
        <f>HYPERLINK("http://nsgreg.nga.mil/genc/view?v=866134&amp;end_month=12&amp;end_day=31&amp;end_year=2016","Correlation")</f>
        <v>Correlation</v>
      </c>
    </row>
    <row r="3419" spans="1:13" x14ac:dyDescent="0.2">
      <c r="A3419" s="113"/>
      <c r="B3419" s="58" t="s">
        <v>8882</v>
      </c>
      <c r="C3419" s="58" t="s">
        <v>1413</v>
      </c>
      <c r="D3419" s="58" t="s">
        <v>8883</v>
      </c>
      <c r="E3419" s="60" t="b">
        <v>1</v>
      </c>
      <c r="F3419" s="80" t="s">
        <v>1105</v>
      </c>
      <c r="G3419" s="58" t="s">
        <v>8884</v>
      </c>
      <c r="H3419" s="58" t="s">
        <v>4486</v>
      </c>
      <c r="I3419" s="64" t="s">
        <v>8883</v>
      </c>
      <c r="J3419" s="66"/>
      <c r="K3419" s="66"/>
      <c r="L3419" s="68"/>
      <c r="M3419" s="63" t="str">
        <f>HYPERLINK("http://nsgreg.nga.mil/genc/view?v=866136&amp;end_month=12&amp;end_day=31&amp;end_year=2016","Correlation")</f>
        <v>Correlation</v>
      </c>
    </row>
    <row r="3420" spans="1:13" x14ac:dyDescent="0.2">
      <c r="A3420" s="113"/>
      <c r="B3420" s="58" t="s">
        <v>8885</v>
      </c>
      <c r="C3420" s="58" t="s">
        <v>1413</v>
      </c>
      <c r="D3420" s="58" t="s">
        <v>8886</v>
      </c>
      <c r="E3420" s="60" t="b">
        <v>1</v>
      </c>
      <c r="F3420" s="80" t="s">
        <v>1105</v>
      </c>
      <c r="G3420" s="58" t="s">
        <v>8887</v>
      </c>
      <c r="H3420" s="58" t="s">
        <v>4486</v>
      </c>
      <c r="I3420" s="64" t="s">
        <v>8886</v>
      </c>
      <c r="J3420" s="66"/>
      <c r="K3420" s="66"/>
      <c r="L3420" s="68"/>
      <c r="M3420" s="63" t="str">
        <f>HYPERLINK("http://nsgreg.nga.mil/genc/view?v=866135&amp;end_month=12&amp;end_day=31&amp;end_year=2016","Correlation")</f>
        <v>Correlation</v>
      </c>
    </row>
    <row r="3421" spans="1:13" x14ac:dyDescent="0.2">
      <c r="A3421" s="113"/>
      <c r="B3421" s="58" t="s">
        <v>8888</v>
      </c>
      <c r="C3421" s="58" t="s">
        <v>1413</v>
      </c>
      <c r="D3421" s="58" t="s">
        <v>8889</v>
      </c>
      <c r="E3421" s="60" t="b">
        <v>1</v>
      </c>
      <c r="F3421" s="80" t="s">
        <v>1105</v>
      </c>
      <c r="G3421" s="58" t="s">
        <v>8890</v>
      </c>
      <c r="H3421" s="58" t="s">
        <v>4486</v>
      </c>
      <c r="I3421" s="64" t="s">
        <v>8889</v>
      </c>
      <c r="J3421" s="66"/>
      <c r="K3421" s="66"/>
      <c r="L3421" s="68"/>
      <c r="M3421" s="63" t="str">
        <f>HYPERLINK("http://nsgreg.nga.mil/genc/view?v=866137&amp;end_month=12&amp;end_day=31&amp;end_year=2016","Correlation")</f>
        <v>Correlation</v>
      </c>
    </row>
    <row r="3422" spans="1:13" x14ac:dyDescent="0.2">
      <c r="A3422" s="113"/>
      <c r="B3422" s="58" t="s">
        <v>8891</v>
      </c>
      <c r="C3422" s="58" t="s">
        <v>1413</v>
      </c>
      <c r="D3422" s="58" t="s">
        <v>8892</v>
      </c>
      <c r="E3422" s="60" t="b">
        <v>1</v>
      </c>
      <c r="F3422" s="80" t="s">
        <v>1105</v>
      </c>
      <c r="G3422" s="58" t="s">
        <v>8893</v>
      </c>
      <c r="H3422" s="58" t="s">
        <v>4486</v>
      </c>
      <c r="I3422" s="64" t="s">
        <v>8892</v>
      </c>
      <c r="J3422" s="66"/>
      <c r="K3422" s="66"/>
      <c r="L3422" s="68"/>
      <c r="M3422" s="63" t="str">
        <f>HYPERLINK("http://nsgreg.nga.mil/genc/view?v=866138&amp;end_month=12&amp;end_day=31&amp;end_year=2016","Correlation")</f>
        <v>Correlation</v>
      </c>
    </row>
    <row r="3423" spans="1:13" x14ac:dyDescent="0.2">
      <c r="A3423" s="113"/>
      <c r="B3423" s="58" t="s">
        <v>8894</v>
      </c>
      <c r="C3423" s="58" t="s">
        <v>3080</v>
      </c>
      <c r="D3423" s="58" t="s">
        <v>8895</v>
      </c>
      <c r="E3423" s="60" t="b">
        <v>1</v>
      </c>
      <c r="F3423" s="80" t="s">
        <v>1105</v>
      </c>
      <c r="G3423" s="58" t="s">
        <v>8896</v>
      </c>
      <c r="H3423" s="58" t="s">
        <v>3301</v>
      </c>
      <c r="I3423" s="64" t="s">
        <v>8895</v>
      </c>
      <c r="J3423" s="66"/>
      <c r="K3423" s="66"/>
      <c r="L3423" s="68"/>
      <c r="M3423" s="63" t="str">
        <f>HYPERLINK("http://nsgreg.nga.mil/genc/view?v=866139&amp;end_month=12&amp;end_day=31&amp;end_year=2016","Correlation")</f>
        <v>Correlation</v>
      </c>
    </row>
    <row r="3424" spans="1:13" x14ac:dyDescent="0.2">
      <c r="A3424" s="113"/>
      <c r="B3424" s="58" t="s">
        <v>8897</v>
      </c>
      <c r="C3424" s="58" t="s">
        <v>1413</v>
      </c>
      <c r="D3424" s="58" t="s">
        <v>8898</v>
      </c>
      <c r="E3424" s="60" t="b">
        <v>1</v>
      </c>
      <c r="F3424" s="80" t="s">
        <v>1105</v>
      </c>
      <c r="G3424" s="58" t="s">
        <v>8899</v>
      </c>
      <c r="H3424" s="58" t="s">
        <v>4486</v>
      </c>
      <c r="I3424" s="64" t="s">
        <v>8898</v>
      </c>
      <c r="J3424" s="66"/>
      <c r="K3424" s="66"/>
      <c r="L3424" s="68"/>
      <c r="M3424" s="63" t="str">
        <f>HYPERLINK("http://nsgreg.nga.mil/genc/view?v=866140&amp;end_month=12&amp;end_day=31&amp;end_year=2016","Correlation")</f>
        <v>Correlation</v>
      </c>
    </row>
    <row r="3425" spans="1:13" x14ac:dyDescent="0.2">
      <c r="A3425" s="113"/>
      <c r="B3425" s="58" t="s">
        <v>8900</v>
      </c>
      <c r="C3425" s="58" t="s">
        <v>4947</v>
      </c>
      <c r="D3425" s="58" t="s">
        <v>8901</v>
      </c>
      <c r="E3425" s="60" t="b">
        <v>1</v>
      </c>
      <c r="F3425" s="80" t="s">
        <v>1105</v>
      </c>
      <c r="G3425" s="58" t="s">
        <v>8902</v>
      </c>
      <c r="H3425" s="58" t="s">
        <v>3080</v>
      </c>
      <c r="I3425" s="64" t="s">
        <v>8901</v>
      </c>
      <c r="J3425" s="66"/>
      <c r="K3425" s="66"/>
      <c r="L3425" s="68"/>
      <c r="M3425" s="63" t="str">
        <f>HYPERLINK("http://nsgreg.nga.mil/genc/view?v=866141&amp;end_month=12&amp;end_day=31&amp;end_year=2016","Correlation")</f>
        <v>Correlation</v>
      </c>
    </row>
    <row r="3426" spans="1:13" x14ac:dyDescent="0.2">
      <c r="A3426" s="114"/>
      <c r="B3426" s="71" t="s">
        <v>8903</v>
      </c>
      <c r="C3426" s="71" t="s">
        <v>1796</v>
      </c>
      <c r="D3426" s="71" t="s">
        <v>8904</v>
      </c>
      <c r="E3426" s="73" t="b">
        <v>1</v>
      </c>
      <c r="F3426" s="81" t="s">
        <v>1105</v>
      </c>
      <c r="G3426" s="71" t="s">
        <v>8905</v>
      </c>
      <c r="H3426" s="71" t="s">
        <v>8667</v>
      </c>
      <c r="I3426" s="74" t="s">
        <v>8904</v>
      </c>
      <c r="J3426" s="76"/>
      <c r="K3426" s="76"/>
      <c r="L3426" s="82"/>
      <c r="M3426" s="77" t="str">
        <f>HYPERLINK("http://nsgreg.nga.mil/genc/view?v=866142&amp;end_month=12&amp;end_day=31&amp;end_year=2016","Correlation")</f>
        <v>Correlation</v>
      </c>
    </row>
    <row r="3427" spans="1:13" x14ac:dyDescent="0.2">
      <c r="A3427" s="112" t="s">
        <v>1106</v>
      </c>
      <c r="B3427" s="50" t="s">
        <v>8906</v>
      </c>
      <c r="C3427" s="50" t="s">
        <v>1413</v>
      </c>
      <c r="D3427" s="50" t="s">
        <v>8907</v>
      </c>
      <c r="E3427" s="52" t="b">
        <v>1</v>
      </c>
      <c r="F3427" s="78" t="s">
        <v>1106</v>
      </c>
      <c r="G3427" s="50" t="s">
        <v>4055</v>
      </c>
      <c r="H3427" s="50" t="s">
        <v>1413</v>
      </c>
      <c r="I3427" s="53" t="s">
        <v>8907</v>
      </c>
      <c r="J3427" s="55"/>
      <c r="K3427" s="55"/>
      <c r="L3427" s="79"/>
      <c r="M3427" s="56" t="str">
        <f>HYPERLINK("http://nsgreg.nga.mil/genc/view?v=866144&amp;end_month=12&amp;end_day=31&amp;end_year=2016","Correlation")</f>
        <v>Correlation</v>
      </c>
    </row>
    <row r="3428" spans="1:13" x14ac:dyDescent="0.2">
      <c r="A3428" s="113"/>
      <c r="B3428" s="58" t="s">
        <v>8908</v>
      </c>
      <c r="C3428" s="58" t="s">
        <v>1681</v>
      </c>
      <c r="D3428" s="58" t="s">
        <v>8909</v>
      </c>
      <c r="E3428" s="60" t="b">
        <v>1</v>
      </c>
      <c r="F3428" s="80" t="s">
        <v>1106</v>
      </c>
      <c r="G3428" s="58" t="s">
        <v>8910</v>
      </c>
      <c r="H3428" s="58" t="s">
        <v>1681</v>
      </c>
      <c r="I3428" s="64" t="s">
        <v>8909</v>
      </c>
      <c r="J3428" s="66"/>
      <c r="K3428" s="66"/>
      <c r="L3428" s="68"/>
      <c r="M3428" s="63" t="str">
        <f>HYPERLINK("http://nsgreg.nga.mil/genc/view?v=866143&amp;end_month=12&amp;end_day=31&amp;end_year=2016","Correlation")</f>
        <v>Correlation</v>
      </c>
    </row>
    <row r="3429" spans="1:13" x14ac:dyDescent="0.2">
      <c r="A3429" s="113"/>
      <c r="B3429" s="58" t="s">
        <v>8911</v>
      </c>
      <c r="C3429" s="58" t="s">
        <v>1413</v>
      </c>
      <c r="D3429" s="58" t="s">
        <v>8912</v>
      </c>
      <c r="E3429" s="60" t="b">
        <v>1</v>
      </c>
      <c r="F3429" s="80" t="s">
        <v>1106</v>
      </c>
      <c r="G3429" s="58" t="s">
        <v>4071</v>
      </c>
      <c r="H3429" s="58" t="s">
        <v>1413</v>
      </c>
      <c r="I3429" s="64" t="s">
        <v>8912</v>
      </c>
      <c r="J3429" s="66"/>
      <c r="K3429" s="66"/>
      <c r="L3429" s="68"/>
      <c r="M3429" s="63" t="str">
        <f>HYPERLINK("http://nsgreg.nga.mil/genc/view?v=866145&amp;end_month=12&amp;end_day=31&amp;end_year=2016","Correlation")</f>
        <v>Correlation</v>
      </c>
    </row>
    <row r="3430" spans="1:13" x14ac:dyDescent="0.2">
      <c r="A3430" s="113"/>
      <c r="B3430" s="58" t="s">
        <v>8913</v>
      </c>
      <c r="C3430" s="58" t="s">
        <v>1413</v>
      </c>
      <c r="D3430" s="58" t="s">
        <v>8914</v>
      </c>
      <c r="E3430" s="60" t="b">
        <v>1</v>
      </c>
      <c r="F3430" s="80" t="s">
        <v>1106</v>
      </c>
      <c r="G3430" s="58" t="s">
        <v>2440</v>
      </c>
      <c r="H3430" s="58" t="s">
        <v>1413</v>
      </c>
      <c r="I3430" s="64" t="s">
        <v>8914</v>
      </c>
      <c r="J3430" s="66"/>
      <c r="K3430" s="66"/>
      <c r="L3430" s="68"/>
      <c r="M3430" s="63" t="str">
        <f>HYPERLINK("http://nsgreg.nga.mil/genc/view?v=866147&amp;end_month=12&amp;end_day=31&amp;end_year=2016","Correlation")</f>
        <v>Correlation</v>
      </c>
    </row>
    <row r="3431" spans="1:13" x14ac:dyDescent="0.2">
      <c r="A3431" s="114"/>
      <c r="B3431" s="71" t="s">
        <v>8915</v>
      </c>
      <c r="C3431" s="71" t="s">
        <v>1413</v>
      </c>
      <c r="D3431" s="71" t="s">
        <v>8916</v>
      </c>
      <c r="E3431" s="73" t="b">
        <v>1</v>
      </c>
      <c r="F3431" s="81" t="s">
        <v>1106</v>
      </c>
      <c r="G3431" s="71" t="s">
        <v>4083</v>
      </c>
      <c r="H3431" s="71" t="s">
        <v>1413</v>
      </c>
      <c r="I3431" s="74" t="s">
        <v>8916</v>
      </c>
      <c r="J3431" s="76"/>
      <c r="K3431" s="76"/>
      <c r="L3431" s="82"/>
      <c r="M3431" s="77" t="str">
        <f>HYPERLINK("http://nsgreg.nga.mil/genc/view?v=866146&amp;end_month=12&amp;end_day=31&amp;end_year=2016","Correlation")</f>
        <v>Correlation</v>
      </c>
    </row>
    <row r="3432" spans="1:13" x14ac:dyDescent="0.2">
      <c r="A3432" s="112" t="s">
        <v>1117</v>
      </c>
      <c r="B3432" s="50" t="s">
        <v>8917</v>
      </c>
      <c r="C3432" s="50" t="s">
        <v>8918</v>
      </c>
      <c r="D3432" s="50" t="s">
        <v>8919</v>
      </c>
      <c r="E3432" s="52" t="b">
        <v>1</v>
      </c>
      <c r="F3432" s="78" t="s">
        <v>8920</v>
      </c>
      <c r="G3432" s="50" t="s">
        <v>8917</v>
      </c>
      <c r="H3432" s="50" t="s">
        <v>8921</v>
      </c>
      <c r="I3432" s="53" t="s">
        <v>8919</v>
      </c>
      <c r="J3432" s="55"/>
      <c r="K3432" s="55"/>
      <c r="L3432" s="79"/>
      <c r="M3432" s="56" t="str">
        <f>HYPERLINK("http://nsgreg.nga.mil/genc/view?v=866240&amp;end_month=12&amp;end_day=31&amp;end_year=2016","Correlation")</f>
        <v>Correlation</v>
      </c>
    </row>
    <row r="3433" spans="1:13" x14ac:dyDescent="0.2">
      <c r="A3433" s="113"/>
      <c r="B3433" s="58" t="s">
        <v>8922</v>
      </c>
      <c r="C3433" s="58" t="s">
        <v>1659</v>
      </c>
      <c r="D3433" s="58" t="s">
        <v>8923</v>
      </c>
      <c r="E3433" s="60" t="b">
        <v>1</v>
      </c>
      <c r="F3433" s="80" t="s">
        <v>8920</v>
      </c>
      <c r="G3433" s="58" t="s">
        <v>8922</v>
      </c>
      <c r="H3433" s="58" t="s">
        <v>8921</v>
      </c>
      <c r="I3433" s="64" t="s">
        <v>8923</v>
      </c>
      <c r="J3433" s="66"/>
      <c r="K3433" s="66"/>
      <c r="L3433" s="68"/>
      <c r="M3433" s="63" t="str">
        <f>HYPERLINK("http://nsgreg.nga.mil/genc/view?v=866241&amp;end_month=12&amp;end_day=31&amp;end_year=2016","Correlation")</f>
        <v>Correlation</v>
      </c>
    </row>
    <row r="3434" spans="1:13" x14ac:dyDescent="0.2">
      <c r="A3434" s="114"/>
      <c r="B3434" s="71" t="s">
        <v>8924</v>
      </c>
      <c r="C3434" s="71" t="s">
        <v>1659</v>
      </c>
      <c r="D3434" s="71" t="s">
        <v>8925</v>
      </c>
      <c r="E3434" s="73" t="b">
        <v>1</v>
      </c>
      <c r="F3434" s="81" t="s">
        <v>8920</v>
      </c>
      <c r="G3434" s="71" t="s">
        <v>8924</v>
      </c>
      <c r="H3434" s="71" t="s">
        <v>8921</v>
      </c>
      <c r="I3434" s="74" t="s">
        <v>8925</v>
      </c>
      <c r="J3434" s="76"/>
      <c r="K3434" s="76"/>
      <c r="L3434" s="82"/>
      <c r="M3434" s="77" t="str">
        <f>HYPERLINK("http://nsgreg.nga.mil/genc/view?v=866242&amp;end_month=12&amp;end_day=31&amp;end_year=2016","Correlation")</f>
        <v>Correlation</v>
      </c>
    </row>
    <row r="3435" spans="1:13" x14ac:dyDescent="0.2">
      <c r="A3435" s="112" t="s">
        <v>1122</v>
      </c>
      <c r="B3435" s="50" t="s">
        <v>8926</v>
      </c>
      <c r="C3435" s="50" t="s">
        <v>1607</v>
      </c>
      <c r="D3435" s="50" t="s">
        <v>8927</v>
      </c>
      <c r="E3435" s="52" t="b">
        <v>1</v>
      </c>
      <c r="F3435" s="78" t="s">
        <v>1122</v>
      </c>
      <c r="G3435" s="50" t="s">
        <v>8926</v>
      </c>
      <c r="H3435" s="50" t="s">
        <v>1607</v>
      </c>
      <c r="I3435" s="53" t="s">
        <v>8927</v>
      </c>
      <c r="J3435" s="55"/>
      <c r="K3435" s="55"/>
      <c r="L3435" s="79"/>
      <c r="M3435" s="56" t="str">
        <f>HYPERLINK("http://nsgreg.nga.mil/genc/view?v=864535&amp;end_month=12&amp;end_day=31&amp;end_year=2016","Correlation")</f>
        <v>Correlation</v>
      </c>
    </row>
    <row r="3436" spans="1:13" x14ac:dyDescent="0.2">
      <c r="A3436" s="113"/>
      <c r="B3436" s="58" t="s">
        <v>8928</v>
      </c>
      <c r="C3436" s="58" t="s">
        <v>1763</v>
      </c>
      <c r="D3436" s="58" t="s">
        <v>8929</v>
      </c>
      <c r="E3436" s="60" t="b">
        <v>1</v>
      </c>
      <c r="F3436" s="80" t="s">
        <v>1122</v>
      </c>
      <c r="G3436" s="58" t="s">
        <v>8928</v>
      </c>
      <c r="H3436" s="58" t="s">
        <v>1763</v>
      </c>
      <c r="I3436" s="64" t="s">
        <v>8929</v>
      </c>
      <c r="J3436" s="66"/>
      <c r="K3436" s="66"/>
      <c r="L3436" s="68"/>
      <c r="M3436" s="63" t="str">
        <f>HYPERLINK("http://nsgreg.nga.mil/genc/view?v=864550&amp;end_month=12&amp;end_day=31&amp;end_year=2016","Correlation")</f>
        <v>Correlation</v>
      </c>
    </row>
    <row r="3437" spans="1:13" x14ac:dyDescent="0.2">
      <c r="A3437" s="113"/>
      <c r="B3437" s="58" t="s">
        <v>8930</v>
      </c>
      <c r="C3437" s="58" t="s">
        <v>1607</v>
      </c>
      <c r="D3437" s="58" t="s">
        <v>8931</v>
      </c>
      <c r="E3437" s="60" t="b">
        <v>1</v>
      </c>
      <c r="F3437" s="80" t="s">
        <v>1122</v>
      </c>
      <c r="G3437" s="58" t="s">
        <v>8930</v>
      </c>
      <c r="H3437" s="58" t="s">
        <v>1607</v>
      </c>
      <c r="I3437" s="64" t="s">
        <v>8931</v>
      </c>
      <c r="J3437" s="66"/>
      <c r="K3437" s="66"/>
      <c r="L3437" s="68"/>
      <c r="M3437" s="63" t="str">
        <f>HYPERLINK("http://nsgreg.nga.mil/genc/view?v=864536&amp;end_month=12&amp;end_day=31&amp;end_year=2016","Correlation")</f>
        <v>Correlation</v>
      </c>
    </row>
    <row r="3438" spans="1:13" x14ac:dyDescent="0.2">
      <c r="A3438" s="113"/>
      <c r="B3438" s="58" t="s">
        <v>8932</v>
      </c>
      <c r="C3438" s="58" t="s">
        <v>1607</v>
      </c>
      <c r="D3438" s="58" t="s">
        <v>8933</v>
      </c>
      <c r="E3438" s="60" t="b">
        <v>1</v>
      </c>
      <c r="F3438" s="80" t="s">
        <v>1122</v>
      </c>
      <c r="G3438" s="58" t="s">
        <v>8932</v>
      </c>
      <c r="H3438" s="58" t="s">
        <v>1607</v>
      </c>
      <c r="I3438" s="64" t="s">
        <v>8933</v>
      </c>
      <c r="J3438" s="66"/>
      <c r="K3438" s="66"/>
      <c r="L3438" s="68"/>
      <c r="M3438" s="63" t="str">
        <f>HYPERLINK("http://nsgreg.nga.mil/genc/view?v=864537&amp;end_month=12&amp;end_day=31&amp;end_year=2016","Correlation")</f>
        <v>Correlation</v>
      </c>
    </row>
    <row r="3439" spans="1:13" x14ac:dyDescent="0.2">
      <c r="A3439" s="113"/>
      <c r="B3439" s="58" t="s">
        <v>8934</v>
      </c>
      <c r="C3439" s="58" t="s">
        <v>1607</v>
      </c>
      <c r="D3439" s="58" t="s">
        <v>8935</v>
      </c>
      <c r="E3439" s="60" t="b">
        <v>1</v>
      </c>
      <c r="F3439" s="80" t="s">
        <v>1122</v>
      </c>
      <c r="G3439" s="58" t="s">
        <v>8934</v>
      </c>
      <c r="H3439" s="58" t="s">
        <v>1607</v>
      </c>
      <c r="I3439" s="64" t="s">
        <v>8935</v>
      </c>
      <c r="J3439" s="66"/>
      <c r="K3439" s="66"/>
      <c r="L3439" s="68"/>
      <c r="M3439" s="63" t="str">
        <f>HYPERLINK("http://nsgreg.nga.mil/genc/view?v=864538&amp;end_month=12&amp;end_day=31&amp;end_year=2016","Correlation")</f>
        <v>Correlation</v>
      </c>
    </row>
    <row r="3440" spans="1:13" x14ac:dyDescent="0.2">
      <c r="A3440" s="113"/>
      <c r="B3440" s="58" t="s">
        <v>8936</v>
      </c>
      <c r="C3440" s="58" t="s">
        <v>1607</v>
      </c>
      <c r="D3440" s="58" t="s">
        <v>8937</v>
      </c>
      <c r="E3440" s="60" t="b">
        <v>1</v>
      </c>
      <c r="F3440" s="80" t="s">
        <v>1122</v>
      </c>
      <c r="G3440" s="58" t="s">
        <v>8936</v>
      </c>
      <c r="H3440" s="58" t="s">
        <v>1607</v>
      </c>
      <c r="I3440" s="64" t="s">
        <v>8937</v>
      </c>
      <c r="J3440" s="66"/>
      <c r="K3440" s="66"/>
      <c r="L3440" s="68"/>
      <c r="M3440" s="63" t="str">
        <f>HYPERLINK("http://nsgreg.nga.mil/genc/view?v=864539&amp;end_month=12&amp;end_day=31&amp;end_year=2016","Correlation")</f>
        <v>Correlation</v>
      </c>
    </row>
    <row r="3441" spans="1:13" x14ac:dyDescent="0.2">
      <c r="A3441" s="113"/>
      <c r="B3441" s="58" t="s">
        <v>8938</v>
      </c>
      <c r="C3441" s="58" t="s">
        <v>1607</v>
      </c>
      <c r="D3441" s="58" t="s">
        <v>8939</v>
      </c>
      <c r="E3441" s="60" t="b">
        <v>1</v>
      </c>
      <c r="F3441" s="80" t="s">
        <v>1122</v>
      </c>
      <c r="G3441" s="58" t="s">
        <v>8940</v>
      </c>
      <c r="H3441" s="58" t="s">
        <v>1607</v>
      </c>
      <c r="I3441" s="64" t="s">
        <v>8939</v>
      </c>
      <c r="J3441" s="66"/>
      <c r="K3441" s="66"/>
      <c r="L3441" s="68"/>
      <c r="M3441" s="63" t="str">
        <f>HYPERLINK("http://nsgreg.nga.mil/genc/view?v=864540&amp;end_month=12&amp;end_day=31&amp;end_year=2016","Correlation")</f>
        <v>Correlation</v>
      </c>
    </row>
    <row r="3442" spans="1:13" x14ac:dyDescent="0.2">
      <c r="A3442" s="113"/>
      <c r="B3442" s="58" t="s">
        <v>8941</v>
      </c>
      <c r="C3442" s="58" t="s">
        <v>1607</v>
      </c>
      <c r="D3442" s="58" t="s">
        <v>8942</v>
      </c>
      <c r="E3442" s="60" t="b">
        <v>1</v>
      </c>
      <c r="F3442" s="80" t="s">
        <v>1122</v>
      </c>
      <c r="G3442" s="58" t="s">
        <v>8941</v>
      </c>
      <c r="H3442" s="58" t="s">
        <v>1607</v>
      </c>
      <c r="I3442" s="64" t="s">
        <v>8942</v>
      </c>
      <c r="J3442" s="66"/>
      <c r="K3442" s="66"/>
      <c r="L3442" s="68"/>
      <c r="M3442" s="63" t="str">
        <f>HYPERLINK("http://nsgreg.nga.mil/genc/view?v=864541&amp;end_month=12&amp;end_day=31&amp;end_year=2016","Correlation")</f>
        <v>Correlation</v>
      </c>
    </row>
    <row r="3443" spans="1:13" x14ac:dyDescent="0.2">
      <c r="A3443" s="113"/>
      <c r="B3443" s="58" t="s">
        <v>8943</v>
      </c>
      <c r="C3443" s="58" t="s">
        <v>1763</v>
      </c>
      <c r="D3443" s="58" t="s">
        <v>8944</v>
      </c>
      <c r="E3443" s="60" t="b">
        <v>1</v>
      </c>
      <c r="F3443" s="80" t="s">
        <v>1122</v>
      </c>
      <c r="G3443" s="58" t="s">
        <v>8943</v>
      </c>
      <c r="H3443" s="58" t="s">
        <v>1763</v>
      </c>
      <c r="I3443" s="64" t="s">
        <v>8944</v>
      </c>
      <c r="J3443" s="66"/>
      <c r="K3443" s="66"/>
      <c r="L3443" s="68"/>
      <c r="M3443" s="63" t="str">
        <f>HYPERLINK("http://nsgreg.nga.mil/genc/view?v=864549&amp;end_month=12&amp;end_day=31&amp;end_year=2016","Correlation")</f>
        <v>Correlation</v>
      </c>
    </row>
    <row r="3444" spans="1:13" x14ac:dyDescent="0.2">
      <c r="A3444" s="113"/>
      <c r="B3444" s="58" t="s">
        <v>8945</v>
      </c>
      <c r="C3444" s="58" t="s">
        <v>1607</v>
      </c>
      <c r="D3444" s="58" t="s">
        <v>8946</v>
      </c>
      <c r="E3444" s="60" t="b">
        <v>1</v>
      </c>
      <c r="F3444" s="80" t="s">
        <v>1122</v>
      </c>
      <c r="G3444" s="58" t="s">
        <v>8945</v>
      </c>
      <c r="H3444" s="58" t="s">
        <v>1607</v>
      </c>
      <c r="I3444" s="64" t="s">
        <v>8946</v>
      </c>
      <c r="J3444" s="66"/>
      <c r="K3444" s="66"/>
      <c r="L3444" s="68"/>
      <c r="M3444" s="63" t="str">
        <f>HYPERLINK("http://nsgreg.nga.mil/genc/view?v=864542&amp;end_month=12&amp;end_day=31&amp;end_year=2016","Correlation")</f>
        <v>Correlation</v>
      </c>
    </row>
    <row r="3445" spans="1:13" x14ac:dyDescent="0.2">
      <c r="A3445" s="113"/>
      <c r="B3445" s="58" t="s">
        <v>8947</v>
      </c>
      <c r="C3445" s="58" t="s">
        <v>1607</v>
      </c>
      <c r="D3445" s="58" t="s">
        <v>8948</v>
      </c>
      <c r="E3445" s="60" t="b">
        <v>1</v>
      </c>
      <c r="F3445" s="80" t="s">
        <v>1122</v>
      </c>
      <c r="G3445" s="58" t="s">
        <v>8949</v>
      </c>
      <c r="H3445" s="58" t="s">
        <v>1607</v>
      </c>
      <c r="I3445" s="64" t="s">
        <v>8948</v>
      </c>
      <c r="J3445" s="66"/>
      <c r="K3445" s="66"/>
      <c r="L3445" s="68"/>
      <c r="M3445" s="63" t="str">
        <f>HYPERLINK("http://nsgreg.nga.mil/genc/view?v=864543&amp;end_month=12&amp;end_day=31&amp;end_year=2016","Correlation")</f>
        <v>Correlation</v>
      </c>
    </row>
    <row r="3446" spans="1:13" x14ac:dyDescent="0.2">
      <c r="A3446" s="113"/>
      <c r="B3446" s="58" t="s">
        <v>8950</v>
      </c>
      <c r="C3446" s="58" t="s">
        <v>1607</v>
      </c>
      <c r="D3446" s="58" t="s">
        <v>8951</v>
      </c>
      <c r="E3446" s="60" t="b">
        <v>1</v>
      </c>
      <c r="F3446" s="80" t="s">
        <v>1122</v>
      </c>
      <c r="G3446" s="58" t="s">
        <v>8950</v>
      </c>
      <c r="H3446" s="58" t="s">
        <v>1607</v>
      </c>
      <c r="I3446" s="64" t="s">
        <v>8951</v>
      </c>
      <c r="J3446" s="66"/>
      <c r="K3446" s="66"/>
      <c r="L3446" s="68"/>
      <c r="M3446" s="63" t="str">
        <f>HYPERLINK("http://nsgreg.nga.mil/genc/view?v=864544&amp;end_month=12&amp;end_day=31&amp;end_year=2016","Correlation")</f>
        <v>Correlation</v>
      </c>
    </row>
    <row r="3447" spans="1:13" x14ac:dyDescent="0.2">
      <c r="A3447" s="113"/>
      <c r="B3447" s="58" t="s">
        <v>8952</v>
      </c>
      <c r="C3447" s="58" t="s">
        <v>1607</v>
      </c>
      <c r="D3447" s="58" t="s">
        <v>8953</v>
      </c>
      <c r="E3447" s="60" t="b">
        <v>1</v>
      </c>
      <c r="F3447" s="80" t="s">
        <v>1122</v>
      </c>
      <c r="G3447" s="58" t="s">
        <v>8952</v>
      </c>
      <c r="H3447" s="58" t="s">
        <v>1607</v>
      </c>
      <c r="I3447" s="64" t="s">
        <v>8953</v>
      </c>
      <c r="J3447" s="66"/>
      <c r="K3447" s="66"/>
      <c r="L3447" s="68"/>
      <c r="M3447" s="63" t="str">
        <f>HYPERLINK("http://nsgreg.nga.mil/genc/view?v=864545&amp;end_month=12&amp;end_day=31&amp;end_year=2016","Correlation")</f>
        <v>Correlation</v>
      </c>
    </row>
    <row r="3448" spans="1:13" x14ac:dyDescent="0.2">
      <c r="A3448" s="113"/>
      <c r="B3448" s="58" t="s">
        <v>8954</v>
      </c>
      <c r="C3448" s="58" t="s">
        <v>1607</v>
      </c>
      <c r="D3448" s="58" t="s">
        <v>8955</v>
      </c>
      <c r="E3448" s="60" t="b">
        <v>1</v>
      </c>
      <c r="F3448" s="80" t="s">
        <v>1122</v>
      </c>
      <c r="G3448" s="58" t="s">
        <v>8954</v>
      </c>
      <c r="H3448" s="58" t="s">
        <v>1607</v>
      </c>
      <c r="I3448" s="64" t="s">
        <v>8955</v>
      </c>
      <c r="J3448" s="66"/>
      <c r="K3448" s="66"/>
      <c r="L3448" s="68"/>
      <c r="M3448" s="63" t="str">
        <f>HYPERLINK("http://nsgreg.nga.mil/genc/view?v=864546&amp;end_month=12&amp;end_day=31&amp;end_year=2016","Correlation")</f>
        <v>Correlation</v>
      </c>
    </row>
    <row r="3449" spans="1:13" x14ac:dyDescent="0.2">
      <c r="A3449" s="113"/>
      <c r="B3449" s="58" t="s">
        <v>8956</v>
      </c>
      <c r="C3449" s="58" t="s">
        <v>1607</v>
      </c>
      <c r="D3449" s="58" t="s">
        <v>8957</v>
      </c>
      <c r="E3449" s="60" t="b">
        <v>1</v>
      </c>
      <c r="F3449" s="80" t="s">
        <v>1122</v>
      </c>
      <c r="G3449" s="58" t="s">
        <v>8956</v>
      </c>
      <c r="H3449" s="58" t="s">
        <v>1607</v>
      </c>
      <c r="I3449" s="64" t="s">
        <v>8957</v>
      </c>
      <c r="J3449" s="66"/>
      <c r="K3449" s="66"/>
      <c r="L3449" s="68"/>
      <c r="M3449" s="63" t="str">
        <f>HYPERLINK("http://nsgreg.nga.mil/genc/view?v=864547&amp;end_month=12&amp;end_day=31&amp;end_year=2016","Correlation")</f>
        <v>Correlation</v>
      </c>
    </row>
    <row r="3450" spans="1:13" x14ac:dyDescent="0.2">
      <c r="A3450" s="114"/>
      <c r="B3450" s="71" t="s">
        <v>8958</v>
      </c>
      <c r="C3450" s="71" t="s">
        <v>1607</v>
      </c>
      <c r="D3450" s="71" t="s">
        <v>8959</v>
      </c>
      <c r="E3450" s="73" t="b">
        <v>1</v>
      </c>
      <c r="F3450" s="81" t="s">
        <v>1122</v>
      </c>
      <c r="G3450" s="71" t="s">
        <v>8958</v>
      </c>
      <c r="H3450" s="71" t="s">
        <v>1607</v>
      </c>
      <c r="I3450" s="74" t="s">
        <v>8959</v>
      </c>
      <c r="J3450" s="76"/>
      <c r="K3450" s="76"/>
      <c r="L3450" s="82"/>
      <c r="M3450" s="77" t="str">
        <f>HYPERLINK("http://nsgreg.nga.mil/genc/view?v=864548&amp;end_month=12&amp;end_day=31&amp;end_year=2016","Correlation")</f>
        <v>Correlation</v>
      </c>
    </row>
    <row r="3451" spans="1:13" x14ac:dyDescent="0.2">
      <c r="A3451" s="112" t="s">
        <v>1126</v>
      </c>
      <c r="B3451" s="50" t="s">
        <v>8960</v>
      </c>
      <c r="C3451" s="50" t="s">
        <v>1796</v>
      </c>
      <c r="D3451" s="50" t="s">
        <v>8961</v>
      </c>
      <c r="E3451" s="52" t="b">
        <v>1</v>
      </c>
      <c r="F3451" s="78" t="s">
        <v>1126</v>
      </c>
      <c r="G3451" s="50" t="s">
        <v>8962</v>
      </c>
      <c r="H3451" s="50" t="s">
        <v>1796</v>
      </c>
      <c r="I3451" s="53" t="s">
        <v>8961</v>
      </c>
      <c r="J3451" s="55"/>
      <c r="K3451" s="55"/>
      <c r="L3451" s="79"/>
      <c r="M3451" s="56" t="str">
        <f>HYPERLINK("http://nsgreg.nga.mil/genc/view?v=864628&amp;end_month=12&amp;end_day=31&amp;end_year=2016","Correlation")</f>
        <v>Correlation</v>
      </c>
    </row>
    <row r="3452" spans="1:13" x14ac:dyDescent="0.2">
      <c r="A3452" s="113"/>
      <c r="B3452" s="58" t="s">
        <v>8963</v>
      </c>
      <c r="C3452" s="58" t="s">
        <v>1796</v>
      </c>
      <c r="D3452" s="58" t="s">
        <v>8964</v>
      </c>
      <c r="E3452" s="60" t="b">
        <v>1</v>
      </c>
      <c r="F3452" s="80" t="s">
        <v>1126</v>
      </c>
      <c r="G3452" s="58" t="s">
        <v>8963</v>
      </c>
      <c r="H3452" s="58" t="s">
        <v>1796</v>
      </c>
      <c r="I3452" s="64" t="s">
        <v>8964</v>
      </c>
      <c r="J3452" s="66"/>
      <c r="K3452" s="66"/>
      <c r="L3452" s="68"/>
      <c r="M3452" s="63" t="str">
        <f>HYPERLINK("http://nsgreg.nga.mil/genc/view?v=864637&amp;end_month=12&amp;end_day=31&amp;end_year=2016","Correlation")</f>
        <v>Correlation</v>
      </c>
    </row>
    <row r="3453" spans="1:13" x14ac:dyDescent="0.2">
      <c r="A3453" s="113"/>
      <c r="B3453" s="58" t="s">
        <v>8965</v>
      </c>
      <c r="C3453" s="58" t="s">
        <v>1796</v>
      </c>
      <c r="D3453" s="58" t="s">
        <v>8966</v>
      </c>
      <c r="E3453" s="60" t="b">
        <v>1</v>
      </c>
      <c r="F3453" s="80" t="s">
        <v>1126</v>
      </c>
      <c r="G3453" s="58" t="s">
        <v>8965</v>
      </c>
      <c r="H3453" s="58" t="s">
        <v>1796</v>
      </c>
      <c r="I3453" s="64" t="s">
        <v>8966</v>
      </c>
      <c r="J3453" s="66"/>
      <c r="K3453" s="66"/>
      <c r="L3453" s="68"/>
      <c r="M3453" s="63" t="str">
        <f>HYPERLINK("http://nsgreg.nga.mil/genc/view?v=864629&amp;end_month=12&amp;end_day=31&amp;end_year=2016","Correlation")</f>
        <v>Correlation</v>
      </c>
    </row>
    <row r="3454" spans="1:13" x14ac:dyDescent="0.2">
      <c r="A3454" s="113"/>
      <c r="B3454" s="58" t="s">
        <v>8967</v>
      </c>
      <c r="C3454" s="58" t="s">
        <v>1796</v>
      </c>
      <c r="D3454" s="58" t="s">
        <v>8968</v>
      </c>
      <c r="E3454" s="60" t="b">
        <v>1</v>
      </c>
      <c r="F3454" s="80" t="s">
        <v>1126</v>
      </c>
      <c r="G3454" s="58" t="s">
        <v>8967</v>
      </c>
      <c r="H3454" s="58" t="s">
        <v>1796</v>
      </c>
      <c r="I3454" s="64" t="s">
        <v>8968</v>
      </c>
      <c r="J3454" s="66"/>
      <c r="K3454" s="66"/>
      <c r="L3454" s="68"/>
      <c r="M3454" s="63" t="str">
        <f>HYPERLINK("http://nsgreg.nga.mil/genc/view?v=864630&amp;end_month=12&amp;end_day=31&amp;end_year=2016","Correlation")</f>
        <v>Correlation</v>
      </c>
    </row>
    <row r="3455" spans="1:13" x14ac:dyDescent="0.2">
      <c r="A3455" s="113"/>
      <c r="B3455" s="58" t="s">
        <v>8969</v>
      </c>
      <c r="C3455" s="58" t="s">
        <v>1796</v>
      </c>
      <c r="D3455" s="58" t="s">
        <v>8970</v>
      </c>
      <c r="E3455" s="60" t="b">
        <v>1</v>
      </c>
      <c r="F3455" s="80" t="s">
        <v>1126</v>
      </c>
      <c r="G3455" s="58" t="s">
        <v>8969</v>
      </c>
      <c r="H3455" s="58" t="s">
        <v>1796</v>
      </c>
      <c r="I3455" s="64" t="s">
        <v>8970</v>
      </c>
      <c r="J3455" s="66"/>
      <c r="K3455" s="66"/>
      <c r="L3455" s="68"/>
      <c r="M3455" s="63" t="str">
        <f>HYPERLINK("http://nsgreg.nga.mil/genc/view?v=864631&amp;end_month=12&amp;end_day=31&amp;end_year=2016","Correlation")</f>
        <v>Correlation</v>
      </c>
    </row>
    <row r="3456" spans="1:13" x14ac:dyDescent="0.2">
      <c r="A3456" s="113"/>
      <c r="B3456" s="58" t="s">
        <v>8971</v>
      </c>
      <c r="C3456" s="58" t="s">
        <v>1796</v>
      </c>
      <c r="D3456" s="58" t="s">
        <v>8972</v>
      </c>
      <c r="E3456" s="60" t="b">
        <v>1</v>
      </c>
      <c r="F3456" s="80" t="s">
        <v>1126</v>
      </c>
      <c r="G3456" s="58" t="s">
        <v>8973</v>
      </c>
      <c r="H3456" s="58" t="s">
        <v>1796</v>
      </c>
      <c r="I3456" s="64" t="s">
        <v>8972</v>
      </c>
      <c r="J3456" s="66"/>
      <c r="K3456" s="66"/>
      <c r="L3456" s="68"/>
      <c r="M3456" s="63" t="str">
        <f>HYPERLINK("http://nsgreg.nga.mil/genc/view?v=864632&amp;end_month=12&amp;end_day=31&amp;end_year=2016","Correlation")</f>
        <v>Correlation</v>
      </c>
    </row>
    <row r="3457" spans="1:13" x14ac:dyDescent="0.2">
      <c r="A3457" s="113"/>
      <c r="B3457" s="58" t="s">
        <v>8974</v>
      </c>
      <c r="C3457" s="58" t="s">
        <v>1796</v>
      </c>
      <c r="D3457" s="58" t="s">
        <v>8975</v>
      </c>
      <c r="E3457" s="60" t="b">
        <v>1</v>
      </c>
      <c r="F3457" s="80" t="s">
        <v>1126</v>
      </c>
      <c r="G3457" s="58" t="s">
        <v>8974</v>
      </c>
      <c r="H3457" s="58" t="s">
        <v>1796</v>
      </c>
      <c r="I3457" s="64" t="s">
        <v>8975</v>
      </c>
      <c r="J3457" s="66"/>
      <c r="K3457" s="66"/>
      <c r="L3457" s="68"/>
      <c r="M3457" s="63" t="str">
        <f>HYPERLINK("http://nsgreg.nga.mil/genc/view?v=864633&amp;end_month=12&amp;end_day=31&amp;end_year=2016","Correlation")</f>
        <v>Correlation</v>
      </c>
    </row>
    <row r="3458" spans="1:13" x14ac:dyDescent="0.2">
      <c r="A3458" s="113"/>
      <c r="B3458" s="58" t="s">
        <v>8976</v>
      </c>
      <c r="C3458" s="58" t="s">
        <v>1796</v>
      </c>
      <c r="D3458" s="58" t="s">
        <v>8977</v>
      </c>
      <c r="E3458" s="60" t="b">
        <v>1</v>
      </c>
      <c r="F3458" s="80" t="s">
        <v>1126</v>
      </c>
      <c r="G3458" s="58" t="s">
        <v>8976</v>
      </c>
      <c r="H3458" s="58" t="s">
        <v>1796</v>
      </c>
      <c r="I3458" s="64" t="s">
        <v>8977</v>
      </c>
      <c r="J3458" s="66"/>
      <c r="K3458" s="66"/>
      <c r="L3458" s="68"/>
      <c r="M3458" s="63" t="str">
        <f>HYPERLINK("http://nsgreg.nga.mil/genc/view?v=864634&amp;end_month=12&amp;end_day=31&amp;end_year=2016","Correlation")</f>
        <v>Correlation</v>
      </c>
    </row>
    <row r="3459" spans="1:13" x14ac:dyDescent="0.2">
      <c r="A3459" s="113"/>
      <c r="B3459" s="58" t="s">
        <v>8978</v>
      </c>
      <c r="C3459" s="58" t="s">
        <v>1796</v>
      </c>
      <c r="D3459" s="58" t="s">
        <v>8979</v>
      </c>
      <c r="E3459" s="60" t="b">
        <v>1</v>
      </c>
      <c r="F3459" s="80" t="s">
        <v>1126</v>
      </c>
      <c r="G3459" s="58" t="s">
        <v>8978</v>
      </c>
      <c r="H3459" s="58" t="s">
        <v>1796</v>
      </c>
      <c r="I3459" s="64" t="s">
        <v>8979</v>
      </c>
      <c r="J3459" s="66"/>
      <c r="K3459" s="66"/>
      <c r="L3459" s="68"/>
      <c r="M3459" s="63" t="str">
        <f>HYPERLINK("http://nsgreg.nga.mil/genc/view?v=864635&amp;end_month=12&amp;end_day=31&amp;end_year=2016","Correlation")</f>
        <v>Correlation</v>
      </c>
    </row>
    <row r="3460" spans="1:13" x14ac:dyDescent="0.2">
      <c r="A3460" s="114"/>
      <c r="B3460" s="71" t="s">
        <v>8980</v>
      </c>
      <c r="C3460" s="71" t="s">
        <v>1796</v>
      </c>
      <c r="D3460" s="71" t="s">
        <v>8981</v>
      </c>
      <c r="E3460" s="73" t="b">
        <v>1</v>
      </c>
      <c r="F3460" s="81" t="s">
        <v>1126</v>
      </c>
      <c r="G3460" s="71" t="s">
        <v>8982</v>
      </c>
      <c r="H3460" s="71" t="s">
        <v>1796</v>
      </c>
      <c r="I3460" s="74" t="s">
        <v>8981</v>
      </c>
      <c r="J3460" s="76"/>
      <c r="K3460" s="76"/>
      <c r="L3460" s="82"/>
      <c r="M3460" s="77" t="str">
        <f>HYPERLINK("http://nsgreg.nga.mil/genc/view?v=864636&amp;end_month=12&amp;end_day=31&amp;end_year=2016","Correlation")</f>
        <v>Correlation</v>
      </c>
    </row>
    <row r="3461" spans="1:13" x14ac:dyDescent="0.2">
      <c r="A3461" s="112" t="s">
        <v>1143</v>
      </c>
      <c r="B3461" s="50" t="s">
        <v>8983</v>
      </c>
      <c r="C3461" s="50" t="s">
        <v>1607</v>
      </c>
      <c r="D3461" s="50" t="s">
        <v>8984</v>
      </c>
      <c r="E3461" s="52" t="b">
        <v>1</v>
      </c>
      <c r="F3461" s="78" t="s">
        <v>1143</v>
      </c>
      <c r="G3461" s="50" t="s">
        <v>8983</v>
      </c>
      <c r="H3461" s="50" t="s">
        <v>1607</v>
      </c>
      <c r="I3461" s="53" t="s">
        <v>8984</v>
      </c>
      <c r="J3461" s="55"/>
      <c r="K3461" s="55"/>
      <c r="L3461" s="79"/>
      <c r="M3461" s="56" t="str">
        <f>HYPERLINK("http://nsgreg.nga.mil/genc/view?v=867103&amp;end_month=12&amp;end_day=31&amp;end_year=2016","Correlation")</f>
        <v>Correlation</v>
      </c>
    </row>
    <row r="3462" spans="1:13" x14ac:dyDescent="0.2">
      <c r="A3462" s="113"/>
      <c r="B3462" s="58" t="s">
        <v>8985</v>
      </c>
      <c r="C3462" s="58" t="s">
        <v>1607</v>
      </c>
      <c r="D3462" s="58" t="s">
        <v>8986</v>
      </c>
      <c r="E3462" s="60" t="b">
        <v>1</v>
      </c>
      <c r="F3462" s="80" t="s">
        <v>1143</v>
      </c>
      <c r="G3462" s="58" t="s">
        <v>8985</v>
      </c>
      <c r="H3462" s="58" t="s">
        <v>1607</v>
      </c>
      <c r="I3462" s="64" t="s">
        <v>8986</v>
      </c>
      <c r="J3462" s="66"/>
      <c r="K3462" s="66"/>
      <c r="L3462" s="68"/>
      <c r="M3462" s="63" t="str">
        <f>HYPERLINK("http://nsgreg.nga.mil/genc/view?v=867108&amp;end_month=12&amp;end_day=31&amp;end_year=2016","Correlation")</f>
        <v>Correlation</v>
      </c>
    </row>
    <row r="3463" spans="1:13" x14ac:dyDescent="0.2">
      <c r="A3463" s="113"/>
      <c r="B3463" s="58" t="s">
        <v>2213</v>
      </c>
      <c r="C3463" s="58" t="s">
        <v>1607</v>
      </c>
      <c r="D3463" s="58" t="s">
        <v>8987</v>
      </c>
      <c r="E3463" s="60" t="b">
        <v>1</v>
      </c>
      <c r="F3463" s="80" t="s">
        <v>1143</v>
      </c>
      <c r="G3463" s="58" t="s">
        <v>2213</v>
      </c>
      <c r="H3463" s="58" t="s">
        <v>1607</v>
      </c>
      <c r="I3463" s="64" t="s">
        <v>8987</v>
      </c>
      <c r="J3463" s="66"/>
      <c r="K3463" s="66"/>
      <c r="L3463" s="68"/>
      <c r="M3463" s="63" t="str">
        <f>HYPERLINK("http://nsgreg.nga.mil/genc/view?v=867104&amp;end_month=12&amp;end_day=31&amp;end_year=2016","Correlation")</f>
        <v>Correlation</v>
      </c>
    </row>
    <row r="3464" spans="1:13" x14ac:dyDescent="0.2">
      <c r="A3464" s="113"/>
      <c r="B3464" s="58" t="s">
        <v>3736</v>
      </c>
      <c r="C3464" s="58" t="s">
        <v>1607</v>
      </c>
      <c r="D3464" s="58" t="s">
        <v>8988</v>
      </c>
      <c r="E3464" s="60" t="b">
        <v>1</v>
      </c>
      <c r="F3464" s="80" t="s">
        <v>1143</v>
      </c>
      <c r="G3464" s="58" t="s">
        <v>3736</v>
      </c>
      <c r="H3464" s="58" t="s">
        <v>1607</v>
      </c>
      <c r="I3464" s="64" t="s">
        <v>8988</v>
      </c>
      <c r="J3464" s="66"/>
      <c r="K3464" s="66"/>
      <c r="L3464" s="68"/>
      <c r="M3464" s="63" t="str">
        <f>HYPERLINK("http://nsgreg.nga.mil/genc/view?v=867105&amp;end_month=12&amp;end_day=31&amp;end_year=2016","Correlation")</f>
        <v>Correlation</v>
      </c>
    </row>
    <row r="3465" spans="1:13" x14ac:dyDescent="0.2">
      <c r="A3465" s="113"/>
      <c r="B3465" s="58" t="s">
        <v>1663</v>
      </c>
      <c r="C3465" s="58" t="s">
        <v>1607</v>
      </c>
      <c r="D3465" s="58" t="s">
        <v>8989</v>
      </c>
      <c r="E3465" s="60" t="b">
        <v>1</v>
      </c>
      <c r="F3465" s="80" t="s">
        <v>1143</v>
      </c>
      <c r="G3465" s="58" t="s">
        <v>1663</v>
      </c>
      <c r="H3465" s="58" t="s">
        <v>1607</v>
      </c>
      <c r="I3465" s="64" t="s">
        <v>8989</v>
      </c>
      <c r="J3465" s="66"/>
      <c r="K3465" s="66"/>
      <c r="L3465" s="68"/>
      <c r="M3465" s="63" t="str">
        <f>HYPERLINK("http://nsgreg.nga.mil/genc/view?v=867106&amp;end_month=12&amp;end_day=31&amp;end_year=2016","Correlation")</f>
        <v>Correlation</v>
      </c>
    </row>
    <row r="3466" spans="1:13" x14ac:dyDescent="0.2">
      <c r="A3466" s="114"/>
      <c r="B3466" s="71" t="s">
        <v>3745</v>
      </c>
      <c r="C3466" s="71" t="s">
        <v>1607</v>
      </c>
      <c r="D3466" s="71" t="s">
        <v>8990</v>
      </c>
      <c r="E3466" s="73" t="b">
        <v>1</v>
      </c>
      <c r="F3466" s="81" t="s">
        <v>1143</v>
      </c>
      <c r="G3466" s="71" t="s">
        <v>3745</v>
      </c>
      <c r="H3466" s="71" t="s">
        <v>1607</v>
      </c>
      <c r="I3466" s="74" t="s">
        <v>8990</v>
      </c>
      <c r="J3466" s="76"/>
      <c r="K3466" s="76"/>
      <c r="L3466" s="82"/>
      <c r="M3466" s="77" t="str">
        <f>HYPERLINK("http://nsgreg.nga.mil/genc/view?v=867107&amp;end_month=12&amp;end_day=31&amp;end_year=2016","Correlation")</f>
        <v>Correlation</v>
      </c>
    </row>
    <row r="3467" spans="1:13" x14ac:dyDescent="0.2">
      <c r="A3467" s="112" t="s">
        <v>1147</v>
      </c>
      <c r="B3467" s="50" t="s">
        <v>8991</v>
      </c>
      <c r="C3467" s="50" t="s">
        <v>1796</v>
      </c>
      <c r="D3467" s="50" t="s">
        <v>8992</v>
      </c>
      <c r="E3467" s="52" t="b">
        <v>1</v>
      </c>
      <c r="F3467" s="78" t="s">
        <v>1147</v>
      </c>
      <c r="G3467" s="50" t="s">
        <v>8993</v>
      </c>
      <c r="H3467" s="50" t="s">
        <v>1796</v>
      </c>
      <c r="I3467" s="53" t="s">
        <v>8992</v>
      </c>
      <c r="J3467" s="55"/>
      <c r="K3467" s="55"/>
      <c r="L3467" s="79"/>
      <c r="M3467" s="56" t="str">
        <f>HYPERLINK("http://nsgreg.nga.mil/genc/view?v=867206&amp;end_month=12&amp;end_day=31&amp;end_year=2016","Correlation")</f>
        <v>Correlation</v>
      </c>
    </row>
    <row r="3468" spans="1:13" x14ac:dyDescent="0.2">
      <c r="A3468" s="113"/>
      <c r="B3468" s="58" t="s">
        <v>8994</v>
      </c>
      <c r="C3468" s="58" t="s">
        <v>1796</v>
      </c>
      <c r="D3468" s="58" t="s">
        <v>8995</v>
      </c>
      <c r="E3468" s="60" t="b">
        <v>1</v>
      </c>
      <c r="F3468" s="80" t="s">
        <v>1147</v>
      </c>
      <c r="G3468" s="58" t="s">
        <v>8994</v>
      </c>
      <c r="H3468" s="58" t="s">
        <v>1796</v>
      </c>
      <c r="I3468" s="64" t="s">
        <v>8995</v>
      </c>
      <c r="J3468" s="66"/>
      <c r="K3468" s="66"/>
      <c r="L3468" s="68"/>
      <c r="M3468" s="63" t="str">
        <f>HYPERLINK("http://nsgreg.nga.mil/genc/view?v=867207&amp;end_month=12&amp;end_day=31&amp;end_year=2016","Correlation")</f>
        <v>Correlation</v>
      </c>
    </row>
    <row r="3469" spans="1:13" x14ac:dyDescent="0.2">
      <c r="A3469" s="113"/>
      <c r="B3469" s="58" t="s">
        <v>8996</v>
      </c>
      <c r="C3469" s="58" t="s">
        <v>1796</v>
      </c>
      <c r="D3469" s="58" t="s">
        <v>8997</v>
      </c>
      <c r="E3469" s="60" t="b">
        <v>1</v>
      </c>
      <c r="F3469" s="80" t="s">
        <v>1147</v>
      </c>
      <c r="G3469" s="58" t="s">
        <v>8996</v>
      </c>
      <c r="H3469" s="58" t="s">
        <v>1796</v>
      </c>
      <c r="I3469" s="64" t="s">
        <v>8997</v>
      </c>
      <c r="J3469" s="66"/>
      <c r="K3469" s="66"/>
      <c r="L3469" s="68"/>
      <c r="M3469" s="63" t="str">
        <f>HYPERLINK("http://nsgreg.nga.mil/genc/view?v=867208&amp;end_month=12&amp;end_day=31&amp;end_year=2016","Correlation")</f>
        <v>Correlation</v>
      </c>
    </row>
    <row r="3470" spans="1:13" x14ac:dyDescent="0.2">
      <c r="A3470" s="113"/>
      <c r="B3470" s="58" t="s">
        <v>8998</v>
      </c>
      <c r="C3470" s="58" t="s">
        <v>1796</v>
      </c>
      <c r="D3470" s="58" t="s">
        <v>8999</v>
      </c>
      <c r="E3470" s="60" t="b">
        <v>1</v>
      </c>
      <c r="F3470" s="80" t="s">
        <v>1147</v>
      </c>
      <c r="G3470" s="58" t="s">
        <v>9000</v>
      </c>
      <c r="H3470" s="58" t="s">
        <v>1796</v>
      </c>
      <c r="I3470" s="64" t="s">
        <v>8999</v>
      </c>
      <c r="J3470" s="66"/>
      <c r="K3470" s="66"/>
      <c r="L3470" s="68"/>
      <c r="M3470" s="63" t="str">
        <f>HYPERLINK("http://nsgreg.nga.mil/genc/view?v=867209&amp;end_month=12&amp;end_day=31&amp;end_year=2016","Correlation")</f>
        <v>Correlation</v>
      </c>
    </row>
    <row r="3471" spans="1:13" x14ac:dyDescent="0.2">
      <c r="A3471" s="113"/>
      <c r="B3471" s="58" t="s">
        <v>9001</v>
      </c>
      <c r="C3471" s="58" t="s">
        <v>1796</v>
      </c>
      <c r="D3471" s="58" t="s">
        <v>9002</v>
      </c>
      <c r="E3471" s="60" t="b">
        <v>1</v>
      </c>
      <c r="F3471" s="80" t="s">
        <v>1147</v>
      </c>
      <c r="G3471" s="58" t="s">
        <v>9003</v>
      </c>
      <c r="H3471" s="58" t="s">
        <v>1796</v>
      </c>
      <c r="I3471" s="64" t="s">
        <v>9002</v>
      </c>
      <c r="J3471" s="66"/>
      <c r="K3471" s="66"/>
      <c r="L3471" s="68"/>
      <c r="M3471" s="63" t="str">
        <f>HYPERLINK("http://nsgreg.nga.mil/genc/view?v=867210&amp;end_month=12&amp;end_day=31&amp;end_year=2016","Correlation")</f>
        <v>Correlation</v>
      </c>
    </row>
    <row r="3472" spans="1:13" x14ac:dyDescent="0.2">
      <c r="A3472" s="113"/>
      <c r="B3472" s="58" t="s">
        <v>9004</v>
      </c>
      <c r="C3472" s="58" t="s">
        <v>1796</v>
      </c>
      <c r="D3472" s="58" t="s">
        <v>9005</v>
      </c>
      <c r="E3472" s="60" t="b">
        <v>1</v>
      </c>
      <c r="F3472" s="80" t="s">
        <v>1147</v>
      </c>
      <c r="G3472" s="58" t="s">
        <v>9004</v>
      </c>
      <c r="H3472" s="58" t="s">
        <v>1796</v>
      </c>
      <c r="I3472" s="64" t="s">
        <v>9005</v>
      </c>
      <c r="J3472" s="66"/>
      <c r="K3472" s="66"/>
      <c r="L3472" s="68"/>
      <c r="M3472" s="63" t="str">
        <f>HYPERLINK("http://nsgreg.nga.mil/genc/view?v=867211&amp;end_month=12&amp;end_day=31&amp;end_year=2016","Correlation")</f>
        <v>Correlation</v>
      </c>
    </row>
    <row r="3473" spans="1:13" x14ac:dyDescent="0.2">
      <c r="A3473" s="113"/>
      <c r="B3473" s="58" t="s">
        <v>9006</v>
      </c>
      <c r="C3473" s="58" t="s">
        <v>1796</v>
      </c>
      <c r="D3473" s="58" t="s">
        <v>9007</v>
      </c>
      <c r="E3473" s="60" t="b">
        <v>1</v>
      </c>
      <c r="F3473" s="80" t="s">
        <v>1147</v>
      </c>
      <c r="G3473" s="58" t="s">
        <v>9006</v>
      </c>
      <c r="H3473" s="58" t="s">
        <v>1796</v>
      </c>
      <c r="I3473" s="64" t="s">
        <v>9007</v>
      </c>
      <c r="J3473" s="66"/>
      <c r="K3473" s="66"/>
      <c r="L3473" s="68"/>
      <c r="M3473" s="63" t="str">
        <f>HYPERLINK("http://nsgreg.nga.mil/genc/view?v=867212&amp;end_month=12&amp;end_day=31&amp;end_year=2016","Correlation")</f>
        <v>Correlation</v>
      </c>
    </row>
    <row r="3474" spans="1:13" x14ac:dyDescent="0.2">
      <c r="A3474" s="113"/>
      <c r="B3474" s="58" t="s">
        <v>9008</v>
      </c>
      <c r="C3474" s="58" t="s">
        <v>1796</v>
      </c>
      <c r="D3474" s="58" t="s">
        <v>9009</v>
      </c>
      <c r="E3474" s="60" t="b">
        <v>1</v>
      </c>
      <c r="F3474" s="80" t="s">
        <v>1147</v>
      </c>
      <c r="G3474" s="58" t="s">
        <v>9010</v>
      </c>
      <c r="H3474" s="58" t="s">
        <v>1796</v>
      </c>
      <c r="I3474" s="64" t="s">
        <v>9009</v>
      </c>
      <c r="J3474" s="66"/>
      <c r="K3474" s="66"/>
      <c r="L3474" s="68"/>
      <c r="M3474" s="63" t="str">
        <f>HYPERLINK("http://nsgreg.nga.mil/genc/view?v=867213&amp;end_month=12&amp;end_day=31&amp;end_year=2016","Correlation")</f>
        <v>Correlation</v>
      </c>
    </row>
    <row r="3475" spans="1:13" x14ac:dyDescent="0.2">
      <c r="A3475" s="113"/>
      <c r="B3475" s="58" t="s">
        <v>9011</v>
      </c>
      <c r="C3475" s="58" t="s">
        <v>1796</v>
      </c>
      <c r="D3475" s="58" t="s">
        <v>9012</v>
      </c>
      <c r="E3475" s="60" t="b">
        <v>1</v>
      </c>
      <c r="F3475" s="80" t="s">
        <v>1147</v>
      </c>
      <c r="G3475" s="58" t="s">
        <v>9011</v>
      </c>
      <c r="H3475" s="58" t="s">
        <v>1796</v>
      </c>
      <c r="I3475" s="64" t="s">
        <v>9012</v>
      </c>
      <c r="J3475" s="66"/>
      <c r="K3475" s="66"/>
      <c r="L3475" s="68"/>
      <c r="M3475" s="63" t="str">
        <f>HYPERLINK("http://nsgreg.nga.mil/genc/view?v=867214&amp;end_month=12&amp;end_day=31&amp;end_year=2016","Correlation")</f>
        <v>Correlation</v>
      </c>
    </row>
    <row r="3476" spans="1:13" x14ac:dyDescent="0.2">
      <c r="A3476" s="113"/>
      <c r="B3476" s="58" t="s">
        <v>9013</v>
      </c>
      <c r="C3476" s="58" t="s">
        <v>1796</v>
      </c>
      <c r="D3476" s="58" t="s">
        <v>9014</v>
      </c>
      <c r="E3476" s="60" t="b">
        <v>1</v>
      </c>
      <c r="F3476" s="80" t="s">
        <v>1147</v>
      </c>
      <c r="G3476" s="58" t="s">
        <v>9015</v>
      </c>
      <c r="H3476" s="58" t="s">
        <v>1796</v>
      </c>
      <c r="I3476" s="64" t="s">
        <v>9014</v>
      </c>
      <c r="J3476" s="66"/>
      <c r="K3476" s="66"/>
      <c r="L3476" s="68"/>
      <c r="M3476" s="63" t="str">
        <f>HYPERLINK("http://nsgreg.nga.mil/genc/view?v=867215&amp;end_month=12&amp;end_day=31&amp;end_year=2016","Correlation")</f>
        <v>Correlation</v>
      </c>
    </row>
    <row r="3477" spans="1:13" x14ac:dyDescent="0.2">
      <c r="A3477" s="114"/>
      <c r="B3477" s="71" t="s">
        <v>9016</v>
      </c>
      <c r="C3477" s="71" t="s">
        <v>1796</v>
      </c>
      <c r="D3477" s="71" t="s">
        <v>9017</v>
      </c>
      <c r="E3477" s="73" t="b">
        <v>1</v>
      </c>
      <c r="F3477" s="81" t="s">
        <v>1147</v>
      </c>
      <c r="G3477" s="71" t="s">
        <v>9016</v>
      </c>
      <c r="H3477" s="71" t="s">
        <v>1796</v>
      </c>
      <c r="I3477" s="74" t="s">
        <v>9017</v>
      </c>
      <c r="J3477" s="76"/>
      <c r="K3477" s="76"/>
      <c r="L3477" s="82"/>
      <c r="M3477" s="77" t="str">
        <f>HYPERLINK("http://nsgreg.nga.mil/genc/view?v=867216&amp;end_month=12&amp;end_day=31&amp;end_year=2016","Correlation")</f>
        <v>Correlation</v>
      </c>
    </row>
    <row r="3478" spans="1:13" x14ac:dyDescent="0.2">
      <c r="A3478" s="112" t="s">
        <v>1151</v>
      </c>
      <c r="B3478" s="50" t="s">
        <v>9018</v>
      </c>
      <c r="C3478" s="50" t="s">
        <v>1816</v>
      </c>
      <c r="D3478" s="50" t="s">
        <v>9019</v>
      </c>
      <c r="E3478" s="52" t="b">
        <v>1</v>
      </c>
      <c r="F3478" s="78" t="s">
        <v>1151</v>
      </c>
      <c r="G3478" s="50" t="s">
        <v>9018</v>
      </c>
      <c r="H3478" s="50" t="s">
        <v>1816</v>
      </c>
      <c r="I3478" s="53" t="s">
        <v>9019</v>
      </c>
      <c r="J3478" s="55"/>
      <c r="K3478" s="55"/>
      <c r="L3478" s="79"/>
      <c r="M3478" s="56" t="str">
        <f>HYPERLINK("http://nsgreg.nga.mil/genc/view?v=866467&amp;end_month=12&amp;end_day=31&amp;end_year=2016","Correlation")</f>
        <v>Correlation</v>
      </c>
    </row>
    <row r="3479" spans="1:13" x14ac:dyDescent="0.2">
      <c r="A3479" s="113"/>
      <c r="B3479" s="58" t="s">
        <v>9020</v>
      </c>
      <c r="C3479" s="58" t="s">
        <v>1816</v>
      </c>
      <c r="D3479" s="58" t="s">
        <v>9021</v>
      </c>
      <c r="E3479" s="60" t="b">
        <v>1</v>
      </c>
      <c r="F3479" s="80" t="s">
        <v>1151</v>
      </c>
      <c r="G3479" s="58" t="s">
        <v>9020</v>
      </c>
      <c r="H3479" s="58" t="s">
        <v>1816</v>
      </c>
      <c r="I3479" s="64" t="s">
        <v>9021</v>
      </c>
      <c r="J3479" s="66"/>
      <c r="K3479" s="66"/>
      <c r="L3479" s="68"/>
      <c r="M3479" s="63" t="str">
        <f>HYPERLINK("http://nsgreg.nga.mil/genc/view?v=866472&amp;end_month=12&amp;end_day=31&amp;end_year=2016","Correlation")</f>
        <v>Correlation</v>
      </c>
    </row>
    <row r="3480" spans="1:13" x14ac:dyDescent="0.2">
      <c r="A3480" s="113"/>
      <c r="B3480" s="58" t="s">
        <v>9022</v>
      </c>
      <c r="C3480" s="58" t="s">
        <v>1816</v>
      </c>
      <c r="D3480" s="58" t="s">
        <v>9023</v>
      </c>
      <c r="E3480" s="60" t="b">
        <v>1</v>
      </c>
      <c r="F3480" s="80" t="s">
        <v>1151</v>
      </c>
      <c r="G3480" s="58" t="s">
        <v>9022</v>
      </c>
      <c r="H3480" s="58" t="s">
        <v>1816</v>
      </c>
      <c r="I3480" s="64" t="s">
        <v>9023</v>
      </c>
      <c r="J3480" s="66"/>
      <c r="K3480" s="66"/>
      <c r="L3480" s="68"/>
      <c r="M3480" s="63" t="str">
        <f>HYPERLINK("http://nsgreg.nga.mil/genc/view?v=866468&amp;end_month=12&amp;end_day=31&amp;end_year=2016","Correlation")</f>
        <v>Correlation</v>
      </c>
    </row>
    <row r="3481" spans="1:13" x14ac:dyDescent="0.2">
      <c r="A3481" s="113"/>
      <c r="B3481" s="58" t="s">
        <v>9024</v>
      </c>
      <c r="C3481" s="58" t="s">
        <v>1816</v>
      </c>
      <c r="D3481" s="58" t="s">
        <v>9025</v>
      </c>
      <c r="E3481" s="60" t="b">
        <v>1</v>
      </c>
      <c r="F3481" s="80" t="s">
        <v>1151</v>
      </c>
      <c r="G3481" s="58" t="s">
        <v>9024</v>
      </c>
      <c r="H3481" s="58" t="s">
        <v>1816</v>
      </c>
      <c r="I3481" s="64" t="s">
        <v>9025</v>
      </c>
      <c r="J3481" s="66"/>
      <c r="K3481" s="66"/>
      <c r="L3481" s="68"/>
      <c r="M3481" s="63" t="str">
        <f>HYPERLINK("http://nsgreg.nga.mil/genc/view?v=866469&amp;end_month=12&amp;end_day=31&amp;end_year=2016","Correlation")</f>
        <v>Correlation</v>
      </c>
    </row>
    <row r="3482" spans="1:13" x14ac:dyDescent="0.2">
      <c r="A3482" s="113"/>
      <c r="B3482" s="58" t="s">
        <v>9026</v>
      </c>
      <c r="C3482" s="58" t="s">
        <v>1816</v>
      </c>
      <c r="D3482" s="58" t="s">
        <v>9027</v>
      </c>
      <c r="E3482" s="60" t="b">
        <v>1</v>
      </c>
      <c r="F3482" s="80" t="s">
        <v>1151</v>
      </c>
      <c r="G3482" s="58" t="s">
        <v>9026</v>
      </c>
      <c r="H3482" s="58" t="s">
        <v>1816</v>
      </c>
      <c r="I3482" s="64" t="s">
        <v>9027</v>
      </c>
      <c r="J3482" s="66"/>
      <c r="K3482" s="66"/>
      <c r="L3482" s="68"/>
      <c r="M3482" s="63" t="str">
        <f>HYPERLINK("http://nsgreg.nga.mil/genc/view?v=866470&amp;end_month=12&amp;end_day=31&amp;end_year=2016","Correlation")</f>
        <v>Correlation</v>
      </c>
    </row>
    <row r="3483" spans="1:13" x14ac:dyDescent="0.2">
      <c r="A3483" s="113"/>
      <c r="B3483" s="58" t="s">
        <v>9028</v>
      </c>
      <c r="C3483" s="58" t="s">
        <v>1816</v>
      </c>
      <c r="D3483" s="58" t="s">
        <v>9029</v>
      </c>
      <c r="E3483" s="60" t="b">
        <v>1</v>
      </c>
      <c r="F3483" s="80" t="s">
        <v>1151</v>
      </c>
      <c r="G3483" s="58" t="s">
        <v>9028</v>
      </c>
      <c r="H3483" s="58" t="s">
        <v>1816</v>
      </c>
      <c r="I3483" s="64" t="s">
        <v>9029</v>
      </c>
      <c r="J3483" s="66"/>
      <c r="K3483" s="66"/>
      <c r="L3483" s="68"/>
      <c r="M3483" s="63" t="str">
        <f>HYPERLINK("http://nsgreg.nga.mil/genc/view?v=866471&amp;end_month=12&amp;end_day=31&amp;end_year=2016","Correlation")</f>
        <v>Correlation</v>
      </c>
    </row>
    <row r="3484" spans="1:13" x14ac:dyDescent="0.2">
      <c r="A3484" s="113"/>
      <c r="B3484" s="58" t="s">
        <v>9030</v>
      </c>
      <c r="C3484" s="58" t="s">
        <v>1816</v>
      </c>
      <c r="D3484" s="58" t="s">
        <v>9031</v>
      </c>
      <c r="E3484" s="60" t="b">
        <v>1</v>
      </c>
      <c r="F3484" s="80" t="s">
        <v>1151</v>
      </c>
      <c r="G3484" s="58" t="s">
        <v>9030</v>
      </c>
      <c r="H3484" s="58" t="s">
        <v>1816</v>
      </c>
      <c r="I3484" s="64" t="s">
        <v>9031</v>
      </c>
      <c r="J3484" s="66"/>
      <c r="K3484" s="66"/>
      <c r="L3484" s="68"/>
      <c r="M3484" s="63" t="str">
        <f>HYPERLINK("http://nsgreg.nga.mil/genc/view?v=866474&amp;end_month=12&amp;end_day=31&amp;end_year=2016","Correlation")</f>
        <v>Correlation</v>
      </c>
    </row>
    <row r="3485" spans="1:13" x14ac:dyDescent="0.2">
      <c r="A3485" s="113"/>
      <c r="B3485" s="58" t="s">
        <v>9032</v>
      </c>
      <c r="C3485" s="58" t="s">
        <v>1816</v>
      </c>
      <c r="D3485" s="58" t="s">
        <v>9033</v>
      </c>
      <c r="E3485" s="60" t="b">
        <v>1</v>
      </c>
      <c r="F3485" s="80" t="s">
        <v>1151</v>
      </c>
      <c r="G3485" s="58" t="s">
        <v>9034</v>
      </c>
      <c r="H3485" s="58" t="s">
        <v>1816</v>
      </c>
      <c r="I3485" s="64" t="s">
        <v>9033</v>
      </c>
      <c r="J3485" s="66"/>
      <c r="K3485" s="66"/>
      <c r="L3485" s="68"/>
      <c r="M3485" s="63" t="str">
        <f>HYPERLINK("http://nsgreg.nga.mil/genc/view?v=866473&amp;end_month=12&amp;end_day=31&amp;end_year=2016","Correlation")</f>
        <v>Correlation</v>
      </c>
    </row>
    <row r="3486" spans="1:13" x14ac:dyDescent="0.2">
      <c r="A3486" s="114"/>
      <c r="B3486" s="71" t="s">
        <v>9035</v>
      </c>
      <c r="C3486" s="71" t="s">
        <v>1816</v>
      </c>
      <c r="D3486" s="71" t="s">
        <v>9036</v>
      </c>
      <c r="E3486" s="73" t="b">
        <v>1</v>
      </c>
      <c r="F3486" s="81" t="s">
        <v>1151</v>
      </c>
      <c r="G3486" s="71" t="s">
        <v>9035</v>
      </c>
      <c r="H3486" s="71" t="s">
        <v>1816</v>
      </c>
      <c r="I3486" s="74" t="s">
        <v>9036</v>
      </c>
      <c r="J3486" s="76"/>
      <c r="K3486" s="76"/>
      <c r="L3486" s="82"/>
      <c r="M3486" s="77" t="str">
        <f>HYPERLINK("http://nsgreg.nga.mil/genc/view?v=866475&amp;end_month=12&amp;end_day=31&amp;end_year=2016","Correlation")</f>
        <v>Correlation</v>
      </c>
    </row>
    <row r="3487" spans="1:13" x14ac:dyDescent="0.2">
      <c r="A3487" s="112" t="s">
        <v>1155</v>
      </c>
      <c r="B3487" s="50" t="s">
        <v>9037</v>
      </c>
      <c r="C3487" s="50" t="s">
        <v>1413</v>
      </c>
      <c r="D3487" s="50" t="s">
        <v>9038</v>
      </c>
      <c r="E3487" s="52" t="b">
        <v>1</v>
      </c>
      <c r="F3487" s="78" t="s">
        <v>1155</v>
      </c>
      <c r="G3487" s="50" t="s">
        <v>9037</v>
      </c>
      <c r="H3487" s="50" t="s">
        <v>1413</v>
      </c>
      <c r="I3487" s="53" t="s">
        <v>9038</v>
      </c>
      <c r="J3487" s="55"/>
      <c r="K3487" s="55"/>
      <c r="L3487" s="79"/>
      <c r="M3487" s="56" t="str">
        <f>HYPERLINK("http://nsgreg.nga.mil/genc/view?v=866528&amp;end_month=12&amp;end_day=31&amp;end_year=2016","Correlation")</f>
        <v>Correlation</v>
      </c>
    </row>
    <row r="3488" spans="1:13" x14ac:dyDescent="0.2">
      <c r="A3488" s="114"/>
      <c r="B3488" s="71" t="s">
        <v>9039</v>
      </c>
      <c r="C3488" s="71" t="s">
        <v>1413</v>
      </c>
      <c r="D3488" s="71" t="s">
        <v>9040</v>
      </c>
      <c r="E3488" s="73" t="b">
        <v>1</v>
      </c>
      <c r="F3488" s="81" t="s">
        <v>1155</v>
      </c>
      <c r="G3488" s="71" t="s">
        <v>9039</v>
      </c>
      <c r="H3488" s="71" t="s">
        <v>1413</v>
      </c>
      <c r="I3488" s="74" t="s">
        <v>9040</v>
      </c>
      <c r="J3488" s="76"/>
      <c r="K3488" s="76"/>
      <c r="L3488" s="82"/>
      <c r="M3488" s="77" t="str">
        <f>HYPERLINK("http://nsgreg.nga.mil/genc/view?v=866529&amp;end_month=12&amp;end_day=31&amp;end_year=2016","Correlation")</f>
        <v>Correlation</v>
      </c>
    </row>
    <row r="3489" spans="1:13" x14ac:dyDescent="0.2">
      <c r="A3489" s="112" t="s">
        <v>1159</v>
      </c>
      <c r="B3489" s="50" t="s">
        <v>9041</v>
      </c>
      <c r="C3489" s="50" t="s">
        <v>1816</v>
      </c>
      <c r="D3489" s="50" t="s">
        <v>9042</v>
      </c>
      <c r="E3489" s="52" t="b">
        <v>1</v>
      </c>
      <c r="F3489" s="78" t="s">
        <v>1159</v>
      </c>
      <c r="G3489" s="50" t="s">
        <v>9041</v>
      </c>
      <c r="H3489" s="50" t="s">
        <v>1413</v>
      </c>
      <c r="I3489" s="53" t="s">
        <v>9042</v>
      </c>
      <c r="J3489" s="55"/>
      <c r="K3489" s="55"/>
      <c r="L3489" s="79"/>
      <c r="M3489" s="56" t="str">
        <f>HYPERLINK("http://nsgreg.nga.mil/genc/view?v=866158&amp;end_month=12&amp;end_day=31&amp;end_year=2016","Correlation")</f>
        <v>Correlation</v>
      </c>
    </row>
    <row r="3490" spans="1:13" x14ac:dyDescent="0.2">
      <c r="A3490" s="113"/>
      <c r="B3490" s="58" t="s">
        <v>9043</v>
      </c>
      <c r="C3490" s="58" t="s">
        <v>1816</v>
      </c>
      <c r="D3490" s="58" t="s">
        <v>9044</v>
      </c>
      <c r="E3490" s="60" t="b">
        <v>1</v>
      </c>
      <c r="F3490" s="80" t="s">
        <v>1159</v>
      </c>
      <c r="G3490" s="58" t="s">
        <v>9043</v>
      </c>
      <c r="H3490" s="58" t="s">
        <v>1413</v>
      </c>
      <c r="I3490" s="64" t="s">
        <v>9044</v>
      </c>
      <c r="J3490" s="66"/>
      <c r="K3490" s="66"/>
      <c r="L3490" s="68"/>
      <c r="M3490" s="63" t="str">
        <f>HYPERLINK("http://nsgreg.nga.mil/genc/view?v=866155&amp;end_month=12&amp;end_day=31&amp;end_year=2016","Correlation")</f>
        <v>Correlation</v>
      </c>
    </row>
    <row r="3491" spans="1:13" x14ac:dyDescent="0.2">
      <c r="A3491" s="113"/>
      <c r="B3491" s="58" t="s">
        <v>9045</v>
      </c>
      <c r="C3491" s="58" t="s">
        <v>1816</v>
      </c>
      <c r="D3491" s="58" t="s">
        <v>9046</v>
      </c>
      <c r="E3491" s="60" t="b">
        <v>1</v>
      </c>
      <c r="F3491" s="80" t="s">
        <v>1159</v>
      </c>
      <c r="G3491" s="58" t="s">
        <v>9045</v>
      </c>
      <c r="H3491" s="58" t="s">
        <v>1413</v>
      </c>
      <c r="I3491" s="64" t="s">
        <v>9046</v>
      </c>
      <c r="J3491" s="66"/>
      <c r="K3491" s="66"/>
      <c r="L3491" s="68"/>
      <c r="M3491" s="63" t="str">
        <f>HYPERLINK("http://nsgreg.nga.mil/genc/view?v=866159&amp;end_month=12&amp;end_day=31&amp;end_year=2016","Correlation")</f>
        <v>Correlation</v>
      </c>
    </row>
    <row r="3492" spans="1:13" x14ac:dyDescent="0.2">
      <c r="A3492" s="113"/>
      <c r="B3492" s="58" t="s">
        <v>9047</v>
      </c>
      <c r="C3492" s="58" t="s">
        <v>1816</v>
      </c>
      <c r="D3492" s="58" t="s">
        <v>9048</v>
      </c>
      <c r="E3492" s="60" t="b">
        <v>1</v>
      </c>
      <c r="F3492" s="80" t="s">
        <v>1159</v>
      </c>
      <c r="G3492" s="58" t="s">
        <v>9047</v>
      </c>
      <c r="H3492" s="58" t="s">
        <v>1413</v>
      </c>
      <c r="I3492" s="64" t="s">
        <v>9048</v>
      </c>
      <c r="J3492" s="66"/>
      <c r="K3492" s="66"/>
      <c r="L3492" s="68"/>
      <c r="M3492" s="63" t="str">
        <f>HYPERLINK("http://nsgreg.nga.mil/genc/view?v=866150&amp;end_month=12&amp;end_day=31&amp;end_year=2016","Correlation")</f>
        <v>Correlation</v>
      </c>
    </row>
    <row r="3493" spans="1:13" x14ac:dyDescent="0.2">
      <c r="A3493" s="113"/>
      <c r="B3493" s="58" t="s">
        <v>9049</v>
      </c>
      <c r="C3493" s="58" t="s">
        <v>1816</v>
      </c>
      <c r="D3493" s="58" t="s">
        <v>9050</v>
      </c>
      <c r="E3493" s="60" t="b">
        <v>1</v>
      </c>
      <c r="F3493" s="80" t="s">
        <v>1159</v>
      </c>
      <c r="G3493" s="58" t="s">
        <v>9049</v>
      </c>
      <c r="H3493" s="58" t="s">
        <v>1413</v>
      </c>
      <c r="I3493" s="64" t="s">
        <v>9050</v>
      </c>
      <c r="J3493" s="66"/>
      <c r="K3493" s="66"/>
      <c r="L3493" s="68"/>
      <c r="M3493" s="63" t="str">
        <f>HYPERLINK("http://nsgreg.nga.mil/genc/view?v=866152&amp;end_month=12&amp;end_day=31&amp;end_year=2016","Correlation")</f>
        <v>Correlation</v>
      </c>
    </row>
    <row r="3494" spans="1:13" x14ac:dyDescent="0.2">
      <c r="A3494" s="113"/>
      <c r="B3494" s="58" t="s">
        <v>9051</v>
      </c>
      <c r="C3494" s="58" t="s">
        <v>1816</v>
      </c>
      <c r="D3494" s="58" t="s">
        <v>9052</v>
      </c>
      <c r="E3494" s="60" t="b">
        <v>1</v>
      </c>
      <c r="F3494" s="80" t="s">
        <v>1159</v>
      </c>
      <c r="G3494" s="58" t="s">
        <v>9051</v>
      </c>
      <c r="H3494" s="58" t="s">
        <v>1413</v>
      </c>
      <c r="I3494" s="64" t="s">
        <v>9052</v>
      </c>
      <c r="J3494" s="66"/>
      <c r="K3494" s="66"/>
      <c r="L3494" s="68"/>
      <c r="M3494" s="63" t="str">
        <f>HYPERLINK("http://nsgreg.nga.mil/genc/view?v=866148&amp;end_month=12&amp;end_day=31&amp;end_year=2016","Correlation")</f>
        <v>Correlation</v>
      </c>
    </row>
    <row r="3495" spans="1:13" x14ac:dyDescent="0.2">
      <c r="A3495" s="113"/>
      <c r="B3495" s="58" t="s">
        <v>3906</v>
      </c>
      <c r="C3495" s="58" t="s">
        <v>1816</v>
      </c>
      <c r="D3495" s="58" t="s">
        <v>9053</v>
      </c>
      <c r="E3495" s="60" t="b">
        <v>1</v>
      </c>
      <c r="F3495" s="80" t="s">
        <v>1159</v>
      </c>
      <c r="G3495" s="58" t="s">
        <v>3906</v>
      </c>
      <c r="H3495" s="58" t="s">
        <v>1413</v>
      </c>
      <c r="I3495" s="64" t="s">
        <v>9053</v>
      </c>
      <c r="J3495" s="66"/>
      <c r="K3495" s="66"/>
      <c r="L3495" s="68"/>
      <c r="M3495" s="63" t="str">
        <f>HYPERLINK("http://nsgreg.nga.mil/genc/view?v=866151&amp;end_month=12&amp;end_day=31&amp;end_year=2016","Correlation")</f>
        <v>Correlation</v>
      </c>
    </row>
    <row r="3496" spans="1:13" x14ac:dyDescent="0.2">
      <c r="A3496" s="113"/>
      <c r="B3496" s="58" t="s">
        <v>9054</v>
      </c>
      <c r="C3496" s="58" t="s">
        <v>1816</v>
      </c>
      <c r="D3496" s="58" t="s">
        <v>9055</v>
      </c>
      <c r="E3496" s="60" t="b">
        <v>1</v>
      </c>
      <c r="F3496" s="80" t="s">
        <v>1159</v>
      </c>
      <c r="G3496" s="58" t="s">
        <v>9054</v>
      </c>
      <c r="H3496" s="58" t="s">
        <v>1413</v>
      </c>
      <c r="I3496" s="64" t="s">
        <v>9055</v>
      </c>
      <c r="J3496" s="66"/>
      <c r="K3496" s="66"/>
      <c r="L3496" s="68"/>
      <c r="M3496" s="63" t="str">
        <f>HYPERLINK("http://nsgreg.nga.mil/genc/view?v=866160&amp;end_month=12&amp;end_day=31&amp;end_year=2016","Correlation")</f>
        <v>Correlation</v>
      </c>
    </row>
    <row r="3497" spans="1:13" x14ac:dyDescent="0.2">
      <c r="A3497" s="113"/>
      <c r="B3497" s="58" t="s">
        <v>9056</v>
      </c>
      <c r="C3497" s="58" t="s">
        <v>1816</v>
      </c>
      <c r="D3497" s="58" t="s">
        <v>9057</v>
      </c>
      <c r="E3497" s="60" t="b">
        <v>1</v>
      </c>
      <c r="F3497" s="80" t="s">
        <v>1159</v>
      </c>
      <c r="G3497" s="58" t="s">
        <v>9056</v>
      </c>
      <c r="H3497" s="58" t="s">
        <v>1413</v>
      </c>
      <c r="I3497" s="64" t="s">
        <v>9057</v>
      </c>
      <c r="J3497" s="66"/>
      <c r="K3497" s="66"/>
      <c r="L3497" s="68"/>
      <c r="M3497" s="63" t="str">
        <f>HYPERLINK("http://nsgreg.nga.mil/genc/view?v=866153&amp;end_month=12&amp;end_day=31&amp;end_year=2016","Correlation")</f>
        <v>Correlation</v>
      </c>
    </row>
    <row r="3498" spans="1:13" x14ac:dyDescent="0.2">
      <c r="A3498" s="113"/>
      <c r="B3498" s="58" t="s">
        <v>9058</v>
      </c>
      <c r="C3498" s="58" t="s">
        <v>1816</v>
      </c>
      <c r="D3498" s="58" t="s">
        <v>9059</v>
      </c>
      <c r="E3498" s="60" t="b">
        <v>1</v>
      </c>
      <c r="F3498" s="80" t="s">
        <v>1159</v>
      </c>
      <c r="G3498" s="58" t="s">
        <v>9058</v>
      </c>
      <c r="H3498" s="58" t="s">
        <v>1413</v>
      </c>
      <c r="I3498" s="64" t="s">
        <v>9059</v>
      </c>
      <c r="J3498" s="66"/>
      <c r="K3498" s="66"/>
      <c r="L3498" s="68"/>
      <c r="M3498" s="63" t="str">
        <f>HYPERLINK("http://nsgreg.nga.mil/genc/view?v=866156&amp;end_month=12&amp;end_day=31&amp;end_year=2016","Correlation")</f>
        <v>Correlation</v>
      </c>
    </row>
    <row r="3499" spans="1:13" x14ac:dyDescent="0.2">
      <c r="A3499" s="113"/>
      <c r="B3499" s="58" t="s">
        <v>9060</v>
      </c>
      <c r="C3499" s="58" t="s">
        <v>1816</v>
      </c>
      <c r="D3499" s="58" t="s">
        <v>9061</v>
      </c>
      <c r="E3499" s="60" t="b">
        <v>1</v>
      </c>
      <c r="F3499" s="80" t="s">
        <v>1159</v>
      </c>
      <c r="G3499" s="58" t="s">
        <v>9060</v>
      </c>
      <c r="H3499" s="58" t="s">
        <v>1413</v>
      </c>
      <c r="I3499" s="64" t="s">
        <v>9061</v>
      </c>
      <c r="J3499" s="66"/>
      <c r="K3499" s="66"/>
      <c r="L3499" s="68"/>
      <c r="M3499" s="63" t="str">
        <f>HYPERLINK("http://nsgreg.nga.mil/genc/view?v=866149&amp;end_month=12&amp;end_day=31&amp;end_year=2016","Correlation")</f>
        <v>Correlation</v>
      </c>
    </row>
    <row r="3500" spans="1:13" x14ac:dyDescent="0.2">
      <c r="A3500" s="113"/>
      <c r="B3500" s="58" t="s">
        <v>9062</v>
      </c>
      <c r="C3500" s="58" t="s">
        <v>1816</v>
      </c>
      <c r="D3500" s="58" t="s">
        <v>9063</v>
      </c>
      <c r="E3500" s="60" t="b">
        <v>1</v>
      </c>
      <c r="F3500" s="80" t="s">
        <v>1159</v>
      </c>
      <c r="G3500" s="58" t="s">
        <v>9062</v>
      </c>
      <c r="H3500" s="58" t="s">
        <v>1413</v>
      </c>
      <c r="I3500" s="64" t="s">
        <v>9063</v>
      </c>
      <c r="J3500" s="66"/>
      <c r="K3500" s="66"/>
      <c r="L3500" s="68"/>
      <c r="M3500" s="63" t="str">
        <f>HYPERLINK("http://nsgreg.nga.mil/genc/view?v=866157&amp;end_month=12&amp;end_day=31&amp;end_year=2016","Correlation")</f>
        <v>Correlation</v>
      </c>
    </row>
    <row r="3501" spans="1:13" x14ac:dyDescent="0.2">
      <c r="A3501" s="114"/>
      <c r="B3501" s="71" t="s">
        <v>9064</v>
      </c>
      <c r="C3501" s="71" t="s">
        <v>1816</v>
      </c>
      <c r="D3501" s="71" t="s">
        <v>9065</v>
      </c>
      <c r="E3501" s="73" t="b">
        <v>1</v>
      </c>
      <c r="F3501" s="81" t="s">
        <v>1159</v>
      </c>
      <c r="G3501" s="71" t="s">
        <v>9064</v>
      </c>
      <c r="H3501" s="71" t="s">
        <v>1413</v>
      </c>
      <c r="I3501" s="74" t="s">
        <v>9065</v>
      </c>
      <c r="J3501" s="76"/>
      <c r="K3501" s="76"/>
      <c r="L3501" s="82"/>
      <c r="M3501" s="77" t="str">
        <f>HYPERLINK("http://nsgreg.nga.mil/genc/view?v=866154&amp;end_month=12&amp;end_day=31&amp;end_year=2016","Correlation")</f>
        <v>Correlation</v>
      </c>
    </row>
    <row r="3502" spans="1:13" x14ac:dyDescent="0.2">
      <c r="A3502" s="112" t="s">
        <v>1163</v>
      </c>
      <c r="B3502" s="50" t="s">
        <v>9066</v>
      </c>
      <c r="C3502" s="50" t="s">
        <v>1728</v>
      </c>
      <c r="D3502" s="50" t="s">
        <v>9067</v>
      </c>
      <c r="E3502" s="52" t="b">
        <v>1</v>
      </c>
      <c r="F3502" s="78" t="s">
        <v>1163</v>
      </c>
      <c r="G3502" s="50" t="s">
        <v>9066</v>
      </c>
      <c r="H3502" s="50" t="s">
        <v>1728</v>
      </c>
      <c r="I3502" s="53" t="s">
        <v>9067</v>
      </c>
      <c r="J3502" s="55"/>
      <c r="K3502" s="55"/>
      <c r="L3502" s="79"/>
      <c r="M3502" s="56" t="str">
        <f>HYPERLINK("http://nsgreg.nga.mil/genc/view?v=866477&amp;end_month=12&amp;end_day=31&amp;end_year=2016","Correlation")</f>
        <v>Correlation</v>
      </c>
    </row>
    <row r="3503" spans="1:13" x14ac:dyDescent="0.2">
      <c r="A3503" s="113"/>
      <c r="B3503" s="58" t="s">
        <v>9068</v>
      </c>
      <c r="C3503" s="58" t="s">
        <v>1728</v>
      </c>
      <c r="D3503" s="58" t="s">
        <v>9069</v>
      </c>
      <c r="E3503" s="60" t="b">
        <v>1</v>
      </c>
      <c r="F3503" s="80" t="s">
        <v>1163</v>
      </c>
      <c r="G3503" s="58" t="s">
        <v>9068</v>
      </c>
      <c r="H3503" s="58" t="s">
        <v>1728</v>
      </c>
      <c r="I3503" s="64" t="s">
        <v>9069</v>
      </c>
      <c r="J3503" s="66"/>
      <c r="K3503" s="66"/>
      <c r="L3503" s="68"/>
      <c r="M3503" s="63" t="str">
        <f>HYPERLINK("http://nsgreg.nga.mil/genc/view?v=866476&amp;end_month=12&amp;end_day=31&amp;end_year=2016","Correlation")</f>
        <v>Correlation</v>
      </c>
    </row>
    <row r="3504" spans="1:13" x14ac:dyDescent="0.2">
      <c r="A3504" s="113"/>
      <c r="B3504" s="58" t="s">
        <v>9070</v>
      </c>
      <c r="C3504" s="58" t="s">
        <v>1728</v>
      </c>
      <c r="D3504" s="58" t="s">
        <v>9071</v>
      </c>
      <c r="E3504" s="60" t="b">
        <v>1</v>
      </c>
      <c r="F3504" s="80" t="s">
        <v>1163</v>
      </c>
      <c r="G3504" s="58" t="s">
        <v>9070</v>
      </c>
      <c r="H3504" s="58" t="s">
        <v>1728</v>
      </c>
      <c r="I3504" s="64" t="s">
        <v>9071</v>
      </c>
      <c r="J3504" s="66"/>
      <c r="K3504" s="66"/>
      <c r="L3504" s="68"/>
      <c r="M3504" s="63" t="str">
        <f>HYPERLINK("http://nsgreg.nga.mil/genc/view?v=866478&amp;end_month=12&amp;end_day=31&amp;end_year=2016","Correlation")</f>
        <v>Correlation</v>
      </c>
    </row>
    <row r="3505" spans="1:13" x14ac:dyDescent="0.2">
      <c r="A3505" s="113"/>
      <c r="B3505" s="58" t="s">
        <v>9072</v>
      </c>
      <c r="C3505" s="58" t="s">
        <v>1728</v>
      </c>
      <c r="D3505" s="58" t="s">
        <v>9073</v>
      </c>
      <c r="E3505" s="60" t="b">
        <v>1</v>
      </c>
      <c r="F3505" s="80" t="s">
        <v>1163</v>
      </c>
      <c r="G3505" s="58" t="s">
        <v>9072</v>
      </c>
      <c r="H3505" s="58" t="s">
        <v>1728</v>
      </c>
      <c r="I3505" s="64" t="s">
        <v>9073</v>
      </c>
      <c r="J3505" s="66"/>
      <c r="K3505" s="66"/>
      <c r="L3505" s="68"/>
      <c r="M3505" s="63" t="str">
        <f>HYPERLINK("http://nsgreg.nga.mil/genc/view?v=866479&amp;end_month=12&amp;end_day=31&amp;end_year=2016","Correlation")</f>
        <v>Correlation</v>
      </c>
    </row>
    <row r="3506" spans="1:13" x14ac:dyDescent="0.2">
      <c r="A3506" s="113"/>
      <c r="B3506" s="58" t="s">
        <v>9074</v>
      </c>
      <c r="C3506" s="58" t="s">
        <v>1728</v>
      </c>
      <c r="D3506" s="58" t="s">
        <v>9075</v>
      </c>
      <c r="E3506" s="60" t="b">
        <v>1</v>
      </c>
      <c r="F3506" s="80" t="s">
        <v>1163</v>
      </c>
      <c r="G3506" s="58" t="s">
        <v>9074</v>
      </c>
      <c r="H3506" s="58" t="s">
        <v>1728</v>
      </c>
      <c r="I3506" s="64" t="s">
        <v>9075</v>
      </c>
      <c r="J3506" s="66"/>
      <c r="K3506" s="66"/>
      <c r="L3506" s="68"/>
      <c r="M3506" s="63" t="str">
        <f>HYPERLINK("http://nsgreg.nga.mil/genc/view?v=866482&amp;end_month=12&amp;end_day=31&amp;end_year=2016","Correlation")</f>
        <v>Correlation</v>
      </c>
    </row>
    <row r="3507" spans="1:13" x14ac:dyDescent="0.2">
      <c r="A3507" s="113"/>
      <c r="B3507" s="58" t="s">
        <v>9076</v>
      </c>
      <c r="C3507" s="58" t="s">
        <v>1728</v>
      </c>
      <c r="D3507" s="58" t="s">
        <v>9077</v>
      </c>
      <c r="E3507" s="60" t="b">
        <v>1</v>
      </c>
      <c r="F3507" s="80" t="s">
        <v>1163</v>
      </c>
      <c r="G3507" s="58" t="s">
        <v>9076</v>
      </c>
      <c r="H3507" s="58" t="s">
        <v>1728</v>
      </c>
      <c r="I3507" s="64" t="s">
        <v>9077</v>
      </c>
      <c r="J3507" s="66"/>
      <c r="K3507" s="66"/>
      <c r="L3507" s="68"/>
      <c r="M3507" s="63" t="str">
        <f>HYPERLINK("http://nsgreg.nga.mil/genc/view?v=866481&amp;end_month=12&amp;end_day=31&amp;end_year=2016","Correlation")</f>
        <v>Correlation</v>
      </c>
    </row>
    <row r="3508" spans="1:13" x14ac:dyDescent="0.2">
      <c r="A3508" s="113"/>
      <c r="B3508" s="58" t="s">
        <v>9078</v>
      </c>
      <c r="C3508" s="58" t="s">
        <v>1728</v>
      </c>
      <c r="D3508" s="58" t="s">
        <v>9079</v>
      </c>
      <c r="E3508" s="60" t="b">
        <v>1</v>
      </c>
      <c r="F3508" s="80" t="s">
        <v>1163</v>
      </c>
      <c r="G3508" s="58" t="s">
        <v>9078</v>
      </c>
      <c r="H3508" s="58" t="s">
        <v>1728</v>
      </c>
      <c r="I3508" s="64" t="s">
        <v>9079</v>
      </c>
      <c r="J3508" s="66"/>
      <c r="K3508" s="66"/>
      <c r="L3508" s="68"/>
      <c r="M3508" s="63" t="str">
        <f>HYPERLINK("http://nsgreg.nga.mil/genc/view?v=866480&amp;end_month=12&amp;end_day=31&amp;end_year=2016","Correlation")</f>
        <v>Correlation</v>
      </c>
    </row>
    <row r="3509" spans="1:13" x14ac:dyDescent="0.2">
      <c r="A3509" s="113"/>
      <c r="B3509" s="58" t="s">
        <v>9080</v>
      </c>
      <c r="C3509" s="58" t="s">
        <v>1728</v>
      </c>
      <c r="D3509" s="58" t="s">
        <v>9081</v>
      </c>
      <c r="E3509" s="60" t="b">
        <v>1</v>
      </c>
      <c r="F3509" s="80" t="s">
        <v>1163</v>
      </c>
      <c r="G3509" s="58" t="s">
        <v>9080</v>
      </c>
      <c r="H3509" s="58" t="s">
        <v>1728</v>
      </c>
      <c r="I3509" s="64" t="s">
        <v>9081</v>
      </c>
      <c r="J3509" s="66"/>
      <c r="K3509" s="66"/>
      <c r="L3509" s="68"/>
      <c r="M3509" s="63" t="str">
        <f>HYPERLINK("http://nsgreg.nga.mil/genc/view?v=866483&amp;end_month=12&amp;end_day=31&amp;end_year=2016","Correlation")</f>
        <v>Correlation</v>
      </c>
    </row>
    <row r="3510" spans="1:13" x14ac:dyDescent="0.2">
      <c r="A3510" s="113"/>
      <c r="B3510" s="58" t="s">
        <v>9082</v>
      </c>
      <c r="C3510" s="58" t="s">
        <v>1728</v>
      </c>
      <c r="D3510" s="58" t="s">
        <v>9083</v>
      </c>
      <c r="E3510" s="60" t="b">
        <v>1</v>
      </c>
      <c r="F3510" s="80" t="s">
        <v>1163</v>
      </c>
      <c r="G3510" s="58" t="s">
        <v>9082</v>
      </c>
      <c r="H3510" s="58" t="s">
        <v>1728</v>
      </c>
      <c r="I3510" s="64" t="s">
        <v>9083</v>
      </c>
      <c r="J3510" s="66"/>
      <c r="K3510" s="66"/>
      <c r="L3510" s="68"/>
      <c r="M3510" s="63" t="str">
        <f>HYPERLINK("http://nsgreg.nga.mil/genc/view?v=866484&amp;end_month=12&amp;end_day=31&amp;end_year=2016","Correlation")</f>
        <v>Correlation</v>
      </c>
    </row>
    <row r="3511" spans="1:13" x14ac:dyDescent="0.2">
      <c r="A3511" s="113"/>
      <c r="B3511" s="58" t="s">
        <v>9084</v>
      </c>
      <c r="C3511" s="58" t="s">
        <v>1728</v>
      </c>
      <c r="D3511" s="58" t="s">
        <v>9085</v>
      </c>
      <c r="E3511" s="60" t="b">
        <v>1</v>
      </c>
      <c r="F3511" s="80" t="s">
        <v>1163</v>
      </c>
      <c r="G3511" s="58" t="s">
        <v>9084</v>
      </c>
      <c r="H3511" s="58" t="s">
        <v>1728</v>
      </c>
      <c r="I3511" s="64" t="s">
        <v>9085</v>
      </c>
      <c r="J3511" s="66"/>
      <c r="K3511" s="66"/>
      <c r="L3511" s="68"/>
      <c r="M3511" s="63" t="str">
        <f>HYPERLINK("http://nsgreg.nga.mil/genc/view?v=866486&amp;end_month=12&amp;end_day=31&amp;end_year=2016","Correlation")</f>
        <v>Correlation</v>
      </c>
    </row>
    <row r="3512" spans="1:13" x14ac:dyDescent="0.2">
      <c r="A3512" s="113"/>
      <c r="B3512" s="58" t="s">
        <v>9086</v>
      </c>
      <c r="C3512" s="58" t="s">
        <v>1728</v>
      </c>
      <c r="D3512" s="58" t="s">
        <v>9087</v>
      </c>
      <c r="E3512" s="60" t="b">
        <v>1</v>
      </c>
      <c r="F3512" s="80" t="s">
        <v>1163</v>
      </c>
      <c r="G3512" s="58" t="s">
        <v>9086</v>
      </c>
      <c r="H3512" s="58" t="s">
        <v>1728</v>
      </c>
      <c r="I3512" s="64" t="s">
        <v>9087</v>
      </c>
      <c r="J3512" s="66"/>
      <c r="K3512" s="66"/>
      <c r="L3512" s="68"/>
      <c r="M3512" s="63" t="str">
        <f>HYPERLINK("http://nsgreg.nga.mil/genc/view?v=866485&amp;end_month=12&amp;end_day=31&amp;end_year=2016","Correlation")</f>
        <v>Correlation</v>
      </c>
    </row>
    <row r="3513" spans="1:13" x14ac:dyDescent="0.2">
      <c r="A3513" s="113"/>
      <c r="B3513" s="58" t="s">
        <v>9088</v>
      </c>
      <c r="C3513" s="58" t="s">
        <v>1728</v>
      </c>
      <c r="D3513" s="58" t="s">
        <v>9089</v>
      </c>
      <c r="E3513" s="60" t="b">
        <v>1</v>
      </c>
      <c r="F3513" s="80" t="s">
        <v>1163</v>
      </c>
      <c r="G3513" s="58" t="s">
        <v>9088</v>
      </c>
      <c r="H3513" s="58" t="s">
        <v>1728</v>
      </c>
      <c r="I3513" s="64" t="s">
        <v>9089</v>
      </c>
      <c r="J3513" s="66"/>
      <c r="K3513" s="66"/>
      <c r="L3513" s="68"/>
      <c r="M3513" s="63" t="str">
        <f>HYPERLINK("http://nsgreg.nga.mil/genc/view?v=866487&amp;end_month=12&amp;end_day=31&amp;end_year=2016","Correlation")</f>
        <v>Correlation</v>
      </c>
    </row>
    <row r="3514" spans="1:13" x14ac:dyDescent="0.2">
      <c r="A3514" s="113"/>
      <c r="B3514" s="58" t="s">
        <v>9090</v>
      </c>
      <c r="C3514" s="58" t="s">
        <v>1728</v>
      </c>
      <c r="D3514" s="58" t="s">
        <v>9091</v>
      </c>
      <c r="E3514" s="60" t="b">
        <v>1</v>
      </c>
      <c r="F3514" s="80" t="s">
        <v>1163</v>
      </c>
      <c r="G3514" s="58" t="s">
        <v>9090</v>
      </c>
      <c r="H3514" s="58" t="s">
        <v>1728</v>
      </c>
      <c r="I3514" s="64" t="s">
        <v>9091</v>
      </c>
      <c r="J3514" s="66"/>
      <c r="K3514" s="66"/>
      <c r="L3514" s="68"/>
      <c r="M3514" s="63" t="str">
        <f>HYPERLINK("http://nsgreg.nga.mil/genc/view?v=866488&amp;end_month=12&amp;end_day=31&amp;end_year=2016","Correlation")</f>
        <v>Correlation</v>
      </c>
    </row>
    <row r="3515" spans="1:13" x14ac:dyDescent="0.2">
      <c r="A3515" s="114"/>
      <c r="B3515" s="71" t="s">
        <v>9092</v>
      </c>
      <c r="C3515" s="71" t="s">
        <v>1728</v>
      </c>
      <c r="D3515" s="71" t="s">
        <v>9093</v>
      </c>
      <c r="E3515" s="73" t="b">
        <v>1</v>
      </c>
      <c r="F3515" s="81" t="s">
        <v>1163</v>
      </c>
      <c r="G3515" s="71" t="s">
        <v>9092</v>
      </c>
      <c r="H3515" s="71" t="s">
        <v>1728</v>
      </c>
      <c r="I3515" s="74" t="s">
        <v>9093</v>
      </c>
      <c r="J3515" s="76"/>
      <c r="K3515" s="76"/>
      <c r="L3515" s="82"/>
      <c r="M3515" s="77" t="str">
        <f>HYPERLINK("http://nsgreg.nga.mil/genc/view?v=866489&amp;end_month=12&amp;end_day=31&amp;end_year=2016","Correlation")</f>
        <v>Correlation</v>
      </c>
    </row>
    <row r="3516" spans="1:13" x14ac:dyDescent="0.2">
      <c r="A3516" s="112" t="s">
        <v>1167</v>
      </c>
      <c r="B3516" s="50" t="s">
        <v>9094</v>
      </c>
      <c r="C3516" s="50" t="s">
        <v>1816</v>
      </c>
      <c r="D3516" s="50" t="s">
        <v>9095</v>
      </c>
      <c r="E3516" s="52" t="b">
        <v>1</v>
      </c>
      <c r="F3516" s="83" t="s">
        <v>167</v>
      </c>
      <c r="G3516" s="83"/>
      <c r="H3516" s="83"/>
      <c r="I3516" s="83"/>
      <c r="J3516" s="83"/>
      <c r="K3516" s="83"/>
      <c r="L3516" s="84"/>
      <c r="M3516" s="56" t="str">
        <f>HYPERLINK("http://nsgreg.nga.mil/genc/view?v=865989&amp;end_month=12&amp;end_day=31&amp;end_year=2016","Correlation")</f>
        <v>Correlation</v>
      </c>
    </row>
    <row r="3517" spans="1:13" x14ac:dyDescent="0.2">
      <c r="A3517" s="113"/>
      <c r="B3517" s="58" t="s">
        <v>9096</v>
      </c>
      <c r="C3517" s="58" t="s">
        <v>1816</v>
      </c>
      <c r="D3517" s="58" t="s">
        <v>9097</v>
      </c>
      <c r="E3517" s="60" t="b">
        <v>1</v>
      </c>
      <c r="F3517" s="61" t="s">
        <v>167</v>
      </c>
      <c r="G3517" s="61"/>
      <c r="H3517" s="61"/>
      <c r="I3517" s="61"/>
      <c r="J3517" s="61"/>
      <c r="K3517" s="61"/>
      <c r="L3517" s="62"/>
      <c r="M3517" s="63" t="str">
        <f>HYPERLINK("http://nsgreg.nga.mil/genc/view?v=865990&amp;end_month=12&amp;end_day=31&amp;end_year=2016","Correlation")</f>
        <v>Correlation</v>
      </c>
    </row>
    <row r="3518" spans="1:13" x14ac:dyDescent="0.2">
      <c r="A3518" s="113"/>
      <c r="B3518" s="58" t="s">
        <v>9098</v>
      </c>
      <c r="C3518" s="58" t="s">
        <v>1816</v>
      </c>
      <c r="D3518" s="58" t="s">
        <v>9099</v>
      </c>
      <c r="E3518" s="60" t="b">
        <v>1</v>
      </c>
      <c r="F3518" s="61" t="s">
        <v>167</v>
      </c>
      <c r="G3518" s="61"/>
      <c r="H3518" s="61"/>
      <c r="I3518" s="61"/>
      <c r="J3518" s="61"/>
      <c r="K3518" s="61"/>
      <c r="L3518" s="62"/>
      <c r="M3518" s="63" t="str">
        <f>HYPERLINK("http://nsgreg.nga.mil/genc/view?v=865991&amp;end_month=12&amp;end_day=31&amp;end_year=2016","Correlation")</f>
        <v>Correlation</v>
      </c>
    </row>
    <row r="3519" spans="1:13" x14ac:dyDescent="0.2">
      <c r="A3519" s="113"/>
      <c r="B3519" s="58" t="s">
        <v>9100</v>
      </c>
      <c r="C3519" s="58" t="s">
        <v>1816</v>
      </c>
      <c r="D3519" s="58" t="s">
        <v>9101</v>
      </c>
      <c r="E3519" s="60" t="b">
        <v>1</v>
      </c>
      <c r="F3519" s="61" t="s">
        <v>167</v>
      </c>
      <c r="G3519" s="61"/>
      <c r="H3519" s="61"/>
      <c r="I3519" s="61"/>
      <c r="J3519" s="61"/>
      <c r="K3519" s="61"/>
      <c r="L3519" s="62"/>
      <c r="M3519" s="63" t="str">
        <f>HYPERLINK("http://nsgreg.nga.mil/genc/view?v=865992&amp;end_month=12&amp;end_day=31&amp;end_year=2016","Correlation")</f>
        <v>Correlation</v>
      </c>
    </row>
    <row r="3520" spans="1:13" x14ac:dyDescent="0.2">
      <c r="A3520" s="113"/>
      <c r="B3520" s="58" t="s">
        <v>9102</v>
      </c>
      <c r="C3520" s="58" t="s">
        <v>1816</v>
      </c>
      <c r="D3520" s="58" t="s">
        <v>9103</v>
      </c>
      <c r="E3520" s="60" t="b">
        <v>1</v>
      </c>
      <c r="F3520" s="61" t="s">
        <v>167</v>
      </c>
      <c r="G3520" s="61"/>
      <c r="H3520" s="61"/>
      <c r="I3520" s="61"/>
      <c r="J3520" s="61"/>
      <c r="K3520" s="61"/>
      <c r="L3520" s="62"/>
      <c r="M3520" s="63" t="str">
        <f>HYPERLINK("http://nsgreg.nga.mil/genc/view?v=865993&amp;end_month=12&amp;end_day=31&amp;end_year=2016","Correlation")</f>
        <v>Correlation</v>
      </c>
    </row>
    <row r="3521" spans="1:13" x14ac:dyDescent="0.2">
      <c r="A3521" s="113"/>
      <c r="B3521" s="58" t="s">
        <v>9104</v>
      </c>
      <c r="C3521" s="58" t="s">
        <v>1816</v>
      </c>
      <c r="D3521" s="58" t="s">
        <v>9105</v>
      </c>
      <c r="E3521" s="60" t="b">
        <v>1</v>
      </c>
      <c r="F3521" s="61" t="s">
        <v>167</v>
      </c>
      <c r="G3521" s="61"/>
      <c r="H3521" s="61"/>
      <c r="I3521" s="61"/>
      <c r="J3521" s="61"/>
      <c r="K3521" s="61"/>
      <c r="L3521" s="62"/>
      <c r="M3521" s="63" t="str">
        <f>HYPERLINK("http://nsgreg.nga.mil/genc/view?v=865994&amp;end_month=12&amp;end_day=31&amp;end_year=2016","Correlation")</f>
        <v>Correlation</v>
      </c>
    </row>
    <row r="3522" spans="1:13" x14ac:dyDescent="0.2">
      <c r="A3522" s="113"/>
      <c r="B3522" s="58" t="s">
        <v>9106</v>
      </c>
      <c r="C3522" s="58" t="s">
        <v>1816</v>
      </c>
      <c r="D3522" s="58" t="s">
        <v>9107</v>
      </c>
      <c r="E3522" s="60" t="b">
        <v>1</v>
      </c>
      <c r="F3522" s="61" t="s">
        <v>167</v>
      </c>
      <c r="G3522" s="61"/>
      <c r="H3522" s="61"/>
      <c r="I3522" s="61"/>
      <c r="J3522" s="61"/>
      <c r="K3522" s="61"/>
      <c r="L3522" s="62"/>
      <c r="M3522" s="63" t="str">
        <f>HYPERLINK("http://nsgreg.nga.mil/genc/view?v=865995&amp;end_month=12&amp;end_day=31&amp;end_year=2016","Correlation")</f>
        <v>Correlation</v>
      </c>
    </row>
    <row r="3523" spans="1:13" x14ac:dyDescent="0.2">
      <c r="A3523" s="113"/>
      <c r="B3523" s="58" t="s">
        <v>9108</v>
      </c>
      <c r="C3523" s="58" t="s">
        <v>1816</v>
      </c>
      <c r="D3523" s="58" t="s">
        <v>9109</v>
      </c>
      <c r="E3523" s="60" t="b">
        <v>1</v>
      </c>
      <c r="F3523" s="61" t="s">
        <v>167</v>
      </c>
      <c r="G3523" s="61"/>
      <c r="H3523" s="61"/>
      <c r="I3523" s="61"/>
      <c r="J3523" s="61"/>
      <c r="K3523" s="61"/>
      <c r="L3523" s="62"/>
      <c r="M3523" s="63" t="str">
        <f>HYPERLINK("http://nsgreg.nga.mil/genc/view?v=865996&amp;end_month=12&amp;end_day=31&amp;end_year=2016","Correlation")</f>
        <v>Correlation</v>
      </c>
    </row>
    <row r="3524" spans="1:13" x14ac:dyDescent="0.2">
      <c r="A3524" s="113"/>
      <c r="B3524" s="58" t="s">
        <v>9110</v>
      </c>
      <c r="C3524" s="58" t="s">
        <v>1816</v>
      </c>
      <c r="D3524" s="58" t="s">
        <v>9111</v>
      </c>
      <c r="E3524" s="60" t="b">
        <v>1</v>
      </c>
      <c r="F3524" s="61" t="s">
        <v>167</v>
      </c>
      <c r="G3524" s="61"/>
      <c r="H3524" s="61"/>
      <c r="I3524" s="61"/>
      <c r="J3524" s="61"/>
      <c r="K3524" s="61"/>
      <c r="L3524" s="62"/>
      <c r="M3524" s="63" t="str">
        <f>HYPERLINK("http://nsgreg.nga.mil/genc/view?v=865997&amp;end_month=12&amp;end_day=31&amp;end_year=2016","Correlation")</f>
        <v>Correlation</v>
      </c>
    </row>
    <row r="3525" spans="1:13" x14ac:dyDescent="0.2">
      <c r="A3525" s="113"/>
      <c r="B3525" s="58" t="s">
        <v>9112</v>
      </c>
      <c r="C3525" s="58" t="s">
        <v>1816</v>
      </c>
      <c r="D3525" s="58" t="s">
        <v>9113</v>
      </c>
      <c r="E3525" s="60" t="b">
        <v>1</v>
      </c>
      <c r="F3525" s="61" t="s">
        <v>167</v>
      </c>
      <c r="G3525" s="61"/>
      <c r="H3525" s="61"/>
      <c r="I3525" s="61"/>
      <c r="J3525" s="61"/>
      <c r="K3525" s="61"/>
      <c r="L3525" s="62"/>
      <c r="M3525" s="63" t="str">
        <f>HYPERLINK("http://nsgreg.nga.mil/genc/view?v=865998&amp;end_month=12&amp;end_day=31&amp;end_year=2016","Correlation")</f>
        <v>Correlation</v>
      </c>
    </row>
    <row r="3526" spans="1:13" x14ac:dyDescent="0.2">
      <c r="A3526" s="113"/>
      <c r="B3526" s="58" t="s">
        <v>9114</v>
      </c>
      <c r="C3526" s="58" t="s">
        <v>1816</v>
      </c>
      <c r="D3526" s="58" t="s">
        <v>9115</v>
      </c>
      <c r="E3526" s="60" t="b">
        <v>1</v>
      </c>
      <c r="F3526" s="61" t="s">
        <v>167</v>
      </c>
      <c r="G3526" s="61"/>
      <c r="H3526" s="61"/>
      <c r="I3526" s="61"/>
      <c r="J3526" s="61"/>
      <c r="K3526" s="61"/>
      <c r="L3526" s="62"/>
      <c r="M3526" s="63" t="str">
        <f>HYPERLINK("http://nsgreg.nga.mil/genc/view?v=865999&amp;end_month=12&amp;end_day=31&amp;end_year=2016","Correlation")</f>
        <v>Correlation</v>
      </c>
    </row>
    <row r="3527" spans="1:13" x14ac:dyDescent="0.2">
      <c r="A3527" s="113"/>
      <c r="B3527" s="58" t="s">
        <v>9116</v>
      </c>
      <c r="C3527" s="58" t="s">
        <v>1816</v>
      </c>
      <c r="D3527" s="58" t="s">
        <v>9117</v>
      </c>
      <c r="E3527" s="60" t="b">
        <v>1</v>
      </c>
      <c r="F3527" s="61" t="s">
        <v>167</v>
      </c>
      <c r="G3527" s="61"/>
      <c r="H3527" s="61"/>
      <c r="I3527" s="61"/>
      <c r="J3527" s="61"/>
      <c r="K3527" s="61"/>
      <c r="L3527" s="62"/>
      <c r="M3527" s="63" t="str">
        <f>HYPERLINK("http://nsgreg.nga.mil/genc/view?v=866000&amp;end_month=12&amp;end_day=31&amp;end_year=2016","Correlation")</f>
        <v>Correlation</v>
      </c>
    </row>
    <row r="3528" spans="1:13" x14ac:dyDescent="0.2">
      <c r="A3528" s="113"/>
      <c r="B3528" s="58" t="s">
        <v>9118</v>
      </c>
      <c r="C3528" s="58" t="s">
        <v>1816</v>
      </c>
      <c r="D3528" s="58" t="s">
        <v>9119</v>
      </c>
      <c r="E3528" s="60" t="b">
        <v>1</v>
      </c>
      <c r="F3528" s="61" t="s">
        <v>167</v>
      </c>
      <c r="G3528" s="61"/>
      <c r="H3528" s="61"/>
      <c r="I3528" s="61"/>
      <c r="J3528" s="61"/>
      <c r="K3528" s="61"/>
      <c r="L3528" s="62"/>
      <c r="M3528" s="63" t="str">
        <f>HYPERLINK("http://nsgreg.nga.mil/genc/view?v=866001&amp;end_month=12&amp;end_day=31&amp;end_year=2016","Correlation")</f>
        <v>Correlation</v>
      </c>
    </row>
    <row r="3529" spans="1:13" x14ac:dyDescent="0.2">
      <c r="A3529" s="113"/>
      <c r="B3529" s="58" t="s">
        <v>9120</v>
      </c>
      <c r="C3529" s="58" t="s">
        <v>1816</v>
      </c>
      <c r="D3529" s="58" t="s">
        <v>9121</v>
      </c>
      <c r="E3529" s="60" t="b">
        <v>1</v>
      </c>
      <c r="F3529" s="61" t="s">
        <v>167</v>
      </c>
      <c r="G3529" s="61"/>
      <c r="H3529" s="61"/>
      <c r="I3529" s="61"/>
      <c r="J3529" s="61"/>
      <c r="K3529" s="61"/>
      <c r="L3529" s="62"/>
      <c r="M3529" s="63" t="str">
        <f>HYPERLINK("http://nsgreg.nga.mil/genc/view?v=866002&amp;end_month=12&amp;end_day=31&amp;end_year=2016","Correlation")</f>
        <v>Correlation</v>
      </c>
    </row>
    <row r="3530" spans="1:13" x14ac:dyDescent="0.2">
      <c r="A3530" s="113"/>
      <c r="B3530" s="58" t="s">
        <v>9122</v>
      </c>
      <c r="C3530" s="58" t="s">
        <v>1816</v>
      </c>
      <c r="D3530" s="58" t="s">
        <v>9123</v>
      </c>
      <c r="E3530" s="60" t="b">
        <v>1</v>
      </c>
      <c r="F3530" s="61" t="s">
        <v>167</v>
      </c>
      <c r="G3530" s="61"/>
      <c r="H3530" s="61"/>
      <c r="I3530" s="61"/>
      <c r="J3530" s="61"/>
      <c r="K3530" s="61"/>
      <c r="L3530" s="62"/>
      <c r="M3530" s="63" t="str">
        <f>HYPERLINK("http://nsgreg.nga.mil/genc/view?v=866003&amp;end_month=12&amp;end_day=31&amp;end_year=2016","Correlation")</f>
        <v>Correlation</v>
      </c>
    </row>
    <row r="3531" spans="1:13" x14ac:dyDescent="0.2">
      <c r="A3531" s="113"/>
      <c r="B3531" s="58" t="s">
        <v>9124</v>
      </c>
      <c r="C3531" s="58" t="s">
        <v>1816</v>
      </c>
      <c r="D3531" s="58" t="s">
        <v>9125</v>
      </c>
      <c r="E3531" s="60" t="b">
        <v>1</v>
      </c>
      <c r="F3531" s="61" t="s">
        <v>167</v>
      </c>
      <c r="G3531" s="61"/>
      <c r="H3531" s="61"/>
      <c r="I3531" s="61"/>
      <c r="J3531" s="61"/>
      <c r="K3531" s="61"/>
      <c r="L3531" s="62"/>
      <c r="M3531" s="63" t="str">
        <f>HYPERLINK("http://nsgreg.nga.mil/genc/view?v=866004&amp;end_month=12&amp;end_day=31&amp;end_year=2016","Correlation")</f>
        <v>Correlation</v>
      </c>
    </row>
    <row r="3532" spans="1:13" x14ac:dyDescent="0.2">
      <c r="A3532" s="113"/>
      <c r="B3532" s="58" t="s">
        <v>9126</v>
      </c>
      <c r="C3532" s="58" t="s">
        <v>1816</v>
      </c>
      <c r="D3532" s="58" t="s">
        <v>9127</v>
      </c>
      <c r="E3532" s="60" t="b">
        <v>1</v>
      </c>
      <c r="F3532" s="61" t="s">
        <v>167</v>
      </c>
      <c r="G3532" s="61"/>
      <c r="H3532" s="61"/>
      <c r="I3532" s="61"/>
      <c r="J3532" s="61"/>
      <c r="K3532" s="61"/>
      <c r="L3532" s="62"/>
      <c r="M3532" s="63" t="str">
        <f>HYPERLINK("http://nsgreg.nga.mil/genc/view?v=866005&amp;end_month=12&amp;end_day=31&amp;end_year=2016","Correlation")</f>
        <v>Correlation</v>
      </c>
    </row>
    <row r="3533" spans="1:13" x14ac:dyDescent="0.2">
      <c r="A3533" s="113"/>
      <c r="B3533" s="58" t="s">
        <v>9128</v>
      </c>
      <c r="C3533" s="58" t="s">
        <v>1816</v>
      </c>
      <c r="D3533" s="58" t="s">
        <v>9129</v>
      </c>
      <c r="E3533" s="60" t="b">
        <v>1</v>
      </c>
      <c r="F3533" s="61" t="s">
        <v>167</v>
      </c>
      <c r="G3533" s="61"/>
      <c r="H3533" s="61"/>
      <c r="I3533" s="61"/>
      <c r="J3533" s="61"/>
      <c r="K3533" s="61"/>
      <c r="L3533" s="62"/>
      <c r="M3533" s="63" t="str">
        <f>HYPERLINK("http://nsgreg.nga.mil/genc/view?v=866006&amp;end_month=12&amp;end_day=31&amp;end_year=2016","Correlation")</f>
        <v>Correlation</v>
      </c>
    </row>
    <row r="3534" spans="1:13" x14ac:dyDescent="0.2">
      <c r="A3534" s="113"/>
      <c r="B3534" s="58" t="s">
        <v>9130</v>
      </c>
      <c r="C3534" s="58" t="s">
        <v>1681</v>
      </c>
      <c r="D3534" s="58" t="s">
        <v>9131</v>
      </c>
      <c r="E3534" s="60" t="b">
        <v>1</v>
      </c>
      <c r="F3534" s="80" t="s">
        <v>1167</v>
      </c>
      <c r="G3534" s="58" t="s">
        <v>9130</v>
      </c>
      <c r="H3534" s="58" t="s">
        <v>1681</v>
      </c>
      <c r="I3534" s="64" t="s">
        <v>9131</v>
      </c>
      <c r="J3534" s="66"/>
      <c r="K3534" s="66"/>
      <c r="L3534" s="68"/>
      <c r="M3534" s="63" t="str">
        <f>HYPERLINK("http://nsgreg.nga.mil/genc/view?v=865890&amp;end_month=12&amp;end_day=31&amp;end_year=2016","Correlation")</f>
        <v>Correlation</v>
      </c>
    </row>
    <row r="3535" spans="1:13" x14ac:dyDescent="0.2">
      <c r="A3535" s="113"/>
      <c r="B3535" s="58" t="s">
        <v>9132</v>
      </c>
      <c r="C3535" s="58" t="s">
        <v>1816</v>
      </c>
      <c r="D3535" s="58" t="s">
        <v>9133</v>
      </c>
      <c r="E3535" s="60" t="b">
        <v>1</v>
      </c>
      <c r="F3535" s="61" t="s">
        <v>167</v>
      </c>
      <c r="G3535" s="61"/>
      <c r="H3535" s="61"/>
      <c r="I3535" s="61"/>
      <c r="J3535" s="61"/>
      <c r="K3535" s="61"/>
      <c r="L3535" s="62"/>
      <c r="M3535" s="63" t="str">
        <f>HYPERLINK("http://nsgreg.nga.mil/genc/view?v=866007&amp;end_month=12&amp;end_day=31&amp;end_year=2016","Correlation")</f>
        <v>Correlation</v>
      </c>
    </row>
    <row r="3536" spans="1:13" x14ac:dyDescent="0.2">
      <c r="A3536" s="113"/>
      <c r="B3536" s="58" t="s">
        <v>9134</v>
      </c>
      <c r="C3536" s="58" t="s">
        <v>1816</v>
      </c>
      <c r="D3536" s="58" t="s">
        <v>9135</v>
      </c>
      <c r="E3536" s="60" t="b">
        <v>1</v>
      </c>
      <c r="F3536" s="61" t="s">
        <v>167</v>
      </c>
      <c r="G3536" s="61"/>
      <c r="H3536" s="61"/>
      <c r="I3536" s="61"/>
      <c r="J3536" s="61"/>
      <c r="K3536" s="61"/>
      <c r="L3536" s="62"/>
      <c r="M3536" s="63" t="str">
        <f>HYPERLINK("http://nsgreg.nga.mil/genc/view?v=866008&amp;end_month=12&amp;end_day=31&amp;end_year=2016","Correlation")</f>
        <v>Correlation</v>
      </c>
    </row>
    <row r="3537" spans="1:13" x14ac:dyDescent="0.2">
      <c r="A3537" s="113"/>
      <c r="B3537" s="58" t="s">
        <v>9136</v>
      </c>
      <c r="C3537" s="58" t="s">
        <v>1816</v>
      </c>
      <c r="D3537" s="58" t="s">
        <v>9137</v>
      </c>
      <c r="E3537" s="60" t="b">
        <v>1</v>
      </c>
      <c r="F3537" s="61" t="s">
        <v>167</v>
      </c>
      <c r="G3537" s="61"/>
      <c r="H3537" s="61"/>
      <c r="I3537" s="61"/>
      <c r="J3537" s="61"/>
      <c r="K3537" s="61"/>
      <c r="L3537" s="62"/>
      <c r="M3537" s="63" t="str">
        <f>HYPERLINK("http://nsgreg.nga.mil/genc/view?v=866009&amp;end_month=12&amp;end_day=31&amp;end_year=2016","Correlation")</f>
        <v>Correlation</v>
      </c>
    </row>
    <row r="3538" spans="1:13" x14ac:dyDescent="0.2">
      <c r="A3538" s="113"/>
      <c r="B3538" s="58" t="s">
        <v>9138</v>
      </c>
      <c r="C3538" s="58" t="s">
        <v>1816</v>
      </c>
      <c r="D3538" s="58" t="s">
        <v>9139</v>
      </c>
      <c r="E3538" s="60" t="b">
        <v>1</v>
      </c>
      <c r="F3538" s="61" t="s">
        <v>167</v>
      </c>
      <c r="G3538" s="61"/>
      <c r="H3538" s="61"/>
      <c r="I3538" s="61"/>
      <c r="J3538" s="61"/>
      <c r="K3538" s="61"/>
      <c r="L3538" s="62"/>
      <c r="M3538" s="63" t="str">
        <f>HYPERLINK("http://nsgreg.nga.mil/genc/view?v=866010&amp;end_month=12&amp;end_day=31&amp;end_year=2016","Correlation")</f>
        <v>Correlation</v>
      </c>
    </row>
    <row r="3539" spans="1:13" x14ac:dyDescent="0.2">
      <c r="A3539" s="113"/>
      <c r="B3539" s="58" t="s">
        <v>9140</v>
      </c>
      <c r="C3539" s="58" t="s">
        <v>1816</v>
      </c>
      <c r="D3539" s="58" t="s">
        <v>9141</v>
      </c>
      <c r="E3539" s="60" t="b">
        <v>1</v>
      </c>
      <c r="F3539" s="61" t="s">
        <v>167</v>
      </c>
      <c r="G3539" s="61"/>
      <c r="H3539" s="61"/>
      <c r="I3539" s="61"/>
      <c r="J3539" s="61"/>
      <c r="K3539" s="61"/>
      <c r="L3539" s="62"/>
      <c r="M3539" s="63" t="str">
        <f>HYPERLINK("http://nsgreg.nga.mil/genc/view?v=866011&amp;end_month=12&amp;end_day=31&amp;end_year=2016","Correlation")</f>
        <v>Correlation</v>
      </c>
    </row>
    <row r="3540" spans="1:13" x14ac:dyDescent="0.2">
      <c r="A3540" s="113"/>
      <c r="B3540" s="58" t="s">
        <v>9142</v>
      </c>
      <c r="C3540" s="58" t="s">
        <v>1796</v>
      </c>
      <c r="D3540" s="58" t="s">
        <v>9143</v>
      </c>
      <c r="E3540" s="60" t="b">
        <v>1</v>
      </c>
      <c r="F3540" s="80" t="s">
        <v>1167</v>
      </c>
      <c r="G3540" s="58" t="s">
        <v>9144</v>
      </c>
      <c r="H3540" s="58" t="s">
        <v>1796</v>
      </c>
      <c r="I3540" s="64" t="s">
        <v>9143</v>
      </c>
      <c r="J3540" s="66"/>
      <c r="K3540" s="66"/>
      <c r="L3540" s="68"/>
      <c r="M3540" s="63" t="str">
        <f>HYPERLINK("http://nsgreg.nga.mil/genc/view?v=865944&amp;end_month=12&amp;end_day=31&amp;end_year=2016","Correlation")</f>
        <v>Correlation</v>
      </c>
    </row>
    <row r="3541" spans="1:13" x14ac:dyDescent="0.2">
      <c r="A3541" s="113"/>
      <c r="B3541" s="58" t="s">
        <v>9145</v>
      </c>
      <c r="C3541" s="58" t="s">
        <v>1816</v>
      </c>
      <c r="D3541" s="58" t="s">
        <v>9146</v>
      </c>
      <c r="E3541" s="60" t="b">
        <v>1</v>
      </c>
      <c r="F3541" s="61" t="s">
        <v>167</v>
      </c>
      <c r="G3541" s="61"/>
      <c r="H3541" s="61"/>
      <c r="I3541" s="61"/>
      <c r="J3541" s="61"/>
      <c r="K3541" s="61"/>
      <c r="L3541" s="62"/>
      <c r="M3541" s="63" t="str">
        <f>HYPERLINK("http://nsgreg.nga.mil/genc/view?v=866012&amp;end_month=12&amp;end_day=31&amp;end_year=2016","Correlation")</f>
        <v>Correlation</v>
      </c>
    </row>
    <row r="3542" spans="1:13" x14ac:dyDescent="0.2">
      <c r="A3542" s="113"/>
      <c r="B3542" s="58" t="s">
        <v>9147</v>
      </c>
      <c r="C3542" s="58" t="s">
        <v>1796</v>
      </c>
      <c r="D3542" s="58" t="s">
        <v>9148</v>
      </c>
      <c r="E3542" s="60" t="b">
        <v>1</v>
      </c>
      <c r="F3542" s="80" t="s">
        <v>1167</v>
      </c>
      <c r="G3542" s="58" t="s">
        <v>9149</v>
      </c>
      <c r="H3542" s="58" t="s">
        <v>1796</v>
      </c>
      <c r="I3542" s="64" t="s">
        <v>9148</v>
      </c>
      <c r="J3542" s="66"/>
      <c r="K3542" s="66"/>
      <c r="L3542" s="68"/>
      <c r="M3542" s="63" t="str">
        <f>HYPERLINK("http://nsgreg.nga.mil/genc/view?v=865911&amp;end_month=12&amp;end_day=31&amp;end_year=2016","Correlation")</f>
        <v>Correlation</v>
      </c>
    </row>
    <row r="3543" spans="1:13" x14ac:dyDescent="0.2">
      <c r="A3543" s="113"/>
      <c r="B3543" s="58" t="s">
        <v>9150</v>
      </c>
      <c r="C3543" s="58" t="s">
        <v>1816</v>
      </c>
      <c r="D3543" s="58" t="s">
        <v>9151</v>
      </c>
      <c r="E3543" s="60" t="b">
        <v>1</v>
      </c>
      <c r="F3543" s="61" t="s">
        <v>167</v>
      </c>
      <c r="G3543" s="61"/>
      <c r="H3543" s="61"/>
      <c r="I3543" s="61"/>
      <c r="J3543" s="61"/>
      <c r="K3543" s="61"/>
      <c r="L3543" s="62"/>
      <c r="M3543" s="63" t="str">
        <f>HYPERLINK("http://nsgreg.nga.mil/genc/view?v=866013&amp;end_month=12&amp;end_day=31&amp;end_year=2016","Correlation")</f>
        <v>Correlation</v>
      </c>
    </row>
    <row r="3544" spans="1:13" x14ac:dyDescent="0.2">
      <c r="A3544" s="113"/>
      <c r="B3544" s="58" t="s">
        <v>9152</v>
      </c>
      <c r="C3544" s="58" t="s">
        <v>1816</v>
      </c>
      <c r="D3544" s="58" t="s">
        <v>9153</v>
      </c>
      <c r="E3544" s="60" t="b">
        <v>1</v>
      </c>
      <c r="F3544" s="61" t="s">
        <v>167</v>
      </c>
      <c r="G3544" s="61"/>
      <c r="H3544" s="61"/>
      <c r="I3544" s="61"/>
      <c r="J3544" s="61"/>
      <c r="K3544" s="61"/>
      <c r="L3544" s="62"/>
      <c r="M3544" s="63" t="str">
        <f>HYPERLINK("http://nsgreg.nga.mil/genc/view?v=866014&amp;end_month=12&amp;end_day=31&amp;end_year=2016","Correlation")</f>
        <v>Correlation</v>
      </c>
    </row>
    <row r="3545" spans="1:13" x14ac:dyDescent="0.2">
      <c r="A3545" s="113"/>
      <c r="B3545" s="58" t="s">
        <v>9154</v>
      </c>
      <c r="C3545" s="58" t="s">
        <v>1681</v>
      </c>
      <c r="D3545" s="58" t="s">
        <v>9155</v>
      </c>
      <c r="E3545" s="60" t="b">
        <v>1</v>
      </c>
      <c r="F3545" s="61" t="s">
        <v>167</v>
      </c>
      <c r="G3545" s="61"/>
      <c r="H3545" s="61"/>
      <c r="I3545" s="61"/>
      <c r="J3545" s="61"/>
      <c r="K3545" s="61"/>
      <c r="L3545" s="62"/>
      <c r="M3545" s="63" t="str">
        <f>HYPERLINK("http://nsgreg.nga.mil/genc/view?v=866015&amp;end_month=12&amp;end_day=31&amp;end_year=2016","Correlation")</f>
        <v>Correlation</v>
      </c>
    </row>
    <row r="3546" spans="1:13" x14ac:dyDescent="0.2">
      <c r="A3546" s="113"/>
      <c r="B3546" s="58" t="s">
        <v>9156</v>
      </c>
      <c r="C3546" s="58" t="s">
        <v>1816</v>
      </c>
      <c r="D3546" s="58" t="s">
        <v>9157</v>
      </c>
      <c r="E3546" s="60" t="b">
        <v>1</v>
      </c>
      <c r="F3546" s="61" t="s">
        <v>167</v>
      </c>
      <c r="G3546" s="61"/>
      <c r="H3546" s="61"/>
      <c r="I3546" s="61"/>
      <c r="J3546" s="61"/>
      <c r="K3546" s="61"/>
      <c r="L3546" s="62"/>
      <c r="M3546" s="63" t="str">
        <f>HYPERLINK("http://nsgreg.nga.mil/genc/view?v=866016&amp;end_month=12&amp;end_day=31&amp;end_year=2016","Correlation")</f>
        <v>Correlation</v>
      </c>
    </row>
    <row r="3547" spans="1:13" x14ac:dyDescent="0.2">
      <c r="A3547" s="113"/>
      <c r="B3547" s="58" t="s">
        <v>9158</v>
      </c>
      <c r="C3547" s="58" t="s">
        <v>1816</v>
      </c>
      <c r="D3547" s="58" t="s">
        <v>9159</v>
      </c>
      <c r="E3547" s="60" t="b">
        <v>1</v>
      </c>
      <c r="F3547" s="61" t="s">
        <v>167</v>
      </c>
      <c r="G3547" s="61"/>
      <c r="H3547" s="61"/>
      <c r="I3547" s="61"/>
      <c r="J3547" s="61"/>
      <c r="K3547" s="61"/>
      <c r="L3547" s="62"/>
      <c r="M3547" s="63" t="str">
        <f>HYPERLINK("http://nsgreg.nga.mil/genc/view?v=866017&amp;end_month=12&amp;end_day=31&amp;end_year=2016","Correlation")</f>
        <v>Correlation</v>
      </c>
    </row>
    <row r="3548" spans="1:13" x14ac:dyDescent="0.2">
      <c r="A3548" s="113"/>
      <c r="B3548" s="58" t="s">
        <v>9160</v>
      </c>
      <c r="C3548" s="58" t="s">
        <v>1816</v>
      </c>
      <c r="D3548" s="58" t="s">
        <v>9161</v>
      </c>
      <c r="E3548" s="60" t="b">
        <v>1</v>
      </c>
      <c r="F3548" s="61" t="s">
        <v>167</v>
      </c>
      <c r="G3548" s="61"/>
      <c r="H3548" s="61"/>
      <c r="I3548" s="61"/>
      <c r="J3548" s="61"/>
      <c r="K3548" s="61"/>
      <c r="L3548" s="62"/>
      <c r="M3548" s="63" t="str">
        <f>HYPERLINK("http://nsgreg.nga.mil/genc/view?v=866018&amp;end_month=12&amp;end_day=31&amp;end_year=2016","Correlation")</f>
        <v>Correlation</v>
      </c>
    </row>
    <row r="3549" spans="1:13" x14ac:dyDescent="0.2">
      <c r="A3549" s="113"/>
      <c r="B3549" s="58" t="s">
        <v>9162</v>
      </c>
      <c r="C3549" s="58" t="s">
        <v>1816</v>
      </c>
      <c r="D3549" s="58" t="s">
        <v>9163</v>
      </c>
      <c r="E3549" s="60" t="b">
        <v>1</v>
      </c>
      <c r="F3549" s="61" t="s">
        <v>167</v>
      </c>
      <c r="G3549" s="61"/>
      <c r="H3549" s="61"/>
      <c r="I3549" s="61"/>
      <c r="J3549" s="61"/>
      <c r="K3549" s="61"/>
      <c r="L3549" s="62"/>
      <c r="M3549" s="63" t="str">
        <f>HYPERLINK("http://nsgreg.nga.mil/genc/view?v=866019&amp;end_month=12&amp;end_day=31&amp;end_year=2016","Correlation")</f>
        <v>Correlation</v>
      </c>
    </row>
    <row r="3550" spans="1:13" x14ac:dyDescent="0.2">
      <c r="A3550" s="113"/>
      <c r="B3550" s="58" t="s">
        <v>9164</v>
      </c>
      <c r="C3550" s="58" t="s">
        <v>1816</v>
      </c>
      <c r="D3550" s="58" t="s">
        <v>9165</v>
      </c>
      <c r="E3550" s="60" t="b">
        <v>1</v>
      </c>
      <c r="F3550" s="61" t="s">
        <v>167</v>
      </c>
      <c r="G3550" s="61"/>
      <c r="H3550" s="61"/>
      <c r="I3550" s="61"/>
      <c r="J3550" s="61"/>
      <c r="K3550" s="61"/>
      <c r="L3550" s="62"/>
      <c r="M3550" s="63" t="str">
        <f>HYPERLINK("http://nsgreg.nga.mil/genc/view?v=866020&amp;end_month=12&amp;end_day=31&amp;end_year=2016","Correlation")</f>
        <v>Correlation</v>
      </c>
    </row>
    <row r="3551" spans="1:13" x14ac:dyDescent="0.2">
      <c r="A3551" s="113"/>
      <c r="B3551" s="58" t="s">
        <v>9166</v>
      </c>
      <c r="C3551" s="58" t="s">
        <v>1816</v>
      </c>
      <c r="D3551" s="58" t="s">
        <v>9167</v>
      </c>
      <c r="E3551" s="60" t="b">
        <v>1</v>
      </c>
      <c r="F3551" s="61" t="s">
        <v>167</v>
      </c>
      <c r="G3551" s="61"/>
      <c r="H3551" s="61"/>
      <c r="I3551" s="61"/>
      <c r="J3551" s="61"/>
      <c r="K3551" s="61"/>
      <c r="L3551" s="62"/>
      <c r="M3551" s="63" t="str">
        <f>HYPERLINK("http://nsgreg.nga.mil/genc/view?v=866021&amp;end_month=12&amp;end_day=31&amp;end_year=2016","Correlation")</f>
        <v>Correlation</v>
      </c>
    </row>
    <row r="3552" spans="1:13" x14ac:dyDescent="0.2">
      <c r="A3552" s="113"/>
      <c r="B3552" s="58" t="s">
        <v>9168</v>
      </c>
      <c r="C3552" s="58" t="s">
        <v>1816</v>
      </c>
      <c r="D3552" s="58" t="s">
        <v>9169</v>
      </c>
      <c r="E3552" s="60" t="b">
        <v>1</v>
      </c>
      <c r="F3552" s="61" t="s">
        <v>167</v>
      </c>
      <c r="G3552" s="61"/>
      <c r="H3552" s="61"/>
      <c r="I3552" s="61"/>
      <c r="J3552" s="61"/>
      <c r="K3552" s="61"/>
      <c r="L3552" s="62"/>
      <c r="M3552" s="63" t="str">
        <f>HYPERLINK("http://nsgreg.nga.mil/genc/view?v=866022&amp;end_month=12&amp;end_day=31&amp;end_year=2016","Correlation")</f>
        <v>Correlation</v>
      </c>
    </row>
    <row r="3553" spans="1:13" x14ac:dyDescent="0.2">
      <c r="A3553" s="113"/>
      <c r="B3553" s="58" t="s">
        <v>9170</v>
      </c>
      <c r="C3553" s="58" t="s">
        <v>1816</v>
      </c>
      <c r="D3553" s="58" t="s">
        <v>9171</v>
      </c>
      <c r="E3553" s="60" t="b">
        <v>1</v>
      </c>
      <c r="F3553" s="61" t="s">
        <v>167</v>
      </c>
      <c r="G3553" s="61"/>
      <c r="H3553" s="61"/>
      <c r="I3553" s="61"/>
      <c r="J3553" s="61"/>
      <c r="K3553" s="61"/>
      <c r="L3553" s="62"/>
      <c r="M3553" s="63" t="str">
        <f>HYPERLINK("http://nsgreg.nga.mil/genc/view?v=866023&amp;end_month=12&amp;end_day=31&amp;end_year=2016","Correlation")</f>
        <v>Correlation</v>
      </c>
    </row>
    <row r="3554" spans="1:13" x14ac:dyDescent="0.2">
      <c r="A3554" s="113"/>
      <c r="B3554" s="58" t="s">
        <v>9172</v>
      </c>
      <c r="C3554" s="58" t="s">
        <v>1816</v>
      </c>
      <c r="D3554" s="58" t="s">
        <v>9173</v>
      </c>
      <c r="E3554" s="60" t="b">
        <v>1</v>
      </c>
      <c r="F3554" s="61" t="s">
        <v>167</v>
      </c>
      <c r="G3554" s="61"/>
      <c r="H3554" s="61"/>
      <c r="I3554" s="61"/>
      <c r="J3554" s="61"/>
      <c r="K3554" s="61"/>
      <c r="L3554" s="62"/>
      <c r="M3554" s="63" t="str">
        <f>HYPERLINK("http://nsgreg.nga.mil/genc/view?v=866024&amp;end_month=12&amp;end_day=31&amp;end_year=2016","Correlation")</f>
        <v>Correlation</v>
      </c>
    </row>
    <row r="3555" spans="1:13" x14ac:dyDescent="0.2">
      <c r="A3555" s="113"/>
      <c r="B3555" s="58" t="s">
        <v>9174</v>
      </c>
      <c r="C3555" s="58" t="s">
        <v>1816</v>
      </c>
      <c r="D3555" s="58" t="s">
        <v>9175</v>
      </c>
      <c r="E3555" s="60" t="b">
        <v>1</v>
      </c>
      <c r="F3555" s="61" t="s">
        <v>167</v>
      </c>
      <c r="G3555" s="61"/>
      <c r="H3555" s="61"/>
      <c r="I3555" s="61"/>
      <c r="J3555" s="61"/>
      <c r="K3555" s="61"/>
      <c r="L3555" s="62"/>
      <c r="M3555" s="63" t="str">
        <f>HYPERLINK("http://nsgreg.nga.mil/genc/view?v=866025&amp;end_month=12&amp;end_day=31&amp;end_year=2016","Correlation")</f>
        <v>Correlation</v>
      </c>
    </row>
    <row r="3556" spans="1:13" x14ac:dyDescent="0.2">
      <c r="A3556" s="113"/>
      <c r="B3556" s="58" t="s">
        <v>9176</v>
      </c>
      <c r="C3556" s="58" t="s">
        <v>1816</v>
      </c>
      <c r="D3556" s="58" t="s">
        <v>9177</v>
      </c>
      <c r="E3556" s="60" t="b">
        <v>1</v>
      </c>
      <c r="F3556" s="61" t="s">
        <v>167</v>
      </c>
      <c r="G3556" s="61"/>
      <c r="H3556" s="61"/>
      <c r="I3556" s="61"/>
      <c r="J3556" s="61"/>
      <c r="K3556" s="61"/>
      <c r="L3556" s="62"/>
      <c r="M3556" s="63" t="str">
        <f>HYPERLINK("http://nsgreg.nga.mil/genc/view?v=866026&amp;end_month=12&amp;end_day=31&amp;end_year=2016","Correlation")</f>
        <v>Correlation</v>
      </c>
    </row>
    <row r="3557" spans="1:13" x14ac:dyDescent="0.2">
      <c r="A3557" s="113"/>
      <c r="B3557" s="58" t="s">
        <v>9178</v>
      </c>
      <c r="C3557" s="58" t="s">
        <v>1816</v>
      </c>
      <c r="D3557" s="58" t="s">
        <v>9179</v>
      </c>
      <c r="E3557" s="60" t="b">
        <v>1</v>
      </c>
      <c r="F3557" s="61" t="s">
        <v>167</v>
      </c>
      <c r="G3557" s="61"/>
      <c r="H3557" s="61"/>
      <c r="I3557" s="61"/>
      <c r="J3557" s="61"/>
      <c r="K3557" s="61"/>
      <c r="L3557" s="62"/>
      <c r="M3557" s="63" t="str">
        <f>HYPERLINK("http://nsgreg.nga.mil/genc/view?v=866027&amp;end_month=12&amp;end_day=31&amp;end_year=2016","Correlation")</f>
        <v>Correlation</v>
      </c>
    </row>
    <row r="3558" spans="1:13" x14ac:dyDescent="0.2">
      <c r="A3558" s="113"/>
      <c r="B3558" s="58" t="s">
        <v>9180</v>
      </c>
      <c r="C3558" s="58" t="s">
        <v>1816</v>
      </c>
      <c r="D3558" s="58" t="s">
        <v>9181</v>
      </c>
      <c r="E3558" s="60" t="b">
        <v>1</v>
      </c>
      <c r="F3558" s="61" t="s">
        <v>167</v>
      </c>
      <c r="G3558" s="61"/>
      <c r="H3558" s="61"/>
      <c r="I3558" s="61"/>
      <c r="J3558" s="61"/>
      <c r="K3558" s="61"/>
      <c r="L3558" s="62"/>
      <c r="M3558" s="63" t="str">
        <f>HYPERLINK("http://nsgreg.nga.mil/genc/view?v=866028&amp;end_month=12&amp;end_day=31&amp;end_year=2016","Correlation")</f>
        <v>Correlation</v>
      </c>
    </row>
    <row r="3559" spans="1:13" x14ac:dyDescent="0.2">
      <c r="A3559" s="113"/>
      <c r="B3559" s="58" t="s">
        <v>9182</v>
      </c>
      <c r="C3559" s="58" t="s">
        <v>1816</v>
      </c>
      <c r="D3559" s="58" t="s">
        <v>9183</v>
      </c>
      <c r="E3559" s="60" t="b">
        <v>1</v>
      </c>
      <c r="F3559" s="61" t="s">
        <v>167</v>
      </c>
      <c r="G3559" s="61"/>
      <c r="H3559" s="61"/>
      <c r="I3559" s="61"/>
      <c r="J3559" s="61"/>
      <c r="K3559" s="61"/>
      <c r="L3559" s="62"/>
      <c r="M3559" s="63" t="str">
        <f>HYPERLINK("http://nsgreg.nga.mil/genc/view?v=866029&amp;end_month=12&amp;end_day=31&amp;end_year=2016","Correlation")</f>
        <v>Correlation</v>
      </c>
    </row>
    <row r="3560" spans="1:13" x14ac:dyDescent="0.2">
      <c r="A3560" s="113"/>
      <c r="B3560" s="58" t="s">
        <v>9184</v>
      </c>
      <c r="C3560" s="58" t="s">
        <v>1796</v>
      </c>
      <c r="D3560" s="58" t="s">
        <v>9185</v>
      </c>
      <c r="E3560" s="60" t="b">
        <v>1</v>
      </c>
      <c r="F3560" s="80" t="s">
        <v>1167</v>
      </c>
      <c r="G3560" s="58" t="s">
        <v>9186</v>
      </c>
      <c r="H3560" s="58" t="s">
        <v>1796</v>
      </c>
      <c r="I3560" s="64" t="s">
        <v>9185</v>
      </c>
      <c r="J3560" s="66"/>
      <c r="K3560" s="66"/>
      <c r="L3560" s="68"/>
      <c r="M3560" s="63" t="str">
        <f>HYPERLINK("http://nsgreg.nga.mil/genc/view?v=865987&amp;end_month=12&amp;end_day=31&amp;end_year=2016","Correlation")</f>
        <v>Correlation</v>
      </c>
    </row>
    <row r="3561" spans="1:13" x14ac:dyDescent="0.2">
      <c r="A3561" s="113"/>
      <c r="B3561" s="58" t="s">
        <v>9187</v>
      </c>
      <c r="C3561" s="58" t="s">
        <v>1681</v>
      </c>
      <c r="D3561" s="58" t="s">
        <v>9188</v>
      </c>
      <c r="E3561" s="60" t="b">
        <v>1</v>
      </c>
      <c r="F3561" s="61" t="s">
        <v>167</v>
      </c>
      <c r="G3561" s="61"/>
      <c r="H3561" s="61"/>
      <c r="I3561" s="61"/>
      <c r="J3561" s="61"/>
      <c r="K3561" s="61"/>
      <c r="L3561" s="62"/>
      <c r="M3561" s="63" t="str">
        <f>HYPERLINK("http://nsgreg.nga.mil/genc/view?v=866030&amp;end_month=12&amp;end_day=31&amp;end_year=2016","Correlation")</f>
        <v>Correlation</v>
      </c>
    </row>
    <row r="3562" spans="1:13" x14ac:dyDescent="0.2">
      <c r="A3562" s="113"/>
      <c r="B3562" s="58" t="s">
        <v>9189</v>
      </c>
      <c r="C3562" s="58" t="s">
        <v>1796</v>
      </c>
      <c r="D3562" s="58" t="s">
        <v>9190</v>
      </c>
      <c r="E3562" s="60" t="b">
        <v>1</v>
      </c>
      <c r="F3562" s="80" t="s">
        <v>1167</v>
      </c>
      <c r="G3562" s="58" t="s">
        <v>9191</v>
      </c>
      <c r="H3562" s="58" t="s">
        <v>1796</v>
      </c>
      <c r="I3562" s="64" t="s">
        <v>9190</v>
      </c>
      <c r="J3562" s="66"/>
      <c r="K3562" s="66"/>
      <c r="L3562" s="68"/>
      <c r="M3562" s="63" t="str">
        <f>HYPERLINK("http://nsgreg.nga.mil/genc/view?v=865896&amp;end_month=12&amp;end_day=31&amp;end_year=2016","Correlation")</f>
        <v>Correlation</v>
      </c>
    </row>
    <row r="3563" spans="1:13" x14ac:dyDescent="0.2">
      <c r="A3563" s="113"/>
      <c r="B3563" s="58" t="s">
        <v>9192</v>
      </c>
      <c r="C3563" s="58" t="s">
        <v>1796</v>
      </c>
      <c r="D3563" s="58" t="s">
        <v>9193</v>
      </c>
      <c r="E3563" s="60" t="b">
        <v>1</v>
      </c>
      <c r="F3563" s="80" t="s">
        <v>1167</v>
      </c>
      <c r="G3563" s="58" t="s">
        <v>9194</v>
      </c>
      <c r="H3563" s="58" t="s">
        <v>1796</v>
      </c>
      <c r="I3563" s="64" t="s">
        <v>9193</v>
      </c>
      <c r="J3563" s="66"/>
      <c r="K3563" s="66"/>
      <c r="L3563" s="68"/>
      <c r="M3563" s="63" t="str">
        <f>HYPERLINK("http://nsgreg.nga.mil/genc/view?v=865894&amp;end_month=12&amp;end_day=31&amp;end_year=2016","Correlation")</f>
        <v>Correlation</v>
      </c>
    </row>
    <row r="3564" spans="1:13" x14ac:dyDescent="0.2">
      <c r="A3564" s="113"/>
      <c r="B3564" s="58" t="s">
        <v>9195</v>
      </c>
      <c r="C3564" s="58" t="s">
        <v>1816</v>
      </c>
      <c r="D3564" s="58" t="s">
        <v>9196</v>
      </c>
      <c r="E3564" s="60" t="b">
        <v>1</v>
      </c>
      <c r="F3564" s="61" t="s">
        <v>167</v>
      </c>
      <c r="G3564" s="61"/>
      <c r="H3564" s="61"/>
      <c r="I3564" s="61"/>
      <c r="J3564" s="61"/>
      <c r="K3564" s="61"/>
      <c r="L3564" s="62"/>
      <c r="M3564" s="63" t="str">
        <f>HYPERLINK("http://nsgreg.nga.mil/genc/view?v=866031&amp;end_month=12&amp;end_day=31&amp;end_year=2016","Correlation")</f>
        <v>Correlation</v>
      </c>
    </row>
    <row r="3565" spans="1:13" x14ac:dyDescent="0.2">
      <c r="A3565" s="113"/>
      <c r="B3565" s="58" t="s">
        <v>9197</v>
      </c>
      <c r="C3565" s="58" t="s">
        <v>1681</v>
      </c>
      <c r="D3565" s="58" t="s">
        <v>9198</v>
      </c>
      <c r="E3565" s="60" t="b">
        <v>1</v>
      </c>
      <c r="F3565" s="61" t="s">
        <v>167</v>
      </c>
      <c r="G3565" s="61"/>
      <c r="H3565" s="61"/>
      <c r="I3565" s="61"/>
      <c r="J3565" s="61"/>
      <c r="K3565" s="61"/>
      <c r="L3565" s="62"/>
      <c r="M3565" s="63" t="str">
        <f>HYPERLINK("http://nsgreg.nga.mil/genc/view?v=866032&amp;end_month=12&amp;end_day=31&amp;end_year=2016","Correlation")</f>
        <v>Correlation</v>
      </c>
    </row>
    <row r="3566" spans="1:13" x14ac:dyDescent="0.2">
      <c r="A3566" s="113"/>
      <c r="B3566" s="58" t="s">
        <v>9199</v>
      </c>
      <c r="C3566" s="58" t="s">
        <v>1816</v>
      </c>
      <c r="D3566" s="58" t="s">
        <v>9200</v>
      </c>
      <c r="E3566" s="60" t="b">
        <v>1</v>
      </c>
      <c r="F3566" s="61" t="s">
        <v>167</v>
      </c>
      <c r="G3566" s="61"/>
      <c r="H3566" s="61"/>
      <c r="I3566" s="61"/>
      <c r="J3566" s="61"/>
      <c r="K3566" s="61"/>
      <c r="L3566" s="62"/>
      <c r="M3566" s="63" t="str">
        <f>HYPERLINK("http://nsgreg.nga.mil/genc/view?v=866033&amp;end_month=12&amp;end_day=31&amp;end_year=2016","Correlation")</f>
        <v>Correlation</v>
      </c>
    </row>
    <row r="3567" spans="1:13" x14ac:dyDescent="0.2">
      <c r="A3567" s="113"/>
      <c r="B3567" s="58" t="s">
        <v>9201</v>
      </c>
      <c r="C3567" s="58" t="s">
        <v>1816</v>
      </c>
      <c r="D3567" s="58" t="s">
        <v>9202</v>
      </c>
      <c r="E3567" s="60" t="b">
        <v>1</v>
      </c>
      <c r="F3567" s="61" t="s">
        <v>167</v>
      </c>
      <c r="G3567" s="61"/>
      <c r="H3567" s="61"/>
      <c r="I3567" s="61"/>
      <c r="J3567" s="61"/>
      <c r="K3567" s="61"/>
      <c r="L3567" s="62"/>
      <c r="M3567" s="63" t="str">
        <f>HYPERLINK("http://nsgreg.nga.mil/genc/view?v=866034&amp;end_month=12&amp;end_day=31&amp;end_year=2016","Correlation")</f>
        <v>Correlation</v>
      </c>
    </row>
    <row r="3568" spans="1:13" x14ac:dyDescent="0.2">
      <c r="A3568" s="113"/>
      <c r="B3568" s="58" t="s">
        <v>9203</v>
      </c>
      <c r="C3568" s="58" t="s">
        <v>1816</v>
      </c>
      <c r="D3568" s="58" t="s">
        <v>9204</v>
      </c>
      <c r="E3568" s="60" t="b">
        <v>1</v>
      </c>
      <c r="F3568" s="61" t="s">
        <v>167</v>
      </c>
      <c r="G3568" s="61"/>
      <c r="H3568" s="61"/>
      <c r="I3568" s="61"/>
      <c r="J3568" s="61"/>
      <c r="K3568" s="61"/>
      <c r="L3568" s="62"/>
      <c r="M3568" s="63" t="str">
        <f>HYPERLINK("http://nsgreg.nga.mil/genc/view?v=866035&amp;end_month=12&amp;end_day=31&amp;end_year=2016","Correlation")</f>
        <v>Correlation</v>
      </c>
    </row>
    <row r="3569" spans="1:13" x14ac:dyDescent="0.2">
      <c r="A3569" s="113"/>
      <c r="B3569" s="58" t="s">
        <v>9205</v>
      </c>
      <c r="C3569" s="58" t="s">
        <v>1816</v>
      </c>
      <c r="D3569" s="58" t="s">
        <v>9206</v>
      </c>
      <c r="E3569" s="60" t="b">
        <v>1</v>
      </c>
      <c r="F3569" s="61" t="s">
        <v>167</v>
      </c>
      <c r="G3569" s="61"/>
      <c r="H3569" s="61"/>
      <c r="I3569" s="61"/>
      <c r="J3569" s="61"/>
      <c r="K3569" s="61"/>
      <c r="L3569" s="62"/>
      <c r="M3569" s="63" t="str">
        <f>HYPERLINK("http://nsgreg.nga.mil/genc/view?v=866036&amp;end_month=12&amp;end_day=31&amp;end_year=2016","Correlation")</f>
        <v>Correlation</v>
      </c>
    </row>
    <row r="3570" spans="1:13" x14ac:dyDescent="0.2">
      <c r="A3570" s="113"/>
      <c r="B3570" s="58" t="s">
        <v>9207</v>
      </c>
      <c r="C3570" s="58" t="s">
        <v>1796</v>
      </c>
      <c r="D3570" s="58" t="s">
        <v>9208</v>
      </c>
      <c r="E3570" s="60" t="b">
        <v>1</v>
      </c>
      <c r="F3570" s="80" t="s">
        <v>1167</v>
      </c>
      <c r="G3570" s="58" t="s">
        <v>9209</v>
      </c>
      <c r="H3570" s="58" t="s">
        <v>1796</v>
      </c>
      <c r="I3570" s="64" t="s">
        <v>9208</v>
      </c>
      <c r="J3570" s="66"/>
      <c r="K3570" s="66"/>
      <c r="L3570" s="68"/>
      <c r="M3570" s="63" t="str">
        <f>HYPERLINK("http://nsgreg.nga.mil/genc/view?v=865899&amp;end_month=12&amp;end_day=31&amp;end_year=2016","Correlation")</f>
        <v>Correlation</v>
      </c>
    </row>
    <row r="3571" spans="1:13" x14ac:dyDescent="0.2">
      <c r="A3571" s="113"/>
      <c r="B3571" s="58" t="s">
        <v>9210</v>
      </c>
      <c r="C3571" s="58" t="s">
        <v>1816</v>
      </c>
      <c r="D3571" s="58" t="s">
        <v>9211</v>
      </c>
      <c r="E3571" s="60" t="b">
        <v>1</v>
      </c>
      <c r="F3571" s="61" t="s">
        <v>167</v>
      </c>
      <c r="G3571" s="61"/>
      <c r="H3571" s="61"/>
      <c r="I3571" s="61"/>
      <c r="J3571" s="61"/>
      <c r="K3571" s="61"/>
      <c r="L3571" s="62"/>
      <c r="M3571" s="63" t="str">
        <f>HYPERLINK("http://nsgreg.nga.mil/genc/view?v=866037&amp;end_month=12&amp;end_day=31&amp;end_year=2016","Correlation")</f>
        <v>Correlation</v>
      </c>
    </row>
    <row r="3572" spans="1:13" x14ac:dyDescent="0.2">
      <c r="A3572" s="113"/>
      <c r="B3572" s="58" t="s">
        <v>9212</v>
      </c>
      <c r="C3572" s="58" t="s">
        <v>1816</v>
      </c>
      <c r="D3572" s="58" t="s">
        <v>9213</v>
      </c>
      <c r="E3572" s="60" t="b">
        <v>1</v>
      </c>
      <c r="F3572" s="61" t="s">
        <v>167</v>
      </c>
      <c r="G3572" s="61"/>
      <c r="H3572" s="61"/>
      <c r="I3572" s="61"/>
      <c r="J3572" s="61"/>
      <c r="K3572" s="61"/>
      <c r="L3572" s="62"/>
      <c r="M3572" s="63" t="str">
        <f>HYPERLINK("http://nsgreg.nga.mil/genc/view?v=866038&amp;end_month=12&amp;end_day=31&amp;end_year=2016","Correlation")</f>
        <v>Correlation</v>
      </c>
    </row>
    <row r="3573" spans="1:13" x14ac:dyDescent="0.2">
      <c r="A3573" s="113"/>
      <c r="B3573" s="58" t="s">
        <v>9214</v>
      </c>
      <c r="C3573" s="58" t="s">
        <v>1816</v>
      </c>
      <c r="D3573" s="58" t="s">
        <v>9215</v>
      </c>
      <c r="E3573" s="60" t="b">
        <v>1</v>
      </c>
      <c r="F3573" s="61" t="s">
        <v>167</v>
      </c>
      <c r="G3573" s="61"/>
      <c r="H3573" s="61"/>
      <c r="I3573" s="61"/>
      <c r="J3573" s="61"/>
      <c r="K3573" s="61"/>
      <c r="L3573" s="62"/>
      <c r="M3573" s="63" t="str">
        <f>HYPERLINK("http://nsgreg.nga.mil/genc/view?v=866039&amp;end_month=12&amp;end_day=31&amp;end_year=2016","Correlation")</f>
        <v>Correlation</v>
      </c>
    </row>
    <row r="3574" spans="1:13" x14ac:dyDescent="0.2">
      <c r="A3574" s="113"/>
      <c r="B3574" s="58" t="s">
        <v>9216</v>
      </c>
      <c r="C3574" s="58" t="s">
        <v>1681</v>
      </c>
      <c r="D3574" s="58" t="s">
        <v>9217</v>
      </c>
      <c r="E3574" s="60" t="b">
        <v>1</v>
      </c>
      <c r="F3574" s="61" t="s">
        <v>167</v>
      </c>
      <c r="G3574" s="61"/>
      <c r="H3574" s="61"/>
      <c r="I3574" s="61"/>
      <c r="J3574" s="61"/>
      <c r="K3574" s="61"/>
      <c r="L3574" s="62"/>
      <c r="M3574" s="63" t="str">
        <f>HYPERLINK("http://nsgreg.nga.mil/genc/view?v=866040&amp;end_month=12&amp;end_day=31&amp;end_year=2016","Correlation")</f>
        <v>Correlation</v>
      </c>
    </row>
    <row r="3575" spans="1:13" x14ac:dyDescent="0.2">
      <c r="A3575" s="113"/>
      <c r="B3575" s="58" t="s">
        <v>9218</v>
      </c>
      <c r="C3575" s="58" t="s">
        <v>1681</v>
      </c>
      <c r="D3575" s="58" t="s">
        <v>9219</v>
      </c>
      <c r="E3575" s="60" t="b">
        <v>1</v>
      </c>
      <c r="F3575" s="61" t="s">
        <v>167</v>
      </c>
      <c r="G3575" s="61"/>
      <c r="H3575" s="61"/>
      <c r="I3575" s="61"/>
      <c r="J3575" s="61"/>
      <c r="K3575" s="61"/>
      <c r="L3575" s="62"/>
      <c r="M3575" s="63" t="str">
        <f>HYPERLINK("http://nsgreg.nga.mil/genc/view?v=866041&amp;end_month=12&amp;end_day=31&amp;end_year=2016","Correlation")</f>
        <v>Correlation</v>
      </c>
    </row>
    <row r="3576" spans="1:13" x14ac:dyDescent="0.2">
      <c r="A3576" s="113"/>
      <c r="B3576" s="58" t="s">
        <v>9220</v>
      </c>
      <c r="C3576" s="58" t="s">
        <v>1816</v>
      </c>
      <c r="D3576" s="58" t="s">
        <v>9221</v>
      </c>
      <c r="E3576" s="60" t="b">
        <v>1</v>
      </c>
      <c r="F3576" s="61" t="s">
        <v>167</v>
      </c>
      <c r="G3576" s="61"/>
      <c r="H3576" s="61"/>
      <c r="I3576" s="61"/>
      <c r="J3576" s="61"/>
      <c r="K3576" s="61"/>
      <c r="L3576" s="62"/>
      <c r="M3576" s="63" t="str">
        <f>HYPERLINK("http://nsgreg.nga.mil/genc/view?v=866042&amp;end_month=12&amp;end_day=31&amp;end_year=2016","Correlation")</f>
        <v>Correlation</v>
      </c>
    </row>
    <row r="3577" spans="1:13" x14ac:dyDescent="0.2">
      <c r="A3577" s="113"/>
      <c r="B3577" s="58" t="s">
        <v>9222</v>
      </c>
      <c r="C3577" s="58" t="s">
        <v>1681</v>
      </c>
      <c r="D3577" s="58" t="s">
        <v>9223</v>
      </c>
      <c r="E3577" s="60" t="b">
        <v>1</v>
      </c>
      <c r="F3577" s="61" t="s">
        <v>167</v>
      </c>
      <c r="G3577" s="61"/>
      <c r="H3577" s="61"/>
      <c r="I3577" s="61"/>
      <c r="J3577" s="61"/>
      <c r="K3577" s="61"/>
      <c r="L3577" s="62"/>
      <c r="M3577" s="63" t="str">
        <f>HYPERLINK("http://nsgreg.nga.mil/genc/view?v=866043&amp;end_month=12&amp;end_day=31&amp;end_year=2016","Correlation")</f>
        <v>Correlation</v>
      </c>
    </row>
    <row r="3578" spans="1:13" x14ac:dyDescent="0.2">
      <c r="A3578" s="113"/>
      <c r="B3578" s="58" t="s">
        <v>9224</v>
      </c>
      <c r="C3578" s="58" t="s">
        <v>1816</v>
      </c>
      <c r="D3578" s="58" t="s">
        <v>9225</v>
      </c>
      <c r="E3578" s="60" t="b">
        <v>1</v>
      </c>
      <c r="F3578" s="61" t="s">
        <v>167</v>
      </c>
      <c r="G3578" s="61"/>
      <c r="H3578" s="61"/>
      <c r="I3578" s="61"/>
      <c r="J3578" s="61"/>
      <c r="K3578" s="61"/>
      <c r="L3578" s="62"/>
      <c r="M3578" s="63" t="str">
        <f>HYPERLINK("http://nsgreg.nga.mil/genc/view?v=866044&amp;end_month=12&amp;end_day=31&amp;end_year=2016","Correlation")</f>
        <v>Correlation</v>
      </c>
    </row>
    <row r="3579" spans="1:13" x14ac:dyDescent="0.2">
      <c r="A3579" s="113"/>
      <c r="B3579" s="58" t="s">
        <v>9226</v>
      </c>
      <c r="C3579" s="58" t="s">
        <v>1816</v>
      </c>
      <c r="D3579" s="58" t="s">
        <v>9227</v>
      </c>
      <c r="E3579" s="60" t="b">
        <v>1</v>
      </c>
      <c r="F3579" s="61" t="s">
        <v>167</v>
      </c>
      <c r="G3579" s="61"/>
      <c r="H3579" s="61"/>
      <c r="I3579" s="61"/>
      <c r="J3579" s="61"/>
      <c r="K3579" s="61"/>
      <c r="L3579" s="62"/>
      <c r="M3579" s="63" t="str">
        <f>HYPERLINK("http://nsgreg.nga.mil/genc/view?v=866045&amp;end_month=12&amp;end_day=31&amp;end_year=2016","Correlation")</f>
        <v>Correlation</v>
      </c>
    </row>
    <row r="3580" spans="1:13" x14ac:dyDescent="0.2">
      <c r="A3580" s="113"/>
      <c r="B3580" s="58" t="s">
        <v>9228</v>
      </c>
      <c r="C3580" s="58" t="s">
        <v>1816</v>
      </c>
      <c r="D3580" s="58" t="s">
        <v>9229</v>
      </c>
      <c r="E3580" s="60" t="b">
        <v>1</v>
      </c>
      <c r="F3580" s="61" t="s">
        <v>167</v>
      </c>
      <c r="G3580" s="61"/>
      <c r="H3580" s="61"/>
      <c r="I3580" s="61"/>
      <c r="J3580" s="61"/>
      <c r="K3580" s="61"/>
      <c r="L3580" s="62"/>
      <c r="M3580" s="63" t="str">
        <f>HYPERLINK("http://nsgreg.nga.mil/genc/view?v=866046&amp;end_month=12&amp;end_day=31&amp;end_year=2016","Correlation")</f>
        <v>Correlation</v>
      </c>
    </row>
    <row r="3581" spans="1:13" x14ac:dyDescent="0.2">
      <c r="A3581" s="113"/>
      <c r="B3581" s="58" t="s">
        <v>9230</v>
      </c>
      <c r="C3581" s="58" t="s">
        <v>1816</v>
      </c>
      <c r="D3581" s="58" t="s">
        <v>9231</v>
      </c>
      <c r="E3581" s="60" t="b">
        <v>1</v>
      </c>
      <c r="F3581" s="61" t="s">
        <v>167</v>
      </c>
      <c r="G3581" s="61"/>
      <c r="H3581" s="61"/>
      <c r="I3581" s="61"/>
      <c r="J3581" s="61"/>
      <c r="K3581" s="61"/>
      <c r="L3581" s="62"/>
      <c r="M3581" s="63" t="str">
        <f>HYPERLINK("http://nsgreg.nga.mil/genc/view?v=866047&amp;end_month=12&amp;end_day=31&amp;end_year=2016","Correlation")</f>
        <v>Correlation</v>
      </c>
    </row>
    <row r="3582" spans="1:13" x14ac:dyDescent="0.2">
      <c r="A3582" s="113"/>
      <c r="B3582" s="58" t="s">
        <v>9232</v>
      </c>
      <c r="C3582" s="58" t="s">
        <v>1816</v>
      </c>
      <c r="D3582" s="58" t="s">
        <v>9233</v>
      </c>
      <c r="E3582" s="60" t="b">
        <v>1</v>
      </c>
      <c r="F3582" s="61" t="s">
        <v>167</v>
      </c>
      <c r="G3582" s="61"/>
      <c r="H3582" s="61"/>
      <c r="I3582" s="61"/>
      <c r="J3582" s="61"/>
      <c r="K3582" s="61"/>
      <c r="L3582" s="62"/>
      <c r="M3582" s="63" t="str">
        <f>HYPERLINK("http://nsgreg.nga.mil/genc/view?v=866048&amp;end_month=12&amp;end_day=31&amp;end_year=2016","Correlation")</f>
        <v>Correlation</v>
      </c>
    </row>
    <row r="3583" spans="1:13" x14ac:dyDescent="0.2">
      <c r="A3583" s="113"/>
      <c r="B3583" s="58" t="s">
        <v>9234</v>
      </c>
      <c r="C3583" s="58" t="s">
        <v>1816</v>
      </c>
      <c r="D3583" s="58" t="s">
        <v>9235</v>
      </c>
      <c r="E3583" s="60" t="b">
        <v>1</v>
      </c>
      <c r="F3583" s="61" t="s">
        <v>167</v>
      </c>
      <c r="G3583" s="61"/>
      <c r="H3583" s="61"/>
      <c r="I3583" s="61"/>
      <c r="J3583" s="61"/>
      <c r="K3583" s="61"/>
      <c r="L3583" s="62"/>
      <c r="M3583" s="63" t="str">
        <f>HYPERLINK("http://nsgreg.nga.mil/genc/view?v=866049&amp;end_month=12&amp;end_day=31&amp;end_year=2016","Correlation")</f>
        <v>Correlation</v>
      </c>
    </row>
    <row r="3584" spans="1:13" x14ac:dyDescent="0.2">
      <c r="A3584" s="113"/>
      <c r="B3584" s="58" t="s">
        <v>9236</v>
      </c>
      <c r="C3584" s="58" t="s">
        <v>1681</v>
      </c>
      <c r="D3584" s="58" t="s">
        <v>9237</v>
      </c>
      <c r="E3584" s="60" t="b">
        <v>1</v>
      </c>
      <c r="F3584" s="61" t="s">
        <v>167</v>
      </c>
      <c r="G3584" s="61"/>
      <c r="H3584" s="61"/>
      <c r="I3584" s="61"/>
      <c r="J3584" s="61"/>
      <c r="K3584" s="61"/>
      <c r="L3584" s="62"/>
      <c r="M3584" s="63" t="str">
        <f>HYPERLINK("http://nsgreg.nga.mil/genc/view?v=866050&amp;end_month=12&amp;end_day=31&amp;end_year=2016","Correlation")</f>
        <v>Correlation</v>
      </c>
    </row>
    <row r="3585" spans="1:13" x14ac:dyDescent="0.2">
      <c r="A3585" s="113"/>
      <c r="B3585" s="58" t="s">
        <v>9238</v>
      </c>
      <c r="C3585" s="58" t="s">
        <v>1816</v>
      </c>
      <c r="D3585" s="58" t="s">
        <v>9239</v>
      </c>
      <c r="E3585" s="60" t="b">
        <v>1</v>
      </c>
      <c r="F3585" s="61" t="s">
        <v>167</v>
      </c>
      <c r="G3585" s="61"/>
      <c r="H3585" s="61"/>
      <c r="I3585" s="61"/>
      <c r="J3585" s="61"/>
      <c r="K3585" s="61"/>
      <c r="L3585" s="62"/>
      <c r="M3585" s="63" t="str">
        <f>HYPERLINK("http://nsgreg.nga.mil/genc/view?v=866051&amp;end_month=12&amp;end_day=31&amp;end_year=2016","Correlation")</f>
        <v>Correlation</v>
      </c>
    </row>
    <row r="3586" spans="1:13" x14ac:dyDescent="0.2">
      <c r="A3586" s="113"/>
      <c r="B3586" s="58" t="s">
        <v>9240</v>
      </c>
      <c r="C3586" s="58" t="s">
        <v>1816</v>
      </c>
      <c r="D3586" s="58" t="s">
        <v>9241</v>
      </c>
      <c r="E3586" s="60" t="b">
        <v>1</v>
      </c>
      <c r="F3586" s="61" t="s">
        <v>167</v>
      </c>
      <c r="G3586" s="61"/>
      <c r="H3586" s="61"/>
      <c r="I3586" s="61"/>
      <c r="J3586" s="61"/>
      <c r="K3586" s="61"/>
      <c r="L3586" s="62"/>
      <c r="M3586" s="63" t="str">
        <f>HYPERLINK("http://nsgreg.nga.mil/genc/view?v=866052&amp;end_month=12&amp;end_day=31&amp;end_year=2016","Correlation")</f>
        <v>Correlation</v>
      </c>
    </row>
    <row r="3587" spans="1:13" x14ac:dyDescent="0.2">
      <c r="A3587" s="113"/>
      <c r="B3587" s="58" t="s">
        <v>9242</v>
      </c>
      <c r="C3587" s="58" t="s">
        <v>1681</v>
      </c>
      <c r="D3587" s="58" t="s">
        <v>9243</v>
      </c>
      <c r="E3587" s="60" t="b">
        <v>1</v>
      </c>
      <c r="F3587" s="61" t="s">
        <v>167</v>
      </c>
      <c r="G3587" s="61"/>
      <c r="H3587" s="61"/>
      <c r="I3587" s="61"/>
      <c r="J3587" s="61"/>
      <c r="K3587" s="61"/>
      <c r="L3587" s="62"/>
      <c r="M3587" s="63" t="str">
        <f>HYPERLINK("http://nsgreg.nga.mil/genc/view?v=866053&amp;end_month=12&amp;end_day=31&amp;end_year=2016","Correlation")</f>
        <v>Correlation</v>
      </c>
    </row>
    <row r="3588" spans="1:13" x14ac:dyDescent="0.2">
      <c r="A3588" s="113"/>
      <c r="B3588" s="58" t="s">
        <v>9244</v>
      </c>
      <c r="C3588" s="58" t="s">
        <v>1816</v>
      </c>
      <c r="D3588" s="58" t="s">
        <v>9245</v>
      </c>
      <c r="E3588" s="60" t="b">
        <v>1</v>
      </c>
      <c r="F3588" s="61" t="s">
        <v>167</v>
      </c>
      <c r="G3588" s="61"/>
      <c r="H3588" s="61"/>
      <c r="I3588" s="61"/>
      <c r="J3588" s="61"/>
      <c r="K3588" s="61"/>
      <c r="L3588" s="62"/>
      <c r="M3588" s="63" t="str">
        <f>HYPERLINK("http://nsgreg.nga.mil/genc/view?v=866054&amp;end_month=12&amp;end_day=31&amp;end_year=2016","Correlation")</f>
        <v>Correlation</v>
      </c>
    </row>
    <row r="3589" spans="1:13" x14ac:dyDescent="0.2">
      <c r="A3589" s="113"/>
      <c r="B3589" s="58" t="s">
        <v>9246</v>
      </c>
      <c r="C3589" s="58" t="s">
        <v>1796</v>
      </c>
      <c r="D3589" s="58" t="s">
        <v>9247</v>
      </c>
      <c r="E3589" s="60" t="b">
        <v>1</v>
      </c>
      <c r="F3589" s="80" t="s">
        <v>1167</v>
      </c>
      <c r="G3589" s="58" t="s">
        <v>9248</v>
      </c>
      <c r="H3589" s="58" t="s">
        <v>1796</v>
      </c>
      <c r="I3589" s="64" t="s">
        <v>9247</v>
      </c>
      <c r="J3589" s="66"/>
      <c r="K3589" s="66"/>
      <c r="L3589" s="68"/>
      <c r="M3589" s="63" t="str">
        <f>HYPERLINK("http://nsgreg.nga.mil/genc/view?v=865898&amp;end_month=12&amp;end_day=31&amp;end_year=2016","Correlation")</f>
        <v>Correlation</v>
      </c>
    </row>
    <row r="3590" spans="1:13" x14ac:dyDescent="0.2">
      <c r="A3590" s="113"/>
      <c r="B3590" s="58" t="s">
        <v>9249</v>
      </c>
      <c r="C3590" s="58" t="s">
        <v>1816</v>
      </c>
      <c r="D3590" s="58" t="s">
        <v>9250</v>
      </c>
      <c r="E3590" s="60" t="b">
        <v>1</v>
      </c>
      <c r="F3590" s="61" t="s">
        <v>167</v>
      </c>
      <c r="G3590" s="61"/>
      <c r="H3590" s="61"/>
      <c r="I3590" s="61"/>
      <c r="J3590" s="61"/>
      <c r="K3590" s="61"/>
      <c r="L3590" s="62"/>
      <c r="M3590" s="63" t="str">
        <f>HYPERLINK("http://nsgreg.nga.mil/genc/view?v=866055&amp;end_month=12&amp;end_day=31&amp;end_year=2016","Correlation")</f>
        <v>Correlation</v>
      </c>
    </row>
    <row r="3591" spans="1:13" x14ac:dyDescent="0.2">
      <c r="A3591" s="113"/>
      <c r="B3591" s="58" t="s">
        <v>9251</v>
      </c>
      <c r="C3591" s="58" t="s">
        <v>1816</v>
      </c>
      <c r="D3591" s="58" t="s">
        <v>9252</v>
      </c>
      <c r="E3591" s="60" t="b">
        <v>1</v>
      </c>
      <c r="F3591" s="61" t="s">
        <v>167</v>
      </c>
      <c r="G3591" s="61"/>
      <c r="H3591" s="61"/>
      <c r="I3591" s="61"/>
      <c r="J3591" s="61"/>
      <c r="K3591" s="61"/>
      <c r="L3591" s="62"/>
      <c r="M3591" s="63" t="str">
        <f>HYPERLINK("http://nsgreg.nga.mil/genc/view?v=866056&amp;end_month=12&amp;end_day=31&amp;end_year=2016","Correlation")</f>
        <v>Correlation</v>
      </c>
    </row>
    <row r="3592" spans="1:13" x14ac:dyDescent="0.2">
      <c r="A3592" s="113"/>
      <c r="B3592" s="58" t="s">
        <v>9253</v>
      </c>
      <c r="C3592" s="58" t="s">
        <v>1816</v>
      </c>
      <c r="D3592" s="58" t="s">
        <v>9254</v>
      </c>
      <c r="E3592" s="60" t="b">
        <v>1</v>
      </c>
      <c r="F3592" s="61" t="s">
        <v>167</v>
      </c>
      <c r="G3592" s="61"/>
      <c r="H3592" s="61"/>
      <c r="I3592" s="61"/>
      <c r="J3592" s="61"/>
      <c r="K3592" s="61"/>
      <c r="L3592" s="62"/>
      <c r="M3592" s="63" t="str">
        <f>HYPERLINK("http://nsgreg.nga.mil/genc/view?v=866057&amp;end_month=12&amp;end_day=31&amp;end_year=2016","Correlation")</f>
        <v>Correlation</v>
      </c>
    </row>
    <row r="3593" spans="1:13" x14ac:dyDescent="0.2">
      <c r="A3593" s="113"/>
      <c r="B3593" s="58" t="s">
        <v>9255</v>
      </c>
      <c r="C3593" s="58" t="s">
        <v>1816</v>
      </c>
      <c r="D3593" s="58" t="s">
        <v>9256</v>
      </c>
      <c r="E3593" s="60" t="b">
        <v>1</v>
      </c>
      <c r="F3593" s="61" t="s">
        <v>167</v>
      </c>
      <c r="G3593" s="61"/>
      <c r="H3593" s="61"/>
      <c r="I3593" s="61"/>
      <c r="J3593" s="61"/>
      <c r="K3593" s="61"/>
      <c r="L3593" s="62"/>
      <c r="M3593" s="63" t="str">
        <f>HYPERLINK("http://nsgreg.nga.mil/genc/view?v=866058&amp;end_month=12&amp;end_day=31&amp;end_year=2016","Correlation")</f>
        <v>Correlation</v>
      </c>
    </row>
    <row r="3594" spans="1:13" x14ac:dyDescent="0.2">
      <c r="A3594" s="113"/>
      <c r="B3594" s="58" t="s">
        <v>9257</v>
      </c>
      <c r="C3594" s="58" t="s">
        <v>1816</v>
      </c>
      <c r="D3594" s="58" t="s">
        <v>9258</v>
      </c>
      <c r="E3594" s="60" t="b">
        <v>1</v>
      </c>
      <c r="F3594" s="61" t="s">
        <v>167</v>
      </c>
      <c r="G3594" s="61"/>
      <c r="H3594" s="61"/>
      <c r="I3594" s="61"/>
      <c r="J3594" s="61"/>
      <c r="K3594" s="61"/>
      <c r="L3594" s="62"/>
      <c r="M3594" s="63" t="str">
        <f>HYPERLINK("http://nsgreg.nga.mil/genc/view?v=865901&amp;end_month=12&amp;end_day=31&amp;end_year=2016","Correlation")</f>
        <v>Correlation</v>
      </c>
    </row>
    <row r="3595" spans="1:13" x14ac:dyDescent="0.2">
      <c r="A3595" s="113"/>
      <c r="B3595" s="58" t="s">
        <v>9259</v>
      </c>
      <c r="C3595" s="58" t="s">
        <v>1816</v>
      </c>
      <c r="D3595" s="58" t="s">
        <v>9260</v>
      </c>
      <c r="E3595" s="60" t="b">
        <v>1</v>
      </c>
      <c r="F3595" s="61" t="s">
        <v>167</v>
      </c>
      <c r="G3595" s="61"/>
      <c r="H3595" s="61"/>
      <c r="I3595" s="61"/>
      <c r="J3595" s="61"/>
      <c r="K3595" s="61"/>
      <c r="L3595" s="62"/>
      <c r="M3595" s="63" t="str">
        <f>HYPERLINK("http://nsgreg.nga.mil/genc/view?v=865902&amp;end_month=12&amp;end_day=31&amp;end_year=2016","Correlation")</f>
        <v>Correlation</v>
      </c>
    </row>
    <row r="3596" spans="1:13" x14ac:dyDescent="0.2">
      <c r="A3596" s="113"/>
      <c r="B3596" s="58" t="s">
        <v>9261</v>
      </c>
      <c r="C3596" s="58" t="s">
        <v>1816</v>
      </c>
      <c r="D3596" s="58" t="s">
        <v>9262</v>
      </c>
      <c r="E3596" s="60" t="b">
        <v>1</v>
      </c>
      <c r="F3596" s="61" t="s">
        <v>167</v>
      </c>
      <c r="G3596" s="61"/>
      <c r="H3596" s="61"/>
      <c r="I3596" s="61"/>
      <c r="J3596" s="61"/>
      <c r="K3596" s="61"/>
      <c r="L3596" s="62"/>
      <c r="M3596" s="63" t="str">
        <f>HYPERLINK("http://nsgreg.nga.mil/genc/view?v=865903&amp;end_month=12&amp;end_day=31&amp;end_year=2016","Correlation")</f>
        <v>Correlation</v>
      </c>
    </row>
    <row r="3597" spans="1:13" x14ac:dyDescent="0.2">
      <c r="A3597" s="113"/>
      <c r="B3597" s="58" t="s">
        <v>9263</v>
      </c>
      <c r="C3597" s="58" t="s">
        <v>1796</v>
      </c>
      <c r="D3597" s="58" t="s">
        <v>9264</v>
      </c>
      <c r="E3597" s="60" t="b">
        <v>1</v>
      </c>
      <c r="F3597" s="80" t="s">
        <v>1167</v>
      </c>
      <c r="G3597" s="58" t="s">
        <v>9265</v>
      </c>
      <c r="H3597" s="58" t="s">
        <v>1796</v>
      </c>
      <c r="I3597" s="64" t="s">
        <v>9264</v>
      </c>
      <c r="J3597" s="66"/>
      <c r="K3597" s="66"/>
      <c r="L3597" s="68"/>
      <c r="M3597" s="63" t="str">
        <f>HYPERLINK("http://nsgreg.nga.mil/genc/view?v=865977&amp;end_month=12&amp;end_day=31&amp;end_year=2016","Correlation")</f>
        <v>Correlation</v>
      </c>
    </row>
    <row r="3598" spans="1:13" x14ac:dyDescent="0.2">
      <c r="A3598" s="113"/>
      <c r="B3598" s="58" t="s">
        <v>9266</v>
      </c>
      <c r="C3598" s="58" t="s">
        <v>1816</v>
      </c>
      <c r="D3598" s="58" t="s">
        <v>9267</v>
      </c>
      <c r="E3598" s="60" t="b">
        <v>1</v>
      </c>
      <c r="F3598" s="61" t="s">
        <v>167</v>
      </c>
      <c r="G3598" s="61"/>
      <c r="H3598" s="61"/>
      <c r="I3598" s="61"/>
      <c r="J3598" s="61"/>
      <c r="K3598" s="61"/>
      <c r="L3598" s="62"/>
      <c r="M3598" s="63" t="str">
        <f>HYPERLINK("http://nsgreg.nga.mil/genc/view?v=865904&amp;end_month=12&amp;end_day=31&amp;end_year=2016","Correlation")</f>
        <v>Correlation</v>
      </c>
    </row>
    <row r="3599" spans="1:13" x14ac:dyDescent="0.2">
      <c r="A3599" s="113"/>
      <c r="B3599" s="58" t="s">
        <v>9268</v>
      </c>
      <c r="C3599" s="58" t="s">
        <v>1681</v>
      </c>
      <c r="D3599" s="58" t="s">
        <v>9269</v>
      </c>
      <c r="E3599" s="60" t="b">
        <v>1</v>
      </c>
      <c r="F3599" s="61" t="s">
        <v>167</v>
      </c>
      <c r="G3599" s="61"/>
      <c r="H3599" s="61"/>
      <c r="I3599" s="61"/>
      <c r="J3599" s="61"/>
      <c r="K3599" s="61"/>
      <c r="L3599" s="62"/>
      <c r="M3599" s="63" t="str">
        <f>HYPERLINK("http://nsgreg.nga.mil/genc/view?v=865905&amp;end_month=12&amp;end_day=31&amp;end_year=2016","Correlation")</f>
        <v>Correlation</v>
      </c>
    </row>
    <row r="3600" spans="1:13" x14ac:dyDescent="0.2">
      <c r="A3600" s="113"/>
      <c r="B3600" s="58" t="s">
        <v>9270</v>
      </c>
      <c r="C3600" s="58" t="s">
        <v>1796</v>
      </c>
      <c r="D3600" s="58" t="s">
        <v>9271</v>
      </c>
      <c r="E3600" s="60" t="b">
        <v>1</v>
      </c>
      <c r="F3600" s="80" t="s">
        <v>1167</v>
      </c>
      <c r="G3600" s="58" t="s">
        <v>9272</v>
      </c>
      <c r="H3600" s="58" t="s">
        <v>1796</v>
      </c>
      <c r="I3600" s="64" t="s">
        <v>9271</v>
      </c>
      <c r="J3600" s="66"/>
      <c r="K3600" s="66"/>
      <c r="L3600" s="68"/>
      <c r="M3600" s="63" t="str">
        <f>HYPERLINK("http://nsgreg.nga.mil/genc/view?v=865984&amp;end_month=12&amp;end_day=31&amp;end_year=2016","Correlation")</f>
        <v>Correlation</v>
      </c>
    </row>
    <row r="3601" spans="1:13" x14ac:dyDescent="0.2">
      <c r="A3601" s="113"/>
      <c r="B3601" s="58" t="s">
        <v>9273</v>
      </c>
      <c r="C3601" s="58" t="s">
        <v>1816</v>
      </c>
      <c r="D3601" s="58" t="s">
        <v>9274</v>
      </c>
      <c r="E3601" s="60" t="b">
        <v>1</v>
      </c>
      <c r="F3601" s="61" t="s">
        <v>167</v>
      </c>
      <c r="G3601" s="61"/>
      <c r="H3601" s="61"/>
      <c r="I3601" s="61"/>
      <c r="J3601" s="61"/>
      <c r="K3601" s="61"/>
      <c r="L3601" s="62"/>
      <c r="M3601" s="63" t="str">
        <f>HYPERLINK("http://nsgreg.nga.mil/genc/view?v=865906&amp;end_month=12&amp;end_day=31&amp;end_year=2016","Correlation")</f>
        <v>Correlation</v>
      </c>
    </row>
    <row r="3602" spans="1:13" x14ac:dyDescent="0.2">
      <c r="A3602" s="113"/>
      <c r="B3602" s="58" t="s">
        <v>9275</v>
      </c>
      <c r="C3602" s="58" t="s">
        <v>1816</v>
      </c>
      <c r="D3602" s="58" t="s">
        <v>9276</v>
      </c>
      <c r="E3602" s="60" t="b">
        <v>1</v>
      </c>
      <c r="F3602" s="61" t="s">
        <v>167</v>
      </c>
      <c r="G3602" s="61"/>
      <c r="H3602" s="61"/>
      <c r="I3602" s="61"/>
      <c r="J3602" s="61"/>
      <c r="K3602" s="61"/>
      <c r="L3602" s="62"/>
      <c r="M3602" s="63" t="str">
        <f>HYPERLINK("http://nsgreg.nga.mil/genc/view?v=865907&amp;end_month=12&amp;end_day=31&amp;end_year=2016","Correlation")</f>
        <v>Correlation</v>
      </c>
    </row>
    <row r="3603" spans="1:13" x14ac:dyDescent="0.2">
      <c r="A3603" s="113"/>
      <c r="B3603" s="58" t="s">
        <v>9277</v>
      </c>
      <c r="C3603" s="58" t="s">
        <v>1816</v>
      </c>
      <c r="D3603" s="58" t="s">
        <v>9278</v>
      </c>
      <c r="E3603" s="60" t="b">
        <v>1</v>
      </c>
      <c r="F3603" s="61" t="s">
        <v>167</v>
      </c>
      <c r="G3603" s="61"/>
      <c r="H3603" s="61"/>
      <c r="I3603" s="61"/>
      <c r="J3603" s="61"/>
      <c r="K3603" s="61"/>
      <c r="L3603" s="62"/>
      <c r="M3603" s="63" t="str">
        <f>HYPERLINK("http://nsgreg.nga.mil/genc/view?v=865908&amp;end_month=12&amp;end_day=31&amp;end_year=2016","Correlation")</f>
        <v>Correlation</v>
      </c>
    </row>
    <row r="3604" spans="1:13" x14ac:dyDescent="0.2">
      <c r="A3604" s="113"/>
      <c r="B3604" s="58" t="s">
        <v>9279</v>
      </c>
      <c r="C3604" s="58" t="s">
        <v>1816</v>
      </c>
      <c r="D3604" s="58" t="s">
        <v>9280</v>
      </c>
      <c r="E3604" s="60" t="b">
        <v>1</v>
      </c>
      <c r="F3604" s="61" t="s">
        <v>167</v>
      </c>
      <c r="G3604" s="61"/>
      <c r="H3604" s="61"/>
      <c r="I3604" s="61"/>
      <c r="J3604" s="61"/>
      <c r="K3604" s="61"/>
      <c r="L3604" s="62"/>
      <c r="M3604" s="63" t="str">
        <f>HYPERLINK("http://nsgreg.nga.mil/genc/view?v=865909&amp;end_month=12&amp;end_day=31&amp;end_year=2016","Correlation")</f>
        <v>Correlation</v>
      </c>
    </row>
    <row r="3605" spans="1:13" x14ac:dyDescent="0.2">
      <c r="A3605" s="113"/>
      <c r="B3605" s="58" t="s">
        <v>9281</v>
      </c>
      <c r="C3605" s="58" t="s">
        <v>1681</v>
      </c>
      <c r="D3605" s="58" t="s">
        <v>9282</v>
      </c>
      <c r="E3605" s="60" t="b">
        <v>1</v>
      </c>
      <c r="F3605" s="61" t="s">
        <v>167</v>
      </c>
      <c r="G3605" s="61"/>
      <c r="H3605" s="61"/>
      <c r="I3605" s="61"/>
      <c r="J3605" s="61"/>
      <c r="K3605" s="61"/>
      <c r="L3605" s="62"/>
      <c r="M3605" s="63" t="str">
        <f>HYPERLINK("http://nsgreg.nga.mil/genc/view?v=865910&amp;end_month=12&amp;end_day=31&amp;end_year=2016","Correlation")</f>
        <v>Correlation</v>
      </c>
    </row>
    <row r="3606" spans="1:13" x14ac:dyDescent="0.2">
      <c r="A3606" s="113"/>
      <c r="B3606" s="58" t="s">
        <v>9283</v>
      </c>
      <c r="C3606" s="58" t="s">
        <v>1681</v>
      </c>
      <c r="D3606" s="58" t="s">
        <v>9284</v>
      </c>
      <c r="E3606" s="60" t="b">
        <v>1</v>
      </c>
      <c r="F3606" s="61" t="s">
        <v>167</v>
      </c>
      <c r="G3606" s="61"/>
      <c r="H3606" s="61"/>
      <c r="I3606" s="61"/>
      <c r="J3606" s="61"/>
      <c r="K3606" s="61"/>
      <c r="L3606" s="62"/>
      <c r="M3606" s="63" t="str">
        <f>HYPERLINK("http://nsgreg.nga.mil/genc/view?v=865912&amp;end_month=12&amp;end_day=31&amp;end_year=2016","Correlation")</f>
        <v>Correlation</v>
      </c>
    </row>
    <row r="3607" spans="1:13" x14ac:dyDescent="0.2">
      <c r="A3607" s="113"/>
      <c r="B3607" s="58" t="s">
        <v>9285</v>
      </c>
      <c r="C3607" s="58" t="s">
        <v>1816</v>
      </c>
      <c r="D3607" s="58" t="s">
        <v>9286</v>
      </c>
      <c r="E3607" s="60" t="b">
        <v>1</v>
      </c>
      <c r="F3607" s="61" t="s">
        <v>167</v>
      </c>
      <c r="G3607" s="61"/>
      <c r="H3607" s="61"/>
      <c r="I3607" s="61"/>
      <c r="J3607" s="61"/>
      <c r="K3607" s="61"/>
      <c r="L3607" s="62"/>
      <c r="M3607" s="63" t="str">
        <f>HYPERLINK("http://nsgreg.nga.mil/genc/view?v=865913&amp;end_month=12&amp;end_day=31&amp;end_year=2016","Correlation")</f>
        <v>Correlation</v>
      </c>
    </row>
    <row r="3608" spans="1:13" x14ac:dyDescent="0.2">
      <c r="A3608" s="113"/>
      <c r="B3608" s="58" t="s">
        <v>9287</v>
      </c>
      <c r="C3608" s="58" t="s">
        <v>1816</v>
      </c>
      <c r="D3608" s="58" t="s">
        <v>9288</v>
      </c>
      <c r="E3608" s="60" t="b">
        <v>1</v>
      </c>
      <c r="F3608" s="61" t="s">
        <v>167</v>
      </c>
      <c r="G3608" s="61"/>
      <c r="H3608" s="61"/>
      <c r="I3608" s="61"/>
      <c r="J3608" s="61"/>
      <c r="K3608" s="61"/>
      <c r="L3608" s="62"/>
      <c r="M3608" s="63" t="str">
        <f>HYPERLINK("http://nsgreg.nga.mil/genc/view?v=865914&amp;end_month=12&amp;end_day=31&amp;end_year=2016","Correlation")</f>
        <v>Correlation</v>
      </c>
    </row>
    <row r="3609" spans="1:13" x14ac:dyDescent="0.2">
      <c r="A3609" s="113"/>
      <c r="B3609" s="58" t="s">
        <v>9289</v>
      </c>
      <c r="C3609" s="58" t="s">
        <v>1816</v>
      </c>
      <c r="D3609" s="58" t="s">
        <v>9290</v>
      </c>
      <c r="E3609" s="60" t="b">
        <v>1</v>
      </c>
      <c r="F3609" s="61" t="s">
        <v>167</v>
      </c>
      <c r="G3609" s="61"/>
      <c r="H3609" s="61"/>
      <c r="I3609" s="61"/>
      <c r="J3609" s="61"/>
      <c r="K3609" s="61"/>
      <c r="L3609" s="62"/>
      <c r="M3609" s="63" t="str">
        <f>HYPERLINK("http://nsgreg.nga.mil/genc/view?v=865915&amp;end_month=12&amp;end_day=31&amp;end_year=2016","Correlation")</f>
        <v>Correlation</v>
      </c>
    </row>
    <row r="3610" spans="1:13" x14ac:dyDescent="0.2">
      <c r="A3610" s="113"/>
      <c r="B3610" s="58" t="s">
        <v>9291</v>
      </c>
      <c r="C3610" s="58" t="s">
        <v>1681</v>
      </c>
      <c r="D3610" s="58" t="s">
        <v>9292</v>
      </c>
      <c r="E3610" s="60" t="b">
        <v>1</v>
      </c>
      <c r="F3610" s="61" t="s">
        <v>167</v>
      </c>
      <c r="G3610" s="61"/>
      <c r="H3610" s="61"/>
      <c r="I3610" s="61"/>
      <c r="J3610" s="61"/>
      <c r="K3610" s="61"/>
      <c r="L3610" s="62"/>
      <c r="M3610" s="63" t="str">
        <f>HYPERLINK("http://nsgreg.nga.mil/genc/view?v=865916&amp;end_month=12&amp;end_day=31&amp;end_year=2016","Correlation")</f>
        <v>Correlation</v>
      </c>
    </row>
    <row r="3611" spans="1:13" x14ac:dyDescent="0.2">
      <c r="A3611" s="113"/>
      <c r="B3611" s="58" t="s">
        <v>9293</v>
      </c>
      <c r="C3611" s="58" t="s">
        <v>1816</v>
      </c>
      <c r="D3611" s="58" t="s">
        <v>9294</v>
      </c>
      <c r="E3611" s="60" t="b">
        <v>1</v>
      </c>
      <c r="F3611" s="61" t="s">
        <v>167</v>
      </c>
      <c r="G3611" s="61"/>
      <c r="H3611" s="61"/>
      <c r="I3611" s="61"/>
      <c r="J3611" s="61"/>
      <c r="K3611" s="61"/>
      <c r="L3611" s="62"/>
      <c r="M3611" s="63" t="str">
        <f>HYPERLINK("http://nsgreg.nga.mil/genc/view?v=865917&amp;end_month=12&amp;end_day=31&amp;end_year=2016","Correlation")</f>
        <v>Correlation</v>
      </c>
    </row>
    <row r="3612" spans="1:13" x14ac:dyDescent="0.2">
      <c r="A3612" s="113"/>
      <c r="B3612" s="58" t="s">
        <v>9295</v>
      </c>
      <c r="C3612" s="58" t="s">
        <v>1796</v>
      </c>
      <c r="D3612" s="58" t="s">
        <v>9296</v>
      </c>
      <c r="E3612" s="60" t="b">
        <v>1</v>
      </c>
      <c r="F3612" s="80" t="s">
        <v>1167</v>
      </c>
      <c r="G3612" s="58" t="s">
        <v>9297</v>
      </c>
      <c r="H3612" s="58" t="s">
        <v>1796</v>
      </c>
      <c r="I3612" s="64" t="s">
        <v>9296</v>
      </c>
      <c r="J3612" s="66"/>
      <c r="K3612" s="66"/>
      <c r="L3612" s="68"/>
      <c r="M3612" s="63" t="str">
        <f>HYPERLINK("http://nsgreg.nga.mil/genc/view?v=865988&amp;end_month=12&amp;end_day=31&amp;end_year=2016","Correlation")</f>
        <v>Correlation</v>
      </c>
    </row>
    <row r="3613" spans="1:13" x14ac:dyDescent="0.2">
      <c r="A3613" s="113"/>
      <c r="B3613" s="58" t="s">
        <v>9298</v>
      </c>
      <c r="C3613" s="58" t="s">
        <v>1816</v>
      </c>
      <c r="D3613" s="58" t="s">
        <v>9299</v>
      </c>
      <c r="E3613" s="60" t="b">
        <v>1</v>
      </c>
      <c r="F3613" s="61" t="s">
        <v>167</v>
      </c>
      <c r="G3613" s="61"/>
      <c r="H3613" s="61"/>
      <c r="I3613" s="61"/>
      <c r="J3613" s="61"/>
      <c r="K3613" s="61"/>
      <c r="L3613" s="62"/>
      <c r="M3613" s="63" t="str">
        <f>HYPERLINK("http://nsgreg.nga.mil/genc/view?v=865918&amp;end_month=12&amp;end_day=31&amp;end_year=2016","Correlation")</f>
        <v>Correlation</v>
      </c>
    </row>
    <row r="3614" spans="1:13" x14ac:dyDescent="0.2">
      <c r="A3614" s="113"/>
      <c r="B3614" s="58" t="s">
        <v>9300</v>
      </c>
      <c r="C3614" s="58" t="s">
        <v>1816</v>
      </c>
      <c r="D3614" s="58" t="s">
        <v>9301</v>
      </c>
      <c r="E3614" s="60" t="b">
        <v>1</v>
      </c>
      <c r="F3614" s="61" t="s">
        <v>167</v>
      </c>
      <c r="G3614" s="61"/>
      <c r="H3614" s="61"/>
      <c r="I3614" s="61"/>
      <c r="J3614" s="61"/>
      <c r="K3614" s="61"/>
      <c r="L3614" s="62"/>
      <c r="M3614" s="63" t="str">
        <f>HYPERLINK("http://nsgreg.nga.mil/genc/view?v=865919&amp;end_month=12&amp;end_day=31&amp;end_year=2016","Correlation")</f>
        <v>Correlation</v>
      </c>
    </row>
    <row r="3615" spans="1:13" x14ac:dyDescent="0.2">
      <c r="A3615" s="113"/>
      <c r="B3615" s="58" t="s">
        <v>9302</v>
      </c>
      <c r="C3615" s="58" t="s">
        <v>1681</v>
      </c>
      <c r="D3615" s="58" t="s">
        <v>9303</v>
      </c>
      <c r="E3615" s="60" t="b">
        <v>1</v>
      </c>
      <c r="F3615" s="61" t="s">
        <v>167</v>
      </c>
      <c r="G3615" s="61"/>
      <c r="H3615" s="61"/>
      <c r="I3615" s="61"/>
      <c r="J3615" s="61"/>
      <c r="K3615" s="61"/>
      <c r="L3615" s="62"/>
      <c r="M3615" s="63" t="str">
        <f>HYPERLINK("http://nsgreg.nga.mil/genc/view?v=865920&amp;end_month=12&amp;end_day=31&amp;end_year=2016","Correlation")</f>
        <v>Correlation</v>
      </c>
    </row>
    <row r="3616" spans="1:13" x14ac:dyDescent="0.2">
      <c r="A3616" s="113"/>
      <c r="B3616" s="58" t="s">
        <v>9304</v>
      </c>
      <c r="C3616" s="58" t="s">
        <v>1796</v>
      </c>
      <c r="D3616" s="58" t="s">
        <v>9305</v>
      </c>
      <c r="E3616" s="60" t="b">
        <v>1</v>
      </c>
      <c r="F3616" s="80" t="s">
        <v>1167</v>
      </c>
      <c r="G3616" s="58" t="s">
        <v>9306</v>
      </c>
      <c r="H3616" s="58" t="s">
        <v>1796</v>
      </c>
      <c r="I3616" s="64" t="s">
        <v>9305</v>
      </c>
      <c r="J3616" s="66"/>
      <c r="K3616" s="66"/>
      <c r="L3616" s="68"/>
      <c r="M3616" s="63" t="str">
        <f>HYPERLINK("http://nsgreg.nga.mil/genc/view?v=865986&amp;end_month=12&amp;end_day=31&amp;end_year=2016","Correlation")</f>
        <v>Correlation</v>
      </c>
    </row>
    <row r="3617" spans="1:13" x14ac:dyDescent="0.2">
      <c r="A3617" s="113"/>
      <c r="B3617" s="58" t="s">
        <v>9307</v>
      </c>
      <c r="C3617" s="58" t="s">
        <v>1816</v>
      </c>
      <c r="D3617" s="58" t="s">
        <v>9308</v>
      </c>
      <c r="E3617" s="60" t="b">
        <v>1</v>
      </c>
      <c r="F3617" s="61" t="s">
        <v>167</v>
      </c>
      <c r="G3617" s="61"/>
      <c r="H3617" s="61"/>
      <c r="I3617" s="61"/>
      <c r="J3617" s="61"/>
      <c r="K3617" s="61"/>
      <c r="L3617" s="62"/>
      <c r="M3617" s="63" t="str">
        <f>HYPERLINK("http://nsgreg.nga.mil/genc/view?v=865921&amp;end_month=12&amp;end_day=31&amp;end_year=2016","Correlation")</f>
        <v>Correlation</v>
      </c>
    </row>
    <row r="3618" spans="1:13" x14ac:dyDescent="0.2">
      <c r="A3618" s="113"/>
      <c r="B3618" s="58" t="s">
        <v>9309</v>
      </c>
      <c r="C3618" s="58" t="s">
        <v>1796</v>
      </c>
      <c r="D3618" s="58" t="s">
        <v>9310</v>
      </c>
      <c r="E3618" s="60" t="b">
        <v>1</v>
      </c>
      <c r="F3618" s="80" t="s">
        <v>1167</v>
      </c>
      <c r="G3618" s="58" t="s">
        <v>9311</v>
      </c>
      <c r="H3618" s="58" t="s">
        <v>1796</v>
      </c>
      <c r="I3618" s="64" t="s">
        <v>9310</v>
      </c>
      <c r="J3618" s="66"/>
      <c r="K3618" s="66"/>
      <c r="L3618" s="68"/>
      <c r="M3618" s="63" t="str">
        <f>HYPERLINK("http://nsgreg.nga.mil/genc/view?v=865900&amp;end_month=12&amp;end_day=31&amp;end_year=2016","Correlation")</f>
        <v>Correlation</v>
      </c>
    </row>
    <row r="3619" spans="1:13" x14ac:dyDescent="0.2">
      <c r="A3619" s="113"/>
      <c r="B3619" s="58" t="s">
        <v>9312</v>
      </c>
      <c r="C3619" s="58" t="s">
        <v>1796</v>
      </c>
      <c r="D3619" s="58" t="s">
        <v>9313</v>
      </c>
      <c r="E3619" s="60" t="b">
        <v>1</v>
      </c>
      <c r="F3619" s="80" t="s">
        <v>1167</v>
      </c>
      <c r="G3619" s="58" t="s">
        <v>9314</v>
      </c>
      <c r="H3619" s="58" t="s">
        <v>1796</v>
      </c>
      <c r="I3619" s="64" t="s">
        <v>9313</v>
      </c>
      <c r="J3619" s="66"/>
      <c r="K3619" s="66"/>
      <c r="L3619" s="68"/>
      <c r="M3619" s="63" t="str">
        <f>HYPERLINK("http://nsgreg.nga.mil/genc/view?v=865933&amp;end_month=12&amp;end_day=31&amp;end_year=2016","Correlation")</f>
        <v>Correlation</v>
      </c>
    </row>
    <row r="3620" spans="1:13" x14ac:dyDescent="0.2">
      <c r="A3620" s="113"/>
      <c r="B3620" s="58" t="s">
        <v>9315</v>
      </c>
      <c r="C3620" s="58" t="s">
        <v>1681</v>
      </c>
      <c r="D3620" s="58" t="s">
        <v>9316</v>
      </c>
      <c r="E3620" s="60" t="b">
        <v>1</v>
      </c>
      <c r="F3620" s="61" t="s">
        <v>167</v>
      </c>
      <c r="G3620" s="61"/>
      <c r="H3620" s="61"/>
      <c r="I3620" s="61"/>
      <c r="J3620" s="61"/>
      <c r="K3620" s="61"/>
      <c r="L3620" s="62"/>
      <c r="M3620" s="63" t="str">
        <f>HYPERLINK("http://nsgreg.nga.mil/genc/view?v=865923&amp;end_month=12&amp;end_day=31&amp;end_year=2016","Correlation")</f>
        <v>Correlation</v>
      </c>
    </row>
    <row r="3621" spans="1:13" x14ac:dyDescent="0.2">
      <c r="A3621" s="113"/>
      <c r="B3621" s="58" t="s">
        <v>9317</v>
      </c>
      <c r="C3621" s="58" t="s">
        <v>1816</v>
      </c>
      <c r="D3621" s="58" t="s">
        <v>9318</v>
      </c>
      <c r="E3621" s="60" t="b">
        <v>1</v>
      </c>
      <c r="F3621" s="61" t="s">
        <v>167</v>
      </c>
      <c r="G3621" s="61"/>
      <c r="H3621" s="61"/>
      <c r="I3621" s="61"/>
      <c r="J3621" s="61"/>
      <c r="K3621" s="61"/>
      <c r="L3621" s="62"/>
      <c r="M3621" s="63" t="str">
        <f>HYPERLINK("http://nsgreg.nga.mil/genc/view?v=865924&amp;end_month=12&amp;end_day=31&amp;end_year=2016","Correlation")</f>
        <v>Correlation</v>
      </c>
    </row>
    <row r="3622" spans="1:13" x14ac:dyDescent="0.2">
      <c r="A3622" s="113"/>
      <c r="B3622" s="58" t="s">
        <v>9319</v>
      </c>
      <c r="C3622" s="58" t="s">
        <v>1816</v>
      </c>
      <c r="D3622" s="58" t="s">
        <v>9320</v>
      </c>
      <c r="E3622" s="60" t="b">
        <v>1</v>
      </c>
      <c r="F3622" s="61" t="s">
        <v>167</v>
      </c>
      <c r="G3622" s="61"/>
      <c r="H3622" s="61"/>
      <c r="I3622" s="61"/>
      <c r="J3622" s="61"/>
      <c r="K3622" s="61"/>
      <c r="L3622" s="62"/>
      <c r="M3622" s="63" t="str">
        <f>HYPERLINK("http://nsgreg.nga.mil/genc/view?v=865925&amp;end_month=12&amp;end_day=31&amp;end_year=2016","Correlation")</f>
        <v>Correlation</v>
      </c>
    </row>
    <row r="3623" spans="1:13" x14ac:dyDescent="0.2">
      <c r="A3623" s="113"/>
      <c r="B3623" s="58" t="s">
        <v>9321</v>
      </c>
      <c r="C3623" s="58" t="s">
        <v>1816</v>
      </c>
      <c r="D3623" s="58" t="s">
        <v>9322</v>
      </c>
      <c r="E3623" s="60" t="b">
        <v>1</v>
      </c>
      <c r="F3623" s="61" t="s">
        <v>167</v>
      </c>
      <c r="G3623" s="61"/>
      <c r="H3623" s="61"/>
      <c r="I3623" s="61"/>
      <c r="J3623" s="61"/>
      <c r="K3623" s="61"/>
      <c r="L3623" s="62"/>
      <c r="M3623" s="63" t="str">
        <f>HYPERLINK("http://nsgreg.nga.mil/genc/view?v=865926&amp;end_month=12&amp;end_day=31&amp;end_year=2016","Correlation")</f>
        <v>Correlation</v>
      </c>
    </row>
    <row r="3624" spans="1:13" x14ac:dyDescent="0.2">
      <c r="A3624" s="113"/>
      <c r="B3624" s="58" t="s">
        <v>9323</v>
      </c>
      <c r="C3624" s="58" t="s">
        <v>1816</v>
      </c>
      <c r="D3624" s="58" t="s">
        <v>9324</v>
      </c>
      <c r="E3624" s="60" t="b">
        <v>1</v>
      </c>
      <c r="F3624" s="61" t="s">
        <v>167</v>
      </c>
      <c r="G3624" s="61"/>
      <c r="H3624" s="61"/>
      <c r="I3624" s="61"/>
      <c r="J3624" s="61"/>
      <c r="K3624" s="61"/>
      <c r="L3624" s="62"/>
      <c r="M3624" s="63" t="str">
        <f>HYPERLINK("http://nsgreg.nga.mil/genc/view?v=865927&amp;end_month=12&amp;end_day=31&amp;end_year=2016","Correlation")</f>
        <v>Correlation</v>
      </c>
    </row>
    <row r="3625" spans="1:13" x14ac:dyDescent="0.2">
      <c r="A3625" s="113"/>
      <c r="B3625" s="58" t="s">
        <v>9325</v>
      </c>
      <c r="C3625" s="58" t="s">
        <v>1816</v>
      </c>
      <c r="D3625" s="58" t="s">
        <v>9326</v>
      </c>
      <c r="E3625" s="60" t="b">
        <v>1</v>
      </c>
      <c r="F3625" s="61" t="s">
        <v>167</v>
      </c>
      <c r="G3625" s="61"/>
      <c r="H3625" s="61"/>
      <c r="I3625" s="61"/>
      <c r="J3625" s="61"/>
      <c r="K3625" s="61"/>
      <c r="L3625" s="62"/>
      <c r="M3625" s="63" t="str">
        <f>HYPERLINK("http://nsgreg.nga.mil/genc/view?v=865928&amp;end_month=12&amp;end_day=31&amp;end_year=2016","Correlation")</f>
        <v>Correlation</v>
      </c>
    </row>
    <row r="3626" spans="1:13" x14ac:dyDescent="0.2">
      <c r="A3626" s="113"/>
      <c r="B3626" s="58" t="s">
        <v>9327</v>
      </c>
      <c r="C3626" s="58" t="s">
        <v>1816</v>
      </c>
      <c r="D3626" s="58" t="s">
        <v>9328</v>
      </c>
      <c r="E3626" s="60" t="b">
        <v>1</v>
      </c>
      <c r="F3626" s="61" t="s">
        <v>167</v>
      </c>
      <c r="G3626" s="61"/>
      <c r="H3626" s="61"/>
      <c r="I3626" s="61"/>
      <c r="J3626" s="61"/>
      <c r="K3626" s="61"/>
      <c r="L3626" s="62"/>
      <c r="M3626" s="63" t="str">
        <f>HYPERLINK("http://nsgreg.nga.mil/genc/view?v=865929&amp;end_month=12&amp;end_day=31&amp;end_year=2016","Correlation")</f>
        <v>Correlation</v>
      </c>
    </row>
    <row r="3627" spans="1:13" x14ac:dyDescent="0.2">
      <c r="A3627" s="113"/>
      <c r="B3627" s="58" t="s">
        <v>9329</v>
      </c>
      <c r="C3627" s="58" t="s">
        <v>1796</v>
      </c>
      <c r="D3627" s="58" t="s">
        <v>9330</v>
      </c>
      <c r="E3627" s="60" t="b">
        <v>1</v>
      </c>
      <c r="F3627" s="80" t="s">
        <v>1167</v>
      </c>
      <c r="G3627" s="58" t="s">
        <v>9331</v>
      </c>
      <c r="H3627" s="58" t="s">
        <v>1796</v>
      </c>
      <c r="I3627" s="64" t="s">
        <v>9330</v>
      </c>
      <c r="J3627" s="66"/>
      <c r="K3627" s="66"/>
      <c r="L3627" s="68"/>
      <c r="M3627" s="63" t="str">
        <f>HYPERLINK("http://nsgreg.nga.mil/genc/view?v=865983&amp;end_month=12&amp;end_day=31&amp;end_year=2016","Correlation")</f>
        <v>Correlation</v>
      </c>
    </row>
    <row r="3628" spans="1:13" x14ac:dyDescent="0.2">
      <c r="A3628" s="113"/>
      <c r="B3628" s="58" t="s">
        <v>9332</v>
      </c>
      <c r="C3628" s="58" t="s">
        <v>1816</v>
      </c>
      <c r="D3628" s="58" t="s">
        <v>9333</v>
      </c>
      <c r="E3628" s="60" t="b">
        <v>1</v>
      </c>
      <c r="F3628" s="61" t="s">
        <v>167</v>
      </c>
      <c r="G3628" s="61"/>
      <c r="H3628" s="61"/>
      <c r="I3628" s="61"/>
      <c r="J3628" s="61"/>
      <c r="K3628" s="61"/>
      <c r="L3628" s="62"/>
      <c r="M3628" s="63" t="str">
        <f>HYPERLINK("http://nsgreg.nga.mil/genc/view?v=865930&amp;end_month=12&amp;end_day=31&amp;end_year=2016","Correlation")</f>
        <v>Correlation</v>
      </c>
    </row>
    <row r="3629" spans="1:13" x14ac:dyDescent="0.2">
      <c r="A3629" s="113"/>
      <c r="B3629" s="58" t="s">
        <v>9334</v>
      </c>
      <c r="C3629" s="58" t="s">
        <v>1796</v>
      </c>
      <c r="D3629" s="58" t="s">
        <v>9335</v>
      </c>
      <c r="E3629" s="60" t="b">
        <v>1</v>
      </c>
      <c r="F3629" s="80" t="s">
        <v>1167</v>
      </c>
      <c r="G3629" s="58" t="s">
        <v>9336</v>
      </c>
      <c r="H3629" s="58" t="s">
        <v>1796</v>
      </c>
      <c r="I3629" s="64" t="s">
        <v>9335</v>
      </c>
      <c r="J3629" s="66"/>
      <c r="K3629" s="66"/>
      <c r="L3629" s="68"/>
      <c r="M3629" s="63" t="str">
        <f>HYPERLINK("http://nsgreg.nga.mil/genc/view?v=865982&amp;end_month=12&amp;end_day=31&amp;end_year=2016","Correlation")</f>
        <v>Correlation</v>
      </c>
    </row>
    <row r="3630" spans="1:13" x14ac:dyDescent="0.2">
      <c r="A3630" s="113"/>
      <c r="B3630" s="58" t="s">
        <v>9337</v>
      </c>
      <c r="C3630" s="58" t="s">
        <v>1816</v>
      </c>
      <c r="D3630" s="58" t="s">
        <v>9338</v>
      </c>
      <c r="E3630" s="60" t="b">
        <v>1</v>
      </c>
      <c r="F3630" s="61" t="s">
        <v>167</v>
      </c>
      <c r="G3630" s="61"/>
      <c r="H3630" s="61"/>
      <c r="I3630" s="61"/>
      <c r="J3630" s="61"/>
      <c r="K3630" s="61"/>
      <c r="L3630" s="62"/>
      <c r="M3630" s="63" t="str">
        <f>HYPERLINK("http://nsgreg.nga.mil/genc/view?v=865931&amp;end_month=12&amp;end_day=31&amp;end_year=2016","Correlation")</f>
        <v>Correlation</v>
      </c>
    </row>
    <row r="3631" spans="1:13" x14ac:dyDescent="0.2">
      <c r="A3631" s="113"/>
      <c r="B3631" s="58" t="s">
        <v>9339</v>
      </c>
      <c r="C3631" s="58" t="s">
        <v>1816</v>
      </c>
      <c r="D3631" s="58" t="s">
        <v>9340</v>
      </c>
      <c r="E3631" s="60" t="b">
        <v>1</v>
      </c>
      <c r="F3631" s="61" t="s">
        <v>167</v>
      </c>
      <c r="G3631" s="61"/>
      <c r="H3631" s="61"/>
      <c r="I3631" s="61"/>
      <c r="J3631" s="61"/>
      <c r="K3631" s="61"/>
      <c r="L3631" s="62"/>
      <c r="M3631" s="63" t="str">
        <f>HYPERLINK("http://nsgreg.nga.mil/genc/view?v=865932&amp;end_month=12&amp;end_day=31&amp;end_year=2016","Correlation")</f>
        <v>Correlation</v>
      </c>
    </row>
    <row r="3632" spans="1:13" x14ac:dyDescent="0.2">
      <c r="A3632" s="113"/>
      <c r="B3632" s="58" t="s">
        <v>9341</v>
      </c>
      <c r="C3632" s="58" t="s">
        <v>1816</v>
      </c>
      <c r="D3632" s="58" t="s">
        <v>9342</v>
      </c>
      <c r="E3632" s="60" t="b">
        <v>1</v>
      </c>
      <c r="F3632" s="61" t="s">
        <v>167</v>
      </c>
      <c r="G3632" s="61"/>
      <c r="H3632" s="61"/>
      <c r="I3632" s="61"/>
      <c r="J3632" s="61"/>
      <c r="K3632" s="61"/>
      <c r="L3632" s="62"/>
      <c r="M3632" s="63" t="str">
        <f>HYPERLINK("http://nsgreg.nga.mil/genc/view?v=865934&amp;end_month=12&amp;end_day=31&amp;end_year=2016","Correlation")</f>
        <v>Correlation</v>
      </c>
    </row>
    <row r="3633" spans="1:13" x14ac:dyDescent="0.2">
      <c r="A3633" s="113"/>
      <c r="B3633" s="58" t="s">
        <v>9343</v>
      </c>
      <c r="C3633" s="58" t="s">
        <v>1681</v>
      </c>
      <c r="D3633" s="58" t="s">
        <v>9344</v>
      </c>
      <c r="E3633" s="60" t="b">
        <v>1</v>
      </c>
      <c r="F3633" s="61" t="s">
        <v>167</v>
      </c>
      <c r="G3633" s="61"/>
      <c r="H3633" s="61"/>
      <c r="I3633" s="61"/>
      <c r="J3633" s="61"/>
      <c r="K3633" s="61"/>
      <c r="L3633" s="62"/>
      <c r="M3633" s="63" t="str">
        <f>HYPERLINK("http://nsgreg.nga.mil/genc/view?v=865935&amp;end_month=12&amp;end_day=31&amp;end_year=2016","Correlation")</f>
        <v>Correlation</v>
      </c>
    </row>
    <row r="3634" spans="1:13" x14ac:dyDescent="0.2">
      <c r="A3634" s="113"/>
      <c r="B3634" s="58" t="s">
        <v>9345</v>
      </c>
      <c r="C3634" s="58" t="s">
        <v>1816</v>
      </c>
      <c r="D3634" s="58" t="s">
        <v>9346</v>
      </c>
      <c r="E3634" s="60" t="b">
        <v>1</v>
      </c>
      <c r="F3634" s="61" t="s">
        <v>167</v>
      </c>
      <c r="G3634" s="61"/>
      <c r="H3634" s="61"/>
      <c r="I3634" s="61"/>
      <c r="J3634" s="61"/>
      <c r="K3634" s="61"/>
      <c r="L3634" s="62"/>
      <c r="M3634" s="63" t="str">
        <f>HYPERLINK("http://nsgreg.nga.mil/genc/view?v=865936&amp;end_month=12&amp;end_day=31&amp;end_year=2016","Correlation")</f>
        <v>Correlation</v>
      </c>
    </row>
    <row r="3635" spans="1:13" x14ac:dyDescent="0.2">
      <c r="A3635" s="113"/>
      <c r="B3635" s="58" t="s">
        <v>9347</v>
      </c>
      <c r="C3635" s="58" t="s">
        <v>1816</v>
      </c>
      <c r="D3635" s="58" t="s">
        <v>9348</v>
      </c>
      <c r="E3635" s="60" t="b">
        <v>1</v>
      </c>
      <c r="F3635" s="61" t="s">
        <v>167</v>
      </c>
      <c r="G3635" s="61"/>
      <c r="H3635" s="61"/>
      <c r="I3635" s="61"/>
      <c r="J3635" s="61"/>
      <c r="K3635" s="61"/>
      <c r="L3635" s="62"/>
      <c r="M3635" s="63" t="str">
        <f>HYPERLINK("http://nsgreg.nga.mil/genc/view?v=865937&amp;end_month=12&amp;end_day=31&amp;end_year=2016","Correlation")</f>
        <v>Correlation</v>
      </c>
    </row>
    <row r="3636" spans="1:13" x14ac:dyDescent="0.2">
      <c r="A3636" s="113"/>
      <c r="B3636" s="58" t="s">
        <v>9349</v>
      </c>
      <c r="C3636" s="58" t="s">
        <v>1796</v>
      </c>
      <c r="D3636" s="58" t="s">
        <v>9350</v>
      </c>
      <c r="E3636" s="60" t="b">
        <v>1</v>
      </c>
      <c r="F3636" s="80" t="s">
        <v>1167</v>
      </c>
      <c r="G3636" s="58" t="s">
        <v>9351</v>
      </c>
      <c r="H3636" s="58" t="s">
        <v>1796</v>
      </c>
      <c r="I3636" s="64" t="s">
        <v>9350</v>
      </c>
      <c r="J3636" s="66"/>
      <c r="K3636" s="66"/>
      <c r="L3636" s="68"/>
      <c r="M3636" s="63" t="str">
        <f>HYPERLINK("http://nsgreg.nga.mil/genc/view?v=865891&amp;end_month=12&amp;end_day=31&amp;end_year=2016","Correlation")</f>
        <v>Correlation</v>
      </c>
    </row>
    <row r="3637" spans="1:13" x14ac:dyDescent="0.2">
      <c r="A3637" s="113"/>
      <c r="B3637" s="58" t="s">
        <v>9352</v>
      </c>
      <c r="C3637" s="58" t="s">
        <v>1796</v>
      </c>
      <c r="D3637" s="58" t="s">
        <v>9353</v>
      </c>
      <c r="E3637" s="60" t="b">
        <v>1</v>
      </c>
      <c r="F3637" s="80" t="s">
        <v>1167</v>
      </c>
      <c r="G3637" s="58" t="s">
        <v>9354</v>
      </c>
      <c r="H3637" s="58" t="s">
        <v>1796</v>
      </c>
      <c r="I3637" s="64" t="s">
        <v>9353</v>
      </c>
      <c r="J3637" s="66"/>
      <c r="K3637" s="66"/>
      <c r="L3637" s="68"/>
      <c r="M3637" s="63" t="str">
        <f>HYPERLINK("http://nsgreg.nga.mil/genc/view?v=865893&amp;end_month=12&amp;end_day=31&amp;end_year=2016","Correlation")</f>
        <v>Correlation</v>
      </c>
    </row>
    <row r="3638" spans="1:13" x14ac:dyDescent="0.2">
      <c r="A3638" s="113"/>
      <c r="B3638" s="58" t="s">
        <v>9355</v>
      </c>
      <c r="C3638" s="58" t="s">
        <v>1816</v>
      </c>
      <c r="D3638" s="58" t="s">
        <v>9356</v>
      </c>
      <c r="E3638" s="60" t="b">
        <v>1</v>
      </c>
      <c r="F3638" s="61" t="s">
        <v>167</v>
      </c>
      <c r="G3638" s="61"/>
      <c r="H3638" s="61"/>
      <c r="I3638" s="61"/>
      <c r="J3638" s="61"/>
      <c r="K3638" s="61"/>
      <c r="L3638" s="62"/>
      <c r="M3638" s="63" t="str">
        <f>HYPERLINK("http://nsgreg.nga.mil/genc/view?v=865938&amp;end_month=12&amp;end_day=31&amp;end_year=2016","Correlation")</f>
        <v>Correlation</v>
      </c>
    </row>
    <row r="3639" spans="1:13" x14ac:dyDescent="0.2">
      <c r="A3639" s="113"/>
      <c r="B3639" s="58" t="s">
        <v>9357</v>
      </c>
      <c r="C3639" s="58" t="s">
        <v>1816</v>
      </c>
      <c r="D3639" s="58" t="s">
        <v>9358</v>
      </c>
      <c r="E3639" s="60" t="b">
        <v>1</v>
      </c>
      <c r="F3639" s="61" t="s">
        <v>167</v>
      </c>
      <c r="G3639" s="61"/>
      <c r="H3639" s="61"/>
      <c r="I3639" s="61"/>
      <c r="J3639" s="61"/>
      <c r="K3639" s="61"/>
      <c r="L3639" s="62"/>
      <c r="M3639" s="63" t="str">
        <f>HYPERLINK("http://nsgreg.nga.mil/genc/view?v=865939&amp;end_month=12&amp;end_day=31&amp;end_year=2016","Correlation")</f>
        <v>Correlation</v>
      </c>
    </row>
    <row r="3640" spans="1:13" x14ac:dyDescent="0.2">
      <c r="A3640" s="113"/>
      <c r="B3640" s="58" t="s">
        <v>9359</v>
      </c>
      <c r="C3640" s="58" t="s">
        <v>1681</v>
      </c>
      <c r="D3640" s="58" t="s">
        <v>9360</v>
      </c>
      <c r="E3640" s="60" t="b">
        <v>1</v>
      </c>
      <c r="F3640" s="61" t="s">
        <v>167</v>
      </c>
      <c r="G3640" s="61"/>
      <c r="H3640" s="61"/>
      <c r="I3640" s="61"/>
      <c r="J3640" s="61"/>
      <c r="K3640" s="61"/>
      <c r="L3640" s="62"/>
      <c r="M3640" s="63" t="str">
        <f>HYPERLINK("http://nsgreg.nga.mil/genc/view?v=865940&amp;end_month=12&amp;end_day=31&amp;end_year=2016","Correlation")</f>
        <v>Correlation</v>
      </c>
    </row>
    <row r="3641" spans="1:13" x14ac:dyDescent="0.2">
      <c r="A3641" s="113"/>
      <c r="B3641" s="58" t="s">
        <v>9361</v>
      </c>
      <c r="C3641" s="58" t="s">
        <v>1816</v>
      </c>
      <c r="D3641" s="58" t="s">
        <v>9362</v>
      </c>
      <c r="E3641" s="60" t="b">
        <v>1</v>
      </c>
      <c r="F3641" s="61" t="s">
        <v>167</v>
      </c>
      <c r="G3641" s="61"/>
      <c r="H3641" s="61"/>
      <c r="I3641" s="61"/>
      <c r="J3641" s="61"/>
      <c r="K3641" s="61"/>
      <c r="L3641" s="62"/>
      <c r="M3641" s="63" t="str">
        <f>HYPERLINK("http://nsgreg.nga.mil/genc/view?v=865941&amp;end_month=12&amp;end_day=31&amp;end_year=2016","Correlation")</f>
        <v>Correlation</v>
      </c>
    </row>
    <row r="3642" spans="1:13" x14ac:dyDescent="0.2">
      <c r="A3642" s="113"/>
      <c r="B3642" s="58" t="s">
        <v>9363</v>
      </c>
      <c r="C3642" s="58" t="s">
        <v>1816</v>
      </c>
      <c r="D3642" s="58" t="s">
        <v>9364</v>
      </c>
      <c r="E3642" s="60" t="b">
        <v>1</v>
      </c>
      <c r="F3642" s="61" t="s">
        <v>167</v>
      </c>
      <c r="G3642" s="61"/>
      <c r="H3642" s="61"/>
      <c r="I3642" s="61"/>
      <c r="J3642" s="61"/>
      <c r="K3642" s="61"/>
      <c r="L3642" s="62"/>
      <c r="M3642" s="63" t="str">
        <f>HYPERLINK("http://nsgreg.nga.mil/genc/view?v=865942&amp;end_month=12&amp;end_day=31&amp;end_year=2016","Correlation")</f>
        <v>Correlation</v>
      </c>
    </row>
    <row r="3643" spans="1:13" x14ac:dyDescent="0.2">
      <c r="A3643" s="113"/>
      <c r="B3643" s="58" t="s">
        <v>9365</v>
      </c>
      <c r="C3643" s="58" t="s">
        <v>1681</v>
      </c>
      <c r="D3643" s="58" t="s">
        <v>9366</v>
      </c>
      <c r="E3643" s="60" t="b">
        <v>1</v>
      </c>
      <c r="F3643" s="61" t="s">
        <v>167</v>
      </c>
      <c r="G3643" s="61"/>
      <c r="H3643" s="61"/>
      <c r="I3643" s="61"/>
      <c r="J3643" s="61"/>
      <c r="K3643" s="61"/>
      <c r="L3643" s="62"/>
      <c r="M3643" s="63" t="str">
        <f>HYPERLINK("http://nsgreg.nga.mil/genc/view?v=865943&amp;end_month=12&amp;end_day=31&amp;end_year=2016","Correlation")</f>
        <v>Correlation</v>
      </c>
    </row>
    <row r="3644" spans="1:13" x14ac:dyDescent="0.2">
      <c r="A3644" s="113"/>
      <c r="B3644" s="58" t="s">
        <v>9367</v>
      </c>
      <c r="C3644" s="58" t="s">
        <v>1816</v>
      </c>
      <c r="D3644" s="58" t="s">
        <v>9368</v>
      </c>
      <c r="E3644" s="60" t="b">
        <v>1</v>
      </c>
      <c r="F3644" s="61" t="s">
        <v>167</v>
      </c>
      <c r="G3644" s="61"/>
      <c r="H3644" s="61"/>
      <c r="I3644" s="61"/>
      <c r="J3644" s="61"/>
      <c r="K3644" s="61"/>
      <c r="L3644" s="62"/>
      <c r="M3644" s="63" t="str">
        <f>HYPERLINK("http://nsgreg.nga.mil/genc/view?v=865945&amp;end_month=12&amp;end_day=31&amp;end_year=2016","Correlation")</f>
        <v>Correlation</v>
      </c>
    </row>
    <row r="3645" spans="1:13" x14ac:dyDescent="0.2">
      <c r="A3645" s="113"/>
      <c r="B3645" s="58" t="s">
        <v>9369</v>
      </c>
      <c r="C3645" s="58" t="s">
        <v>1796</v>
      </c>
      <c r="D3645" s="58" t="s">
        <v>9370</v>
      </c>
      <c r="E3645" s="60" t="b">
        <v>1</v>
      </c>
      <c r="F3645" s="80" t="s">
        <v>1167</v>
      </c>
      <c r="G3645" s="58" t="s">
        <v>9371</v>
      </c>
      <c r="H3645" s="58" t="s">
        <v>1796</v>
      </c>
      <c r="I3645" s="64" t="s">
        <v>9370</v>
      </c>
      <c r="J3645" s="66"/>
      <c r="K3645" s="66"/>
      <c r="L3645" s="68"/>
      <c r="M3645" s="63" t="str">
        <f>HYPERLINK("http://nsgreg.nga.mil/genc/view?v=865892&amp;end_month=12&amp;end_day=31&amp;end_year=2016","Correlation")</f>
        <v>Correlation</v>
      </c>
    </row>
    <row r="3646" spans="1:13" x14ac:dyDescent="0.2">
      <c r="A3646" s="113"/>
      <c r="B3646" s="58" t="s">
        <v>9372</v>
      </c>
      <c r="C3646" s="58" t="s">
        <v>1681</v>
      </c>
      <c r="D3646" s="58" t="s">
        <v>9373</v>
      </c>
      <c r="E3646" s="60" t="b">
        <v>1</v>
      </c>
      <c r="F3646" s="61" t="s">
        <v>167</v>
      </c>
      <c r="G3646" s="61"/>
      <c r="H3646" s="61"/>
      <c r="I3646" s="61"/>
      <c r="J3646" s="61"/>
      <c r="K3646" s="61"/>
      <c r="L3646" s="62"/>
      <c r="M3646" s="63" t="str">
        <f>HYPERLINK("http://nsgreg.nga.mil/genc/view?v=865946&amp;end_month=12&amp;end_day=31&amp;end_year=2016","Correlation")</f>
        <v>Correlation</v>
      </c>
    </row>
    <row r="3647" spans="1:13" x14ac:dyDescent="0.2">
      <c r="A3647" s="113"/>
      <c r="B3647" s="58" t="s">
        <v>9374</v>
      </c>
      <c r="C3647" s="58" t="s">
        <v>1816</v>
      </c>
      <c r="D3647" s="58" t="s">
        <v>9375</v>
      </c>
      <c r="E3647" s="60" t="b">
        <v>1</v>
      </c>
      <c r="F3647" s="61" t="s">
        <v>167</v>
      </c>
      <c r="G3647" s="61"/>
      <c r="H3647" s="61"/>
      <c r="I3647" s="61"/>
      <c r="J3647" s="61"/>
      <c r="K3647" s="61"/>
      <c r="L3647" s="62"/>
      <c r="M3647" s="63" t="str">
        <f>HYPERLINK("http://nsgreg.nga.mil/genc/view?v=865947&amp;end_month=12&amp;end_day=31&amp;end_year=2016","Correlation")</f>
        <v>Correlation</v>
      </c>
    </row>
    <row r="3648" spans="1:13" x14ac:dyDescent="0.2">
      <c r="A3648" s="113"/>
      <c r="B3648" s="58" t="s">
        <v>9376</v>
      </c>
      <c r="C3648" s="58" t="s">
        <v>1796</v>
      </c>
      <c r="D3648" s="58" t="s">
        <v>9377</v>
      </c>
      <c r="E3648" s="60" t="b">
        <v>1</v>
      </c>
      <c r="F3648" s="80" t="s">
        <v>1167</v>
      </c>
      <c r="G3648" s="58" t="s">
        <v>9378</v>
      </c>
      <c r="H3648" s="58" t="s">
        <v>1796</v>
      </c>
      <c r="I3648" s="64" t="s">
        <v>9377</v>
      </c>
      <c r="J3648" s="66"/>
      <c r="K3648" s="66"/>
      <c r="L3648" s="68"/>
      <c r="M3648" s="63" t="str">
        <f>HYPERLINK("http://nsgreg.nga.mil/genc/view?v=865897&amp;end_month=12&amp;end_day=31&amp;end_year=2016","Correlation")</f>
        <v>Correlation</v>
      </c>
    </row>
    <row r="3649" spans="1:13" x14ac:dyDescent="0.2">
      <c r="A3649" s="113"/>
      <c r="B3649" s="58" t="s">
        <v>9379</v>
      </c>
      <c r="C3649" s="58" t="s">
        <v>1816</v>
      </c>
      <c r="D3649" s="58" t="s">
        <v>9380</v>
      </c>
      <c r="E3649" s="60" t="b">
        <v>1</v>
      </c>
      <c r="F3649" s="61" t="s">
        <v>167</v>
      </c>
      <c r="G3649" s="61"/>
      <c r="H3649" s="61"/>
      <c r="I3649" s="61"/>
      <c r="J3649" s="61"/>
      <c r="K3649" s="61"/>
      <c r="L3649" s="62"/>
      <c r="M3649" s="63" t="str">
        <f>HYPERLINK("http://nsgreg.nga.mil/genc/view?v=865948&amp;end_month=12&amp;end_day=31&amp;end_year=2016","Correlation")</f>
        <v>Correlation</v>
      </c>
    </row>
    <row r="3650" spans="1:13" x14ac:dyDescent="0.2">
      <c r="A3650" s="113"/>
      <c r="B3650" s="58" t="s">
        <v>9381</v>
      </c>
      <c r="C3650" s="58" t="s">
        <v>1681</v>
      </c>
      <c r="D3650" s="58" t="s">
        <v>9382</v>
      </c>
      <c r="E3650" s="60" t="b">
        <v>1</v>
      </c>
      <c r="F3650" s="61" t="s">
        <v>167</v>
      </c>
      <c r="G3650" s="61"/>
      <c r="H3650" s="61"/>
      <c r="I3650" s="61"/>
      <c r="J3650" s="61"/>
      <c r="K3650" s="61"/>
      <c r="L3650" s="62"/>
      <c r="M3650" s="63" t="str">
        <f>HYPERLINK("http://nsgreg.nga.mil/genc/view?v=865949&amp;end_month=12&amp;end_day=31&amp;end_year=2016","Correlation")</f>
        <v>Correlation</v>
      </c>
    </row>
    <row r="3651" spans="1:13" x14ac:dyDescent="0.2">
      <c r="A3651" s="113"/>
      <c r="B3651" s="58" t="s">
        <v>9383</v>
      </c>
      <c r="C3651" s="58" t="s">
        <v>1796</v>
      </c>
      <c r="D3651" s="58" t="s">
        <v>9384</v>
      </c>
      <c r="E3651" s="60" t="b">
        <v>1</v>
      </c>
      <c r="F3651" s="80" t="s">
        <v>1167</v>
      </c>
      <c r="G3651" s="58" t="s">
        <v>9385</v>
      </c>
      <c r="H3651" s="58" t="s">
        <v>1796</v>
      </c>
      <c r="I3651" s="64" t="s">
        <v>9384</v>
      </c>
      <c r="J3651" s="66"/>
      <c r="K3651" s="66"/>
      <c r="L3651" s="68"/>
      <c r="M3651" s="63" t="str">
        <f>HYPERLINK("http://nsgreg.nga.mil/genc/view?v=865922&amp;end_month=12&amp;end_day=31&amp;end_year=2016","Correlation")</f>
        <v>Correlation</v>
      </c>
    </row>
    <row r="3652" spans="1:13" x14ac:dyDescent="0.2">
      <c r="A3652" s="113"/>
      <c r="B3652" s="58" t="s">
        <v>9386</v>
      </c>
      <c r="C3652" s="58" t="s">
        <v>1816</v>
      </c>
      <c r="D3652" s="58" t="s">
        <v>9387</v>
      </c>
      <c r="E3652" s="60" t="b">
        <v>1</v>
      </c>
      <c r="F3652" s="61" t="s">
        <v>167</v>
      </c>
      <c r="G3652" s="61"/>
      <c r="H3652" s="61"/>
      <c r="I3652" s="61"/>
      <c r="J3652" s="61"/>
      <c r="K3652" s="61"/>
      <c r="L3652" s="62"/>
      <c r="M3652" s="63" t="str">
        <f>HYPERLINK("http://nsgreg.nga.mil/genc/view?v=865950&amp;end_month=12&amp;end_day=31&amp;end_year=2016","Correlation")</f>
        <v>Correlation</v>
      </c>
    </row>
    <row r="3653" spans="1:13" x14ac:dyDescent="0.2">
      <c r="A3653" s="113"/>
      <c r="B3653" s="58" t="s">
        <v>9388</v>
      </c>
      <c r="C3653" s="58" t="s">
        <v>1816</v>
      </c>
      <c r="D3653" s="58" t="s">
        <v>9389</v>
      </c>
      <c r="E3653" s="60" t="b">
        <v>1</v>
      </c>
      <c r="F3653" s="61" t="s">
        <v>167</v>
      </c>
      <c r="G3653" s="61"/>
      <c r="H3653" s="61"/>
      <c r="I3653" s="61"/>
      <c r="J3653" s="61"/>
      <c r="K3653" s="61"/>
      <c r="L3653" s="62"/>
      <c r="M3653" s="63" t="str">
        <f>HYPERLINK("http://nsgreg.nga.mil/genc/view?v=865951&amp;end_month=12&amp;end_day=31&amp;end_year=2016","Correlation")</f>
        <v>Correlation</v>
      </c>
    </row>
    <row r="3654" spans="1:13" x14ac:dyDescent="0.2">
      <c r="A3654" s="113"/>
      <c r="B3654" s="58" t="s">
        <v>9390</v>
      </c>
      <c r="C3654" s="58" t="s">
        <v>1816</v>
      </c>
      <c r="D3654" s="58" t="s">
        <v>9391</v>
      </c>
      <c r="E3654" s="60" t="b">
        <v>1</v>
      </c>
      <c r="F3654" s="61" t="s">
        <v>167</v>
      </c>
      <c r="G3654" s="61"/>
      <c r="H3654" s="61"/>
      <c r="I3654" s="61"/>
      <c r="J3654" s="61"/>
      <c r="K3654" s="61"/>
      <c r="L3654" s="62"/>
      <c r="M3654" s="63" t="str">
        <f>HYPERLINK("http://nsgreg.nga.mil/genc/view?v=865952&amp;end_month=12&amp;end_day=31&amp;end_year=2016","Correlation")</f>
        <v>Correlation</v>
      </c>
    </row>
    <row r="3655" spans="1:13" x14ac:dyDescent="0.2">
      <c r="A3655" s="113"/>
      <c r="B3655" s="58" t="s">
        <v>9392</v>
      </c>
      <c r="C3655" s="58" t="s">
        <v>1816</v>
      </c>
      <c r="D3655" s="58" t="s">
        <v>9393</v>
      </c>
      <c r="E3655" s="60" t="b">
        <v>1</v>
      </c>
      <c r="F3655" s="61" t="s">
        <v>167</v>
      </c>
      <c r="G3655" s="61"/>
      <c r="H3655" s="61"/>
      <c r="I3655" s="61"/>
      <c r="J3655" s="61"/>
      <c r="K3655" s="61"/>
      <c r="L3655" s="62"/>
      <c r="M3655" s="63" t="str">
        <f>HYPERLINK("http://nsgreg.nga.mil/genc/view?v=865953&amp;end_month=12&amp;end_day=31&amp;end_year=2016","Correlation")</f>
        <v>Correlation</v>
      </c>
    </row>
    <row r="3656" spans="1:13" x14ac:dyDescent="0.2">
      <c r="A3656" s="113"/>
      <c r="B3656" s="58" t="s">
        <v>9394</v>
      </c>
      <c r="C3656" s="58" t="s">
        <v>1816</v>
      </c>
      <c r="D3656" s="58" t="s">
        <v>9395</v>
      </c>
      <c r="E3656" s="60" t="b">
        <v>1</v>
      </c>
      <c r="F3656" s="61" t="s">
        <v>167</v>
      </c>
      <c r="G3656" s="61"/>
      <c r="H3656" s="61"/>
      <c r="I3656" s="61"/>
      <c r="J3656" s="61"/>
      <c r="K3656" s="61"/>
      <c r="L3656" s="62"/>
      <c r="M3656" s="63" t="str">
        <f>HYPERLINK("http://nsgreg.nga.mil/genc/view?v=865954&amp;end_month=12&amp;end_day=31&amp;end_year=2016","Correlation")</f>
        <v>Correlation</v>
      </c>
    </row>
    <row r="3657" spans="1:13" x14ac:dyDescent="0.2">
      <c r="A3657" s="113"/>
      <c r="B3657" s="58" t="s">
        <v>9396</v>
      </c>
      <c r="C3657" s="58" t="s">
        <v>1796</v>
      </c>
      <c r="D3657" s="58" t="s">
        <v>9397</v>
      </c>
      <c r="E3657" s="60" t="b">
        <v>1</v>
      </c>
      <c r="F3657" s="80" t="s">
        <v>1167</v>
      </c>
      <c r="G3657" s="58" t="s">
        <v>9398</v>
      </c>
      <c r="H3657" s="58" t="s">
        <v>1796</v>
      </c>
      <c r="I3657" s="64" t="s">
        <v>9397</v>
      </c>
      <c r="J3657" s="66"/>
      <c r="K3657" s="66"/>
      <c r="L3657" s="68"/>
      <c r="M3657" s="63" t="str">
        <f>HYPERLINK("http://nsgreg.nga.mil/genc/view?v=865985&amp;end_month=12&amp;end_day=31&amp;end_year=2016","Correlation")</f>
        <v>Correlation</v>
      </c>
    </row>
    <row r="3658" spans="1:13" x14ac:dyDescent="0.2">
      <c r="A3658" s="113"/>
      <c r="B3658" s="58" t="s">
        <v>9399</v>
      </c>
      <c r="C3658" s="58" t="s">
        <v>1816</v>
      </c>
      <c r="D3658" s="58" t="s">
        <v>9400</v>
      </c>
      <c r="E3658" s="60" t="b">
        <v>1</v>
      </c>
      <c r="F3658" s="61" t="s">
        <v>167</v>
      </c>
      <c r="G3658" s="61"/>
      <c r="H3658" s="61"/>
      <c r="I3658" s="61"/>
      <c r="J3658" s="61"/>
      <c r="K3658" s="61"/>
      <c r="L3658" s="62"/>
      <c r="M3658" s="63" t="str">
        <f>HYPERLINK("http://nsgreg.nga.mil/genc/view?v=865956&amp;end_month=12&amp;end_day=31&amp;end_year=2016","Correlation")</f>
        <v>Correlation</v>
      </c>
    </row>
    <row r="3659" spans="1:13" x14ac:dyDescent="0.2">
      <c r="A3659" s="113"/>
      <c r="B3659" s="58" t="s">
        <v>9401</v>
      </c>
      <c r="C3659" s="58" t="s">
        <v>1816</v>
      </c>
      <c r="D3659" s="58" t="s">
        <v>9402</v>
      </c>
      <c r="E3659" s="60" t="b">
        <v>1</v>
      </c>
      <c r="F3659" s="61" t="s">
        <v>167</v>
      </c>
      <c r="G3659" s="61"/>
      <c r="H3659" s="61"/>
      <c r="I3659" s="61"/>
      <c r="J3659" s="61"/>
      <c r="K3659" s="61"/>
      <c r="L3659" s="62"/>
      <c r="M3659" s="63" t="str">
        <f>HYPERLINK("http://nsgreg.nga.mil/genc/view?v=865957&amp;end_month=12&amp;end_day=31&amp;end_year=2016","Correlation")</f>
        <v>Correlation</v>
      </c>
    </row>
    <row r="3660" spans="1:13" x14ac:dyDescent="0.2">
      <c r="A3660" s="113"/>
      <c r="B3660" s="58" t="s">
        <v>9403</v>
      </c>
      <c r="C3660" s="58" t="s">
        <v>1816</v>
      </c>
      <c r="D3660" s="58" t="s">
        <v>9404</v>
      </c>
      <c r="E3660" s="60" t="b">
        <v>1</v>
      </c>
      <c r="F3660" s="61" t="s">
        <v>167</v>
      </c>
      <c r="G3660" s="61"/>
      <c r="H3660" s="61"/>
      <c r="I3660" s="61"/>
      <c r="J3660" s="61"/>
      <c r="K3660" s="61"/>
      <c r="L3660" s="62"/>
      <c r="M3660" s="63" t="str">
        <f>HYPERLINK("http://nsgreg.nga.mil/genc/view?v=865958&amp;end_month=12&amp;end_day=31&amp;end_year=2016","Correlation")</f>
        <v>Correlation</v>
      </c>
    </row>
    <row r="3661" spans="1:13" x14ac:dyDescent="0.2">
      <c r="A3661" s="113"/>
      <c r="B3661" s="58" t="s">
        <v>9405</v>
      </c>
      <c r="C3661" s="58" t="s">
        <v>1816</v>
      </c>
      <c r="D3661" s="58" t="s">
        <v>9406</v>
      </c>
      <c r="E3661" s="60" t="b">
        <v>1</v>
      </c>
      <c r="F3661" s="61" t="s">
        <v>167</v>
      </c>
      <c r="G3661" s="61"/>
      <c r="H3661" s="61"/>
      <c r="I3661" s="61"/>
      <c r="J3661" s="61"/>
      <c r="K3661" s="61"/>
      <c r="L3661" s="62"/>
      <c r="M3661" s="63" t="str">
        <f>HYPERLINK("http://nsgreg.nga.mil/genc/view?v=865959&amp;end_month=12&amp;end_day=31&amp;end_year=2016","Correlation")</f>
        <v>Correlation</v>
      </c>
    </row>
    <row r="3662" spans="1:13" x14ac:dyDescent="0.2">
      <c r="A3662" s="113"/>
      <c r="B3662" s="58" t="s">
        <v>9407</v>
      </c>
      <c r="C3662" s="58" t="s">
        <v>1816</v>
      </c>
      <c r="D3662" s="58" t="s">
        <v>9408</v>
      </c>
      <c r="E3662" s="60" t="b">
        <v>1</v>
      </c>
      <c r="F3662" s="61" t="s">
        <v>167</v>
      </c>
      <c r="G3662" s="61"/>
      <c r="H3662" s="61"/>
      <c r="I3662" s="61"/>
      <c r="J3662" s="61"/>
      <c r="K3662" s="61"/>
      <c r="L3662" s="62"/>
      <c r="M3662" s="63" t="str">
        <f>HYPERLINK("http://nsgreg.nga.mil/genc/view?v=865960&amp;end_month=12&amp;end_day=31&amp;end_year=2016","Correlation")</f>
        <v>Correlation</v>
      </c>
    </row>
    <row r="3663" spans="1:13" x14ac:dyDescent="0.2">
      <c r="A3663" s="113"/>
      <c r="B3663" s="58" t="s">
        <v>9409</v>
      </c>
      <c r="C3663" s="58" t="s">
        <v>1681</v>
      </c>
      <c r="D3663" s="58" t="s">
        <v>9410</v>
      </c>
      <c r="E3663" s="60" t="b">
        <v>1</v>
      </c>
      <c r="F3663" s="61" t="s">
        <v>167</v>
      </c>
      <c r="G3663" s="61"/>
      <c r="H3663" s="61"/>
      <c r="I3663" s="61"/>
      <c r="J3663" s="61"/>
      <c r="K3663" s="61"/>
      <c r="L3663" s="62"/>
      <c r="M3663" s="63" t="str">
        <f>HYPERLINK("http://nsgreg.nga.mil/genc/view?v=865961&amp;end_month=12&amp;end_day=31&amp;end_year=2016","Correlation")</f>
        <v>Correlation</v>
      </c>
    </row>
    <row r="3664" spans="1:13" x14ac:dyDescent="0.2">
      <c r="A3664" s="113"/>
      <c r="B3664" s="58" t="s">
        <v>9411</v>
      </c>
      <c r="C3664" s="58" t="s">
        <v>1681</v>
      </c>
      <c r="D3664" s="58" t="s">
        <v>9412</v>
      </c>
      <c r="E3664" s="60" t="b">
        <v>1</v>
      </c>
      <c r="F3664" s="61" t="s">
        <v>167</v>
      </c>
      <c r="G3664" s="61"/>
      <c r="H3664" s="61"/>
      <c r="I3664" s="61"/>
      <c r="J3664" s="61"/>
      <c r="K3664" s="61"/>
      <c r="L3664" s="62"/>
      <c r="M3664" s="63" t="str">
        <f>HYPERLINK("http://nsgreg.nga.mil/genc/view?v=865962&amp;end_month=12&amp;end_day=31&amp;end_year=2016","Correlation")</f>
        <v>Correlation</v>
      </c>
    </row>
    <row r="3665" spans="1:13" x14ac:dyDescent="0.2">
      <c r="A3665" s="113"/>
      <c r="B3665" s="58" t="s">
        <v>9413</v>
      </c>
      <c r="C3665" s="58" t="s">
        <v>1816</v>
      </c>
      <c r="D3665" s="58" t="s">
        <v>9414</v>
      </c>
      <c r="E3665" s="60" t="b">
        <v>1</v>
      </c>
      <c r="F3665" s="61" t="s">
        <v>167</v>
      </c>
      <c r="G3665" s="61"/>
      <c r="H3665" s="61"/>
      <c r="I3665" s="61"/>
      <c r="J3665" s="61"/>
      <c r="K3665" s="61"/>
      <c r="L3665" s="62"/>
      <c r="M3665" s="63" t="str">
        <f>HYPERLINK("http://nsgreg.nga.mil/genc/view?v=865963&amp;end_month=12&amp;end_day=31&amp;end_year=2016","Correlation")</f>
        <v>Correlation</v>
      </c>
    </row>
    <row r="3666" spans="1:13" x14ac:dyDescent="0.2">
      <c r="A3666" s="113"/>
      <c r="B3666" s="58" t="s">
        <v>9415</v>
      </c>
      <c r="C3666" s="58" t="s">
        <v>1816</v>
      </c>
      <c r="D3666" s="58" t="s">
        <v>9416</v>
      </c>
      <c r="E3666" s="60" t="b">
        <v>1</v>
      </c>
      <c r="F3666" s="61" t="s">
        <v>167</v>
      </c>
      <c r="G3666" s="61"/>
      <c r="H3666" s="61"/>
      <c r="I3666" s="61"/>
      <c r="J3666" s="61"/>
      <c r="K3666" s="61"/>
      <c r="L3666" s="62"/>
      <c r="M3666" s="63" t="str">
        <f>HYPERLINK("http://nsgreg.nga.mil/genc/view?v=865964&amp;end_month=12&amp;end_day=31&amp;end_year=2016","Correlation")</f>
        <v>Correlation</v>
      </c>
    </row>
    <row r="3667" spans="1:13" x14ac:dyDescent="0.2">
      <c r="A3667" s="113"/>
      <c r="B3667" s="58" t="s">
        <v>9417</v>
      </c>
      <c r="C3667" s="58" t="s">
        <v>1816</v>
      </c>
      <c r="D3667" s="58" t="s">
        <v>9418</v>
      </c>
      <c r="E3667" s="60" t="b">
        <v>1</v>
      </c>
      <c r="F3667" s="61" t="s">
        <v>167</v>
      </c>
      <c r="G3667" s="61"/>
      <c r="H3667" s="61"/>
      <c r="I3667" s="61"/>
      <c r="J3667" s="61"/>
      <c r="K3667" s="61"/>
      <c r="L3667" s="62"/>
      <c r="M3667" s="63" t="str">
        <f>HYPERLINK("http://nsgreg.nga.mil/genc/view?v=865965&amp;end_month=12&amp;end_day=31&amp;end_year=2016","Correlation")</f>
        <v>Correlation</v>
      </c>
    </row>
    <row r="3668" spans="1:13" x14ac:dyDescent="0.2">
      <c r="A3668" s="113"/>
      <c r="B3668" s="58" t="s">
        <v>9419</v>
      </c>
      <c r="C3668" s="58" t="s">
        <v>1816</v>
      </c>
      <c r="D3668" s="58" t="s">
        <v>9420</v>
      </c>
      <c r="E3668" s="60" t="b">
        <v>1</v>
      </c>
      <c r="F3668" s="61" t="s">
        <v>167</v>
      </c>
      <c r="G3668" s="61"/>
      <c r="H3668" s="61"/>
      <c r="I3668" s="61"/>
      <c r="J3668" s="61"/>
      <c r="K3668" s="61"/>
      <c r="L3668" s="62"/>
      <c r="M3668" s="63" t="str">
        <f>HYPERLINK("http://nsgreg.nga.mil/genc/view?v=865967&amp;end_month=12&amp;end_day=31&amp;end_year=2016","Correlation")</f>
        <v>Correlation</v>
      </c>
    </row>
    <row r="3669" spans="1:13" x14ac:dyDescent="0.2">
      <c r="A3669" s="113"/>
      <c r="B3669" s="58" t="s">
        <v>9421</v>
      </c>
      <c r="C3669" s="58" t="s">
        <v>1816</v>
      </c>
      <c r="D3669" s="58" t="s">
        <v>9422</v>
      </c>
      <c r="E3669" s="60" t="b">
        <v>1</v>
      </c>
      <c r="F3669" s="61" t="s">
        <v>167</v>
      </c>
      <c r="G3669" s="61"/>
      <c r="H3669" s="61"/>
      <c r="I3669" s="61"/>
      <c r="J3669" s="61"/>
      <c r="K3669" s="61"/>
      <c r="L3669" s="62"/>
      <c r="M3669" s="63" t="str">
        <f>HYPERLINK("http://nsgreg.nga.mil/genc/view?v=865968&amp;end_month=12&amp;end_day=31&amp;end_year=2016","Correlation")</f>
        <v>Correlation</v>
      </c>
    </row>
    <row r="3670" spans="1:13" x14ac:dyDescent="0.2">
      <c r="A3670" s="113"/>
      <c r="B3670" s="58" t="s">
        <v>9423</v>
      </c>
      <c r="C3670" s="58" t="s">
        <v>1816</v>
      </c>
      <c r="D3670" s="58" t="s">
        <v>9424</v>
      </c>
      <c r="E3670" s="60" t="b">
        <v>1</v>
      </c>
      <c r="F3670" s="61" t="s">
        <v>167</v>
      </c>
      <c r="G3670" s="61"/>
      <c r="H3670" s="61"/>
      <c r="I3670" s="61"/>
      <c r="J3670" s="61"/>
      <c r="K3670" s="61"/>
      <c r="L3670" s="62"/>
      <c r="M3670" s="63" t="str">
        <f>HYPERLINK("http://nsgreg.nga.mil/genc/view?v=865969&amp;end_month=12&amp;end_day=31&amp;end_year=2016","Correlation")</f>
        <v>Correlation</v>
      </c>
    </row>
    <row r="3671" spans="1:13" x14ac:dyDescent="0.2">
      <c r="A3671" s="113"/>
      <c r="B3671" s="58" t="s">
        <v>9425</v>
      </c>
      <c r="C3671" s="58" t="s">
        <v>4947</v>
      </c>
      <c r="D3671" s="58" t="s">
        <v>9426</v>
      </c>
      <c r="E3671" s="60" t="b">
        <v>1</v>
      </c>
      <c r="F3671" s="80" t="s">
        <v>1167</v>
      </c>
      <c r="G3671" s="58" t="s">
        <v>9425</v>
      </c>
      <c r="H3671" s="58" t="s">
        <v>4947</v>
      </c>
      <c r="I3671" s="64" t="s">
        <v>9426</v>
      </c>
      <c r="J3671" s="66"/>
      <c r="K3671" s="66"/>
      <c r="L3671" s="68"/>
      <c r="M3671" s="63" t="str">
        <f>HYPERLINK("http://nsgreg.nga.mil/genc/view?v=866059&amp;end_month=12&amp;end_day=31&amp;end_year=2016","Correlation")</f>
        <v>Correlation</v>
      </c>
    </row>
    <row r="3672" spans="1:13" x14ac:dyDescent="0.2">
      <c r="A3672" s="113"/>
      <c r="B3672" s="58" t="s">
        <v>9427</v>
      </c>
      <c r="C3672" s="58" t="s">
        <v>1681</v>
      </c>
      <c r="D3672" s="58" t="s">
        <v>9428</v>
      </c>
      <c r="E3672" s="60" t="b">
        <v>1</v>
      </c>
      <c r="F3672" s="61" t="s">
        <v>167</v>
      </c>
      <c r="G3672" s="61"/>
      <c r="H3672" s="61"/>
      <c r="I3672" s="61"/>
      <c r="J3672" s="61"/>
      <c r="K3672" s="61"/>
      <c r="L3672" s="62"/>
      <c r="M3672" s="63" t="str">
        <f>HYPERLINK("http://nsgreg.nga.mil/genc/view?v=865970&amp;end_month=12&amp;end_day=31&amp;end_year=2016","Correlation")</f>
        <v>Correlation</v>
      </c>
    </row>
    <row r="3673" spans="1:13" x14ac:dyDescent="0.2">
      <c r="A3673" s="113"/>
      <c r="B3673" s="58" t="s">
        <v>9429</v>
      </c>
      <c r="C3673" s="58" t="s">
        <v>1816</v>
      </c>
      <c r="D3673" s="58" t="s">
        <v>9430</v>
      </c>
      <c r="E3673" s="60" t="b">
        <v>1</v>
      </c>
      <c r="F3673" s="61" t="s">
        <v>167</v>
      </c>
      <c r="G3673" s="61"/>
      <c r="H3673" s="61"/>
      <c r="I3673" s="61"/>
      <c r="J3673" s="61"/>
      <c r="K3673" s="61"/>
      <c r="L3673" s="62"/>
      <c r="M3673" s="63" t="str">
        <f>HYPERLINK("http://nsgreg.nga.mil/genc/view?v=865971&amp;end_month=12&amp;end_day=31&amp;end_year=2016","Correlation")</f>
        <v>Correlation</v>
      </c>
    </row>
    <row r="3674" spans="1:13" x14ac:dyDescent="0.2">
      <c r="A3674" s="113"/>
      <c r="B3674" s="58" t="s">
        <v>9431</v>
      </c>
      <c r="C3674" s="58" t="s">
        <v>1816</v>
      </c>
      <c r="D3674" s="58" t="s">
        <v>9432</v>
      </c>
      <c r="E3674" s="60" t="b">
        <v>1</v>
      </c>
      <c r="F3674" s="61" t="s">
        <v>167</v>
      </c>
      <c r="G3674" s="61"/>
      <c r="H3674" s="61"/>
      <c r="I3674" s="61"/>
      <c r="J3674" s="61"/>
      <c r="K3674" s="61"/>
      <c r="L3674" s="62"/>
      <c r="M3674" s="63" t="str">
        <f>HYPERLINK("http://nsgreg.nga.mil/genc/view?v=865972&amp;end_month=12&amp;end_day=31&amp;end_year=2016","Correlation")</f>
        <v>Correlation</v>
      </c>
    </row>
    <row r="3675" spans="1:13" x14ac:dyDescent="0.2">
      <c r="A3675" s="113"/>
      <c r="B3675" s="58" t="s">
        <v>9433</v>
      </c>
      <c r="C3675" s="58" t="s">
        <v>1681</v>
      </c>
      <c r="D3675" s="58" t="s">
        <v>9434</v>
      </c>
      <c r="E3675" s="60" t="b">
        <v>1</v>
      </c>
      <c r="F3675" s="61" t="s">
        <v>167</v>
      </c>
      <c r="G3675" s="61"/>
      <c r="H3675" s="61"/>
      <c r="I3675" s="61"/>
      <c r="J3675" s="61"/>
      <c r="K3675" s="61"/>
      <c r="L3675" s="62"/>
      <c r="M3675" s="63" t="str">
        <f>HYPERLINK("http://nsgreg.nga.mil/genc/view?v=865973&amp;end_month=12&amp;end_day=31&amp;end_year=2016","Correlation")</f>
        <v>Correlation</v>
      </c>
    </row>
    <row r="3676" spans="1:13" x14ac:dyDescent="0.2">
      <c r="A3676" s="113"/>
      <c r="B3676" s="58" t="s">
        <v>9435</v>
      </c>
      <c r="C3676" s="58" t="s">
        <v>1816</v>
      </c>
      <c r="D3676" s="58" t="s">
        <v>9436</v>
      </c>
      <c r="E3676" s="60" t="b">
        <v>1</v>
      </c>
      <c r="F3676" s="61" t="s">
        <v>167</v>
      </c>
      <c r="G3676" s="61"/>
      <c r="H3676" s="61"/>
      <c r="I3676" s="61"/>
      <c r="J3676" s="61"/>
      <c r="K3676" s="61"/>
      <c r="L3676" s="62"/>
      <c r="M3676" s="63" t="str">
        <f>HYPERLINK("http://nsgreg.nga.mil/genc/view?v=865974&amp;end_month=12&amp;end_day=31&amp;end_year=2016","Correlation")</f>
        <v>Correlation</v>
      </c>
    </row>
    <row r="3677" spans="1:13" x14ac:dyDescent="0.2">
      <c r="A3677" s="113"/>
      <c r="B3677" s="58" t="s">
        <v>9437</v>
      </c>
      <c r="C3677" s="58" t="s">
        <v>1816</v>
      </c>
      <c r="D3677" s="58" t="s">
        <v>9438</v>
      </c>
      <c r="E3677" s="60" t="b">
        <v>1</v>
      </c>
      <c r="F3677" s="61" t="s">
        <v>167</v>
      </c>
      <c r="G3677" s="61"/>
      <c r="H3677" s="61"/>
      <c r="I3677" s="61"/>
      <c r="J3677" s="61"/>
      <c r="K3677" s="61"/>
      <c r="L3677" s="62"/>
      <c r="M3677" s="63" t="str">
        <f>HYPERLINK("http://nsgreg.nga.mil/genc/view?v=865975&amp;end_month=12&amp;end_day=31&amp;end_year=2016","Correlation")</f>
        <v>Correlation</v>
      </c>
    </row>
    <row r="3678" spans="1:13" x14ac:dyDescent="0.2">
      <c r="A3678" s="113"/>
      <c r="B3678" s="58" t="s">
        <v>9439</v>
      </c>
      <c r="C3678" s="58" t="s">
        <v>1816</v>
      </c>
      <c r="D3678" s="58" t="s">
        <v>9440</v>
      </c>
      <c r="E3678" s="60" t="b">
        <v>1</v>
      </c>
      <c r="F3678" s="61" t="s">
        <v>167</v>
      </c>
      <c r="G3678" s="61"/>
      <c r="H3678" s="61"/>
      <c r="I3678" s="61"/>
      <c r="J3678" s="61"/>
      <c r="K3678" s="61"/>
      <c r="L3678" s="62"/>
      <c r="M3678" s="63" t="str">
        <f>HYPERLINK("http://nsgreg.nga.mil/genc/view?v=865976&amp;end_month=12&amp;end_day=31&amp;end_year=2016","Correlation")</f>
        <v>Correlation</v>
      </c>
    </row>
    <row r="3679" spans="1:13" x14ac:dyDescent="0.2">
      <c r="A3679" s="113"/>
      <c r="B3679" s="58" t="s">
        <v>9441</v>
      </c>
      <c r="C3679" s="58" t="s">
        <v>1681</v>
      </c>
      <c r="D3679" s="58" t="s">
        <v>9442</v>
      </c>
      <c r="E3679" s="60" t="b">
        <v>1</v>
      </c>
      <c r="F3679" s="61" t="s">
        <v>167</v>
      </c>
      <c r="G3679" s="61"/>
      <c r="H3679" s="61"/>
      <c r="I3679" s="61"/>
      <c r="J3679" s="61"/>
      <c r="K3679" s="61"/>
      <c r="L3679" s="62"/>
      <c r="M3679" s="63" t="str">
        <f>HYPERLINK("http://nsgreg.nga.mil/genc/view?v=865978&amp;end_month=12&amp;end_day=31&amp;end_year=2016","Correlation")</f>
        <v>Correlation</v>
      </c>
    </row>
    <row r="3680" spans="1:13" x14ac:dyDescent="0.2">
      <c r="A3680" s="113"/>
      <c r="B3680" s="58" t="s">
        <v>9443</v>
      </c>
      <c r="C3680" s="58" t="s">
        <v>1796</v>
      </c>
      <c r="D3680" s="58" t="s">
        <v>9444</v>
      </c>
      <c r="E3680" s="60" t="b">
        <v>1</v>
      </c>
      <c r="F3680" s="80" t="s">
        <v>1167</v>
      </c>
      <c r="G3680" s="58" t="s">
        <v>9445</v>
      </c>
      <c r="H3680" s="58" t="s">
        <v>1796</v>
      </c>
      <c r="I3680" s="64" t="s">
        <v>9444</v>
      </c>
      <c r="J3680" s="66"/>
      <c r="K3680" s="66"/>
      <c r="L3680" s="68"/>
      <c r="M3680" s="63" t="str">
        <f>HYPERLINK("http://nsgreg.nga.mil/genc/view?v=865955&amp;end_month=12&amp;end_day=31&amp;end_year=2016","Correlation")</f>
        <v>Correlation</v>
      </c>
    </row>
    <row r="3681" spans="1:13" x14ac:dyDescent="0.2">
      <c r="A3681" s="113"/>
      <c r="B3681" s="58" t="s">
        <v>9446</v>
      </c>
      <c r="C3681" s="58" t="s">
        <v>1796</v>
      </c>
      <c r="D3681" s="58" t="s">
        <v>9447</v>
      </c>
      <c r="E3681" s="60" t="b">
        <v>1</v>
      </c>
      <c r="F3681" s="80" t="s">
        <v>1167</v>
      </c>
      <c r="G3681" s="58" t="s">
        <v>9448</v>
      </c>
      <c r="H3681" s="58" t="s">
        <v>1796</v>
      </c>
      <c r="I3681" s="64" t="s">
        <v>9447</v>
      </c>
      <c r="J3681" s="66"/>
      <c r="K3681" s="66"/>
      <c r="L3681" s="68"/>
      <c r="M3681" s="63" t="str">
        <f>HYPERLINK("http://nsgreg.nga.mil/genc/view?v=865895&amp;end_month=12&amp;end_day=31&amp;end_year=2016","Correlation")</f>
        <v>Correlation</v>
      </c>
    </row>
    <row r="3682" spans="1:13" x14ac:dyDescent="0.2">
      <c r="A3682" s="113"/>
      <c r="B3682" s="58" t="s">
        <v>9449</v>
      </c>
      <c r="C3682" s="58" t="s">
        <v>1816</v>
      </c>
      <c r="D3682" s="58" t="s">
        <v>9450</v>
      </c>
      <c r="E3682" s="60" t="b">
        <v>1</v>
      </c>
      <c r="F3682" s="61" t="s">
        <v>167</v>
      </c>
      <c r="G3682" s="61"/>
      <c r="H3682" s="61"/>
      <c r="I3682" s="61"/>
      <c r="J3682" s="61"/>
      <c r="K3682" s="61"/>
      <c r="L3682" s="62"/>
      <c r="M3682" s="63" t="str">
        <f>HYPERLINK("http://nsgreg.nga.mil/genc/view?v=865979&amp;end_month=12&amp;end_day=31&amp;end_year=2016","Correlation")</f>
        <v>Correlation</v>
      </c>
    </row>
    <row r="3683" spans="1:13" x14ac:dyDescent="0.2">
      <c r="A3683" s="113"/>
      <c r="B3683" s="58" t="s">
        <v>9451</v>
      </c>
      <c r="C3683" s="58" t="s">
        <v>1816</v>
      </c>
      <c r="D3683" s="58" t="s">
        <v>9452</v>
      </c>
      <c r="E3683" s="60" t="b">
        <v>1</v>
      </c>
      <c r="F3683" s="61" t="s">
        <v>167</v>
      </c>
      <c r="G3683" s="61"/>
      <c r="H3683" s="61"/>
      <c r="I3683" s="61"/>
      <c r="J3683" s="61"/>
      <c r="K3683" s="61"/>
      <c r="L3683" s="62"/>
      <c r="M3683" s="63" t="str">
        <f>HYPERLINK("http://nsgreg.nga.mil/genc/view?v=865980&amp;end_month=12&amp;end_day=31&amp;end_year=2016","Correlation")</f>
        <v>Correlation</v>
      </c>
    </row>
    <row r="3684" spans="1:13" x14ac:dyDescent="0.2">
      <c r="A3684" s="113"/>
      <c r="B3684" s="58" t="s">
        <v>9453</v>
      </c>
      <c r="C3684" s="58" t="s">
        <v>1796</v>
      </c>
      <c r="D3684" s="58" t="s">
        <v>9454</v>
      </c>
      <c r="E3684" s="60" t="b">
        <v>1</v>
      </c>
      <c r="F3684" s="80" t="s">
        <v>1167</v>
      </c>
      <c r="G3684" s="58" t="s">
        <v>9455</v>
      </c>
      <c r="H3684" s="58" t="s">
        <v>1796</v>
      </c>
      <c r="I3684" s="64" t="s">
        <v>9454</v>
      </c>
      <c r="J3684" s="66"/>
      <c r="K3684" s="66"/>
      <c r="L3684" s="68"/>
      <c r="M3684" s="63" t="str">
        <f>HYPERLINK("http://nsgreg.nga.mil/genc/view?v=865966&amp;end_month=12&amp;end_day=31&amp;end_year=2016","Correlation")</f>
        <v>Correlation</v>
      </c>
    </row>
    <row r="3685" spans="1:13" x14ac:dyDescent="0.2">
      <c r="A3685" s="114"/>
      <c r="B3685" s="71" t="s">
        <v>9456</v>
      </c>
      <c r="C3685" s="71" t="s">
        <v>1681</v>
      </c>
      <c r="D3685" s="71" t="s">
        <v>9457</v>
      </c>
      <c r="E3685" s="73" t="b">
        <v>1</v>
      </c>
      <c r="F3685" s="85" t="s">
        <v>167</v>
      </c>
      <c r="G3685" s="85"/>
      <c r="H3685" s="85"/>
      <c r="I3685" s="85"/>
      <c r="J3685" s="85"/>
      <c r="K3685" s="85"/>
      <c r="L3685" s="86"/>
      <c r="M3685" s="77" t="str">
        <f>HYPERLINK("http://nsgreg.nga.mil/genc/view?v=865981&amp;end_month=12&amp;end_day=31&amp;end_year=2016","Correlation")</f>
        <v>Correlation</v>
      </c>
    </row>
    <row r="3686" spans="1:13" x14ac:dyDescent="0.2">
      <c r="A3686" s="112" t="s">
        <v>1171</v>
      </c>
      <c r="B3686" s="50" t="s">
        <v>9458</v>
      </c>
      <c r="C3686" s="50" t="s">
        <v>1796</v>
      </c>
      <c r="D3686" s="50" t="s">
        <v>9459</v>
      </c>
      <c r="E3686" s="52" t="b">
        <v>1</v>
      </c>
      <c r="F3686" s="78" t="s">
        <v>1171</v>
      </c>
      <c r="G3686" s="50" t="s">
        <v>9458</v>
      </c>
      <c r="H3686" s="50" t="s">
        <v>1796</v>
      </c>
      <c r="I3686" s="53" t="s">
        <v>9459</v>
      </c>
      <c r="J3686" s="55"/>
      <c r="K3686" s="55"/>
      <c r="L3686" s="79"/>
      <c r="M3686" s="56" t="str">
        <f>HYPERLINK("http://nsgreg.nga.mil/genc/view?v=866171&amp;end_month=12&amp;end_day=31&amp;end_year=2016","Correlation")</f>
        <v>Correlation</v>
      </c>
    </row>
    <row r="3687" spans="1:13" x14ac:dyDescent="0.2">
      <c r="A3687" s="113"/>
      <c r="B3687" s="58" t="s">
        <v>9460</v>
      </c>
      <c r="C3687" s="58" t="s">
        <v>1796</v>
      </c>
      <c r="D3687" s="58" t="s">
        <v>9461</v>
      </c>
      <c r="E3687" s="60" t="b">
        <v>1</v>
      </c>
      <c r="F3687" s="80" t="s">
        <v>1171</v>
      </c>
      <c r="G3687" s="58" t="s">
        <v>9460</v>
      </c>
      <c r="H3687" s="58" t="s">
        <v>1796</v>
      </c>
      <c r="I3687" s="64" t="s">
        <v>9461</v>
      </c>
      <c r="J3687" s="66"/>
      <c r="K3687" s="66"/>
      <c r="L3687" s="68"/>
      <c r="M3687" s="63" t="str">
        <f>HYPERLINK("http://nsgreg.nga.mil/genc/view?v=866172&amp;end_month=12&amp;end_day=31&amp;end_year=2016","Correlation")</f>
        <v>Correlation</v>
      </c>
    </row>
    <row r="3688" spans="1:13" x14ac:dyDescent="0.2">
      <c r="A3688" s="113"/>
      <c r="B3688" s="58" t="s">
        <v>9462</v>
      </c>
      <c r="C3688" s="58" t="s">
        <v>1796</v>
      </c>
      <c r="D3688" s="58" t="s">
        <v>9463</v>
      </c>
      <c r="E3688" s="60" t="b">
        <v>1</v>
      </c>
      <c r="F3688" s="80" t="s">
        <v>1171</v>
      </c>
      <c r="G3688" s="58" t="s">
        <v>9462</v>
      </c>
      <c r="H3688" s="58" t="s">
        <v>1796</v>
      </c>
      <c r="I3688" s="64" t="s">
        <v>9463</v>
      </c>
      <c r="J3688" s="66"/>
      <c r="K3688" s="66"/>
      <c r="L3688" s="68"/>
      <c r="M3688" s="63" t="str">
        <f>HYPERLINK("http://nsgreg.nga.mil/genc/view?v=866173&amp;end_month=12&amp;end_day=31&amp;end_year=2016","Correlation")</f>
        <v>Correlation</v>
      </c>
    </row>
    <row r="3689" spans="1:13" x14ac:dyDescent="0.2">
      <c r="A3689" s="113"/>
      <c r="B3689" s="58" t="s">
        <v>9464</v>
      </c>
      <c r="C3689" s="58" t="s">
        <v>1796</v>
      </c>
      <c r="D3689" s="58" t="s">
        <v>9465</v>
      </c>
      <c r="E3689" s="60" t="b">
        <v>1</v>
      </c>
      <c r="F3689" s="80" t="s">
        <v>1171</v>
      </c>
      <c r="G3689" s="58" t="s">
        <v>9464</v>
      </c>
      <c r="H3689" s="58" t="s">
        <v>1796</v>
      </c>
      <c r="I3689" s="64" t="s">
        <v>9465</v>
      </c>
      <c r="J3689" s="66"/>
      <c r="K3689" s="66"/>
      <c r="L3689" s="68"/>
      <c r="M3689" s="63" t="str">
        <f>HYPERLINK("http://nsgreg.nga.mil/genc/view?v=866175&amp;end_month=12&amp;end_day=31&amp;end_year=2016","Correlation")</f>
        <v>Correlation</v>
      </c>
    </row>
    <row r="3690" spans="1:13" x14ac:dyDescent="0.2">
      <c r="A3690" s="113"/>
      <c r="B3690" s="58" t="s">
        <v>9466</v>
      </c>
      <c r="C3690" s="58" t="s">
        <v>1796</v>
      </c>
      <c r="D3690" s="58" t="s">
        <v>9467</v>
      </c>
      <c r="E3690" s="60" t="b">
        <v>1</v>
      </c>
      <c r="F3690" s="80" t="s">
        <v>1171</v>
      </c>
      <c r="G3690" s="58" t="s">
        <v>9466</v>
      </c>
      <c r="H3690" s="58" t="s">
        <v>1796</v>
      </c>
      <c r="I3690" s="64" t="s">
        <v>9467</v>
      </c>
      <c r="J3690" s="66"/>
      <c r="K3690" s="66"/>
      <c r="L3690" s="68"/>
      <c r="M3690" s="63" t="str">
        <f>HYPERLINK("http://nsgreg.nga.mil/genc/view?v=866174&amp;end_month=12&amp;end_day=31&amp;end_year=2016","Correlation")</f>
        <v>Correlation</v>
      </c>
    </row>
    <row r="3691" spans="1:13" x14ac:dyDescent="0.2">
      <c r="A3691" s="113"/>
      <c r="B3691" s="58" t="s">
        <v>9468</v>
      </c>
      <c r="C3691" s="58" t="s">
        <v>1796</v>
      </c>
      <c r="D3691" s="58" t="s">
        <v>9469</v>
      </c>
      <c r="E3691" s="60" t="b">
        <v>1</v>
      </c>
      <c r="F3691" s="80" t="s">
        <v>1171</v>
      </c>
      <c r="G3691" s="58" t="s">
        <v>9468</v>
      </c>
      <c r="H3691" s="58" t="s">
        <v>1796</v>
      </c>
      <c r="I3691" s="64" t="s">
        <v>9469</v>
      </c>
      <c r="J3691" s="66"/>
      <c r="K3691" s="66"/>
      <c r="L3691" s="68"/>
      <c r="M3691" s="63" t="str">
        <f>HYPERLINK("http://nsgreg.nga.mil/genc/view?v=866176&amp;end_month=12&amp;end_day=31&amp;end_year=2016","Correlation")</f>
        <v>Correlation</v>
      </c>
    </row>
    <row r="3692" spans="1:13" x14ac:dyDescent="0.2">
      <c r="A3692" s="113"/>
      <c r="B3692" s="58" t="s">
        <v>9470</v>
      </c>
      <c r="C3692" s="58" t="s">
        <v>1796</v>
      </c>
      <c r="D3692" s="58" t="s">
        <v>9471</v>
      </c>
      <c r="E3692" s="60" t="b">
        <v>1</v>
      </c>
      <c r="F3692" s="80" t="s">
        <v>1171</v>
      </c>
      <c r="G3692" s="58" t="s">
        <v>9470</v>
      </c>
      <c r="H3692" s="58" t="s">
        <v>1796</v>
      </c>
      <c r="I3692" s="64" t="s">
        <v>9471</v>
      </c>
      <c r="J3692" s="66"/>
      <c r="K3692" s="66"/>
      <c r="L3692" s="68"/>
      <c r="M3692" s="63" t="str">
        <f>HYPERLINK("http://nsgreg.nga.mil/genc/view?v=866177&amp;end_month=12&amp;end_day=31&amp;end_year=2016","Correlation")</f>
        <v>Correlation</v>
      </c>
    </row>
    <row r="3693" spans="1:13" x14ac:dyDescent="0.2">
      <c r="A3693" s="113"/>
      <c r="B3693" s="58" t="s">
        <v>9472</v>
      </c>
      <c r="C3693" s="58" t="s">
        <v>1796</v>
      </c>
      <c r="D3693" s="58" t="s">
        <v>9473</v>
      </c>
      <c r="E3693" s="60" t="b">
        <v>1</v>
      </c>
      <c r="F3693" s="80" t="s">
        <v>1171</v>
      </c>
      <c r="G3693" s="58" t="s">
        <v>9472</v>
      </c>
      <c r="H3693" s="58" t="s">
        <v>1796</v>
      </c>
      <c r="I3693" s="64" t="s">
        <v>9473</v>
      </c>
      <c r="J3693" s="66"/>
      <c r="K3693" s="66"/>
      <c r="L3693" s="68"/>
      <c r="M3693" s="63" t="str">
        <f>HYPERLINK("http://nsgreg.nga.mil/genc/view?v=866178&amp;end_month=12&amp;end_day=31&amp;end_year=2016","Correlation")</f>
        <v>Correlation</v>
      </c>
    </row>
    <row r="3694" spans="1:13" x14ac:dyDescent="0.2">
      <c r="A3694" s="113"/>
      <c r="B3694" s="58" t="s">
        <v>9474</v>
      </c>
      <c r="C3694" s="58" t="s">
        <v>1796</v>
      </c>
      <c r="D3694" s="58" t="s">
        <v>9475</v>
      </c>
      <c r="E3694" s="60" t="b">
        <v>1</v>
      </c>
      <c r="F3694" s="80" t="s">
        <v>1171</v>
      </c>
      <c r="G3694" s="58" t="s">
        <v>9474</v>
      </c>
      <c r="H3694" s="58" t="s">
        <v>1796</v>
      </c>
      <c r="I3694" s="64" t="s">
        <v>9475</v>
      </c>
      <c r="J3694" s="66"/>
      <c r="K3694" s="66"/>
      <c r="L3694" s="68"/>
      <c r="M3694" s="63" t="str">
        <f>HYPERLINK("http://nsgreg.nga.mil/genc/view?v=866179&amp;end_month=12&amp;end_day=31&amp;end_year=2016","Correlation")</f>
        <v>Correlation</v>
      </c>
    </row>
    <row r="3695" spans="1:13" x14ac:dyDescent="0.2">
      <c r="A3695" s="113"/>
      <c r="B3695" s="58" t="s">
        <v>9476</v>
      </c>
      <c r="C3695" s="58" t="s">
        <v>1796</v>
      </c>
      <c r="D3695" s="58" t="s">
        <v>9477</v>
      </c>
      <c r="E3695" s="60" t="b">
        <v>1</v>
      </c>
      <c r="F3695" s="80" t="s">
        <v>1171</v>
      </c>
      <c r="G3695" s="58" t="s">
        <v>9476</v>
      </c>
      <c r="H3695" s="58" t="s">
        <v>1796</v>
      </c>
      <c r="I3695" s="64" t="s">
        <v>9477</v>
      </c>
      <c r="J3695" s="66"/>
      <c r="K3695" s="66"/>
      <c r="L3695" s="68"/>
      <c r="M3695" s="63" t="str">
        <f>HYPERLINK("http://nsgreg.nga.mil/genc/view?v=866180&amp;end_month=12&amp;end_day=31&amp;end_year=2016","Correlation")</f>
        <v>Correlation</v>
      </c>
    </row>
    <row r="3696" spans="1:13" x14ac:dyDescent="0.2">
      <c r="A3696" s="113"/>
      <c r="B3696" s="58" t="s">
        <v>9478</v>
      </c>
      <c r="C3696" s="58" t="s">
        <v>1796</v>
      </c>
      <c r="D3696" s="58" t="s">
        <v>9479</v>
      </c>
      <c r="E3696" s="60" t="b">
        <v>1</v>
      </c>
      <c r="F3696" s="80" t="s">
        <v>1171</v>
      </c>
      <c r="G3696" s="58" t="s">
        <v>9478</v>
      </c>
      <c r="H3696" s="58" t="s">
        <v>1796</v>
      </c>
      <c r="I3696" s="64" t="s">
        <v>9479</v>
      </c>
      <c r="J3696" s="66"/>
      <c r="K3696" s="66"/>
      <c r="L3696" s="68"/>
      <c r="M3696" s="63" t="str">
        <f>HYPERLINK("http://nsgreg.nga.mil/genc/view?v=866181&amp;end_month=12&amp;end_day=31&amp;end_year=2016","Correlation")</f>
        <v>Correlation</v>
      </c>
    </row>
    <row r="3697" spans="1:13" x14ac:dyDescent="0.2">
      <c r="A3697" s="113"/>
      <c r="B3697" s="58" t="s">
        <v>9480</v>
      </c>
      <c r="C3697" s="58" t="s">
        <v>1796</v>
      </c>
      <c r="D3697" s="58" t="s">
        <v>9481</v>
      </c>
      <c r="E3697" s="60" t="b">
        <v>1</v>
      </c>
      <c r="F3697" s="80" t="s">
        <v>1171</v>
      </c>
      <c r="G3697" s="58" t="s">
        <v>9480</v>
      </c>
      <c r="H3697" s="58" t="s">
        <v>1796</v>
      </c>
      <c r="I3697" s="64" t="s">
        <v>9481</v>
      </c>
      <c r="J3697" s="66"/>
      <c r="K3697" s="66"/>
      <c r="L3697" s="68"/>
      <c r="M3697" s="63" t="str">
        <f>HYPERLINK("http://nsgreg.nga.mil/genc/view?v=866186&amp;end_month=12&amp;end_day=31&amp;end_year=2016","Correlation")</f>
        <v>Correlation</v>
      </c>
    </row>
    <row r="3698" spans="1:13" x14ac:dyDescent="0.2">
      <c r="A3698" s="113"/>
      <c r="B3698" s="58" t="s">
        <v>9482</v>
      </c>
      <c r="C3698" s="58" t="s">
        <v>1796</v>
      </c>
      <c r="D3698" s="58" t="s">
        <v>9483</v>
      </c>
      <c r="E3698" s="60" t="b">
        <v>1</v>
      </c>
      <c r="F3698" s="80" t="s">
        <v>1171</v>
      </c>
      <c r="G3698" s="58" t="s">
        <v>9482</v>
      </c>
      <c r="H3698" s="58" t="s">
        <v>1796</v>
      </c>
      <c r="I3698" s="64" t="s">
        <v>9483</v>
      </c>
      <c r="J3698" s="66"/>
      <c r="K3698" s="66"/>
      <c r="L3698" s="68"/>
      <c r="M3698" s="63" t="str">
        <f>HYPERLINK("http://nsgreg.nga.mil/genc/view?v=866182&amp;end_month=12&amp;end_day=31&amp;end_year=2016","Correlation")</f>
        <v>Correlation</v>
      </c>
    </row>
    <row r="3699" spans="1:13" x14ac:dyDescent="0.2">
      <c r="A3699" s="113"/>
      <c r="B3699" s="58" t="s">
        <v>9484</v>
      </c>
      <c r="C3699" s="58" t="s">
        <v>1796</v>
      </c>
      <c r="D3699" s="58" t="s">
        <v>9485</v>
      </c>
      <c r="E3699" s="60" t="b">
        <v>1</v>
      </c>
      <c r="F3699" s="80" t="s">
        <v>1171</v>
      </c>
      <c r="G3699" s="58" t="s">
        <v>9484</v>
      </c>
      <c r="H3699" s="58" t="s">
        <v>1796</v>
      </c>
      <c r="I3699" s="64" t="s">
        <v>9485</v>
      </c>
      <c r="J3699" s="66"/>
      <c r="K3699" s="66"/>
      <c r="L3699" s="68"/>
      <c r="M3699" s="63" t="str">
        <f>HYPERLINK("http://nsgreg.nga.mil/genc/view?v=866183&amp;end_month=12&amp;end_day=31&amp;end_year=2016","Correlation")</f>
        <v>Correlation</v>
      </c>
    </row>
    <row r="3700" spans="1:13" x14ac:dyDescent="0.2">
      <c r="A3700" s="113"/>
      <c r="B3700" s="58" t="s">
        <v>9486</v>
      </c>
      <c r="C3700" s="58" t="s">
        <v>1796</v>
      </c>
      <c r="D3700" s="58" t="s">
        <v>9487</v>
      </c>
      <c r="E3700" s="60" t="b">
        <v>1</v>
      </c>
      <c r="F3700" s="80" t="s">
        <v>1171</v>
      </c>
      <c r="G3700" s="58" t="s">
        <v>9486</v>
      </c>
      <c r="H3700" s="58" t="s">
        <v>1796</v>
      </c>
      <c r="I3700" s="64" t="s">
        <v>9487</v>
      </c>
      <c r="J3700" s="66"/>
      <c r="K3700" s="66"/>
      <c r="L3700" s="68"/>
      <c r="M3700" s="63" t="str">
        <f>HYPERLINK("http://nsgreg.nga.mil/genc/view?v=866184&amp;end_month=12&amp;end_day=31&amp;end_year=2016","Correlation")</f>
        <v>Correlation</v>
      </c>
    </row>
    <row r="3701" spans="1:13" x14ac:dyDescent="0.2">
      <c r="A3701" s="113"/>
      <c r="B3701" s="58" t="s">
        <v>9488</v>
      </c>
      <c r="C3701" s="58" t="s">
        <v>1796</v>
      </c>
      <c r="D3701" s="58" t="s">
        <v>9489</v>
      </c>
      <c r="E3701" s="60" t="b">
        <v>1</v>
      </c>
      <c r="F3701" s="80" t="s">
        <v>1171</v>
      </c>
      <c r="G3701" s="58" t="s">
        <v>9490</v>
      </c>
      <c r="H3701" s="58" t="s">
        <v>1796</v>
      </c>
      <c r="I3701" s="64" t="s">
        <v>9489</v>
      </c>
      <c r="J3701" s="66"/>
      <c r="K3701" s="66"/>
      <c r="L3701" s="68"/>
      <c r="M3701" s="63" t="str">
        <f>HYPERLINK("http://nsgreg.nga.mil/genc/view?v=866185&amp;end_month=12&amp;end_day=31&amp;end_year=2016","Correlation")</f>
        <v>Correlation</v>
      </c>
    </row>
    <row r="3702" spans="1:13" x14ac:dyDescent="0.2">
      <c r="A3702" s="113"/>
      <c r="B3702" s="58" t="s">
        <v>9491</v>
      </c>
      <c r="C3702" s="58" t="s">
        <v>1796</v>
      </c>
      <c r="D3702" s="58" t="s">
        <v>9492</v>
      </c>
      <c r="E3702" s="60" t="b">
        <v>1</v>
      </c>
      <c r="F3702" s="80" t="s">
        <v>1171</v>
      </c>
      <c r="G3702" s="58" t="s">
        <v>9491</v>
      </c>
      <c r="H3702" s="58" t="s">
        <v>1796</v>
      </c>
      <c r="I3702" s="64" t="s">
        <v>9492</v>
      </c>
      <c r="J3702" s="66"/>
      <c r="K3702" s="66"/>
      <c r="L3702" s="68"/>
      <c r="M3702" s="63" t="str">
        <f>HYPERLINK("http://nsgreg.nga.mil/genc/view?v=866194&amp;end_month=12&amp;end_day=31&amp;end_year=2016","Correlation")</f>
        <v>Correlation</v>
      </c>
    </row>
    <row r="3703" spans="1:13" x14ac:dyDescent="0.2">
      <c r="A3703" s="113"/>
      <c r="B3703" s="58" t="s">
        <v>9493</v>
      </c>
      <c r="C3703" s="58" t="s">
        <v>1796</v>
      </c>
      <c r="D3703" s="58" t="s">
        <v>9494</v>
      </c>
      <c r="E3703" s="60" t="b">
        <v>1</v>
      </c>
      <c r="F3703" s="80" t="s">
        <v>1171</v>
      </c>
      <c r="G3703" s="58" t="s">
        <v>9493</v>
      </c>
      <c r="H3703" s="58" t="s">
        <v>1796</v>
      </c>
      <c r="I3703" s="64" t="s">
        <v>9494</v>
      </c>
      <c r="J3703" s="66"/>
      <c r="K3703" s="66"/>
      <c r="L3703" s="68"/>
      <c r="M3703" s="63" t="str">
        <f>HYPERLINK("http://nsgreg.nga.mil/genc/view?v=866187&amp;end_month=12&amp;end_day=31&amp;end_year=2016","Correlation")</f>
        <v>Correlation</v>
      </c>
    </row>
    <row r="3704" spans="1:13" x14ac:dyDescent="0.2">
      <c r="A3704" s="113"/>
      <c r="B3704" s="58" t="s">
        <v>9495</v>
      </c>
      <c r="C3704" s="58" t="s">
        <v>1796</v>
      </c>
      <c r="D3704" s="58" t="s">
        <v>9496</v>
      </c>
      <c r="E3704" s="60" t="b">
        <v>1</v>
      </c>
      <c r="F3704" s="80" t="s">
        <v>1171</v>
      </c>
      <c r="G3704" s="58" t="s">
        <v>9495</v>
      </c>
      <c r="H3704" s="58" t="s">
        <v>1796</v>
      </c>
      <c r="I3704" s="64" t="s">
        <v>9496</v>
      </c>
      <c r="J3704" s="66"/>
      <c r="K3704" s="66"/>
      <c r="L3704" s="68"/>
      <c r="M3704" s="63" t="str">
        <f>HYPERLINK("http://nsgreg.nga.mil/genc/view?v=866188&amp;end_month=12&amp;end_day=31&amp;end_year=2016","Correlation")</f>
        <v>Correlation</v>
      </c>
    </row>
    <row r="3705" spans="1:13" x14ac:dyDescent="0.2">
      <c r="A3705" s="113"/>
      <c r="B3705" s="58" t="s">
        <v>9497</v>
      </c>
      <c r="C3705" s="58" t="s">
        <v>1796</v>
      </c>
      <c r="D3705" s="58" t="s">
        <v>9498</v>
      </c>
      <c r="E3705" s="60" t="b">
        <v>1</v>
      </c>
      <c r="F3705" s="80" t="s">
        <v>1171</v>
      </c>
      <c r="G3705" s="58" t="s">
        <v>9497</v>
      </c>
      <c r="H3705" s="58" t="s">
        <v>1796</v>
      </c>
      <c r="I3705" s="64" t="s">
        <v>9498</v>
      </c>
      <c r="J3705" s="66"/>
      <c r="K3705" s="66"/>
      <c r="L3705" s="68"/>
      <c r="M3705" s="63" t="str">
        <f>HYPERLINK("http://nsgreg.nga.mil/genc/view?v=866189&amp;end_month=12&amp;end_day=31&amp;end_year=2016","Correlation")</f>
        <v>Correlation</v>
      </c>
    </row>
    <row r="3706" spans="1:13" x14ac:dyDescent="0.2">
      <c r="A3706" s="113"/>
      <c r="B3706" s="58" t="s">
        <v>9499</v>
      </c>
      <c r="C3706" s="58" t="s">
        <v>1796</v>
      </c>
      <c r="D3706" s="58" t="s">
        <v>9500</v>
      </c>
      <c r="E3706" s="60" t="b">
        <v>1</v>
      </c>
      <c r="F3706" s="80" t="s">
        <v>1171</v>
      </c>
      <c r="G3706" s="58" t="s">
        <v>9499</v>
      </c>
      <c r="H3706" s="58" t="s">
        <v>1796</v>
      </c>
      <c r="I3706" s="64" t="s">
        <v>9500</v>
      </c>
      <c r="J3706" s="66"/>
      <c r="K3706" s="66"/>
      <c r="L3706" s="68"/>
      <c r="M3706" s="63" t="str">
        <f>HYPERLINK("http://nsgreg.nga.mil/genc/view?v=866190&amp;end_month=12&amp;end_day=31&amp;end_year=2016","Correlation")</f>
        <v>Correlation</v>
      </c>
    </row>
    <row r="3707" spans="1:13" x14ac:dyDescent="0.2">
      <c r="A3707" s="113"/>
      <c r="B3707" s="58" t="s">
        <v>9501</v>
      </c>
      <c r="C3707" s="58" t="s">
        <v>1796</v>
      </c>
      <c r="D3707" s="58" t="s">
        <v>9502</v>
      </c>
      <c r="E3707" s="60" t="b">
        <v>1</v>
      </c>
      <c r="F3707" s="80" t="s">
        <v>1171</v>
      </c>
      <c r="G3707" s="58" t="s">
        <v>9501</v>
      </c>
      <c r="H3707" s="58" t="s">
        <v>1796</v>
      </c>
      <c r="I3707" s="64" t="s">
        <v>9502</v>
      </c>
      <c r="J3707" s="66"/>
      <c r="K3707" s="66"/>
      <c r="L3707" s="68"/>
      <c r="M3707" s="63" t="str">
        <f>HYPERLINK("http://nsgreg.nga.mil/genc/view?v=866191&amp;end_month=12&amp;end_day=31&amp;end_year=2016","Correlation")</f>
        <v>Correlation</v>
      </c>
    </row>
    <row r="3708" spans="1:13" x14ac:dyDescent="0.2">
      <c r="A3708" s="113"/>
      <c r="B3708" s="58" t="s">
        <v>9503</v>
      </c>
      <c r="C3708" s="58" t="s">
        <v>1796</v>
      </c>
      <c r="D3708" s="58" t="s">
        <v>9504</v>
      </c>
      <c r="E3708" s="60" t="b">
        <v>1</v>
      </c>
      <c r="F3708" s="80" t="s">
        <v>1171</v>
      </c>
      <c r="G3708" s="58" t="s">
        <v>9503</v>
      </c>
      <c r="H3708" s="58" t="s">
        <v>1796</v>
      </c>
      <c r="I3708" s="64" t="s">
        <v>9504</v>
      </c>
      <c r="J3708" s="66"/>
      <c r="K3708" s="66"/>
      <c r="L3708" s="68"/>
      <c r="M3708" s="63" t="str">
        <f>HYPERLINK("http://nsgreg.nga.mil/genc/view?v=866195&amp;end_month=12&amp;end_day=31&amp;end_year=2016","Correlation")</f>
        <v>Correlation</v>
      </c>
    </row>
    <row r="3709" spans="1:13" x14ac:dyDescent="0.2">
      <c r="A3709" s="113"/>
      <c r="B3709" s="58" t="s">
        <v>9505</v>
      </c>
      <c r="C3709" s="58" t="s">
        <v>1796</v>
      </c>
      <c r="D3709" s="58" t="s">
        <v>9506</v>
      </c>
      <c r="E3709" s="60" t="b">
        <v>1</v>
      </c>
      <c r="F3709" s="80" t="s">
        <v>1171</v>
      </c>
      <c r="G3709" s="58" t="s">
        <v>9505</v>
      </c>
      <c r="H3709" s="58" t="s">
        <v>1796</v>
      </c>
      <c r="I3709" s="64" t="s">
        <v>9506</v>
      </c>
      <c r="J3709" s="66"/>
      <c r="K3709" s="66"/>
      <c r="L3709" s="68"/>
      <c r="M3709" s="63" t="str">
        <f>HYPERLINK("http://nsgreg.nga.mil/genc/view?v=866192&amp;end_month=12&amp;end_day=31&amp;end_year=2016","Correlation")</f>
        <v>Correlation</v>
      </c>
    </row>
    <row r="3710" spans="1:13" x14ac:dyDescent="0.2">
      <c r="A3710" s="114"/>
      <c r="B3710" s="71" t="s">
        <v>9507</v>
      </c>
      <c r="C3710" s="71" t="s">
        <v>1796</v>
      </c>
      <c r="D3710" s="71" t="s">
        <v>9508</v>
      </c>
      <c r="E3710" s="73" t="b">
        <v>1</v>
      </c>
      <c r="F3710" s="81" t="s">
        <v>1171</v>
      </c>
      <c r="G3710" s="71" t="s">
        <v>9507</v>
      </c>
      <c r="H3710" s="71" t="s">
        <v>1796</v>
      </c>
      <c r="I3710" s="74" t="s">
        <v>9508</v>
      </c>
      <c r="J3710" s="76"/>
      <c r="K3710" s="76"/>
      <c r="L3710" s="82"/>
      <c r="M3710" s="77" t="str">
        <f>HYPERLINK("http://nsgreg.nga.mil/genc/view?v=866193&amp;end_month=12&amp;end_day=31&amp;end_year=2016","Correlation")</f>
        <v>Correlation</v>
      </c>
    </row>
    <row r="3711" spans="1:13" x14ac:dyDescent="0.2">
      <c r="A3711" s="112" t="s">
        <v>1175</v>
      </c>
      <c r="B3711" s="50" t="s">
        <v>4055</v>
      </c>
      <c r="C3711" s="50" t="s">
        <v>1413</v>
      </c>
      <c r="D3711" s="50" t="s">
        <v>9509</v>
      </c>
      <c r="E3711" s="52" t="b">
        <v>1</v>
      </c>
      <c r="F3711" s="78" t="s">
        <v>1175</v>
      </c>
      <c r="G3711" s="50" t="s">
        <v>4055</v>
      </c>
      <c r="H3711" s="50" t="s">
        <v>1413</v>
      </c>
      <c r="I3711" s="53" t="s">
        <v>9509</v>
      </c>
      <c r="J3711" s="55"/>
      <c r="K3711" s="55"/>
      <c r="L3711" s="79"/>
      <c r="M3711" s="56" t="str">
        <f>HYPERLINK("http://nsgreg.nga.mil/genc/view?v=866463&amp;end_month=12&amp;end_day=31&amp;end_year=2016","Correlation")</f>
        <v>Correlation</v>
      </c>
    </row>
    <row r="3712" spans="1:13" x14ac:dyDescent="0.2">
      <c r="A3712" s="113"/>
      <c r="B3712" s="58" t="s">
        <v>4071</v>
      </c>
      <c r="C3712" s="58" t="s">
        <v>1413</v>
      </c>
      <c r="D3712" s="58" t="s">
        <v>9510</v>
      </c>
      <c r="E3712" s="60" t="b">
        <v>1</v>
      </c>
      <c r="F3712" s="80" t="s">
        <v>1175</v>
      </c>
      <c r="G3712" s="58" t="s">
        <v>4071</v>
      </c>
      <c r="H3712" s="58" t="s">
        <v>1413</v>
      </c>
      <c r="I3712" s="64" t="s">
        <v>9510</v>
      </c>
      <c r="J3712" s="66"/>
      <c r="K3712" s="66"/>
      <c r="L3712" s="68"/>
      <c r="M3712" s="63" t="str">
        <f>HYPERLINK("http://nsgreg.nga.mil/genc/view?v=866464&amp;end_month=12&amp;end_day=31&amp;end_year=2016","Correlation")</f>
        <v>Correlation</v>
      </c>
    </row>
    <row r="3713" spans="1:13" x14ac:dyDescent="0.2">
      <c r="A3713" s="113"/>
      <c r="B3713" s="58" t="s">
        <v>2440</v>
      </c>
      <c r="C3713" s="58" t="s">
        <v>1413</v>
      </c>
      <c r="D3713" s="58" t="s">
        <v>9511</v>
      </c>
      <c r="E3713" s="60" t="b">
        <v>1</v>
      </c>
      <c r="F3713" s="80" t="s">
        <v>1175</v>
      </c>
      <c r="G3713" s="58" t="s">
        <v>2440</v>
      </c>
      <c r="H3713" s="58" t="s">
        <v>1413</v>
      </c>
      <c r="I3713" s="64" t="s">
        <v>9511</v>
      </c>
      <c r="J3713" s="66"/>
      <c r="K3713" s="66"/>
      <c r="L3713" s="68"/>
      <c r="M3713" s="63" t="str">
        <f>HYPERLINK("http://nsgreg.nga.mil/genc/view?v=866465&amp;end_month=12&amp;end_day=31&amp;end_year=2016","Correlation")</f>
        <v>Correlation</v>
      </c>
    </row>
    <row r="3714" spans="1:13" x14ac:dyDescent="0.2">
      <c r="A3714" s="114"/>
      <c r="B3714" s="71" t="s">
        <v>9512</v>
      </c>
      <c r="C3714" s="71" t="s">
        <v>1413</v>
      </c>
      <c r="D3714" s="71" t="s">
        <v>9513</v>
      </c>
      <c r="E3714" s="73" t="b">
        <v>1</v>
      </c>
      <c r="F3714" s="81" t="s">
        <v>1175</v>
      </c>
      <c r="G3714" s="71" t="s">
        <v>9512</v>
      </c>
      <c r="H3714" s="71" t="s">
        <v>9514</v>
      </c>
      <c r="I3714" s="74" t="s">
        <v>9513</v>
      </c>
      <c r="J3714" s="76"/>
      <c r="K3714" s="76"/>
      <c r="L3714" s="82"/>
      <c r="M3714" s="77" t="str">
        <f>HYPERLINK("http://nsgreg.nga.mil/genc/view?v=866466&amp;end_month=12&amp;end_day=31&amp;end_year=2016","Correlation")</f>
        <v>Correlation</v>
      </c>
    </row>
    <row r="3715" spans="1:13" x14ac:dyDescent="0.2">
      <c r="A3715" s="112" t="s">
        <v>1179</v>
      </c>
      <c r="B3715" s="50" t="s">
        <v>9515</v>
      </c>
      <c r="C3715" s="50" t="s">
        <v>1796</v>
      </c>
      <c r="D3715" s="50" t="s">
        <v>9516</v>
      </c>
      <c r="E3715" s="52" t="b">
        <v>1</v>
      </c>
      <c r="F3715" s="78" t="s">
        <v>1179</v>
      </c>
      <c r="G3715" s="50" t="s">
        <v>9515</v>
      </c>
      <c r="H3715" s="50" t="s">
        <v>1796</v>
      </c>
      <c r="I3715" s="53" t="s">
        <v>9516</v>
      </c>
      <c r="J3715" s="55"/>
      <c r="K3715" s="55"/>
      <c r="L3715" s="79"/>
      <c r="M3715" s="56" t="str">
        <f>HYPERLINK("http://nsgreg.nga.mil/genc/view?v=866235&amp;end_month=12&amp;end_day=31&amp;end_year=2016","Correlation")</f>
        <v>Correlation</v>
      </c>
    </row>
    <row r="3716" spans="1:13" x14ac:dyDescent="0.2">
      <c r="A3716" s="113"/>
      <c r="B3716" s="58" t="s">
        <v>2432</v>
      </c>
      <c r="C3716" s="58" t="s">
        <v>1796</v>
      </c>
      <c r="D3716" s="58" t="s">
        <v>9517</v>
      </c>
      <c r="E3716" s="60" t="b">
        <v>1</v>
      </c>
      <c r="F3716" s="80" t="s">
        <v>1179</v>
      </c>
      <c r="G3716" s="58" t="s">
        <v>2432</v>
      </c>
      <c r="H3716" s="58" t="s">
        <v>1796</v>
      </c>
      <c r="I3716" s="64" t="s">
        <v>9517</v>
      </c>
      <c r="J3716" s="66"/>
      <c r="K3716" s="66"/>
      <c r="L3716" s="68"/>
      <c r="M3716" s="63" t="str">
        <f>HYPERLINK("http://nsgreg.nga.mil/genc/view?v=866236&amp;end_month=12&amp;end_day=31&amp;end_year=2016","Correlation")</f>
        <v>Correlation</v>
      </c>
    </row>
    <row r="3717" spans="1:13" x14ac:dyDescent="0.2">
      <c r="A3717" s="113"/>
      <c r="B3717" s="58" t="s">
        <v>2434</v>
      </c>
      <c r="C3717" s="58" t="s">
        <v>1796</v>
      </c>
      <c r="D3717" s="58" t="s">
        <v>9518</v>
      </c>
      <c r="E3717" s="60" t="b">
        <v>1</v>
      </c>
      <c r="F3717" s="80" t="s">
        <v>1179</v>
      </c>
      <c r="G3717" s="58" t="s">
        <v>2434</v>
      </c>
      <c r="H3717" s="58" t="s">
        <v>1796</v>
      </c>
      <c r="I3717" s="64" t="s">
        <v>9518</v>
      </c>
      <c r="J3717" s="66"/>
      <c r="K3717" s="66"/>
      <c r="L3717" s="68"/>
      <c r="M3717" s="63" t="str">
        <f>HYPERLINK("http://nsgreg.nga.mil/genc/view?v=866237&amp;end_month=12&amp;end_day=31&amp;end_year=2016","Correlation")</f>
        <v>Correlation</v>
      </c>
    </row>
    <row r="3718" spans="1:13" x14ac:dyDescent="0.2">
      <c r="A3718" s="113"/>
      <c r="B3718" s="58" t="s">
        <v>2438</v>
      </c>
      <c r="C3718" s="58" t="s">
        <v>1796</v>
      </c>
      <c r="D3718" s="58" t="s">
        <v>9519</v>
      </c>
      <c r="E3718" s="60" t="b">
        <v>1</v>
      </c>
      <c r="F3718" s="80" t="s">
        <v>1179</v>
      </c>
      <c r="G3718" s="58" t="s">
        <v>2438</v>
      </c>
      <c r="H3718" s="58" t="s">
        <v>1796</v>
      </c>
      <c r="I3718" s="64" t="s">
        <v>9519</v>
      </c>
      <c r="J3718" s="66"/>
      <c r="K3718" s="66"/>
      <c r="L3718" s="68"/>
      <c r="M3718" s="63" t="str">
        <f>HYPERLINK("http://nsgreg.nga.mil/genc/view?v=866238&amp;end_month=12&amp;end_day=31&amp;end_year=2016","Correlation")</f>
        <v>Correlation</v>
      </c>
    </row>
    <row r="3719" spans="1:13" x14ac:dyDescent="0.2">
      <c r="A3719" s="114"/>
      <c r="B3719" s="71" t="s">
        <v>9520</v>
      </c>
      <c r="C3719" s="71" t="s">
        <v>1796</v>
      </c>
      <c r="D3719" s="71" t="s">
        <v>9521</v>
      </c>
      <c r="E3719" s="73" t="b">
        <v>1</v>
      </c>
      <c r="F3719" s="81" t="s">
        <v>1179</v>
      </c>
      <c r="G3719" s="71" t="s">
        <v>9520</v>
      </c>
      <c r="H3719" s="71" t="s">
        <v>1796</v>
      </c>
      <c r="I3719" s="74" t="s">
        <v>9521</v>
      </c>
      <c r="J3719" s="76"/>
      <c r="K3719" s="76"/>
      <c r="L3719" s="82"/>
      <c r="M3719" s="77" t="str">
        <f>HYPERLINK("http://nsgreg.nga.mil/genc/view?v=866239&amp;end_month=12&amp;end_day=31&amp;end_year=2016","Correlation")</f>
        <v>Correlation</v>
      </c>
    </row>
    <row r="3720" spans="1:13" x14ac:dyDescent="0.2">
      <c r="A3720" s="112" t="s">
        <v>1190</v>
      </c>
      <c r="B3720" s="50" t="s">
        <v>9522</v>
      </c>
      <c r="C3720" s="50" t="s">
        <v>1796</v>
      </c>
      <c r="D3720" s="50" t="s">
        <v>9523</v>
      </c>
      <c r="E3720" s="52" t="b">
        <v>1</v>
      </c>
      <c r="F3720" s="78" t="s">
        <v>1190</v>
      </c>
      <c r="G3720" s="50" t="s">
        <v>9524</v>
      </c>
      <c r="H3720" s="50" t="s">
        <v>1728</v>
      </c>
      <c r="I3720" s="53" t="s">
        <v>9523</v>
      </c>
      <c r="J3720" s="55"/>
      <c r="K3720" s="55"/>
      <c r="L3720" s="79"/>
      <c r="M3720" s="56" t="str">
        <f>HYPERLINK("http://nsgreg.nga.mil/genc/view?v=866455&amp;end_month=12&amp;end_day=31&amp;end_year=2016","Correlation")</f>
        <v>Correlation</v>
      </c>
    </row>
    <row r="3721" spans="1:13" x14ac:dyDescent="0.2">
      <c r="A3721" s="113"/>
      <c r="B3721" s="58" t="s">
        <v>9525</v>
      </c>
      <c r="C3721" s="58" t="s">
        <v>1796</v>
      </c>
      <c r="D3721" s="58" t="s">
        <v>9526</v>
      </c>
      <c r="E3721" s="60" t="b">
        <v>1</v>
      </c>
      <c r="F3721" s="80" t="s">
        <v>1190</v>
      </c>
      <c r="G3721" s="58" t="s">
        <v>9527</v>
      </c>
      <c r="H3721" s="58" t="s">
        <v>1728</v>
      </c>
      <c r="I3721" s="64" t="s">
        <v>9526</v>
      </c>
      <c r="J3721" s="66"/>
      <c r="K3721" s="66"/>
      <c r="L3721" s="68"/>
      <c r="M3721" s="63" t="str">
        <f>HYPERLINK("http://nsgreg.nga.mil/genc/view?v=866456&amp;end_month=12&amp;end_day=31&amp;end_year=2016","Correlation")</f>
        <v>Correlation</v>
      </c>
    </row>
    <row r="3722" spans="1:13" x14ac:dyDescent="0.2">
      <c r="A3722" s="113"/>
      <c r="B3722" s="58" t="s">
        <v>9528</v>
      </c>
      <c r="C3722" s="58" t="s">
        <v>1796</v>
      </c>
      <c r="D3722" s="58" t="s">
        <v>9529</v>
      </c>
      <c r="E3722" s="60" t="b">
        <v>1</v>
      </c>
      <c r="F3722" s="80" t="s">
        <v>1190</v>
      </c>
      <c r="G3722" s="58" t="s">
        <v>9530</v>
      </c>
      <c r="H3722" s="58" t="s">
        <v>1728</v>
      </c>
      <c r="I3722" s="64" t="s">
        <v>9529</v>
      </c>
      <c r="J3722" s="66"/>
      <c r="K3722" s="66"/>
      <c r="L3722" s="68"/>
      <c r="M3722" s="63" t="str">
        <f>HYPERLINK("http://nsgreg.nga.mil/genc/view?v=866457&amp;end_month=12&amp;end_day=31&amp;end_year=2016","Correlation")</f>
        <v>Correlation</v>
      </c>
    </row>
    <row r="3723" spans="1:13" x14ac:dyDescent="0.2">
      <c r="A3723" s="113"/>
      <c r="B3723" s="58" t="s">
        <v>9531</v>
      </c>
      <c r="C3723" s="58" t="s">
        <v>1796</v>
      </c>
      <c r="D3723" s="58" t="s">
        <v>9532</v>
      </c>
      <c r="E3723" s="60" t="b">
        <v>1</v>
      </c>
      <c r="F3723" s="80" t="s">
        <v>1190</v>
      </c>
      <c r="G3723" s="58" t="s">
        <v>9533</v>
      </c>
      <c r="H3723" s="58" t="s">
        <v>1728</v>
      </c>
      <c r="I3723" s="64" t="s">
        <v>9532</v>
      </c>
      <c r="J3723" s="66"/>
      <c r="K3723" s="66"/>
      <c r="L3723" s="68"/>
      <c r="M3723" s="63" t="str">
        <f>HYPERLINK("http://nsgreg.nga.mil/genc/view?v=866458&amp;end_month=12&amp;end_day=31&amp;end_year=2016","Correlation")</f>
        <v>Correlation</v>
      </c>
    </row>
    <row r="3724" spans="1:13" x14ac:dyDescent="0.2">
      <c r="A3724" s="113"/>
      <c r="B3724" s="58" t="s">
        <v>9534</v>
      </c>
      <c r="C3724" s="58" t="s">
        <v>1796</v>
      </c>
      <c r="D3724" s="58" t="s">
        <v>9535</v>
      </c>
      <c r="E3724" s="60" t="b">
        <v>1</v>
      </c>
      <c r="F3724" s="80" t="s">
        <v>1190</v>
      </c>
      <c r="G3724" s="58" t="s">
        <v>9536</v>
      </c>
      <c r="H3724" s="58" t="s">
        <v>1728</v>
      </c>
      <c r="I3724" s="64" t="s">
        <v>9535</v>
      </c>
      <c r="J3724" s="66"/>
      <c r="K3724" s="66"/>
      <c r="L3724" s="68"/>
      <c r="M3724" s="63" t="str">
        <f>HYPERLINK("http://nsgreg.nga.mil/genc/view?v=866459&amp;end_month=12&amp;end_day=31&amp;end_year=2016","Correlation")</f>
        <v>Correlation</v>
      </c>
    </row>
    <row r="3725" spans="1:13" x14ac:dyDescent="0.2">
      <c r="A3725" s="113"/>
      <c r="B3725" s="58" t="s">
        <v>9537</v>
      </c>
      <c r="C3725" s="58" t="s">
        <v>1796</v>
      </c>
      <c r="D3725" s="58" t="s">
        <v>9538</v>
      </c>
      <c r="E3725" s="60" t="b">
        <v>1</v>
      </c>
      <c r="F3725" s="80" t="s">
        <v>1190</v>
      </c>
      <c r="G3725" s="58" t="s">
        <v>9539</v>
      </c>
      <c r="H3725" s="58" t="s">
        <v>1728</v>
      </c>
      <c r="I3725" s="64" t="s">
        <v>9538</v>
      </c>
      <c r="J3725" s="66"/>
      <c r="K3725" s="66"/>
      <c r="L3725" s="68"/>
      <c r="M3725" s="63" t="str">
        <f>HYPERLINK("http://nsgreg.nga.mil/genc/view?v=866461&amp;end_month=12&amp;end_day=31&amp;end_year=2016","Correlation")</f>
        <v>Correlation</v>
      </c>
    </row>
    <row r="3726" spans="1:13" x14ac:dyDescent="0.2">
      <c r="A3726" s="113"/>
      <c r="B3726" s="58" t="s">
        <v>9540</v>
      </c>
      <c r="C3726" s="58" t="s">
        <v>1796</v>
      </c>
      <c r="D3726" s="58" t="s">
        <v>9541</v>
      </c>
      <c r="E3726" s="60" t="b">
        <v>1</v>
      </c>
      <c r="F3726" s="80" t="s">
        <v>1190</v>
      </c>
      <c r="G3726" s="58" t="s">
        <v>9542</v>
      </c>
      <c r="H3726" s="58" t="s">
        <v>1728</v>
      </c>
      <c r="I3726" s="64" t="s">
        <v>9541</v>
      </c>
      <c r="J3726" s="66"/>
      <c r="K3726" s="66"/>
      <c r="L3726" s="68"/>
      <c r="M3726" s="63" t="str">
        <f>HYPERLINK("http://nsgreg.nga.mil/genc/view?v=866460&amp;end_month=12&amp;end_day=31&amp;end_year=2016","Correlation")</f>
        <v>Correlation</v>
      </c>
    </row>
    <row r="3727" spans="1:13" x14ac:dyDescent="0.2">
      <c r="A3727" s="114"/>
      <c r="B3727" s="71" t="s">
        <v>9543</v>
      </c>
      <c r="C3727" s="71" t="s">
        <v>1796</v>
      </c>
      <c r="D3727" s="71" t="s">
        <v>9544</v>
      </c>
      <c r="E3727" s="73" t="b">
        <v>1</v>
      </c>
      <c r="F3727" s="81" t="s">
        <v>1190</v>
      </c>
      <c r="G3727" s="71" t="s">
        <v>9545</v>
      </c>
      <c r="H3727" s="71" t="s">
        <v>1728</v>
      </c>
      <c r="I3727" s="74" t="s">
        <v>9544</v>
      </c>
      <c r="J3727" s="76"/>
      <c r="K3727" s="76"/>
      <c r="L3727" s="82"/>
      <c r="M3727" s="77" t="str">
        <f>HYPERLINK("http://nsgreg.nga.mil/genc/view?v=866462&amp;end_month=12&amp;end_day=31&amp;end_year=2016","Correlation")</f>
        <v>Correlation</v>
      </c>
    </row>
    <row r="3728" spans="1:13" x14ac:dyDescent="0.2">
      <c r="A3728" s="112" t="s">
        <v>1194</v>
      </c>
      <c r="B3728" s="50" t="s">
        <v>9546</v>
      </c>
      <c r="C3728" s="50" t="s">
        <v>1816</v>
      </c>
      <c r="D3728" s="50" t="s">
        <v>9547</v>
      </c>
      <c r="E3728" s="52" t="b">
        <v>1</v>
      </c>
      <c r="F3728" s="78" t="s">
        <v>1194</v>
      </c>
      <c r="G3728" s="50" t="s">
        <v>9546</v>
      </c>
      <c r="H3728" s="50" t="s">
        <v>1816</v>
      </c>
      <c r="I3728" s="53" t="s">
        <v>9547</v>
      </c>
      <c r="J3728" s="55"/>
      <c r="K3728" s="55"/>
      <c r="L3728" s="79"/>
      <c r="M3728" s="56" t="str">
        <f>HYPERLINK("http://nsgreg.nga.mil/genc/view?v=866243&amp;end_month=12&amp;end_day=31&amp;end_year=2016","Correlation")</f>
        <v>Correlation</v>
      </c>
    </row>
    <row r="3729" spans="1:13" x14ac:dyDescent="0.2">
      <c r="A3729" s="113"/>
      <c r="B3729" s="58" t="s">
        <v>9548</v>
      </c>
      <c r="C3729" s="58" t="s">
        <v>1816</v>
      </c>
      <c r="D3729" s="58" t="s">
        <v>9549</v>
      </c>
      <c r="E3729" s="60" t="b">
        <v>1</v>
      </c>
      <c r="F3729" s="80" t="s">
        <v>1194</v>
      </c>
      <c r="G3729" s="58" t="s">
        <v>9548</v>
      </c>
      <c r="H3729" s="58" t="s">
        <v>1816</v>
      </c>
      <c r="I3729" s="64" t="s">
        <v>9549</v>
      </c>
      <c r="J3729" s="66"/>
      <c r="K3729" s="66"/>
      <c r="L3729" s="68"/>
      <c r="M3729" s="63" t="str">
        <f>HYPERLINK("http://nsgreg.nga.mil/genc/view?v=866454&amp;end_month=12&amp;end_day=31&amp;end_year=2016","Correlation")</f>
        <v>Correlation</v>
      </c>
    </row>
    <row r="3730" spans="1:13" x14ac:dyDescent="0.2">
      <c r="A3730" s="113"/>
      <c r="B3730" s="58" t="s">
        <v>9550</v>
      </c>
      <c r="C3730" s="58" t="s">
        <v>1816</v>
      </c>
      <c r="D3730" s="58" t="s">
        <v>9551</v>
      </c>
      <c r="E3730" s="60" t="b">
        <v>1</v>
      </c>
      <c r="F3730" s="80" t="s">
        <v>1194</v>
      </c>
      <c r="G3730" s="58" t="s">
        <v>9550</v>
      </c>
      <c r="H3730" s="58" t="s">
        <v>1816</v>
      </c>
      <c r="I3730" s="64" t="s">
        <v>9551</v>
      </c>
      <c r="J3730" s="66"/>
      <c r="K3730" s="66"/>
      <c r="L3730" s="68"/>
      <c r="M3730" s="63" t="str">
        <f>HYPERLINK("http://nsgreg.nga.mil/genc/view?v=866436&amp;end_month=12&amp;end_day=31&amp;end_year=2016","Correlation")</f>
        <v>Correlation</v>
      </c>
    </row>
    <row r="3731" spans="1:13" x14ac:dyDescent="0.2">
      <c r="A3731" s="113"/>
      <c r="B3731" s="58" t="s">
        <v>9552</v>
      </c>
      <c r="C3731" s="58" t="s">
        <v>1816</v>
      </c>
      <c r="D3731" s="58" t="s">
        <v>9553</v>
      </c>
      <c r="E3731" s="60" t="b">
        <v>1</v>
      </c>
      <c r="F3731" s="80" t="s">
        <v>1194</v>
      </c>
      <c r="G3731" s="58" t="s">
        <v>9552</v>
      </c>
      <c r="H3731" s="58" t="s">
        <v>1816</v>
      </c>
      <c r="I3731" s="64" t="s">
        <v>9553</v>
      </c>
      <c r="J3731" s="66"/>
      <c r="K3731" s="66"/>
      <c r="L3731" s="68"/>
      <c r="M3731" s="63" t="str">
        <f>HYPERLINK("http://nsgreg.nga.mil/genc/view?v=866244&amp;end_month=12&amp;end_day=31&amp;end_year=2016","Correlation")</f>
        <v>Correlation</v>
      </c>
    </row>
    <row r="3732" spans="1:13" x14ac:dyDescent="0.2">
      <c r="A3732" s="113"/>
      <c r="B3732" s="58" t="s">
        <v>9554</v>
      </c>
      <c r="C3732" s="58" t="s">
        <v>1816</v>
      </c>
      <c r="D3732" s="58" t="s">
        <v>9555</v>
      </c>
      <c r="E3732" s="60" t="b">
        <v>1</v>
      </c>
      <c r="F3732" s="80" t="s">
        <v>1194</v>
      </c>
      <c r="G3732" s="58" t="s">
        <v>9554</v>
      </c>
      <c r="H3732" s="58" t="s">
        <v>1816</v>
      </c>
      <c r="I3732" s="64" t="s">
        <v>9555</v>
      </c>
      <c r="J3732" s="66"/>
      <c r="K3732" s="66"/>
      <c r="L3732" s="68"/>
      <c r="M3732" s="63" t="str">
        <f>HYPERLINK("http://nsgreg.nga.mil/genc/view?v=866389&amp;end_month=12&amp;end_day=31&amp;end_year=2016","Correlation")</f>
        <v>Correlation</v>
      </c>
    </row>
    <row r="3733" spans="1:13" x14ac:dyDescent="0.2">
      <c r="A3733" s="113"/>
      <c r="B3733" s="58" t="s">
        <v>9556</v>
      </c>
      <c r="C3733" s="58" t="s">
        <v>1816</v>
      </c>
      <c r="D3733" s="58" t="s">
        <v>9557</v>
      </c>
      <c r="E3733" s="60" t="b">
        <v>1</v>
      </c>
      <c r="F3733" s="80" t="s">
        <v>1194</v>
      </c>
      <c r="G3733" s="58" t="s">
        <v>9556</v>
      </c>
      <c r="H3733" s="58" t="s">
        <v>1816</v>
      </c>
      <c r="I3733" s="64" t="s">
        <v>9557</v>
      </c>
      <c r="J3733" s="66"/>
      <c r="K3733" s="66"/>
      <c r="L3733" s="68"/>
      <c r="M3733" s="63" t="str">
        <f>HYPERLINK("http://nsgreg.nga.mil/genc/view?v=866390&amp;end_month=12&amp;end_day=31&amp;end_year=2016","Correlation")</f>
        <v>Correlation</v>
      </c>
    </row>
    <row r="3734" spans="1:13" x14ac:dyDescent="0.2">
      <c r="A3734" s="113"/>
      <c r="B3734" s="58" t="s">
        <v>9558</v>
      </c>
      <c r="C3734" s="58" t="s">
        <v>1816</v>
      </c>
      <c r="D3734" s="58" t="s">
        <v>9559</v>
      </c>
      <c r="E3734" s="60" t="b">
        <v>1</v>
      </c>
      <c r="F3734" s="80" t="s">
        <v>1194</v>
      </c>
      <c r="G3734" s="58" t="s">
        <v>9558</v>
      </c>
      <c r="H3734" s="58" t="s">
        <v>1816</v>
      </c>
      <c r="I3734" s="64" t="s">
        <v>9559</v>
      </c>
      <c r="J3734" s="66"/>
      <c r="K3734" s="66"/>
      <c r="L3734" s="68"/>
      <c r="M3734" s="63" t="str">
        <f>HYPERLINK("http://nsgreg.nga.mil/genc/view?v=866245&amp;end_month=12&amp;end_day=31&amp;end_year=2016","Correlation")</f>
        <v>Correlation</v>
      </c>
    </row>
    <row r="3735" spans="1:13" x14ac:dyDescent="0.2">
      <c r="A3735" s="113"/>
      <c r="B3735" s="58" t="s">
        <v>9560</v>
      </c>
      <c r="C3735" s="58" t="s">
        <v>1816</v>
      </c>
      <c r="D3735" s="58" t="s">
        <v>9561</v>
      </c>
      <c r="E3735" s="60" t="b">
        <v>1</v>
      </c>
      <c r="F3735" s="80" t="s">
        <v>1194</v>
      </c>
      <c r="G3735" s="58" t="s">
        <v>9560</v>
      </c>
      <c r="H3735" s="58" t="s">
        <v>1816</v>
      </c>
      <c r="I3735" s="64" t="s">
        <v>9561</v>
      </c>
      <c r="J3735" s="66"/>
      <c r="K3735" s="66"/>
      <c r="L3735" s="68"/>
      <c r="M3735" s="63" t="str">
        <f>HYPERLINK("http://nsgreg.nga.mil/genc/view?v=866391&amp;end_month=12&amp;end_day=31&amp;end_year=2016","Correlation")</f>
        <v>Correlation</v>
      </c>
    </row>
    <row r="3736" spans="1:13" x14ac:dyDescent="0.2">
      <c r="A3736" s="113"/>
      <c r="B3736" s="58" t="s">
        <v>9562</v>
      </c>
      <c r="C3736" s="58" t="s">
        <v>1816</v>
      </c>
      <c r="D3736" s="58" t="s">
        <v>9563</v>
      </c>
      <c r="E3736" s="60" t="b">
        <v>1</v>
      </c>
      <c r="F3736" s="80" t="s">
        <v>1194</v>
      </c>
      <c r="G3736" s="58" t="s">
        <v>9562</v>
      </c>
      <c r="H3736" s="58" t="s">
        <v>1816</v>
      </c>
      <c r="I3736" s="64" t="s">
        <v>9563</v>
      </c>
      <c r="J3736" s="66"/>
      <c r="K3736" s="66"/>
      <c r="L3736" s="68"/>
      <c r="M3736" s="63" t="str">
        <f>HYPERLINK("http://nsgreg.nga.mil/genc/view?v=866246&amp;end_month=12&amp;end_day=31&amp;end_year=2016","Correlation")</f>
        <v>Correlation</v>
      </c>
    </row>
    <row r="3737" spans="1:13" x14ac:dyDescent="0.2">
      <c r="A3737" s="113"/>
      <c r="B3737" s="58" t="s">
        <v>9564</v>
      </c>
      <c r="C3737" s="58" t="s">
        <v>1816</v>
      </c>
      <c r="D3737" s="58" t="s">
        <v>9565</v>
      </c>
      <c r="E3737" s="60" t="b">
        <v>1</v>
      </c>
      <c r="F3737" s="80" t="s">
        <v>1194</v>
      </c>
      <c r="G3737" s="58" t="s">
        <v>9564</v>
      </c>
      <c r="H3737" s="58" t="s">
        <v>1816</v>
      </c>
      <c r="I3737" s="64" t="s">
        <v>9565</v>
      </c>
      <c r="J3737" s="66"/>
      <c r="K3737" s="66"/>
      <c r="L3737" s="68"/>
      <c r="M3737" s="63" t="str">
        <f>HYPERLINK("http://nsgreg.nga.mil/genc/view?v=866247&amp;end_month=12&amp;end_day=31&amp;end_year=2016","Correlation")</f>
        <v>Correlation</v>
      </c>
    </row>
    <row r="3738" spans="1:13" x14ac:dyDescent="0.2">
      <c r="A3738" s="113"/>
      <c r="B3738" s="58" t="s">
        <v>9566</v>
      </c>
      <c r="C3738" s="58" t="s">
        <v>1816</v>
      </c>
      <c r="D3738" s="58" t="s">
        <v>9567</v>
      </c>
      <c r="E3738" s="60" t="b">
        <v>1</v>
      </c>
      <c r="F3738" s="80" t="s">
        <v>1194</v>
      </c>
      <c r="G3738" s="58" t="s">
        <v>9566</v>
      </c>
      <c r="H3738" s="58" t="s">
        <v>1816</v>
      </c>
      <c r="I3738" s="64" t="s">
        <v>9567</v>
      </c>
      <c r="J3738" s="66"/>
      <c r="K3738" s="66"/>
      <c r="L3738" s="68"/>
      <c r="M3738" s="63" t="str">
        <f>HYPERLINK("http://nsgreg.nga.mil/genc/view?v=866248&amp;end_month=12&amp;end_day=31&amp;end_year=2016","Correlation")</f>
        <v>Correlation</v>
      </c>
    </row>
    <row r="3739" spans="1:13" x14ac:dyDescent="0.2">
      <c r="A3739" s="113"/>
      <c r="B3739" s="58" t="s">
        <v>9568</v>
      </c>
      <c r="C3739" s="58" t="s">
        <v>1816</v>
      </c>
      <c r="D3739" s="58" t="s">
        <v>9569</v>
      </c>
      <c r="E3739" s="60" t="b">
        <v>1</v>
      </c>
      <c r="F3739" s="80" t="s">
        <v>1194</v>
      </c>
      <c r="G3739" s="58" t="s">
        <v>9568</v>
      </c>
      <c r="H3739" s="58" t="s">
        <v>1816</v>
      </c>
      <c r="I3739" s="64" t="s">
        <v>9569</v>
      </c>
      <c r="J3739" s="66"/>
      <c r="K3739" s="66"/>
      <c r="L3739" s="68"/>
      <c r="M3739" s="63" t="str">
        <f>HYPERLINK("http://nsgreg.nga.mil/genc/view?v=866392&amp;end_month=12&amp;end_day=31&amp;end_year=2016","Correlation")</f>
        <v>Correlation</v>
      </c>
    </row>
    <row r="3740" spans="1:13" x14ac:dyDescent="0.2">
      <c r="A3740" s="113"/>
      <c r="B3740" s="58" t="s">
        <v>9570</v>
      </c>
      <c r="C3740" s="58" t="s">
        <v>1816</v>
      </c>
      <c r="D3740" s="58" t="s">
        <v>9571</v>
      </c>
      <c r="E3740" s="60" t="b">
        <v>1</v>
      </c>
      <c r="F3740" s="80" t="s">
        <v>1194</v>
      </c>
      <c r="G3740" s="58" t="s">
        <v>9570</v>
      </c>
      <c r="H3740" s="58" t="s">
        <v>1816</v>
      </c>
      <c r="I3740" s="64" t="s">
        <v>9571</v>
      </c>
      <c r="J3740" s="66"/>
      <c r="K3740" s="66"/>
      <c r="L3740" s="68"/>
      <c r="M3740" s="63" t="str">
        <f>HYPERLINK("http://nsgreg.nga.mil/genc/view?v=866249&amp;end_month=12&amp;end_day=31&amp;end_year=2016","Correlation")</f>
        <v>Correlation</v>
      </c>
    </row>
    <row r="3741" spans="1:13" x14ac:dyDescent="0.2">
      <c r="A3741" s="113"/>
      <c r="B3741" s="58" t="s">
        <v>9572</v>
      </c>
      <c r="C3741" s="58" t="s">
        <v>1816</v>
      </c>
      <c r="D3741" s="58" t="s">
        <v>9573</v>
      </c>
      <c r="E3741" s="60" t="b">
        <v>1</v>
      </c>
      <c r="F3741" s="80" t="s">
        <v>1194</v>
      </c>
      <c r="G3741" s="58" t="s">
        <v>9572</v>
      </c>
      <c r="H3741" s="58" t="s">
        <v>1816</v>
      </c>
      <c r="I3741" s="64" t="s">
        <v>9573</v>
      </c>
      <c r="J3741" s="66"/>
      <c r="K3741" s="66"/>
      <c r="L3741" s="68"/>
      <c r="M3741" s="63" t="str">
        <f>HYPERLINK("http://nsgreg.nga.mil/genc/view?v=866251&amp;end_month=12&amp;end_day=31&amp;end_year=2016","Correlation")</f>
        <v>Correlation</v>
      </c>
    </row>
    <row r="3742" spans="1:13" x14ac:dyDescent="0.2">
      <c r="A3742" s="113"/>
      <c r="B3742" s="58" t="s">
        <v>9574</v>
      </c>
      <c r="C3742" s="58" t="s">
        <v>1816</v>
      </c>
      <c r="D3742" s="58" t="s">
        <v>9575</v>
      </c>
      <c r="E3742" s="60" t="b">
        <v>1</v>
      </c>
      <c r="F3742" s="80" t="s">
        <v>1194</v>
      </c>
      <c r="G3742" s="58" t="s">
        <v>9574</v>
      </c>
      <c r="H3742" s="58" t="s">
        <v>1816</v>
      </c>
      <c r="I3742" s="64" t="s">
        <v>9575</v>
      </c>
      <c r="J3742" s="66"/>
      <c r="K3742" s="66"/>
      <c r="L3742" s="68"/>
      <c r="M3742" s="63" t="str">
        <f>HYPERLINK("http://nsgreg.nga.mil/genc/view?v=866250&amp;end_month=12&amp;end_day=31&amp;end_year=2016","Correlation")</f>
        <v>Correlation</v>
      </c>
    </row>
    <row r="3743" spans="1:13" x14ac:dyDescent="0.2">
      <c r="A3743" s="113"/>
      <c r="B3743" s="58" t="s">
        <v>9576</v>
      </c>
      <c r="C3743" s="58" t="s">
        <v>1816</v>
      </c>
      <c r="D3743" s="58" t="s">
        <v>9577</v>
      </c>
      <c r="E3743" s="60" t="b">
        <v>1</v>
      </c>
      <c r="F3743" s="80" t="s">
        <v>1194</v>
      </c>
      <c r="G3743" s="58" t="s">
        <v>9576</v>
      </c>
      <c r="H3743" s="58" t="s">
        <v>1816</v>
      </c>
      <c r="I3743" s="64" t="s">
        <v>9577</v>
      </c>
      <c r="J3743" s="66"/>
      <c r="K3743" s="66"/>
      <c r="L3743" s="68"/>
      <c r="M3743" s="63" t="str">
        <f>HYPERLINK("http://nsgreg.nga.mil/genc/view?v=866393&amp;end_month=12&amp;end_day=31&amp;end_year=2016","Correlation")</f>
        <v>Correlation</v>
      </c>
    </row>
    <row r="3744" spans="1:13" x14ac:dyDescent="0.2">
      <c r="A3744" s="113"/>
      <c r="B3744" s="58" t="s">
        <v>9578</v>
      </c>
      <c r="C3744" s="58" t="s">
        <v>1816</v>
      </c>
      <c r="D3744" s="58" t="s">
        <v>9579</v>
      </c>
      <c r="E3744" s="60" t="b">
        <v>1</v>
      </c>
      <c r="F3744" s="80" t="s">
        <v>1194</v>
      </c>
      <c r="G3744" s="58" t="s">
        <v>9578</v>
      </c>
      <c r="H3744" s="58" t="s">
        <v>1816</v>
      </c>
      <c r="I3744" s="64" t="s">
        <v>9579</v>
      </c>
      <c r="J3744" s="66"/>
      <c r="K3744" s="66"/>
      <c r="L3744" s="68"/>
      <c r="M3744" s="63" t="str">
        <f>HYPERLINK("http://nsgreg.nga.mil/genc/view?v=866253&amp;end_month=12&amp;end_day=31&amp;end_year=2016","Correlation")</f>
        <v>Correlation</v>
      </c>
    </row>
    <row r="3745" spans="1:13" x14ac:dyDescent="0.2">
      <c r="A3745" s="113"/>
      <c r="B3745" s="58" t="s">
        <v>9580</v>
      </c>
      <c r="C3745" s="58" t="s">
        <v>1816</v>
      </c>
      <c r="D3745" s="58" t="s">
        <v>9581</v>
      </c>
      <c r="E3745" s="60" t="b">
        <v>1</v>
      </c>
      <c r="F3745" s="80" t="s">
        <v>1194</v>
      </c>
      <c r="G3745" s="58" t="s">
        <v>9580</v>
      </c>
      <c r="H3745" s="58" t="s">
        <v>1816</v>
      </c>
      <c r="I3745" s="64" t="s">
        <v>9581</v>
      </c>
      <c r="J3745" s="66"/>
      <c r="K3745" s="66"/>
      <c r="L3745" s="68"/>
      <c r="M3745" s="63" t="str">
        <f>HYPERLINK("http://nsgreg.nga.mil/genc/view?v=866254&amp;end_month=12&amp;end_day=31&amp;end_year=2016","Correlation")</f>
        <v>Correlation</v>
      </c>
    </row>
    <row r="3746" spans="1:13" x14ac:dyDescent="0.2">
      <c r="A3746" s="113"/>
      <c r="B3746" s="58" t="s">
        <v>9582</v>
      </c>
      <c r="C3746" s="58" t="s">
        <v>1816</v>
      </c>
      <c r="D3746" s="58" t="s">
        <v>9583</v>
      </c>
      <c r="E3746" s="60" t="b">
        <v>1</v>
      </c>
      <c r="F3746" s="80" t="s">
        <v>1194</v>
      </c>
      <c r="G3746" s="58" t="s">
        <v>9582</v>
      </c>
      <c r="H3746" s="58" t="s">
        <v>1816</v>
      </c>
      <c r="I3746" s="64" t="s">
        <v>9583</v>
      </c>
      <c r="J3746" s="66"/>
      <c r="K3746" s="66"/>
      <c r="L3746" s="68"/>
      <c r="M3746" s="63" t="str">
        <f>HYPERLINK("http://nsgreg.nga.mil/genc/view?v=866255&amp;end_month=12&amp;end_day=31&amp;end_year=2016","Correlation")</f>
        <v>Correlation</v>
      </c>
    </row>
    <row r="3747" spans="1:13" x14ac:dyDescent="0.2">
      <c r="A3747" s="113"/>
      <c r="B3747" s="58" t="s">
        <v>9584</v>
      </c>
      <c r="C3747" s="58" t="s">
        <v>1816</v>
      </c>
      <c r="D3747" s="58" t="s">
        <v>9585</v>
      </c>
      <c r="E3747" s="60" t="b">
        <v>1</v>
      </c>
      <c r="F3747" s="80" t="s">
        <v>1194</v>
      </c>
      <c r="G3747" s="58" t="s">
        <v>9584</v>
      </c>
      <c r="H3747" s="58" t="s">
        <v>1816</v>
      </c>
      <c r="I3747" s="64" t="s">
        <v>9585</v>
      </c>
      <c r="J3747" s="66"/>
      <c r="K3747" s="66"/>
      <c r="L3747" s="68"/>
      <c r="M3747" s="63" t="str">
        <f>HYPERLINK("http://nsgreg.nga.mil/genc/view?v=866256&amp;end_month=12&amp;end_day=31&amp;end_year=2016","Correlation")</f>
        <v>Correlation</v>
      </c>
    </row>
    <row r="3748" spans="1:13" x14ac:dyDescent="0.2">
      <c r="A3748" s="113"/>
      <c r="B3748" s="58" t="s">
        <v>9586</v>
      </c>
      <c r="C3748" s="58" t="s">
        <v>1816</v>
      </c>
      <c r="D3748" s="58" t="s">
        <v>9587</v>
      </c>
      <c r="E3748" s="60" t="b">
        <v>1</v>
      </c>
      <c r="F3748" s="80" t="s">
        <v>1194</v>
      </c>
      <c r="G3748" s="58" t="s">
        <v>9586</v>
      </c>
      <c r="H3748" s="58" t="s">
        <v>1816</v>
      </c>
      <c r="I3748" s="64" t="s">
        <v>9587</v>
      </c>
      <c r="J3748" s="66"/>
      <c r="K3748" s="66"/>
      <c r="L3748" s="68"/>
      <c r="M3748" s="63" t="str">
        <f>HYPERLINK("http://nsgreg.nga.mil/genc/view?v=866394&amp;end_month=12&amp;end_day=31&amp;end_year=2016","Correlation")</f>
        <v>Correlation</v>
      </c>
    </row>
    <row r="3749" spans="1:13" x14ac:dyDescent="0.2">
      <c r="A3749" s="113"/>
      <c r="B3749" s="58" t="s">
        <v>9588</v>
      </c>
      <c r="C3749" s="58" t="s">
        <v>1816</v>
      </c>
      <c r="D3749" s="58" t="s">
        <v>9589</v>
      </c>
      <c r="E3749" s="60" t="b">
        <v>1</v>
      </c>
      <c r="F3749" s="80" t="s">
        <v>1194</v>
      </c>
      <c r="G3749" s="58" t="s">
        <v>9588</v>
      </c>
      <c r="H3749" s="58" t="s">
        <v>1816</v>
      </c>
      <c r="I3749" s="64" t="s">
        <v>9589</v>
      </c>
      <c r="J3749" s="66"/>
      <c r="K3749" s="66"/>
      <c r="L3749" s="68"/>
      <c r="M3749" s="63" t="str">
        <f>HYPERLINK("http://nsgreg.nga.mil/genc/view?v=866437&amp;end_month=12&amp;end_day=31&amp;end_year=2016","Correlation")</f>
        <v>Correlation</v>
      </c>
    </row>
    <row r="3750" spans="1:13" x14ac:dyDescent="0.2">
      <c r="A3750" s="113"/>
      <c r="B3750" s="58" t="s">
        <v>9590</v>
      </c>
      <c r="C3750" s="58" t="s">
        <v>1816</v>
      </c>
      <c r="D3750" s="58" t="s">
        <v>9591</v>
      </c>
      <c r="E3750" s="60" t="b">
        <v>1</v>
      </c>
      <c r="F3750" s="80" t="s">
        <v>1194</v>
      </c>
      <c r="G3750" s="58" t="s">
        <v>9590</v>
      </c>
      <c r="H3750" s="58" t="s">
        <v>1816</v>
      </c>
      <c r="I3750" s="64" t="s">
        <v>9591</v>
      </c>
      <c r="J3750" s="66"/>
      <c r="K3750" s="66"/>
      <c r="L3750" s="68"/>
      <c r="M3750" s="63" t="str">
        <f>HYPERLINK("http://nsgreg.nga.mil/genc/view?v=866257&amp;end_month=12&amp;end_day=31&amp;end_year=2016","Correlation")</f>
        <v>Correlation</v>
      </c>
    </row>
    <row r="3751" spans="1:13" x14ac:dyDescent="0.2">
      <c r="A3751" s="113"/>
      <c r="B3751" s="58" t="s">
        <v>9592</v>
      </c>
      <c r="C3751" s="58" t="s">
        <v>1816</v>
      </c>
      <c r="D3751" s="58" t="s">
        <v>9593</v>
      </c>
      <c r="E3751" s="60" t="b">
        <v>1</v>
      </c>
      <c r="F3751" s="80" t="s">
        <v>1194</v>
      </c>
      <c r="G3751" s="58" t="s">
        <v>9592</v>
      </c>
      <c r="H3751" s="58" t="s">
        <v>1816</v>
      </c>
      <c r="I3751" s="64" t="s">
        <v>9593</v>
      </c>
      <c r="J3751" s="66"/>
      <c r="K3751" s="66"/>
      <c r="L3751" s="68"/>
      <c r="M3751" s="63" t="str">
        <f>HYPERLINK("http://nsgreg.nga.mil/genc/view?v=866258&amp;end_month=12&amp;end_day=31&amp;end_year=2016","Correlation")</f>
        <v>Correlation</v>
      </c>
    </row>
    <row r="3752" spans="1:13" x14ac:dyDescent="0.2">
      <c r="A3752" s="113"/>
      <c r="B3752" s="58" t="s">
        <v>9594</v>
      </c>
      <c r="C3752" s="58" t="s">
        <v>1816</v>
      </c>
      <c r="D3752" s="58" t="s">
        <v>9595</v>
      </c>
      <c r="E3752" s="60" t="b">
        <v>1</v>
      </c>
      <c r="F3752" s="80" t="s">
        <v>1194</v>
      </c>
      <c r="G3752" s="58" t="s">
        <v>9594</v>
      </c>
      <c r="H3752" s="58" t="s">
        <v>1816</v>
      </c>
      <c r="I3752" s="64" t="s">
        <v>9595</v>
      </c>
      <c r="J3752" s="66"/>
      <c r="K3752" s="66"/>
      <c r="L3752" s="68"/>
      <c r="M3752" s="63" t="str">
        <f>HYPERLINK("http://nsgreg.nga.mil/genc/view?v=866259&amp;end_month=12&amp;end_day=31&amp;end_year=2016","Correlation")</f>
        <v>Correlation</v>
      </c>
    </row>
    <row r="3753" spans="1:13" x14ac:dyDescent="0.2">
      <c r="A3753" s="113"/>
      <c r="B3753" s="58" t="s">
        <v>9596</v>
      </c>
      <c r="C3753" s="58" t="s">
        <v>1816</v>
      </c>
      <c r="D3753" s="58" t="s">
        <v>9597</v>
      </c>
      <c r="E3753" s="60" t="b">
        <v>1</v>
      </c>
      <c r="F3753" s="80" t="s">
        <v>1194</v>
      </c>
      <c r="G3753" s="58" t="s">
        <v>9596</v>
      </c>
      <c r="H3753" s="58" t="s">
        <v>1816</v>
      </c>
      <c r="I3753" s="64" t="s">
        <v>9597</v>
      </c>
      <c r="J3753" s="66"/>
      <c r="K3753" s="66"/>
      <c r="L3753" s="68"/>
      <c r="M3753" s="63" t="str">
        <f>HYPERLINK("http://nsgreg.nga.mil/genc/view?v=866260&amp;end_month=12&amp;end_day=31&amp;end_year=2016","Correlation")</f>
        <v>Correlation</v>
      </c>
    </row>
    <row r="3754" spans="1:13" x14ac:dyDescent="0.2">
      <c r="A3754" s="113"/>
      <c r="B3754" s="58" t="s">
        <v>9598</v>
      </c>
      <c r="C3754" s="58" t="s">
        <v>1816</v>
      </c>
      <c r="D3754" s="58" t="s">
        <v>9599</v>
      </c>
      <c r="E3754" s="60" t="b">
        <v>1</v>
      </c>
      <c r="F3754" s="80" t="s">
        <v>1194</v>
      </c>
      <c r="G3754" s="58" t="s">
        <v>9598</v>
      </c>
      <c r="H3754" s="58" t="s">
        <v>1816</v>
      </c>
      <c r="I3754" s="64" t="s">
        <v>9599</v>
      </c>
      <c r="J3754" s="66"/>
      <c r="K3754" s="66"/>
      <c r="L3754" s="68"/>
      <c r="M3754" s="63" t="str">
        <f>HYPERLINK("http://nsgreg.nga.mil/genc/view?v=866261&amp;end_month=12&amp;end_day=31&amp;end_year=2016","Correlation")</f>
        <v>Correlation</v>
      </c>
    </row>
    <row r="3755" spans="1:13" x14ac:dyDescent="0.2">
      <c r="A3755" s="113"/>
      <c r="B3755" s="58" t="s">
        <v>9600</v>
      </c>
      <c r="C3755" s="58" t="s">
        <v>1816</v>
      </c>
      <c r="D3755" s="58" t="s">
        <v>9601</v>
      </c>
      <c r="E3755" s="60" t="b">
        <v>1</v>
      </c>
      <c r="F3755" s="80" t="s">
        <v>1194</v>
      </c>
      <c r="G3755" s="58" t="s">
        <v>9600</v>
      </c>
      <c r="H3755" s="58" t="s">
        <v>1816</v>
      </c>
      <c r="I3755" s="64" t="s">
        <v>9601</v>
      </c>
      <c r="J3755" s="66"/>
      <c r="K3755" s="66"/>
      <c r="L3755" s="68"/>
      <c r="M3755" s="63" t="str">
        <f>HYPERLINK("http://nsgreg.nga.mil/genc/view?v=866395&amp;end_month=12&amp;end_day=31&amp;end_year=2016","Correlation")</f>
        <v>Correlation</v>
      </c>
    </row>
    <row r="3756" spans="1:13" x14ac:dyDescent="0.2">
      <c r="A3756" s="113"/>
      <c r="B3756" s="58" t="s">
        <v>9602</v>
      </c>
      <c r="C3756" s="58" t="s">
        <v>1816</v>
      </c>
      <c r="D3756" s="58" t="s">
        <v>9603</v>
      </c>
      <c r="E3756" s="60" t="b">
        <v>1</v>
      </c>
      <c r="F3756" s="80" t="s">
        <v>1194</v>
      </c>
      <c r="G3756" s="58" t="s">
        <v>9602</v>
      </c>
      <c r="H3756" s="58" t="s">
        <v>1816</v>
      </c>
      <c r="I3756" s="64" t="s">
        <v>9603</v>
      </c>
      <c r="J3756" s="66"/>
      <c r="K3756" s="66"/>
      <c r="L3756" s="68"/>
      <c r="M3756" s="63" t="str">
        <f>HYPERLINK("http://nsgreg.nga.mil/genc/view?v=866262&amp;end_month=12&amp;end_day=31&amp;end_year=2016","Correlation")</f>
        <v>Correlation</v>
      </c>
    </row>
    <row r="3757" spans="1:13" x14ac:dyDescent="0.2">
      <c r="A3757" s="113"/>
      <c r="B3757" s="58" t="s">
        <v>9604</v>
      </c>
      <c r="C3757" s="58" t="s">
        <v>1816</v>
      </c>
      <c r="D3757" s="58" t="s">
        <v>9605</v>
      </c>
      <c r="E3757" s="60" t="b">
        <v>1</v>
      </c>
      <c r="F3757" s="80" t="s">
        <v>1194</v>
      </c>
      <c r="G3757" s="58" t="s">
        <v>9604</v>
      </c>
      <c r="H3757" s="58" t="s">
        <v>1816</v>
      </c>
      <c r="I3757" s="64" t="s">
        <v>9605</v>
      </c>
      <c r="J3757" s="66"/>
      <c r="K3757" s="66"/>
      <c r="L3757" s="68"/>
      <c r="M3757" s="63" t="str">
        <f>HYPERLINK("http://nsgreg.nga.mil/genc/view?v=866396&amp;end_month=12&amp;end_day=31&amp;end_year=2016","Correlation")</f>
        <v>Correlation</v>
      </c>
    </row>
    <row r="3758" spans="1:13" x14ac:dyDescent="0.2">
      <c r="A3758" s="113"/>
      <c r="B3758" s="58" t="s">
        <v>9606</v>
      </c>
      <c r="C3758" s="58" t="s">
        <v>1816</v>
      </c>
      <c r="D3758" s="58" t="s">
        <v>9607</v>
      </c>
      <c r="E3758" s="60" t="b">
        <v>1</v>
      </c>
      <c r="F3758" s="80" t="s">
        <v>1194</v>
      </c>
      <c r="G3758" s="58" t="s">
        <v>9608</v>
      </c>
      <c r="H3758" s="58" t="s">
        <v>1816</v>
      </c>
      <c r="I3758" s="64" t="s">
        <v>9607</v>
      </c>
      <c r="J3758" s="66"/>
      <c r="K3758" s="66"/>
      <c r="L3758" s="68"/>
      <c r="M3758" s="63" t="str">
        <f>HYPERLINK("http://nsgreg.nga.mil/genc/view?v=866263&amp;end_month=12&amp;end_day=31&amp;end_year=2016","Correlation")</f>
        <v>Correlation</v>
      </c>
    </row>
    <row r="3759" spans="1:13" x14ac:dyDescent="0.2">
      <c r="A3759" s="113"/>
      <c r="B3759" s="58" t="s">
        <v>9609</v>
      </c>
      <c r="C3759" s="58" t="s">
        <v>1816</v>
      </c>
      <c r="D3759" s="58" t="s">
        <v>9610</v>
      </c>
      <c r="E3759" s="60" t="b">
        <v>1</v>
      </c>
      <c r="F3759" s="80" t="s">
        <v>1194</v>
      </c>
      <c r="G3759" s="58" t="s">
        <v>9609</v>
      </c>
      <c r="H3759" s="58" t="s">
        <v>1816</v>
      </c>
      <c r="I3759" s="64" t="s">
        <v>9610</v>
      </c>
      <c r="J3759" s="66"/>
      <c r="K3759" s="66"/>
      <c r="L3759" s="68"/>
      <c r="M3759" s="63" t="str">
        <f>HYPERLINK("http://nsgreg.nga.mil/genc/view?v=866397&amp;end_month=12&amp;end_day=31&amp;end_year=2016","Correlation")</f>
        <v>Correlation</v>
      </c>
    </row>
    <row r="3760" spans="1:13" x14ac:dyDescent="0.2">
      <c r="A3760" s="113"/>
      <c r="B3760" s="58" t="s">
        <v>9611</v>
      </c>
      <c r="C3760" s="58" t="s">
        <v>1816</v>
      </c>
      <c r="D3760" s="58" t="s">
        <v>9612</v>
      </c>
      <c r="E3760" s="60" t="b">
        <v>1</v>
      </c>
      <c r="F3760" s="80" t="s">
        <v>1194</v>
      </c>
      <c r="G3760" s="58" t="s">
        <v>9611</v>
      </c>
      <c r="H3760" s="58" t="s">
        <v>1816</v>
      </c>
      <c r="I3760" s="64" t="s">
        <v>9612</v>
      </c>
      <c r="J3760" s="66"/>
      <c r="K3760" s="66"/>
      <c r="L3760" s="68"/>
      <c r="M3760" s="63" t="str">
        <f>HYPERLINK("http://nsgreg.nga.mil/genc/view?v=866398&amp;end_month=12&amp;end_day=31&amp;end_year=2016","Correlation")</f>
        <v>Correlation</v>
      </c>
    </row>
    <row r="3761" spans="1:13" x14ac:dyDescent="0.2">
      <c r="A3761" s="113"/>
      <c r="B3761" s="58" t="s">
        <v>9613</v>
      </c>
      <c r="C3761" s="58" t="s">
        <v>1816</v>
      </c>
      <c r="D3761" s="58" t="s">
        <v>9614</v>
      </c>
      <c r="E3761" s="60" t="b">
        <v>1</v>
      </c>
      <c r="F3761" s="80" t="s">
        <v>1194</v>
      </c>
      <c r="G3761" s="58" t="s">
        <v>9613</v>
      </c>
      <c r="H3761" s="58" t="s">
        <v>1816</v>
      </c>
      <c r="I3761" s="64" t="s">
        <v>9614</v>
      </c>
      <c r="J3761" s="66"/>
      <c r="K3761" s="66"/>
      <c r="L3761" s="68"/>
      <c r="M3761" s="63" t="str">
        <f>HYPERLINK("http://nsgreg.nga.mil/genc/view?v=866264&amp;end_month=12&amp;end_day=31&amp;end_year=2016","Correlation")</f>
        <v>Correlation</v>
      </c>
    </row>
    <row r="3762" spans="1:13" x14ac:dyDescent="0.2">
      <c r="A3762" s="113"/>
      <c r="B3762" s="58" t="s">
        <v>9615</v>
      </c>
      <c r="C3762" s="58" t="s">
        <v>1816</v>
      </c>
      <c r="D3762" s="58" t="s">
        <v>9616</v>
      </c>
      <c r="E3762" s="60" t="b">
        <v>1</v>
      </c>
      <c r="F3762" s="80" t="s">
        <v>1194</v>
      </c>
      <c r="G3762" s="58" t="s">
        <v>9615</v>
      </c>
      <c r="H3762" s="58" t="s">
        <v>1816</v>
      </c>
      <c r="I3762" s="64" t="s">
        <v>9616</v>
      </c>
      <c r="J3762" s="66"/>
      <c r="K3762" s="66"/>
      <c r="L3762" s="68"/>
      <c r="M3762" s="63" t="str">
        <f>HYPERLINK("http://nsgreg.nga.mil/genc/view?v=866265&amp;end_month=12&amp;end_day=31&amp;end_year=2016","Correlation")</f>
        <v>Correlation</v>
      </c>
    </row>
    <row r="3763" spans="1:13" x14ac:dyDescent="0.2">
      <c r="A3763" s="113"/>
      <c r="B3763" s="58" t="s">
        <v>9617</v>
      </c>
      <c r="C3763" s="58" t="s">
        <v>1816</v>
      </c>
      <c r="D3763" s="58" t="s">
        <v>9618</v>
      </c>
      <c r="E3763" s="60" t="b">
        <v>1</v>
      </c>
      <c r="F3763" s="80" t="s">
        <v>1194</v>
      </c>
      <c r="G3763" s="58" t="s">
        <v>9617</v>
      </c>
      <c r="H3763" s="58" t="s">
        <v>1816</v>
      </c>
      <c r="I3763" s="64" t="s">
        <v>9618</v>
      </c>
      <c r="J3763" s="66"/>
      <c r="K3763" s="66"/>
      <c r="L3763" s="68"/>
      <c r="M3763" s="63" t="str">
        <f>HYPERLINK("http://nsgreg.nga.mil/genc/view?v=866266&amp;end_month=12&amp;end_day=31&amp;end_year=2016","Correlation")</f>
        <v>Correlation</v>
      </c>
    </row>
    <row r="3764" spans="1:13" x14ac:dyDescent="0.2">
      <c r="A3764" s="113"/>
      <c r="B3764" s="58" t="s">
        <v>9619</v>
      </c>
      <c r="C3764" s="58" t="s">
        <v>1816</v>
      </c>
      <c r="D3764" s="58" t="s">
        <v>9620</v>
      </c>
      <c r="E3764" s="60" t="b">
        <v>1</v>
      </c>
      <c r="F3764" s="80" t="s">
        <v>1194</v>
      </c>
      <c r="G3764" s="58" t="s">
        <v>9619</v>
      </c>
      <c r="H3764" s="58" t="s">
        <v>1816</v>
      </c>
      <c r="I3764" s="64" t="s">
        <v>9620</v>
      </c>
      <c r="J3764" s="66"/>
      <c r="K3764" s="66"/>
      <c r="L3764" s="68"/>
      <c r="M3764" s="63" t="str">
        <f>HYPERLINK("http://nsgreg.nga.mil/genc/view?v=866267&amp;end_month=12&amp;end_day=31&amp;end_year=2016","Correlation")</f>
        <v>Correlation</v>
      </c>
    </row>
    <row r="3765" spans="1:13" x14ac:dyDescent="0.2">
      <c r="A3765" s="113"/>
      <c r="B3765" s="58" t="s">
        <v>9621</v>
      </c>
      <c r="C3765" s="58" t="s">
        <v>1816</v>
      </c>
      <c r="D3765" s="58" t="s">
        <v>9622</v>
      </c>
      <c r="E3765" s="60" t="b">
        <v>1</v>
      </c>
      <c r="F3765" s="80" t="s">
        <v>1194</v>
      </c>
      <c r="G3765" s="58" t="s">
        <v>9621</v>
      </c>
      <c r="H3765" s="58" t="s">
        <v>1816</v>
      </c>
      <c r="I3765" s="64" t="s">
        <v>9622</v>
      </c>
      <c r="J3765" s="66"/>
      <c r="K3765" s="66"/>
      <c r="L3765" s="68"/>
      <c r="M3765" s="63" t="str">
        <f>HYPERLINK("http://nsgreg.nga.mil/genc/view?v=866268&amp;end_month=12&amp;end_day=31&amp;end_year=2016","Correlation")</f>
        <v>Correlation</v>
      </c>
    </row>
    <row r="3766" spans="1:13" x14ac:dyDescent="0.2">
      <c r="A3766" s="113"/>
      <c r="B3766" s="58" t="s">
        <v>9623</v>
      </c>
      <c r="C3766" s="58" t="s">
        <v>1816</v>
      </c>
      <c r="D3766" s="58" t="s">
        <v>9624</v>
      </c>
      <c r="E3766" s="60" t="b">
        <v>1</v>
      </c>
      <c r="F3766" s="80" t="s">
        <v>1194</v>
      </c>
      <c r="G3766" s="58" t="s">
        <v>9623</v>
      </c>
      <c r="H3766" s="58" t="s">
        <v>1816</v>
      </c>
      <c r="I3766" s="64" t="s">
        <v>9624</v>
      </c>
      <c r="J3766" s="66"/>
      <c r="K3766" s="66"/>
      <c r="L3766" s="68"/>
      <c r="M3766" s="63" t="str">
        <f>HYPERLINK("http://nsgreg.nga.mil/genc/view?v=866269&amp;end_month=12&amp;end_day=31&amp;end_year=2016","Correlation")</f>
        <v>Correlation</v>
      </c>
    </row>
    <row r="3767" spans="1:13" x14ac:dyDescent="0.2">
      <c r="A3767" s="113"/>
      <c r="B3767" s="58" t="s">
        <v>9625</v>
      </c>
      <c r="C3767" s="58" t="s">
        <v>1816</v>
      </c>
      <c r="D3767" s="58" t="s">
        <v>9626</v>
      </c>
      <c r="E3767" s="60" t="b">
        <v>1</v>
      </c>
      <c r="F3767" s="80" t="s">
        <v>1194</v>
      </c>
      <c r="G3767" s="58" t="s">
        <v>9625</v>
      </c>
      <c r="H3767" s="58" t="s">
        <v>1816</v>
      </c>
      <c r="I3767" s="64" t="s">
        <v>9626</v>
      </c>
      <c r="J3767" s="66"/>
      <c r="K3767" s="66"/>
      <c r="L3767" s="68"/>
      <c r="M3767" s="63" t="str">
        <f>HYPERLINK("http://nsgreg.nga.mil/genc/view?v=866270&amp;end_month=12&amp;end_day=31&amp;end_year=2016","Correlation")</f>
        <v>Correlation</v>
      </c>
    </row>
    <row r="3768" spans="1:13" x14ac:dyDescent="0.2">
      <c r="A3768" s="113"/>
      <c r="B3768" s="58" t="s">
        <v>9627</v>
      </c>
      <c r="C3768" s="58" t="s">
        <v>1816</v>
      </c>
      <c r="D3768" s="58" t="s">
        <v>9628</v>
      </c>
      <c r="E3768" s="60" t="b">
        <v>1</v>
      </c>
      <c r="F3768" s="80" t="s">
        <v>1194</v>
      </c>
      <c r="G3768" s="58" t="s">
        <v>9627</v>
      </c>
      <c r="H3768" s="58" t="s">
        <v>1816</v>
      </c>
      <c r="I3768" s="64" t="s">
        <v>9628</v>
      </c>
      <c r="J3768" s="66"/>
      <c r="K3768" s="66"/>
      <c r="L3768" s="68"/>
      <c r="M3768" s="63" t="str">
        <f>HYPERLINK("http://nsgreg.nga.mil/genc/view?v=866448&amp;end_month=12&amp;end_day=31&amp;end_year=2016","Correlation")</f>
        <v>Correlation</v>
      </c>
    </row>
    <row r="3769" spans="1:13" x14ac:dyDescent="0.2">
      <c r="A3769" s="113"/>
      <c r="B3769" s="58" t="s">
        <v>9629</v>
      </c>
      <c r="C3769" s="58" t="s">
        <v>1816</v>
      </c>
      <c r="D3769" s="58" t="s">
        <v>9630</v>
      </c>
      <c r="E3769" s="60" t="b">
        <v>1</v>
      </c>
      <c r="F3769" s="80" t="s">
        <v>1194</v>
      </c>
      <c r="G3769" s="58" t="s">
        <v>9629</v>
      </c>
      <c r="H3769" s="58" t="s">
        <v>1816</v>
      </c>
      <c r="I3769" s="64" t="s">
        <v>9630</v>
      </c>
      <c r="J3769" s="66"/>
      <c r="K3769" s="66"/>
      <c r="L3769" s="68"/>
      <c r="M3769" s="63" t="str">
        <f>HYPERLINK("http://nsgreg.nga.mil/genc/view?v=866271&amp;end_month=12&amp;end_day=31&amp;end_year=2016","Correlation")</f>
        <v>Correlation</v>
      </c>
    </row>
    <row r="3770" spans="1:13" x14ac:dyDescent="0.2">
      <c r="A3770" s="113"/>
      <c r="B3770" s="58" t="s">
        <v>9631</v>
      </c>
      <c r="C3770" s="58" t="s">
        <v>1816</v>
      </c>
      <c r="D3770" s="58" t="s">
        <v>9632</v>
      </c>
      <c r="E3770" s="60" t="b">
        <v>1</v>
      </c>
      <c r="F3770" s="80" t="s">
        <v>1194</v>
      </c>
      <c r="G3770" s="58" t="s">
        <v>9631</v>
      </c>
      <c r="H3770" s="58" t="s">
        <v>1816</v>
      </c>
      <c r="I3770" s="64" t="s">
        <v>9632</v>
      </c>
      <c r="J3770" s="66"/>
      <c r="K3770" s="66"/>
      <c r="L3770" s="68"/>
      <c r="M3770" s="63" t="str">
        <f>HYPERLINK("http://nsgreg.nga.mil/genc/view?v=866272&amp;end_month=12&amp;end_day=31&amp;end_year=2016","Correlation")</f>
        <v>Correlation</v>
      </c>
    </row>
    <row r="3771" spans="1:13" x14ac:dyDescent="0.2">
      <c r="A3771" s="113"/>
      <c r="B3771" s="58" t="s">
        <v>9633</v>
      </c>
      <c r="C3771" s="58" t="s">
        <v>1816</v>
      </c>
      <c r="D3771" s="58" t="s">
        <v>9634</v>
      </c>
      <c r="E3771" s="60" t="b">
        <v>1</v>
      </c>
      <c r="F3771" s="80" t="s">
        <v>1194</v>
      </c>
      <c r="G3771" s="58" t="s">
        <v>9633</v>
      </c>
      <c r="H3771" s="58" t="s">
        <v>1816</v>
      </c>
      <c r="I3771" s="64" t="s">
        <v>9634</v>
      </c>
      <c r="J3771" s="66"/>
      <c r="K3771" s="66"/>
      <c r="L3771" s="68"/>
      <c r="M3771" s="63" t="str">
        <f>HYPERLINK("http://nsgreg.nga.mil/genc/view?v=866273&amp;end_month=12&amp;end_day=31&amp;end_year=2016","Correlation")</f>
        <v>Correlation</v>
      </c>
    </row>
    <row r="3772" spans="1:13" x14ac:dyDescent="0.2">
      <c r="A3772" s="113"/>
      <c r="B3772" s="58" t="s">
        <v>9635</v>
      </c>
      <c r="C3772" s="58" t="s">
        <v>1816</v>
      </c>
      <c r="D3772" s="58" t="s">
        <v>9636</v>
      </c>
      <c r="E3772" s="60" t="b">
        <v>1</v>
      </c>
      <c r="F3772" s="80" t="s">
        <v>1194</v>
      </c>
      <c r="G3772" s="58" t="s">
        <v>9635</v>
      </c>
      <c r="H3772" s="58" t="s">
        <v>1816</v>
      </c>
      <c r="I3772" s="64" t="s">
        <v>9636</v>
      </c>
      <c r="J3772" s="66"/>
      <c r="K3772" s="66"/>
      <c r="L3772" s="68"/>
      <c r="M3772" s="63" t="str">
        <f>HYPERLINK("http://nsgreg.nga.mil/genc/view?v=866399&amp;end_month=12&amp;end_day=31&amp;end_year=2016","Correlation")</f>
        <v>Correlation</v>
      </c>
    </row>
    <row r="3773" spans="1:13" x14ac:dyDescent="0.2">
      <c r="A3773" s="113"/>
      <c r="B3773" s="58" t="s">
        <v>9637</v>
      </c>
      <c r="C3773" s="58" t="s">
        <v>1816</v>
      </c>
      <c r="D3773" s="58" t="s">
        <v>9638</v>
      </c>
      <c r="E3773" s="60" t="b">
        <v>1</v>
      </c>
      <c r="F3773" s="80" t="s">
        <v>1194</v>
      </c>
      <c r="G3773" s="58" t="s">
        <v>9637</v>
      </c>
      <c r="H3773" s="58" t="s">
        <v>1816</v>
      </c>
      <c r="I3773" s="64" t="s">
        <v>9638</v>
      </c>
      <c r="J3773" s="66"/>
      <c r="K3773" s="66"/>
      <c r="L3773" s="68"/>
      <c r="M3773" s="63" t="str">
        <f>HYPERLINK("http://nsgreg.nga.mil/genc/view?v=866274&amp;end_month=12&amp;end_day=31&amp;end_year=2016","Correlation")</f>
        <v>Correlation</v>
      </c>
    </row>
    <row r="3774" spans="1:13" x14ac:dyDescent="0.2">
      <c r="A3774" s="113"/>
      <c r="B3774" s="58" t="s">
        <v>9639</v>
      </c>
      <c r="C3774" s="58" t="s">
        <v>1816</v>
      </c>
      <c r="D3774" s="58" t="s">
        <v>9640</v>
      </c>
      <c r="E3774" s="60" t="b">
        <v>1</v>
      </c>
      <c r="F3774" s="80" t="s">
        <v>1194</v>
      </c>
      <c r="G3774" s="58" t="s">
        <v>9639</v>
      </c>
      <c r="H3774" s="58" t="s">
        <v>1816</v>
      </c>
      <c r="I3774" s="64" t="s">
        <v>9640</v>
      </c>
      <c r="J3774" s="66"/>
      <c r="K3774" s="66"/>
      <c r="L3774" s="68"/>
      <c r="M3774" s="63" t="str">
        <f>HYPERLINK("http://nsgreg.nga.mil/genc/view?v=866400&amp;end_month=12&amp;end_day=31&amp;end_year=2016","Correlation")</f>
        <v>Correlation</v>
      </c>
    </row>
    <row r="3775" spans="1:13" x14ac:dyDescent="0.2">
      <c r="A3775" s="113"/>
      <c r="B3775" s="58" t="s">
        <v>9641</v>
      </c>
      <c r="C3775" s="58" t="s">
        <v>1816</v>
      </c>
      <c r="D3775" s="58" t="s">
        <v>9642</v>
      </c>
      <c r="E3775" s="60" t="b">
        <v>1</v>
      </c>
      <c r="F3775" s="80" t="s">
        <v>1194</v>
      </c>
      <c r="G3775" s="58" t="s">
        <v>9641</v>
      </c>
      <c r="H3775" s="58" t="s">
        <v>1816</v>
      </c>
      <c r="I3775" s="64" t="s">
        <v>9642</v>
      </c>
      <c r="J3775" s="66"/>
      <c r="K3775" s="66"/>
      <c r="L3775" s="68"/>
      <c r="M3775" s="63" t="str">
        <f>HYPERLINK("http://nsgreg.nga.mil/genc/view?v=866401&amp;end_month=12&amp;end_day=31&amp;end_year=2016","Correlation")</f>
        <v>Correlation</v>
      </c>
    </row>
    <row r="3776" spans="1:13" x14ac:dyDescent="0.2">
      <c r="A3776" s="113"/>
      <c r="B3776" s="58" t="s">
        <v>9643</v>
      </c>
      <c r="C3776" s="58" t="s">
        <v>1816</v>
      </c>
      <c r="D3776" s="58" t="s">
        <v>9644</v>
      </c>
      <c r="E3776" s="60" t="b">
        <v>1</v>
      </c>
      <c r="F3776" s="80" t="s">
        <v>1194</v>
      </c>
      <c r="G3776" s="58" t="s">
        <v>9643</v>
      </c>
      <c r="H3776" s="58" t="s">
        <v>1816</v>
      </c>
      <c r="I3776" s="64" t="s">
        <v>9644</v>
      </c>
      <c r="J3776" s="66"/>
      <c r="K3776" s="66"/>
      <c r="L3776" s="68"/>
      <c r="M3776" s="63" t="str">
        <f>HYPERLINK("http://nsgreg.nga.mil/genc/view?v=866402&amp;end_month=12&amp;end_day=31&amp;end_year=2016","Correlation")</f>
        <v>Correlation</v>
      </c>
    </row>
    <row r="3777" spans="1:13" x14ac:dyDescent="0.2">
      <c r="A3777" s="113"/>
      <c r="B3777" s="58" t="s">
        <v>9645</v>
      </c>
      <c r="C3777" s="58" t="s">
        <v>1816</v>
      </c>
      <c r="D3777" s="58" t="s">
        <v>9646</v>
      </c>
      <c r="E3777" s="60" t="b">
        <v>1</v>
      </c>
      <c r="F3777" s="80" t="s">
        <v>1194</v>
      </c>
      <c r="G3777" s="58" t="s">
        <v>9645</v>
      </c>
      <c r="H3777" s="58" t="s">
        <v>1816</v>
      </c>
      <c r="I3777" s="64" t="s">
        <v>9646</v>
      </c>
      <c r="J3777" s="66"/>
      <c r="K3777" s="66"/>
      <c r="L3777" s="68"/>
      <c r="M3777" s="63" t="str">
        <f>HYPERLINK("http://nsgreg.nga.mil/genc/view?v=866403&amp;end_month=12&amp;end_day=31&amp;end_year=2016","Correlation")</f>
        <v>Correlation</v>
      </c>
    </row>
    <row r="3778" spans="1:13" x14ac:dyDescent="0.2">
      <c r="A3778" s="113"/>
      <c r="B3778" s="58" t="s">
        <v>9647</v>
      </c>
      <c r="C3778" s="58" t="s">
        <v>1816</v>
      </c>
      <c r="D3778" s="58" t="s">
        <v>9648</v>
      </c>
      <c r="E3778" s="60" t="b">
        <v>1</v>
      </c>
      <c r="F3778" s="80" t="s">
        <v>1194</v>
      </c>
      <c r="G3778" s="58" t="s">
        <v>9647</v>
      </c>
      <c r="H3778" s="58" t="s">
        <v>1816</v>
      </c>
      <c r="I3778" s="64" t="s">
        <v>9648</v>
      </c>
      <c r="J3778" s="66"/>
      <c r="K3778" s="66"/>
      <c r="L3778" s="68"/>
      <c r="M3778" s="63" t="str">
        <f>HYPERLINK("http://nsgreg.nga.mil/genc/view?v=866276&amp;end_month=12&amp;end_day=31&amp;end_year=2016","Correlation")</f>
        <v>Correlation</v>
      </c>
    </row>
    <row r="3779" spans="1:13" x14ac:dyDescent="0.2">
      <c r="A3779" s="113"/>
      <c r="B3779" s="58" t="s">
        <v>9649</v>
      </c>
      <c r="C3779" s="58" t="s">
        <v>1816</v>
      </c>
      <c r="D3779" s="58" t="s">
        <v>9650</v>
      </c>
      <c r="E3779" s="60" t="b">
        <v>1</v>
      </c>
      <c r="F3779" s="80" t="s">
        <v>1194</v>
      </c>
      <c r="G3779" s="58" t="s">
        <v>9649</v>
      </c>
      <c r="H3779" s="58" t="s">
        <v>1816</v>
      </c>
      <c r="I3779" s="64" t="s">
        <v>9650</v>
      </c>
      <c r="J3779" s="66"/>
      <c r="K3779" s="66"/>
      <c r="L3779" s="68"/>
      <c r="M3779" s="63" t="str">
        <f>HYPERLINK("http://nsgreg.nga.mil/genc/view?v=866277&amp;end_month=12&amp;end_day=31&amp;end_year=2016","Correlation")</f>
        <v>Correlation</v>
      </c>
    </row>
    <row r="3780" spans="1:13" x14ac:dyDescent="0.2">
      <c r="A3780" s="113"/>
      <c r="B3780" s="58" t="s">
        <v>9651</v>
      </c>
      <c r="C3780" s="58" t="s">
        <v>1816</v>
      </c>
      <c r="D3780" s="58" t="s">
        <v>9652</v>
      </c>
      <c r="E3780" s="60" t="b">
        <v>1</v>
      </c>
      <c r="F3780" s="80" t="s">
        <v>1194</v>
      </c>
      <c r="G3780" s="58" t="s">
        <v>9651</v>
      </c>
      <c r="H3780" s="58" t="s">
        <v>1816</v>
      </c>
      <c r="I3780" s="64" t="s">
        <v>9652</v>
      </c>
      <c r="J3780" s="66"/>
      <c r="K3780" s="66"/>
      <c r="L3780" s="68"/>
      <c r="M3780" s="63" t="str">
        <f>HYPERLINK("http://nsgreg.nga.mil/genc/view?v=866278&amp;end_month=12&amp;end_day=31&amp;end_year=2016","Correlation")</f>
        <v>Correlation</v>
      </c>
    </row>
    <row r="3781" spans="1:13" x14ac:dyDescent="0.2">
      <c r="A3781" s="113"/>
      <c r="B3781" s="58" t="s">
        <v>9653</v>
      </c>
      <c r="C3781" s="58" t="s">
        <v>1816</v>
      </c>
      <c r="D3781" s="58" t="s">
        <v>9654</v>
      </c>
      <c r="E3781" s="60" t="b">
        <v>1</v>
      </c>
      <c r="F3781" s="80" t="s">
        <v>1194</v>
      </c>
      <c r="G3781" s="58" t="s">
        <v>9653</v>
      </c>
      <c r="H3781" s="58" t="s">
        <v>1816</v>
      </c>
      <c r="I3781" s="64" t="s">
        <v>9654</v>
      </c>
      <c r="J3781" s="66"/>
      <c r="K3781" s="66"/>
      <c r="L3781" s="68"/>
      <c r="M3781" s="63" t="str">
        <f>HYPERLINK("http://nsgreg.nga.mil/genc/view?v=866279&amp;end_month=12&amp;end_day=31&amp;end_year=2016","Correlation")</f>
        <v>Correlation</v>
      </c>
    </row>
    <row r="3782" spans="1:13" x14ac:dyDescent="0.2">
      <c r="A3782" s="113"/>
      <c r="B3782" s="58" t="s">
        <v>9655</v>
      </c>
      <c r="C3782" s="58" t="s">
        <v>1816</v>
      </c>
      <c r="D3782" s="58" t="s">
        <v>9656</v>
      </c>
      <c r="E3782" s="60" t="b">
        <v>1</v>
      </c>
      <c r="F3782" s="80" t="s">
        <v>1194</v>
      </c>
      <c r="G3782" s="58" t="s">
        <v>9655</v>
      </c>
      <c r="H3782" s="58" t="s">
        <v>1816</v>
      </c>
      <c r="I3782" s="64" t="s">
        <v>9656</v>
      </c>
      <c r="J3782" s="66"/>
      <c r="K3782" s="66"/>
      <c r="L3782" s="68"/>
      <c r="M3782" s="63" t="str">
        <f>HYPERLINK("http://nsgreg.nga.mil/genc/view?v=866280&amp;end_month=12&amp;end_day=31&amp;end_year=2016","Correlation")</f>
        <v>Correlation</v>
      </c>
    </row>
    <row r="3783" spans="1:13" x14ac:dyDescent="0.2">
      <c r="A3783" s="113"/>
      <c r="B3783" s="58" t="s">
        <v>9657</v>
      </c>
      <c r="C3783" s="58" t="s">
        <v>1816</v>
      </c>
      <c r="D3783" s="58" t="s">
        <v>9658</v>
      </c>
      <c r="E3783" s="60" t="b">
        <v>1</v>
      </c>
      <c r="F3783" s="80" t="s">
        <v>1194</v>
      </c>
      <c r="G3783" s="58" t="s">
        <v>9657</v>
      </c>
      <c r="H3783" s="58" t="s">
        <v>1816</v>
      </c>
      <c r="I3783" s="64" t="s">
        <v>9658</v>
      </c>
      <c r="J3783" s="66"/>
      <c r="K3783" s="66"/>
      <c r="L3783" s="68"/>
      <c r="M3783" s="63" t="str">
        <f>HYPERLINK("http://nsgreg.nga.mil/genc/view?v=866281&amp;end_month=12&amp;end_day=31&amp;end_year=2016","Correlation")</f>
        <v>Correlation</v>
      </c>
    </row>
    <row r="3784" spans="1:13" x14ac:dyDescent="0.2">
      <c r="A3784" s="113"/>
      <c r="B3784" s="58" t="s">
        <v>9659</v>
      </c>
      <c r="C3784" s="58" t="s">
        <v>1816</v>
      </c>
      <c r="D3784" s="58" t="s">
        <v>9660</v>
      </c>
      <c r="E3784" s="60" t="b">
        <v>1</v>
      </c>
      <c r="F3784" s="80" t="s">
        <v>1194</v>
      </c>
      <c r="G3784" s="58" t="s">
        <v>9659</v>
      </c>
      <c r="H3784" s="58" t="s">
        <v>1816</v>
      </c>
      <c r="I3784" s="64" t="s">
        <v>9660</v>
      </c>
      <c r="J3784" s="66"/>
      <c r="K3784" s="66"/>
      <c r="L3784" s="68"/>
      <c r="M3784" s="63" t="str">
        <f>HYPERLINK("http://nsgreg.nga.mil/genc/view?v=866282&amp;end_month=12&amp;end_day=31&amp;end_year=2016","Correlation")</f>
        <v>Correlation</v>
      </c>
    </row>
    <row r="3785" spans="1:13" x14ac:dyDescent="0.2">
      <c r="A3785" s="113"/>
      <c r="B3785" s="58" t="s">
        <v>9661</v>
      </c>
      <c r="C3785" s="58" t="s">
        <v>1816</v>
      </c>
      <c r="D3785" s="58" t="s">
        <v>9662</v>
      </c>
      <c r="E3785" s="60" t="b">
        <v>1</v>
      </c>
      <c r="F3785" s="80" t="s">
        <v>1194</v>
      </c>
      <c r="G3785" s="58" t="s">
        <v>9661</v>
      </c>
      <c r="H3785" s="58" t="s">
        <v>1816</v>
      </c>
      <c r="I3785" s="64" t="s">
        <v>9662</v>
      </c>
      <c r="J3785" s="66"/>
      <c r="K3785" s="66"/>
      <c r="L3785" s="68"/>
      <c r="M3785" s="63" t="str">
        <f>HYPERLINK("http://nsgreg.nga.mil/genc/view?v=866283&amp;end_month=12&amp;end_day=31&amp;end_year=2016","Correlation")</f>
        <v>Correlation</v>
      </c>
    </row>
    <row r="3786" spans="1:13" x14ac:dyDescent="0.2">
      <c r="A3786" s="113"/>
      <c r="B3786" s="58" t="s">
        <v>9663</v>
      </c>
      <c r="C3786" s="58" t="s">
        <v>1816</v>
      </c>
      <c r="D3786" s="58" t="s">
        <v>9664</v>
      </c>
      <c r="E3786" s="60" t="b">
        <v>1</v>
      </c>
      <c r="F3786" s="80" t="s">
        <v>1194</v>
      </c>
      <c r="G3786" s="58" t="s">
        <v>9663</v>
      </c>
      <c r="H3786" s="58" t="s">
        <v>1816</v>
      </c>
      <c r="I3786" s="64" t="s">
        <v>9664</v>
      </c>
      <c r="J3786" s="66"/>
      <c r="K3786" s="66"/>
      <c r="L3786" s="68"/>
      <c r="M3786" s="63" t="str">
        <f>HYPERLINK("http://nsgreg.nga.mil/genc/view?v=866404&amp;end_month=12&amp;end_day=31&amp;end_year=2016","Correlation")</f>
        <v>Correlation</v>
      </c>
    </row>
    <row r="3787" spans="1:13" x14ac:dyDescent="0.2">
      <c r="A3787" s="113"/>
      <c r="B3787" s="58" t="s">
        <v>9665</v>
      </c>
      <c r="C3787" s="58" t="s">
        <v>1816</v>
      </c>
      <c r="D3787" s="58" t="s">
        <v>9666</v>
      </c>
      <c r="E3787" s="60" t="b">
        <v>1</v>
      </c>
      <c r="F3787" s="80" t="s">
        <v>1194</v>
      </c>
      <c r="G3787" s="58" t="s">
        <v>9665</v>
      </c>
      <c r="H3787" s="58" t="s">
        <v>1816</v>
      </c>
      <c r="I3787" s="64" t="s">
        <v>9666</v>
      </c>
      <c r="J3787" s="66"/>
      <c r="K3787" s="66"/>
      <c r="L3787" s="68"/>
      <c r="M3787" s="63" t="str">
        <f>HYPERLINK("http://nsgreg.nga.mil/genc/view?v=866284&amp;end_month=12&amp;end_day=31&amp;end_year=2016","Correlation")</f>
        <v>Correlation</v>
      </c>
    </row>
    <row r="3788" spans="1:13" x14ac:dyDescent="0.2">
      <c r="A3788" s="113"/>
      <c r="B3788" s="58" t="s">
        <v>9667</v>
      </c>
      <c r="C3788" s="58" t="s">
        <v>1816</v>
      </c>
      <c r="D3788" s="58" t="s">
        <v>9668</v>
      </c>
      <c r="E3788" s="60" t="b">
        <v>1</v>
      </c>
      <c r="F3788" s="80" t="s">
        <v>1194</v>
      </c>
      <c r="G3788" s="58" t="s">
        <v>9667</v>
      </c>
      <c r="H3788" s="58" t="s">
        <v>1816</v>
      </c>
      <c r="I3788" s="64" t="s">
        <v>9668</v>
      </c>
      <c r="J3788" s="66"/>
      <c r="K3788" s="66"/>
      <c r="L3788" s="68"/>
      <c r="M3788" s="63" t="str">
        <f>HYPERLINK("http://nsgreg.nga.mil/genc/view?v=866285&amp;end_month=12&amp;end_day=31&amp;end_year=2016","Correlation")</f>
        <v>Correlation</v>
      </c>
    </row>
    <row r="3789" spans="1:13" x14ac:dyDescent="0.2">
      <c r="A3789" s="113"/>
      <c r="B3789" s="58" t="s">
        <v>9669</v>
      </c>
      <c r="C3789" s="58" t="s">
        <v>1816</v>
      </c>
      <c r="D3789" s="58" t="s">
        <v>9670</v>
      </c>
      <c r="E3789" s="60" t="b">
        <v>1</v>
      </c>
      <c r="F3789" s="80" t="s">
        <v>1194</v>
      </c>
      <c r="G3789" s="58" t="s">
        <v>9669</v>
      </c>
      <c r="H3789" s="58" t="s">
        <v>1816</v>
      </c>
      <c r="I3789" s="64" t="s">
        <v>9670</v>
      </c>
      <c r="J3789" s="66"/>
      <c r="K3789" s="66"/>
      <c r="L3789" s="68"/>
      <c r="M3789" s="63" t="str">
        <f>HYPERLINK("http://nsgreg.nga.mil/genc/view?v=866286&amp;end_month=12&amp;end_day=31&amp;end_year=2016","Correlation")</f>
        <v>Correlation</v>
      </c>
    </row>
    <row r="3790" spans="1:13" x14ac:dyDescent="0.2">
      <c r="A3790" s="113"/>
      <c r="B3790" s="58" t="s">
        <v>9671</v>
      </c>
      <c r="C3790" s="58" t="s">
        <v>1816</v>
      </c>
      <c r="D3790" s="58" t="s">
        <v>9672</v>
      </c>
      <c r="E3790" s="60" t="b">
        <v>1</v>
      </c>
      <c r="F3790" s="80" t="s">
        <v>1194</v>
      </c>
      <c r="G3790" s="58" t="s">
        <v>9671</v>
      </c>
      <c r="H3790" s="58" t="s">
        <v>1816</v>
      </c>
      <c r="I3790" s="64" t="s">
        <v>9672</v>
      </c>
      <c r="J3790" s="66"/>
      <c r="K3790" s="66"/>
      <c r="L3790" s="68"/>
      <c r="M3790" s="63" t="str">
        <f>HYPERLINK("http://nsgreg.nga.mil/genc/view?v=866287&amp;end_month=12&amp;end_day=31&amp;end_year=2016","Correlation")</f>
        <v>Correlation</v>
      </c>
    </row>
    <row r="3791" spans="1:13" x14ac:dyDescent="0.2">
      <c r="A3791" s="113"/>
      <c r="B3791" s="58" t="s">
        <v>9673</v>
      </c>
      <c r="C3791" s="58" t="s">
        <v>1816</v>
      </c>
      <c r="D3791" s="58" t="s">
        <v>9674</v>
      </c>
      <c r="E3791" s="60" t="b">
        <v>1</v>
      </c>
      <c r="F3791" s="80" t="s">
        <v>1194</v>
      </c>
      <c r="G3791" s="58" t="s">
        <v>9673</v>
      </c>
      <c r="H3791" s="58" t="s">
        <v>1816</v>
      </c>
      <c r="I3791" s="64" t="s">
        <v>9674</v>
      </c>
      <c r="J3791" s="66"/>
      <c r="K3791" s="66"/>
      <c r="L3791" s="68"/>
      <c r="M3791" s="63" t="str">
        <f>HYPERLINK("http://nsgreg.nga.mil/genc/view?v=866288&amp;end_month=12&amp;end_day=31&amp;end_year=2016","Correlation")</f>
        <v>Correlation</v>
      </c>
    </row>
    <row r="3792" spans="1:13" x14ac:dyDescent="0.2">
      <c r="A3792" s="113"/>
      <c r="B3792" s="58" t="s">
        <v>9675</v>
      </c>
      <c r="C3792" s="58" t="s">
        <v>1816</v>
      </c>
      <c r="D3792" s="58" t="s">
        <v>9676</v>
      </c>
      <c r="E3792" s="60" t="b">
        <v>1</v>
      </c>
      <c r="F3792" s="80" t="s">
        <v>1194</v>
      </c>
      <c r="G3792" s="58" t="s">
        <v>9675</v>
      </c>
      <c r="H3792" s="58" t="s">
        <v>1816</v>
      </c>
      <c r="I3792" s="64" t="s">
        <v>9676</v>
      </c>
      <c r="J3792" s="66"/>
      <c r="K3792" s="66"/>
      <c r="L3792" s="68"/>
      <c r="M3792" s="63" t="str">
        <f>HYPERLINK("http://nsgreg.nga.mil/genc/view?v=866289&amp;end_month=12&amp;end_day=31&amp;end_year=2016","Correlation")</f>
        <v>Correlation</v>
      </c>
    </row>
    <row r="3793" spans="1:13" x14ac:dyDescent="0.2">
      <c r="A3793" s="113"/>
      <c r="B3793" s="58" t="s">
        <v>9677</v>
      </c>
      <c r="C3793" s="58" t="s">
        <v>1816</v>
      </c>
      <c r="D3793" s="58" t="s">
        <v>9678</v>
      </c>
      <c r="E3793" s="60" t="b">
        <v>1</v>
      </c>
      <c r="F3793" s="80" t="s">
        <v>1194</v>
      </c>
      <c r="G3793" s="58" t="s">
        <v>9677</v>
      </c>
      <c r="H3793" s="58" t="s">
        <v>1816</v>
      </c>
      <c r="I3793" s="64" t="s">
        <v>9678</v>
      </c>
      <c r="J3793" s="66"/>
      <c r="K3793" s="66"/>
      <c r="L3793" s="68"/>
      <c r="M3793" s="63" t="str">
        <f>HYPERLINK("http://nsgreg.nga.mil/genc/view?v=866290&amp;end_month=12&amp;end_day=31&amp;end_year=2016","Correlation")</f>
        <v>Correlation</v>
      </c>
    </row>
    <row r="3794" spans="1:13" x14ac:dyDescent="0.2">
      <c r="A3794" s="113"/>
      <c r="B3794" s="58" t="s">
        <v>9679</v>
      </c>
      <c r="C3794" s="58" t="s">
        <v>1816</v>
      </c>
      <c r="D3794" s="58" t="s">
        <v>9680</v>
      </c>
      <c r="E3794" s="60" t="b">
        <v>1</v>
      </c>
      <c r="F3794" s="80" t="s">
        <v>1194</v>
      </c>
      <c r="G3794" s="58" t="s">
        <v>9679</v>
      </c>
      <c r="H3794" s="58" t="s">
        <v>1816</v>
      </c>
      <c r="I3794" s="64" t="s">
        <v>9680</v>
      </c>
      <c r="J3794" s="66"/>
      <c r="K3794" s="66"/>
      <c r="L3794" s="68"/>
      <c r="M3794" s="63" t="str">
        <f>HYPERLINK("http://nsgreg.nga.mil/genc/view?v=866291&amp;end_month=12&amp;end_day=31&amp;end_year=2016","Correlation")</f>
        <v>Correlation</v>
      </c>
    </row>
    <row r="3795" spans="1:13" x14ac:dyDescent="0.2">
      <c r="A3795" s="113"/>
      <c r="B3795" s="58" t="s">
        <v>9681</v>
      </c>
      <c r="C3795" s="58" t="s">
        <v>1816</v>
      </c>
      <c r="D3795" s="58" t="s">
        <v>9682</v>
      </c>
      <c r="E3795" s="60" t="b">
        <v>1</v>
      </c>
      <c r="F3795" s="80" t="s">
        <v>1194</v>
      </c>
      <c r="G3795" s="58" t="s">
        <v>9681</v>
      </c>
      <c r="H3795" s="58" t="s">
        <v>1816</v>
      </c>
      <c r="I3795" s="64" t="s">
        <v>9682</v>
      </c>
      <c r="J3795" s="66"/>
      <c r="K3795" s="66"/>
      <c r="L3795" s="68"/>
      <c r="M3795" s="63" t="str">
        <f>HYPERLINK("http://nsgreg.nga.mil/genc/view?v=866405&amp;end_month=12&amp;end_day=31&amp;end_year=2016","Correlation")</f>
        <v>Correlation</v>
      </c>
    </row>
    <row r="3796" spans="1:13" x14ac:dyDescent="0.2">
      <c r="A3796" s="113"/>
      <c r="B3796" s="58" t="s">
        <v>9683</v>
      </c>
      <c r="C3796" s="58" t="s">
        <v>9684</v>
      </c>
      <c r="D3796" s="58" t="s">
        <v>9685</v>
      </c>
      <c r="E3796" s="60" t="b">
        <v>1</v>
      </c>
      <c r="F3796" s="80" t="s">
        <v>1194</v>
      </c>
      <c r="G3796" s="58" t="s">
        <v>9683</v>
      </c>
      <c r="H3796" s="58" t="s">
        <v>1816</v>
      </c>
      <c r="I3796" s="64" t="s">
        <v>9685</v>
      </c>
      <c r="J3796" s="66"/>
      <c r="K3796" s="66"/>
      <c r="L3796" s="68"/>
      <c r="M3796" s="63" t="str">
        <f>HYPERLINK("http://nsgreg.nga.mil/genc/view?v=866292&amp;end_month=12&amp;end_day=31&amp;end_year=2016","Correlation")</f>
        <v>Correlation</v>
      </c>
    </row>
    <row r="3797" spans="1:13" x14ac:dyDescent="0.2">
      <c r="A3797" s="113"/>
      <c r="B3797" s="58" t="s">
        <v>9686</v>
      </c>
      <c r="C3797" s="58" t="s">
        <v>1816</v>
      </c>
      <c r="D3797" s="58" t="s">
        <v>9687</v>
      </c>
      <c r="E3797" s="60" t="b">
        <v>1</v>
      </c>
      <c r="F3797" s="80" t="s">
        <v>1194</v>
      </c>
      <c r="G3797" s="58" t="s">
        <v>9688</v>
      </c>
      <c r="H3797" s="58" t="s">
        <v>1816</v>
      </c>
      <c r="I3797" s="64" t="s">
        <v>9687</v>
      </c>
      <c r="J3797" s="66"/>
      <c r="K3797" s="66"/>
      <c r="L3797" s="68"/>
      <c r="M3797" s="63" t="str">
        <f>HYPERLINK("http://nsgreg.nga.mil/genc/view?v=866438&amp;end_month=12&amp;end_day=31&amp;end_year=2016","Correlation")</f>
        <v>Correlation</v>
      </c>
    </row>
    <row r="3798" spans="1:13" x14ac:dyDescent="0.2">
      <c r="A3798" s="113"/>
      <c r="B3798" s="58" t="s">
        <v>9689</v>
      </c>
      <c r="C3798" s="58" t="s">
        <v>1816</v>
      </c>
      <c r="D3798" s="58" t="s">
        <v>9690</v>
      </c>
      <c r="E3798" s="60" t="b">
        <v>1</v>
      </c>
      <c r="F3798" s="80" t="s">
        <v>1194</v>
      </c>
      <c r="G3798" s="58" t="s">
        <v>9689</v>
      </c>
      <c r="H3798" s="58" t="s">
        <v>1816</v>
      </c>
      <c r="I3798" s="64" t="s">
        <v>9690</v>
      </c>
      <c r="J3798" s="66"/>
      <c r="K3798" s="66"/>
      <c r="L3798" s="68"/>
      <c r="M3798" s="63" t="str">
        <f>HYPERLINK("http://nsgreg.nga.mil/genc/view?v=866406&amp;end_month=12&amp;end_day=31&amp;end_year=2016","Correlation")</f>
        <v>Correlation</v>
      </c>
    </row>
    <row r="3799" spans="1:13" x14ac:dyDescent="0.2">
      <c r="A3799" s="113"/>
      <c r="B3799" s="58" t="s">
        <v>9691</v>
      </c>
      <c r="C3799" s="58" t="s">
        <v>1816</v>
      </c>
      <c r="D3799" s="58" t="s">
        <v>9692</v>
      </c>
      <c r="E3799" s="60" t="b">
        <v>1</v>
      </c>
      <c r="F3799" s="80" t="s">
        <v>1194</v>
      </c>
      <c r="G3799" s="58" t="s">
        <v>9691</v>
      </c>
      <c r="H3799" s="58" t="s">
        <v>1816</v>
      </c>
      <c r="I3799" s="64" t="s">
        <v>9692</v>
      </c>
      <c r="J3799" s="66"/>
      <c r="K3799" s="66"/>
      <c r="L3799" s="68"/>
      <c r="M3799" s="63" t="str">
        <f>HYPERLINK("http://nsgreg.nga.mil/genc/view?v=866293&amp;end_month=12&amp;end_day=31&amp;end_year=2016","Correlation")</f>
        <v>Correlation</v>
      </c>
    </row>
    <row r="3800" spans="1:13" x14ac:dyDescent="0.2">
      <c r="A3800" s="113"/>
      <c r="B3800" s="58" t="s">
        <v>9693</v>
      </c>
      <c r="C3800" s="58" t="s">
        <v>1816</v>
      </c>
      <c r="D3800" s="58" t="s">
        <v>9694</v>
      </c>
      <c r="E3800" s="60" t="b">
        <v>1</v>
      </c>
      <c r="F3800" s="80" t="s">
        <v>1194</v>
      </c>
      <c r="G3800" s="58" t="s">
        <v>9693</v>
      </c>
      <c r="H3800" s="58" t="s">
        <v>1816</v>
      </c>
      <c r="I3800" s="64" t="s">
        <v>9694</v>
      </c>
      <c r="J3800" s="66"/>
      <c r="K3800" s="66"/>
      <c r="L3800" s="68"/>
      <c r="M3800" s="63" t="str">
        <f>HYPERLINK("http://nsgreg.nga.mil/genc/view?v=866294&amp;end_month=12&amp;end_day=31&amp;end_year=2016","Correlation")</f>
        <v>Correlation</v>
      </c>
    </row>
    <row r="3801" spans="1:13" x14ac:dyDescent="0.2">
      <c r="A3801" s="113"/>
      <c r="B3801" s="58" t="s">
        <v>9695</v>
      </c>
      <c r="C3801" s="58" t="s">
        <v>1816</v>
      </c>
      <c r="D3801" s="58" t="s">
        <v>9696</v>
      </c>
      <c r="E3801" s="60" t="b">
        <v>1</v>
      </c>
      <c r="F3801" s="80" t="s">
        <v>1194</v>
      </c>
      <c r="G3801" s="58" t="s">
        <v>9695</v>
      </c>
      <c r="H3801" s="58" t="s">
        <v>1816</v>
      </c>
      <c r="I3801" s="64" t="s">
        <v>9696</v>
      </c>
      <c r="J3801" s="66"/>
      <c r="K3801" s="66"/>
      <c r="L3801" s="68"/>
      <c r="M3801" s="63" t="str">
        <f>HYPERLINK("http://nsgreg.nga.mil/genc/view?v=866295&amp;end_month=12&amp;end_day=31&amp;end_year=2016","Correlation")</f>
        <v>Correlation</v>
      </c>
    </row>
    <row r="3802" spans="1:13" x14ac:dyDescent="0.2">
      <c r="A3802" s="113"/>
      <c r="B3802" s="58" t="s">
        <v>9697</v>
      </c>
      <c r="C3802" s="58" t="s">
        <v>1816</v>
      </c>
      <c r="D3802" s="58" t="s">
        <v>9698</v>
      </c>
      <c r="E3802" s="60" t="b">
        <v>1</v>
      </c>
      <c r="F3802" s="80" t="s">
        <v>1194</v>
      </c>
      <c r="G3802" s="58" t="s">
        <v>9697</v>
      </c>
      <c r="H3802" s="58" t="s">
        <v>1816</v>
      </c>
      <c r="I3802" s="64" t="s">
        <v>9698</v>
      </c>
      <c r="J3802" s="66"/>
      <c r="K3802" s="66"/>
      <c r="L3802" s="68"/>
      <c r="M3802" s="63" t="str">
        <f>HYPERLINK("http://nsgreg.nga.mil/genc/view?v=866407&amp;end_month=12&amp;end_day=31&amp;end_year=2016","Correlation")</f>
        <v>Correlation</v>
      </c>
    </row>
    <row r="3803" spans="1:13" x14ac:dyDescent="0.2">
      <c r="A3803" s="113"/>
      <c r="B3803" s="58" t="s">
        <v>9699</v>
      </c>
      <c r="C3803" s="58" t="s">
        <v>1816</v>
      </c>
      <c r="D3803" s="58" t="s">
        <v>9700</v>
      </c>
      <c r="E3803" s="60" t="b">
        <v>1</v>
      </c>
      <c r="F3803" s="80" t="s">
        <v>1194</v>
      </c>
      <c r="G3803" s="58" t="s">
        <v>9699</v>
      </c>
      <c r="H3803" s="58" t="s">
        <v>1816</v>
      </c>
      <c r="I3803" s="64" t="s">
        <v>9700</v>
      </c>
      <c r="J3803" s="66"/>
      <c r="K3803" s="66"/>
      <c r="L3803" s="68"/>
      <c r="M3803" s="63" t="str">
        <f>HYPERLINK("http://nsgreg.nga.mil/genc/view?v=866296&amp;end_month=12&amp;end_day=31&amp;end_year=2016","Correlation")</f>
        <v>Correlation</v>
      </c>
    </row>
    <row r="3804" spans="1:13" x14ac:dyDescent="0.2">
      <c r="A3804" s="113"/>
      <c r="B3804" s="58" t="s">
        <v>9701</v>
      </c>
      <c r="C3804" s="58" t="s">
        <v>1816</v>
      </c>
      <c r="D3804" s="58" t="s">
        <v>9702</v>
      </c>
      <c r="E3804" s="60" t="b">
        <v>1</v>
      </c>
      <c r="F3804" s="80" t="s">
        <v>1194</v>
      </c>
      <c r="G3804" s="58" t="s">
        <v>9701</v>
      </c>
      <c r="H3804" s="58" t="s">
        <v>1816</v>
      </c>
      <c r="I3804" s="64" t="s">
        <v>9702</v>
      </c>
      <c r="J3804" s="66"/>
      <c r="K3804" s="66"/>
      <c r="L3804" s="68"/>
      <c r="M3804" s="63" t="str">
        <f>HYPERLINK("http://nsgreg.nga.mil/genc/view?v=866297&amp;end_month=12&amp;end_day=31&amp;end_year=2016","Correlation")</f>
        <v>Correlation</v>
      </c>
    </row>
    <row r="3805" spans="1:13" x14ac:dyDescent="0.2">
      <c r="A3805" s="113"/>
      <c r="B3805" s="58" t="s">
        <v>9703</v>
      </c>
      <c r="C3805" s="58" t="s">
        <v>1816</v>
      </c>
      <c r="D3805" s="58" t="s">
        <v>9704</v>
      </c>
      <c r="E3805" s="60" t="b">
        <v>1</v>
      </c>
      <c r="F3805" s="80" t="s">
        <v>1194</v>
      </c>
      <c r="G3805" s="58" t="s">
        <v>9703</v>
      </c>
      <c r="H3805" s="58" t="s">
        <v>1816</v>
      </c>
      <c r="I3805" s="64" t="s">
        <v>9704</v>
      </c>
      <c r="J3805" s="66"/>
      <c r="K3805" s="66"/>
      <c r="L3805" s="68"/>
      <c r="M3805" s="63" t="str">
        <f>HYPERLINK("http://nsgreg.nga.mil/genc/view?v=866298&amp;end_month=12&amp;end_day=31&amp;end_year=2016","Correlation")</f>
        <v>Correlation</v>
      </c>
    </row>
    <row r="3806" spans="1:13" x14ac:dyDescent="0.2">
      <c r="A3806" s="113"/>
      <c r="B3806" s="58" t="s">
        <v>9705</v>
      </c>
      <c r="C3806" s="58" t="s">
        <v>1816</v>
      </c>
      <c r="D3806" s="58" t="s">
        <v>9706</v>
      </c>
      <c r="E3806" s="60" t="b">
        <v>1</v>
      </c>
      <c r="F3806" s="80" t="s">
        <v>1194</v>
      </c>
      <c r="G3806" s="58" t="s">
        <v>9705</v>
      </c>
      <c r="H3806" s="58" t="s">
        <v>1816</v>
      </c>
      <c r="I3806" s="64" t="s">
        <v>9706</v>
      </c>
      <c r="J3806" s="66"/>
      <c r="K3806" s="66"/>
      <c r="L3806" s="68"/>
      <c r="M3806" s="63" t="str">
        <f>HYPERLINK("http://nsgreg.nga.mil/genc/view?v=866299&amp;end_month=12&amp;end_day=31&amp;end_year=2016","Correlation")</f>
        <v>Correlation</v>
      </c>
    </row>
    <row r="3807" spans="1:13" x14ac:dyDescent="0.2">
      <c r="A3807" s="113"/>
      <c r="B3807" s="58" t="s">
        <v>9707</v>
      </c>
      <c r="C3807" s="58" t="s">
        <v>1816</v>
      </c>
      <c r="D3807" s="58" t="s">
        <v>9708</v>
      </c>
      <c r="E3807" s="60" t="b">
        <v>1</v>
      </c>
      <c r="F3807" s="80" t="s">
        <v>1194</v>
      </c>
      <c r="G3807" s="58" t="s">
        <v>9707</v>
      </c>
      <c r="H3807" s="58" t="s">
        <v>1816</v>
      </c>
      <c r="I3807" s="64" t="s">
        <v>9708</v>
      </c>
      <c r="J3807" s="66"/>
      <c r="K3807" s="66"/>
      <c r="L3807" s="68"/>
      <c r="M3807" s="63" t="str">
        <f>HYPERLINK("http://nsgreg.nga.mil/genc/view?v=866300&amp;end_month=12&amp;end_day=31&amp;end_year=2016","Correlation")</f>
        <v>Correlation</v>
      </c>
    </row>
    <row r="3808" spans="1:13" x14ac:dyDescent="0.2">
      <c r="A3808" s="113"/>
      <c r="B3808" s="58" t="s">
        <v>9709</v>
      </c>
      <c r="C3808" s="58" t="s">
        <v>1816</v>
      </c>
      <c r="D3808" s="58" t="s">
        <v>9710</v>
      </c>
      <c r="E3808" s="60" t="b">
        <v>1</v>
      </c>
      <c r="F3808" s="80" t="s">
        <v>1194</v>
      </c>
      <c r="G3808" s="58" t="s">
        <v>9709</v>
      </c>
      <c r="H3808" s="58" t="s">
        <v>1816</v>
      </c>
      <c r="I3808" s="64" t="s">
        <v>9710</v>
      </c>
      <c r="J3808" s="66"/>
      <c r="K3808" s="66"/>
      <c r="L3808" s="68"/>
      <c r="M3808" s="63" t="str">
        <f>HYPERLINK("http://nsgreg.nga.mil/genc/view?v=866301&amp;end_month=12&amp;end_day=31&amp;end_year=2016","Correlation")</f>
        <v>Correlation</v>
      </c>
    </row>
    <row r="3809" spans="1:13" x14ac:dyDescent="0.2">
      <c r="A3809" s="113"/>
      <c r="B3809" s="58" t="s">
        <v>9711</v>
      </c>
      <c r="C3809" s="58" t="s">
        <v>1816</v>
      </c>
      <c r="D3809" s="58" t="s">
        <v>9712</v>
      </c>
      <c r="E3809" s="60" t="b">
        <v>1</v>
      </c>
      <c r="F3809" s="80" t="s">
        <v>1194</v>
      </c>
      <c r="G3809" s="58" t="s">
        <v>9711</v>
      </c>
      <c r="H3809" s="58" t="s">
        <v>1816</v>
      </c>
      <c r="I3809" s="64" t="s">
        <v>9712</v>
      </c>
      <c r="J3809" s="66"/>
      <c r="K3809" s="66"/>
      <c r="L3809" s="68"/>
      <c r="M3809" s="63" t="str">
        <f>HYPERLINK("http://nsgreg.nga.mil/genc/view?v=866302&amp;end_month=12&amp;end_day=31&amp;end_year=2016","Correlation")</f>
        <v>Correlation</v>
      </c>
    </row>
    <row r="3810" spans="1:13" x14ac:dyDescent="0.2">
      <c r="A3810" s="113"/>
      <c r="B3810" s="58" t="s">
        <v>9713</v>
      </c>
      <c r="C3810" s="58" t="s">
        <v>9684</v>
      </c>
      <c r="D3810" s="58" t="s">
        <v>9714</v>
      </c>
      <c r="E3810" s="60" t="b">
        <v>1</v>
      </c>
      <c r="F3810" s="80" t="s">
        <v>1194</v>
      </c>
      <c r="G3810" s="58" t="s">
        <v>9713</v>
      </c>
      <c r="H3810" s="58" t="s">
        <v>1816</v>
      </c>
      <c r="I3810" s="64" t="s">
        <v>9714</v>
      </c>
      <c r="J3810" s="66"/>
      <c r="K3810" s="66"/>
      <c r="L3810" s="68"/>
      <c r="M3810" s="63" t="str">
        <f>HYPERLINK("http://nsgreg.nga.mil/genc/view?v=866303&amp;end_month=12&amp;end_day=31&amp;end_year=2016","Correlation")</f>
        <v>Correlation</v>
      </c>
    </row>
    <row r="3811" spans="1:13" x14ac:dyDescent="0.2">
      <c r="A3811" s="113"/>
      <c r="B3811" s="58" t="s">
        <v>9715</v>
      </c>
      <c r="C3811" s="58" t="s">
        <v>1816</v>
      </c>
      <c r="D3811" s="58" t="s">
        <v>9716</v>
      </c>
      <c r="E3811" s="60" t="b">
        <v>1</v>
      </c>
      <c r="F3811" s="80" t="s">
        <v>1194</v>
      </c>
      <c r="G3811" s="58" t="s">
        <v>9715</v>
      </c>
      <c r="H3811" s="58" t="s">
        <v>1816</v>
      </c>
      <c r="I3811" s="64" t="s">
        <v>9716</v>
      </c>
      <c r="J3811" s="66"/>
      <c r="K3811" s="66"/>
      <c r="L3811" s="68"/>
      <c r="M3811" s="63" t="str">
        <f>HYPERLINK("http://nsgreg.nga.mil/genc/view?v=866304&amp;end_month=12&amp;end_day=31&amp;end_year=2016","Correlation")</f>
        <v>Correlation</v>
      </c>
    </row>
    <row r="3812" spans="1:13" x14ac:dyDescent="0.2">
      <c r="A3812" s="113"/>
      <c r="B3812" s="58" t="s">
        <v>9717</v>
      </c>
      <c r="C3812" s="58" t="s">
        <v>1816</v>
      </c>
      <c r="D3812" s="58" t="s">
        <v>9718</v>
      </c>
      <c r="E3812" s="60" t="b">
        <v>1</v>
      </c>
      <c r="F3812" s="80" t="s">
        <v>1194</v>
      </c>
      <c r="G3812" s="58" t="s">
        <v>9717</v>
      </c>
      <c r="H3812" s="58" t="s">
        <v>1816</v>
      </c>
      <c r="I3812" s="64" t="s">
        <v>9718</v>
      </c>
      <c r="J3812" s="66"/>
      <c r="K3812" s="66"/>
      <c r="L3812" s="68"/>
      <c r="M3812" s="63" t="str">
        <f>HYPERLINK("http://nsgreg.nga.mil/genc/view?v=866305&amp;end_month=12&amp;end_day=31&amp;end_year=2016","Correlation")</f>
        <v>Correlation</v>
      </c>
    </row>
    <row r="3813" spans="1:13" x14ac:dyDescent="0.2">
      <c r="A3813" s="113"/>
      <c r="B3813" s="58" t="s">
        <v>9719</v>
      </c>
      <c r="C3813" s="58" t="s">
        <v>1816</v>
      </c>
      <c r="D3813" s="58" t="s">
        <v>9720</v>
      </c>
      <c r="E3813" s="60" t="b">
        <v>1</v>
      </c>
      <c r="F3813" s="80" t="s">
        <v>1194</v>
      </c>
      <c r="G3813" s="58" t="s">
        <v>9719</v>
      </c>
      <c r="H3813" s="58" t="s">
        <v>1816</v>
      </c>
      <c r="I3813" s="64" t="s">
        <v>9720</v>
      </c>
      <c r="J3813" s="66"/>
      <c r="K3813" s="66"/>
      <c r="L3813" s="68"/>
      <c r="M3813" s="63" t="str">
        <f>HYPERLINK("http://nsgreg.nga.mil/genc/view?v=866306&amp;end_month=12&amp;end_day=31&amp;end_year=2016","Correlation")</f>
        <v>Correlation</v>
      </c>
    </row>
    <row r="3814" spans="1:13" x14ac:dyDescent="0.2">
      <c r="A3814" s="113"/>
      <c r="B3814" s="58" t="s">
        <v>9721</v>
      </c>
      <c r="C3814" s="58" t="s">
        <v>1816</v>
      </c>
      <c r="D3814" s="58" t="s">
        <v>9722</v>
      </c>
      <c r="E3814" s="60" t="b">
        <v>1</v>
      </c>
      <c r="F3814" s="80" t="s">
        <v>1194</v>
      </c>
      <c r="G3814" s="58" t="s">
        <v>9721</v>
      </c>
      <c r="H3814" s="58" t="s">
        <v>1816</v>
      </c>
      <c r="I3814" s="64" t="s">
        <v>9722</v>
      </c>
      <c r="J3814" s="66"/>
      <c r="K3814" s="66"/>
      <c r="L3814" s="68"/>
      <c r="M3814" s="63" t="str">
        <f>HYPERLINK("http://nsgreg.nga.mil/genc/view?v=866449&amp;end_month=12&amp;end_day=31&amp;end_year=2016","Correlation")</f>
        <v>Correlation</v>
      </c>
    </row>
    <row r="3815" spans="1:13" x14ac:dyDescent="0.2">
      <c r="A3815" s="113"/>
      <c r="B3815" s="58" t="s">
        <v>9723</v>
      </c>
      <c r="C3815" s="58" t="s">
        <v>1816</v>
      </c>
      <c r="D3815" s="58" t="s">
        <v>9724</v>
      </c>
      <c r="E3815" s="60" t="b">
        <v>1</v>
      </c>
      <c r="F3815" s="80" t="s">
        <v>1194</v>
      </c>
      <c r="G3815" s="58" t="s">
        <v>9723</v>
      </c>
      <c r="H3815" s="58" t="s">
        <v>1816</v>
      </c>
      <c r="I3815" s="64" t="s">
        <v>9724</v>
      </c>
      <c r="J3815" s="66"/>
      <c r="K3815" s="66"/>
      <c r="L3815" s="68"/>
      <c r="M3815" s="63" t="str">
        <f>HYPERLINK("http://nsgreg.nga.mil/genc/view?v=866307&amp;end_month=12&amp;end_day=31&amp;end_year=2016","Correlation")</f>
        <v>Correlation</v>
      </c>
    </row>
    <row r="3816" spans="1:13" x14ac:dyDescent="0.2">
      <c r="A3816" s="113"/>
      <c r="B3816" s="58" t="s">
        <v>9725</v>
      </c>
      <c r="C3816" s="58" t="s">
        <v>1816</v>
      </c>
      <c r="D3816" s="58" t="s">
        <v>9726</v>
      </c>
      <c r="E3816" s="60" t="b">
        <v>1</v>
      </c>
      <c r="F3816" s="80" t="s">
        <v>1194</v>
      </c>
      <c r="G3816" s="58" t="s">
        <v>9725</v>
      </c>
      <c r="H3816" s="58" t="s">
        <v>1816</v>
      </c>
      <c r="I3816" s="64" t="s">
        <v>9726</v>
      </c>
      <c r="J3816" s="66"/>
      <c r="K3816" s="66"/>
      <c r="L3816" s="68"/>
      <c r="M3816" s="63" t="str">
        <f>HYPERLINK("http://nsgreg.nga.mil/genc/view?v=866308&amp;end_month=12&amp;end_day=31&amp;end_year=2016","Correlation")</f>
        <v>Correlation</v>
      </c>
    </row>
    <row r="3817" spans="1:13" x14ac:dyDescent="0.2">
      <c r="A3817" s="113"/>
      <c r="B3817" s="58" t="s">
        <v>9727</v>
      </c>
      <c r="C3817" s="58" t="s">
        <v>1816</v>
      </c>
      <c r="D3817" s="58" t="s">
        <v>9728</v>
      </c>
      <c r="E3817" s="60" t="b">
        <v>1</v>
      </c>
      <c r="F3817" s="80" t="s">
        <v>1194</v>
      </c>
      <c r="G3817" s="58" t="s">
        <v>9727</v>
      </c>
      <c r="H3817" s="58" t="s">
        <v>1816</v>
      </c>
      <c r="I3817" s="64" t="s">
        <v>9728</v>
      </c>
      <c r="J3817" s="66"/>
      <c r="K3817" s="66"/>
      <c r="L3817" s="68"/>
      <c r="M3817" s="63" t="str">
        <f>HYPERLINK("http://nsgreg.nga.mil/genc/view?v=866408&amp;end_month=12&amp;end_day=31&amp;end_year=2016","Correlation")</f>
        <v>Correlation</v>
      </c>
    </row>
    <row r="3818" spans="1:13" x14ac:dyDescent="0.2">
      <c r="A3818" s="113"/>
      <c r="B3818" s="58" t="s">
        <v>9729</v>
      </c>
      <c r="C3818" s="58" t="s">
        <v>1816</v>
      </c>
      <c r="D3818" s="58" t="s">
        <v>9730</v>
      </c>
      <c r="E3818" s="60" t="b">
        <v>1</v>
      </c>
      <c r="F3818" s="80" t="s">
        <v>1194</v>
      </c>
      <c r="G3818" s="58" t="s">
        <v>9729</v>
      </c>
      <c r="H3818" s="58" t="s">
        <v>1816</v>
      </c>
      <c r="I3818" s="64" t="s">
        <v>9730</v>
      </c>
      <c r="J3818" s="66"/>
      <c r="K3818" s="66"/>
      <c r="L3818" s="68"/>
      <c r="M3818" s="63" t="str">
        <f>HYPERLINK("http://nsgreg.nga.mil/genc/view?v=866309&amp;end_month=12&amp;end_day=31&amp;end_year=2016","Correlation")</f>
        <v>Correlation</v>
      </c>
    </row>
    <row r="3819" spans="1:13" x14ac:dyDescent="0.2">
      <c r="A3819" s="113"/>
      <c r="B3819" s="58" t="s">
        <v>9731</v>
      </c>
      <c r="C3819" s="58" t="s">
        <v>1816</v>
      </c>
      <c r="D3819" s="58" t="s">
        <v>9732</v>
      </c>
      <c r="E3819" s="60" t="b">
        <v>1</v>
      </c>
      <c r="F3819" s="80" t="s">
        <v>1194</v>
      </c>
      <c r="G3819" s="58" t="s">
        <v>9731</v>
      </c>
      <c r="H3819" s="58" t="s">
        <v>1816</v>
      </c>
      <c r="I3819" s="64" t="s">
        <v>9732</v>
      </c>
      <c r="J3819" s="66"/>
      <c r="K3819" s="66"/>
      <c r="L3819" s="68"/>
      <c r="M3819" s="63" t="str">
        <f>HYPERLINK("http://nsgreg.nga.mil/genc/view?v=866310&amp;end_month=12&amp;end_day=31&amp;end_year=2016","Correlation")</f>
        <v>Correlation</v>
      </c>
    </row>
    <row r="3820" spans="1:13" x14ac:dyDescent="0.2">
      <c r="A3820" s="113"/>
      <c r="B3820" s="58" t="s">
        <v>9733</v>
      </c>
      <c r="C3820" s="58" t="s">
        <v>1816</v>
      </c>
      <c r="D3820" s="58" t="s">
        <v>9734</v>
      </c>
      <c r="E3820" s="60" t="b">
        <v>1</v>
      </c>
      <c r="F3820" s="80" t="s">
        <v>1194</v>
      </c>
      <c r="G3820" s="58" t="s">
        <v>9733</v>
      </c>
      <c r="H3820" s="58" t="s">
        <v>1816</v>
      </c>
      <c r="I3820" s="64" t="s">
        <v>9734</v>
      </c>
      <c r="J3820" s="66"/>
      <c r="K3820" s="66"/>
      <c r="L3820" s="68"/>
      <c r="M3820" s="63" t="str">
        <f>HYPERLINK("http://nsgreg.nga.mil/genc/view?v=866311&amp;end_month=12&amp;end_day=31&amp;end_year=2016","Correlation")</f>
        <v>Correlation</v>
      </c>
    </row>
    <row r="3821" spans="1:13" x14ac:dyDescent="0.2">
      <c r="A3821" s="113"/>
      <c r="B3821" s="58" t="s">
        <v>9735</v>
      </c>
      <c r="C3821" s="58" t="s">
        <v>1816</v>
      </c>
      <c r="D3821" s="58" t="s">
        <v>9736</v>
      </c>
      <c r="E3821" s="60" t="b">
        <v>1</v>
      </c>
      <c r="F3821" s="80" t="s">
        <v>1194</v>
      </c>
      <c r="G3821" s="58" t="s">
        <v>9735</v>
      </c>
      <c r="H3821" s="58" t="s">
        <v>1816</v>
      </c>
      <c r="I3821" s="64" t="s">
        <v>9736</v>
      </c>
      <c r="J3821" s="66"/>
      <c r="K3821" s="66"/>
      <c r="L3821" s="68"/>
      <c r="M3821" s="63" t="str">
        <f>HYPERLINK("http://nsgreg.nga.mil/genc/view?v=866439&amp;end_month=12&amp;end_day=31&amp;end_year=2016","Correlation")</f>
        <v>Correlation</v>
      </c>
    </row>
    <row r="3822" spans="1:13" x14ac:dyDescent="0.2">
      <c r="A3822" s="113"/>
      <c r="B3822" s="58" t="s">
        <v>9737</v>
      </c>
      <c r="C3822" s="58" t="s">
        <v>9684</v>
      </c>
      <c r="D3822" s="58" t="s">
        <v>9738</v>
      </c>
      <c r="E3822" s="60" t="b">
        <v>1</v>
      </c>
      <c r="F3822" s="80" t="s">
        <v>1194</v>
      </c>
      <c r="G3822" s="58" t="s">
        <v>9737</v>
      </c>
      <c r="H3822" s="58" t="s">
        <v>1816</v>
      </c>
      <c r="I3822" s="64" t="s">
        <v>9738</v>
      </c>
      <c r="J3822" s="66"/>
      <c r="K3822" s="66"/>
      <c r="L3822" s="68"/>
      <c r="M3822" s="63" t="str">
        <f>HYPERLINK("http://nsgreg.nga.mil/genc/view?v=866312&amp;end_month=12&amp;end_day=31&amp;end_year=2016","Correlation")</f>
        <v>Correlation</v>
      </c>
    </row>
    <row r="3823" spans="1:13" x14ac:dyDescent="0.2">
      <c r="A3823" s="113"/>
      <c r="B3823" s="58" t="s">
        <v>9739</v>
      </c>
      <c r="C3823" s="58" t="s">
        <v>1816</v>
      </c>
      <c r="D3823" s="58" t="s">
        <v>9740</v>
      </c>
      <c r="E3823" s="60" t="b">
        <v>1</v>
      </c>
      <c r="F3823" s="80" t="s">
        <v>1194</v>
      </c>
      <c r="G3823" s="58" t="s">
        <v>9739</v>
      </c>
      <c r="H3823" s="58" t="s">
        <v>1816</v>
      </c>
      <c r="I3823" s="64" t="s">
        <v>9740</v>
      </c>
      <c r="J3823" s="66"/>
      <c r="K3823" s="66"/>
      <c r="L3823" s="68"/>
      <c r="M3823" s="63" t="str">
        <f>HYPERLINK("http://nsgreg.nga.mil/genc/view?v=866409&amp;end_month=12&amp;end_day=31&amp;end_year=2016","Correlation")</f>
        <v>Correlation</v>
      </c>
    </row>
    <row r="3824" spans="1:13" x14ac:dyDescent="0.2">
      <c r="A3824" s="113"/>
      <c r="B3824" s="58" t="s">
        <v>9741</v>
      </c>
      <c r="C3824" s="58" t="s">
        <v>1816</v>
      </c>
      <c r="D3824" s="58" t="s">
        <v>9742</v>
      </c>
      <c r="E3824" s="60" t="b">
        <v>1</v>
      </c>
      <c r="F3824" s="80" t="s">
        <v>1194</v>
      </c>
      <c r="G3824" s="58" t="s">
        <v>9741</v>
      </c>
      <c r="H3824" s="58" t="s">
        <v>1816</v>
      </c>
      <c r="I3824" s="64" t="s">
        <v>9742</v>
      </c>
      <c r="J3824" s="66"/>
      <c r="K3824" s="66"/>
      <c r="L3824" s="68"/>
      <c r="M3824" s="63" t="str">
        <f>HYPERLINK("http://nsgreg.nga.mil/genc/view?v=866313&amp;end_month=12&amp;end_day=31&amp;end_year=2016","Correlation")</f>
        <v>Correlation</v>
      </c>
    </row>
    <row r="3825" spans="1:13" x14ac:dyDescent="0.2">
      <c r="A3825" s="113"/>
      <c r="B3825" s="58" t="s">
        <v>9743</v>
      </c>
      <c r="C3825" s="58" t="s">
        <v>1816</v>
      </c>
      <c r="D3825" s="58" t="s">
        <v>9744</v>
      </c>
      <c r="E3825" s="60" t="b">
        <v>1</v>
      </c>
      <c r="F3825" s="80" t="s">
        <v>1194</v>
      </c>
      <c r="G3825" s="58" t="s">
        <v>9743</v>
      </c>
      <c r="H3825" s="58" t="s">
        <v>1816</v>
      </c>
      <c r="I3825" s="64" t="s">
        <v>9744</v>
      </c>
      <c r="J3825" s="66"/>
      <c r="K3825" s="66"/>
      <c r="L3825" s="68"/>
      <c r="M3825" s="63" t="str">
        <f>HYPERLINK("http://nsgreg.nga.mil/genc/view?v=866314&amp;end_month=12&amp;end_day=31&amp;end_year=2016","Correlation")</f>
        <v>Correlation</v>
      </c>
    </row>
    <row r="3826" spans="1:13" x14ac:dyDescent="0.2">
      <c r="A3826" s="113"/>
      <c r="B3826" s="58" t="s">
        <v>9745</v>
      </c>
      <c r="C3826" s="58" t="s">
        <v>1816</v>
      </c>
      <c r="D3826" s="58" t="s">
        <v>9746</v>
      </c>
      <c r="E3826" s="60" t="b">
        <v>1</v>
      </c>
      <c r="F3826" s="80" t="s">
        <v>1194</v>
      </c>
      <c r="G3826" s="58" t="s">
        <v>9745</v>
      </c>
      <c r="H3826" s="58" t="s">
        <v>1816</v>
      </c>
      <c r="I3826" s="64" t="s">
        <v>9746</v>
      </c>
      <c r="J3826" s="66"/>
      <c r="K3826" s="66"/>
      <c r="L3826" s="68"/>
      <c r="M3826" s="63" t="str">
        <f>HYPERLINK("http://nsgreg.nga.mil/genc/view?v=866315&amp;end_month=12&amp;end_day=31&amp;end_year=2016","Correlation")</f>
        <v>Correlation</v>
      </c>
    </row>
    <row r="3827" spans="1:13" x14ac:dyDescent="0.2">
      <c r="A3827" s="113"/>
      <c r="B3827" s="58" t="s">
        <v>9747</v>
      </c>
      <c r="C3827" s="58" t="s">
        <v>1816</v>
      </c>
      <c r="D3827" s="58" t="s">
        <v>9748</v>
      </c>
      <c r="E3827" s="60" t="b">
        <v>1</v>
      </c>
      <c r="F3827" s="80" t="s">
        <v>1194</v>
      </c>
      <c r="G3827" s="58" t="s">
        <v>9747</v>
      </c>
      <c r="H3827" s="58" t="s">
        <v>1816</v>
      </c>
      <c r="I3827" s="64" t="s">
        <v>9748</v>
      </c>
      <c r="J3827" s="66"/>
      <c r="K3827" s="66"/>
      <c r="L3827" s="68"/>
      <c r="M3827" s="63" t="str">
        <f>HYPERLINK("http://nsgreg.nga.mil/genc/view?v=866316&amp;end_month=12&amp;end_day=31&amp;end_year=2016","Correlation")</f>
        <v>Correlation</v>
      </c>
    </row>
    <row r="3828" spans="1:13" x14ac:dyDescent="0.2">
      <c r="A3828" s="113"/>
      <c r="B3828" s="58" t="s">
        <v>9749</v>
      </c>
      <c r="C3828" s="58" t="s">
        <v>1816</v>
      </c>
      <c r="D3828" s="58" t="s">
        <v>9750</v>
      </c>
      <c r="E3828" s="60" t="b">
        <v>1</v>
      </c>
      <c r="F3828" s="80" t="s">
        <v>1194</v>
      </c>
      <c r="G3828" s="58" t="s">
        <v>9749</v>
      </c>
      <c r="H3828" s="58" t="s">
        <v>1816</v>
      </c>
      <c r="I3828" s="64" t="s">
        <v>9750</v>
      </c>
      <c r="J3828" s="66"/>
      <c r="K3828" s="66"/>
      <c r="L3828" s="68"/>
      <c r="M3828" s="63" t="str">
        <f>HYPERLINK("http://nsgreg.nga.mil/genc/view?v=866410&amp;end_month=12&amp;end_day=31&amp;end_year=2016","Correlation")</f>
        <v>Correlation</v>
      </c>
    </row>
    <row r="3829" spans="1:13" x14ac:dyDescent="0.2">
      <c r="A3829" s="113"/>
      <c r="B3829" s="58" t="s">
        <v>9751</v>
      </c>
      <c r="C3829" s="58" t="s">
        <v>1816</v>
      </c>
      <c r="D3829" s="58" t="s">
        <v>9752</v>
      </c>
      <c r="E3829" s="60" t="b">
        <v>1</v>
      </c>
      <c r="F3829" s="80" t="s">
        <v>1194</v>
      </c>
      <c r="G3829" s="58" t="s">
        <v>9751</v>
      </c>
      <c r="H3829" s="58" t="s">
        <v>1816</v>
      </c>
      <c r="I3829" s="64" t="s">
        <v>9752</v>
      </c>
      <c r="J3829" s="66"/>
      <c r="K3829" s="66"/>
      <c r="L3829" s="68"/>
      <c r="M3829" s="63" t="str">
        <f>HYPERLINK("http://nsgreg.nga.mil/genc/view?v=866317&amp;end_month=12&amp;end_day=31&amp;end_year=2016","Correlation")</f>
        <v>Correlation</v>
      </c>
    </row>
    <row r="3830" spans="1:13" x14ac:dyDescent="0.2">
      <c r="A3830" s="113"/>
      <c r="B3830" s="58" t="s">
        <v>9753</v>
      </c>
      <c r="C3830" s="58" t="s">
        <v>1816</v>
      </c>
      <c r="D3830" s="58" t="s">
        <v>9754</v>
      </c>
      <c r="E3830" s="60" t="b">
        <v>1</v>
      </c>
      <c r="F3830" s="80" t="s">
        <v>1194</v>
      </c>
      <c r="G3830" s="58" t="s">
        <v>9753</v>
      </c>
      <c r="H3830" s="58" t="s">
        <v>1816</v>
      </c>
      <c r="I3830" s="64" t="s">
        <v>9754</v>
      </c>
      <c r="J3830" s="66"/>
      <c r="K3830" s="66"/>
      <c r="L3830" s="68"/>
      <c r="M3830" s="63" t="str">
        <f>HYPERLINK("http://nsgreg.nga.mil/genc/view?v=866453&amp;end_month=12&amp;end_day=31&amp;end_year=2016","Correlation")</f>
        <v>Correlation</v>
      </c>
    </row>
    <row r="3831" spans="1:13" x14ac:dyDescent="0.2">
      <c r="A3831" s="113"/>
      <c r="B3831" s="58" t="s">
        <v>9755</v>
      </c>
      <c r="C3831" s="58" t="s">
        <v>1816</v>
      </c>
      <c r="D3831" s="58" t="s">
        <v>9756</v>
      </c>
      <c r="E3831" s="60" t="b">
        <v>1</v>
      </c>
      <c r="F3831" s="80" t="s">
        <v>1194</v>
      </c>
      <c r="G3831" s="58" t="s">
        <v>9755</v>
      </c>
      <c r="H3831" s="58" t="s">
        <v>1816</v>
      </c>
      <c r="I3831" s="64" t="s">
        <v>9756</v>
      </c>
      <c r="J3831" s="66"/>
      <c r="K3831" s="66"/>
      <c r="L3831" s="68"/>
      <c r="M3831" s="63" t="str">
        <f>HYPERLINK("http://nsgreg.nga.mil/genc/view?v=866411&amp;end_month=12&amp;end_day=31&amp;end_year=2016","Correlation")</f>
        <v>Correlation</v>
      </c>
    </row>
    <row r="3832" spans="1:13" x14ac:dyDescent="0.2">
      <c r="A3832" s="113"/>
      <c r="B3832" s="58" t="s">
        <v>9757</v>
      </c>
      <c r="C3832" s="58" t="s">
        <v>1816</v>
      </c>
      <c r="D3832" s="58" t="s">
        <v>9758</v>
      </c>
      <c r="E3832" s="60" t="b">
        <v>1</v>
      </c>
      <c r="F3832" s="80" t="s">
        <v>1194</v>
      </c>
      <c r="G3832" s="58" t="s">
        <v>9757</v>
      </c>
      <c r="H3832" s="58" t="s">
        <v>1816</v>
      </c>
      <c r="I3832" s="64" t="s">
        <v>9758</v>
      </c>
      <c r="J3832" s="66"/>
      <c r="K3832" s="66"/>
      <c r="L3832" s="68"/>
      <c r="M3832" s="63" t="str">
        <f>HYPERLINK("http://nsgreg.nga.mil/genc/view?v=866318&amp;end_month=12&amp;end_day=31&amp;end_year=2016","Correlation")</f>
        <v>Correlation</v>
      </c>
    </row>
    <row r="3833" spans="1:13" x14ac:dyDescent="0.2">
      <c r="A3833" s="113"/>
      <c r="B3833" s="58" t="s">
        <v>9759</v>
      </c>
      <c r="C3833" s="58" t="s">
        <v>1816</v>
      </c>
      <c r="D3833" s="58" t="s">
        <v>9760</v>
      </c>
      <c r="E3833" s="60" t="b">
        <v>1</v>
      </c>
      <c r="F3833" s="80" t="s">
        <v>1194</v>
      </c>
      <c r="G3833" s="58" t="s">
        <v>9759</v>
      </c>
      <c r="H3833" s="58" t="s">
        <v>1816</v>
      </c>
      <c r="I3833" s="64" t="s">
        <v>9760</v>
      </c>
      <c r="J3833" s="66"/>
      <c r="K3833" s="66"/>
      <c r="L3833" s="68"/>
      <c r="M3833" s="63" t="str">
        <f>HYPERLINK("http://nsgreg.nga.mil/genc/view?v=866440&amp;end_month=12&amp;end_day=31&amp;end_year=2016","Correlation")</f>
        <v>Correlation</v>
      </c>
    </row>
    <row r="3834" spans="1:13" x14ac:dyDescent="0.2">
      <c r="A3834" s="113"/>
      <c r="B3834" s="58" t="s">
        <v>9761</v>
      </c>
      <c r="C3834" s="58" t="s">
        <v>1816</v>
      </c>
      <c r="D3834" s="58" t="s">
        <v>9762</v>
      </c>
      <c r="E3834" s="60" t="b">
        <v>1</v>
      </c>
      <c r="F3834" s="80" t="s">
        <v>1194</v>
      </c>
      <c r="G3834" s="58" t="s">
        <v>9761</v>
      </c>
      <c r="H3834" s="58" t="s">
        <v>1816</v>
      </c>
      <c r="I3834" s="64" t="s">
        <v>9762</v>
      </c>
      <c r="J3834" s="66"/>
      <c r="K3834" s="66"/>
      <c r="L3834" s="68"/>
      <c r="M3834" s="63" t="str">
        <f>HYPERLINK("http://nsgreg.nga.mil/genc/view?v=866319&amp;end_month=12&amp;end_day=31&amp;end_year=2016","Correlation")</f>
        <v>Correlation</v>
      </c>
    </row>
    <row r="3835" spans="1:13" x14ac:dyDescent="0.2">
      <c r="A3835" s="113"/>
      <c r="B3835" s="58" t="s">
        <v>9763</v>
      </c>
      <c r="C3835" s="58" t="s">
        <v>1816</v>
      </c>
      <c r="D3835" s="58" t="s">
        <v>9764</v>
      </c>
      <c r="E3835" s="60" t="b">
        <v>1</v>
      </c>
      <c r="F3835" s="80" t="s">
        <v>1194</v>
      </c>
      <c r="G3835" s="58" t="s">
        <v>9763</v>
      </c>
      <c r="H3835" s="58" t="s">
        <v>1816</v>
      </c>
      <c r="I3835" s="64" t="s">
        <v>9764</v>
      </c>
      <c r="J3835" s="66"/>
      <c r="K3835" s="66"/>
      <c r="L3835" s="68"/>
      <c r="M3835" s="63" t="str">
        <f>HYPERLINK("http://nsgreg.nga.mil/genc/view?v=866320&amp;end_month=12&amp;end_day=31&amp;end_year=2016","Correlation")</f>
        <v>Correlation</v>
      </c>
    </row>
    <row r="3836" spans="1:13" x14ac:dyDescent="0.2">
      <c r="A3836" s="113"/>
      <c r="B3836" s="58" t="s">
        <v>9765</v>
      </c>
      <c r="C3836" s="58" t="s">
        <v>1816</v>
      </c>
      <c r="D3836" s="58" t="s">
        <v>9766</v>
      </c>
      <c r="E3836" s="60" t="b">
        <v>1</v>
      </c>
      <c r="F3836" s="80" t="s">
        <v>1194</v>
      </c>
      <c r="G3836" s="58" t="s">
        <v>9765</v>
      </c>
      <c r="H3836" s="58" t="s">
        <v>1816</v>
      </c>
      <c r="I3836" s="64" t="s">
        <v>9766</v>
      </c>
      <c r="J3836" s="66"/>
      <c r="K3836" s="66"/>
      <c r="L3836" s="68"/>
      <c r="M3836" s="63" t="str">
        <f>HYPERLINK("http://nsgreg.nga.mil/genc/view?v=866321&amp;end_month=12&amp;end_day=31&amp;end_year=2016","Correlation")</f>
        <v>Correlation</v>
      </c>
    </row>
    <row r="3837" spans="1:13" x14ac:dyDescent="0.2">
      <c r="A3837" s="113"/>
      <c r="B3837" s="58" t="s">
        <v>9767</v>
      </c>
      <c r="C3837" s="58" t="s">
        <v>9684</v>
      </c>
      <c r="D3837" s="58" t="s">
        <v>9768</v>
      </c>
      <c r="E3837" s="60" t="b">
        <v>1</v>
      </c>
      <c r="F3837" s="80" t="s">
        <v>1194</v>
      </c>
      <c r="G3837" s="58" t="s">
        <v>9767</v>
      </c>
      <c r="H3837" s="58" t="s">
        <v>1816</v>
      </c>
      <c r="I3837" s="64" t="s">
        <v>9768</v>
      </c>
      <c r="J3837" s="66"/>
      <c r="K3837" s="66"/>
      <c r="L3837" s="68"/>
      <c r="M3837" s="63" t="str">
        <f>HYPERLINK("http://nsgreg.nga.mil/genc/view?v=866322&amp;end_month=12&amp;end_day=31&amp;end_year=2016","Correlation")</f>
        <v>Correlation</v>
      </c>
    </row>
    <row r="3838" spans="1:13" x14ac:dyDescent="0.2">
      <c r="A3838" s="113"/>
      <c r="B3838" s="58" t="s">
        <v>9769</v>
      </c>
      <c r="C3838" s="58" t="s">
        <v>1816</v>
      </c>
      <c r="D3838" s="58" t="s">
        <v>9770</v>
      </c>
      <c r="E3838" s="60" t="b">
        <v>1</v>
      </c>
      <c r="F3838" s="80" t="s">
        <v>1194</v>
      </c>
      <c r="G3838" s="58" t="s">
        <v>9769</v>
      </c>
      <c r="H3838" s="58" t="s">
        <v>1816</v>
      </c>
      <c r="I3838" s="64" t="s">
        <v>9770</v>
      </c>
      <c r="J3838" s="66"/>
      <c r="K3838" s="66"/>
      <c r="L3838" s="68"/>
      <c r="M3838" s="63" t="str">
        <f>HYPERLINK("http://nsgreg.nga.mil/genc/view?v=866323&amp;end_month=12&amp;end_day=31&amp;end_year=2016","Correlation")</f>
        <v>Correlation</v>
      </c>
    </row>
    <row r="3839" spans="1:13" x14ac:dyDescent="0.2">
      <c r="A3839" s="113"/>
      <c r="B3839" s="58" t="s">
        <v>9771</v>
      </c>
      <c r="C3839" s="58" t="s">
        <v>1816</v>
      </c>
      <c r="D3839" s="58" t="s">
        <v>9772</v>
      </c>
      <c r="E3839" s="60" t="b">
        <v>1</v>
      </c>
      <c r="F3839" s="80" t="s">
        <v>1194</v>
      </c>
      <c r="G3839" s="58" t="s">
        <v>9771</v>
      </c>
      <c r="H3839" s="58" t="s">
        <v>1816</v>
      </c>
      <c r="I3839" s="64" t="s">
        <v>9772</v>
      </c>
      <c r="J3839" s="66"/>
      <c r="K3839" s="66"/>
      <c r="L3839" s="68"/>
      <c r="M3839" s="63" t="str">
        <f>HYPERLINK("http://nsgreg.nga.mil/genc/view?v=866324&amp;end_month=12&amp;end_day=31&amp;end_year=2016","Correlation")</f>
        <v>Correlation</v>
      </c>
    </row>
    <row r="3840" spans="1:13" x14ac:dyDescent="0.2">
      <c r="A3840" s="113"/>
      <c r="B3840" s="58" t="s">
        <v>9773</v>
      </c>
      <c r="C3840" s="58" t="s">
        <v>1816</v>
      </c>
      <c r="D3840" s="58" t="s">
        <v>9774</v>
      </c>
      <c r="E3840" s="60" t="b">
        <v>1</v>
      </c>
      <c r="F3840" s="80" t="s">
        <v>1194</v>
      </c>
      <c r="G3840" s="58" t="s">
        <v>9773</v>
      </c>
      <c r="H3840" s="58" t="s">
        <v>1816</v>
      </c>
      <c r="I3840" s="64" t="s">
        <v>9774</v>
      </c>
      <c r="J3840" s="66"/>
      <c r="K3840" s="66"/>
      <c r="L3840" s="68"/>
      <c r="M3840" s="63" t="str">
        <f>HYPERLINK("http://nsgreg.nga.mil/genc/view?v=866325&amp;end_month=12&amp;end_day=31&amp;end_year=2016","Correlation")</f>
        <v>Correlation</v>
      </c>
    </row>
    <row r="3841" spans="1:13" x14ac:dyDescent="0.2">
      <c r="A3841" s="113"/>
      <c r="B3841" s="58" t="s">
        <v>9775</v>
      </c>
      <c r="C3841" s="58" t="s">
        <v>9684</v>
      </c>
      <c r="D3841" s="58" t="s">
        <v>9776</v>
      </c>
      <c r="E3841" s="60" t="b">
        <v>1</v>
      </c>
      <c r="F3841" s="80" t="s">
        <v>1194</v>
      </c>
      <c r="G3841" s="58" t="s">
        <v>9775</v>
      </c>
      <c r="H3841" s="58" t="s">
        <v>1816</v>
      </c>
      <c r="I3841" s="64" t="s">
        <v>9776</v>
      </c>
      <c r="J3841" s="66"/>
      <c r="K3841" s="66"/>
      <c r="L3841" s="68"/>
      <c r="M3841" s="63" t="str">
        <f>HYPERLINK("http://nsgreg.nga.mil/genc/view?v=866326&amp;end_month=12&amp;end_day=31&amp;end_year=2016","Correlation")</f>
        <v>Correlation</v>
      </c>
    </row>
    <row r="3842" spans="1:13" x14ac:dyDescent="0.2">
      <c r="A3842" s="113"/>
      <c r="B3842" s="58" t="s">
        <v>9777</v>
      </c>
      <c r="C3842" s="58" t="s">
        <v>9684</v>
      </c>
      <c r="D3842" s="58" t="s">
        <v>9778</v>
      </c>
      <c r="E3842" s="60" t="b">
        <v>1</v>
      </c>
      <c r="F3842" s="80" t="s">
        <v>1194</v>
      </c>
      <c r="G3842" s="58" t="s">
        <v>9777</v>
      </c>
      <c r="H3842" s="58" t="s">
        <v>1816</v>
      </c>
      <c r="I3842" s="64" t="s">
        <v>9778</v>
      </c>
      <c r="J3842" s="66"/>
      <c r="K3842" s="66"/>
      <c r="L3842" s="68"/>
      <c r="M3842" s="63" t="str">
        <f>HYPERLINK("http://nsgreg.nga.mil/genc/view?v=866327&amp;end_month=12&amp;end_day=31&amp;end_year=2016","Correlation")</f>
        <v>Correlation</v>
      </c>
    </row>
    <row r="3843" spans="1:13" x14ac:dyDescent="0.2">
      <c r="A3843" s="113"/>
      <c r="B3843" s="58" t="s">
        <v>9779</v>
      </c>
      <c r="C3843" s="58" t="s">
        <v>1816</v>
      </c>
      <c r="D3843" s="58" t="s">
        <v>9780</v>
      </c>
      <c r="E3843" s="60" t="b">
        <v>1</v>
      </c>
      <c r="F3843" s="80" t="s">
        <v>1194</v>
      </c>
      <c r="G3843" s="58" t="s">
        <v>9779</v>
      </c>
      <c r="H3843" s="58" t="s">
        <v>1816</v>
      </c>
      <c r="I3843" s="64" t="s">
        <v>9780</v>
      </c>
      <c r="J3843" s="66"/>
      <c r="K3843" s="66"/>
      <c r="L3843" s="68"/>
      <c r="M3843" s="63" t="str">
        <f>HYPERLINK("http://nsgreg.nga.mil/genc/view?v=866328&amp;end_month=12&amp;end_day=31&amp;end_year=2016","Correlation")</f>
        <v>Correlation</v>
      </c>
    </row>
    <row r="3844" spans="1:13" x14ac:dyDescent="0.2">
      <c r="A3844" s="113"/>
      <c r="B3844" s="58" t="s">
        <v>9781</v>
      </c>
      <c r="C3844" s="58" t="s">
        <v>1816</v>
      </c>
      <c r="D3844" s="58" t="s">
        <v>9782</v>
      </c>
      <c r="E3844" s="60" t="b">
        <v>1</v>
      </c>
      <c r="F3844" s="80" t="s">
        <v>1194</v>
      </c>
      <c r="G3844" s="58" t="s">
        <v>9781</v>
      </c>
      <c r="H3844" s="58" t="s">
        <v>1816</v>
      </c>
      <c r="I3844" s="64" t="s">
        <v>9782</v>
      </c>
      <c r="J3844" s="66"/>
      <c r="K3844" s="66"/>
      <c r="L3844" s="68"/>
      <c r="M3844" s="63" t="str">
        <f>HYPERLINK("http://nsgreg.nga.mil/genc/view?v=866412&amp;end_month=12&amp;end_day=31&amp;end_year=2016","Correlation")</f>
        <v>Correlation</v>
      </c>
    </row>
    <row r="3845" spans="1:13" x14ac:dyDescent="0.2">
      <c r="A3845" s="113"/>
      <c r="B3845" s="58" t="s">
        <v>9783</v>
      </c>
      <c r="C3845" s="58" t="s">
        <v>1816</v>
      </c>
      <c r="D3845" s="58" t="s">
        <v>9784</v>
      </c>
      <c r="E3845" s="60" t="b">
        <v>1</v>
      </c>
      <c r="F3845" s="80" t="s">
        <v>1194</v>
      </c>
      <c r="G3845" s="58" t="s">
        <v>9783</v>
      </c>
      <c r="H3845" s="58" t="s">
        <v>1816</v>
      </c>
      <c r="I3845" s="64" t="s">
        <v>9784</v>
      </c>
      <c r="J3845" s="66"/>
      <c r="K3845" s="66"/>
      <c r="L3845" s="68"/>
      <c r="M3845" s="63" t="str">
        <f>HYPERLINK("http://nsgreg.nga.mil/genc/view?v=866329&amp;end_month=12&amp;end_day=31&amp;end_year=2016","Correlation")</f>
        <v>Correlation</v>
      </c>
    </row>
    <row r="3846" spans="1:13" x14ac:dyDescent="0.2">
      <c r="A3846" s="113"/>
      <c r="B3846" s="58" t="s">
        <v>9785</v>
      </c>
      <c r="C3846" s="58" t="s">
        <v>1816</v>
      </c>
      <c r="D3846" s="58" t="s">
        <v>9786</v>
      </c>
      <c r="E3846" s="60" t="b">
        <v>1</v>
      </c>
      <c r="F3846" s="80" t="s">
        <v>1194</v>
      </c>
      <c r="G3846" s="58" t="s">
        <v>9785</v>
      </c>
      <c r="H3846" s="58" t="s">
        <v>1816</v>
      </c>
      <c r="I3846" s="64" t="s">
        <v>9786</v>
      </c>
      <c r="J3846" s="66"/>
      <c r="K3846" s="66"/>
      <c r="L3846" s="68"/>
      <c r="M3846" s="63" t="str">
        <f>HYPERLINK("http://nsgreg.nga.mil/genc/view?v=866330&amp;end_month=12&amp;end_day=31&amp;end_year=2016","Correlation")</f>
        <v>Correlation</v>
      </c>
    </row>
    <row r="3847" spans="1:13" x14ac:dyDescent="0.2">
      <c r="A3847" s="113"/>
      <c r="B3847" s="58" t="s">
        <v>9787</v>
      </c>
      <c r="C3847" s="58" t="s">
        <v>1816</v>
      </c>
      <c r="D3847" s="58" t="s">
        <v>9788</v>
      </c>
      <c r="E3847" s="60" t="b">
        <v>1</v>
      </c>
      <c r="F3847" s="80" t="s">
        <v>1194</v>
      </c>
      <c r="G3847" s="58" t="s">
        <v>9787</v>
      </c>
      <c r="H3847" s="58" t="s">
        <v>1816</v>
      </c>
      <c r="I3847" s="64" t="s">
        <v>9788</v>
      </c>
      <c r="J3847" s="66"/>
      <c r="K3847" s="66"/>
      <c r="L3847" s="68"/>
      <c r="M3847" s="63" t="str">
        <f>HYPERLINK("http://nsgreg.nga.mil/genc/view?v=866331&amp;end_month=12&amp;end_day=31&amp;end_year=2016","Correlation")</f>
        <v>Correlation</v>
      </c>
    </row>
    <row r="3848" spans="1:13" x14ac:dyDescent="0.2">
      <c r="A3848" s="113"/>
      <c r="B3848" s="58" t="s">
        <v>9789</v>
      </c>
      <c r="C3848" s="58" t="s">
        <v>1816</v>
      </c>
      <c r="D3848" s="58" t="s">
        <v>9790</v>
      </c>
      <c r="E3848" s="60" t="b">
        <v>1</v>
      </c>
      <c r="F3848" s="80" t="s">
        <v>1194</v>
      </c>
      <c r="G3848" s="58" t="s">
        <v>9789</v>
      </c>
      <c r="H3848" s="58" t="s">
        <v>1816</v>
      </c>
      <c r="I3848" s="64" t="s">
        <v>9790</v>
      </c>
      <c r="J3848" s="66"/>
      <c r="K3848" s="66"/>
      <c r="L3848" s="68"/>
      <c r="M3848" s="63" t="str">
        <f>HYPERLINK("http://nsgreg.nga.mil/genc/view?v=866332&amp;end_month=12&amp;end_day=31&amp;end_year=2016","Correlation")</f>
        <v>Correlation</v>
      </c>
    </row>
    <row r="3849" spans="1:13" x14ac:dyDescent="0.2">
      <c r="A3849" s="113"/>
      <c r="B3849" s="58" t="s">
        <v>9791</v>
      </c>
      <c r="C3849" s="58" t="s">
        <v>1816</v>
      </c>
      <c r="D3849" s="58" t="s">
        <v>9792</v>
      </c>
      <c r="E3849" s="60" t="b">
        <v>1</v>
      </c>
      <c r="F3849" s="80" t="s">
        <v>1194</v>
      </c>
      <c r="G3849" s="58" t="s">
        <v>9791</v>
      </c>
      <c r="H3849" s="58" t="s">
        <v>1816</v>
      </c>
      <c r="I3849" s="64" t="s">
        <v>9792</v>
      </c>
      <c r="J3849" s="66"/>
      <c r="K3849" s="66"/>
      <c r="L3849" s="68"/>
      <c r="M3849" s="63" t="str">
        <f>HYPERLINK("http://nsgreg.nga.mil/genc/view?v=866333&amp;end_month=12&amp;end_day=31&amp;end_year=2016","Correlation")</f>
        <v>Correlation</v>
      </c>
    </row>
    <row r="3850" spans="1:13" x14ac:dyDescent="0.2">
      <c r="A3850" s="113"/>
      <c r="B3850" s="58" t="s">
        <v>9793</v>
      </c>
      <c r="C3850" s="58" t="s">
        <v>1816</v>
      </c>
      <c r="D3850" s="58" t="s">
        <v>9794</v>
      </c>
      <c r="E3850" s="60" t="b">
        <v>1</v>
      </c>
      <c r="F3850" s="80" t="s">
        <v>1194</v>
      </c>
      <c r="G3850" s="58" t="s">
        <v>9793</v>
      </c>
      <c r="H3850" s="58" t="s">
        <v>1816</v>
      </c>
      <c r="I3850" s="64" t="s">
        <v>9794</v>
      </c>
      <c r="J3850" s="66"/>
      <c r="K3850" s="66"/>
      <c r="L3850" s="68"/>
      <c r="M3850" s="63" t="str">
        <f>HYPERLINK("http://nsgreg.nga.mil/genc/view?v=866334&amp;end_month=12&amp;end_day=31&amp;end_year=2016","Correlation")</f>
        <v>Correlation</v>
      </c>
    </row>
    <row r="3851" spans="1:13" x14ac:dyDescent="0.2">
      <c r="A3851" s="113"/>
      <c r="B3851" s="58" t="s">
        <v>9795</v>
      </c>
      <c r="C3851" s="58" t="s">
        <v>1816</v>
      </c>
      <c r="D3851" s="58" t="s">
        <v>9796</v>
      </c>
      <c r="E3851" s="60" t="b">
        <v>1</v>
      </c>
      <c r="F3851" s="80" t="s">
        <v>1194</v>
      </c>
      <c r="G3851" s="58" t="s">
        <v>9795</v>
      </c>
      <c r="H3851" s="58" t="s">
        <v>1816</v>
      </c>
      <c r="I3851" s="64" t="s">
        <v>9796</v>
      </c>
      <c r="J3851" s="66"/>
      <c r="K3851" s="66"/>
      <c r="L3851" s="68"/>
      <c r="M3851" s="63" t="str">
        <f>HYPERLINK("http://nsgreg.nga.mil/genc/view?v=866413&amp;end_month=12&amp;end_day=31&amp;end_year=2016","Correlation")</f>
        <v>Correlation</v>
      </c>
    </row>
    <row r="3852" spans="1:13" x14ac:dyDescent="0.2">
      <c r="A3852" s="113"/>
      <c r="B3852" s="58" t="s">
        <v>9797</v>
      </c>
      <c r="C3852" s="58" t="s">
        <v>1816</v>
      </c>
      <c r="D3852" s="58" t="s">
        <v>9798</v>
      </c>
      <c r="E3852" s="60" t="b">
        <v>1</v>
      </c>
      <c r="F3852" s="80" t="s">
        <v>1194</v>
      </c>
      <c r="G3852" s="58" t="s">
        <v>9797</v>
      </c>
      <c r="H3852" s="58" t="s">
        <v>1816</v>
      </c>
      <c r="I3852" s="64" t="s">
        <v>9798</v>
      </c>
      <c r="J3852" s="66"/>
      <c r="K3852" s="66"/>
      <c r="L3852" s="68"/>
      <c r="M3852" s="63" t="str">
        <f>HYPERLINK("http://nsgreg.nga.mil/genc/view?v=866335&amp;end_month=12&amp;end_day=31&amp;end_year=2016","Correlation")</f>
        <v>Correlation</v>
      </c>
    </row>
    <row r="3853" spans="1:13" x14ac:dyDescent="0.2">
      <c r="A3853" s="113"/>
      <c r="B3853" s="58" t="s">
        <v>9799</v>
      </c>
      <c r="C3853" s="58" t="s">
        <v>1816</v>
      </c>
      <c r="D3853" s="58" t="s">
        <v>9800</v>
      </c>
      <c r="E3853" s="60" t="b">
        <v>1</v>
      </c>
      <c r="F3853" s="80" t="s">
        <v>1194</v>
      </c>
      <c r="G3853" s="58" t="s">
        <v>9799</v>
      </c>
      <c r="H3853" s="58" t="s">
        <v>1816</v>
      </c>
      <c r="I3853" s="64" t="s">
        <v>9800</v>
      </c>
      <c r="J3853" s="66"/>
      <c r="K3853" s="66"/>
      <c r="L3853" s="68"/>
      <c r="M3853" s="63" t="str">
        <f>HYPERLINK("http://nsgreg.nga.mil/genc/view?v=866441&amp;end_month=12&amp;end_day=31&amp;end_year=2016","Correlation")</f>
        <v>Correlation</v>
      </c>
    </row>
    <row r="3854" spans="1:13" x14ac:dyDescent="0.2">
      <c r="A3854" s="113"/>
      <c r="B3854" s="58" t="s">
        <v>9801</v>
      </c>
      <c r="C3854" s="58" t="s">
        <v>1816</v>
      </c>
      <c r="D3854" s="58" t="s">
        <v>9802</v>
      </c>
      <c r="E3854" s="60" t="b">
        <v>1</v>
      </c>
      <c r="F3854" s="80" t="s">
        <v>1194</v>
      </c>
      <c r="G3854" s="58" t="s">
        <v>9801</v>
      </c>
      <c r="H3854" s="58" t="s">
        <v>1816</v>
      </c>
      <c r="I3854" s="64" t="s">
        <v>9802</v>
      </c>
      <c r="J3854" s="66"/>
      <c r="K3854" s="66"/>
      <c r="L3854" s="68"/>
      <c r="M3854" s="63" t="str">
        <f>HYPERLINK("http://nsgreg.nga.mil/genc/view?v=866414&amp;end_month=12&amp;end_day=31&amp;end_year=2016","Correlation")</f>
        <v>Correlation</v>
      </c>
    </row>
    <row r="3855" spans="1:13" x14ac:dyDescent="0.2">
      <c r="A3855" s="113"/>
      <c r="B3855" s="58" t="s">
        <v>9803</v>
      </c>
      <c r="C3855" s="58" t="s">
        <v>1816</v>
      </c>
      <c r="D3855" s="58" t="s">
        <v>9804</v>
      </c>
      <c r="E3855" s="60" t="b">
        <v>1</v>
      </c>
      <c r="F3855" s="80" t="s">
        <v>1194</v>
      </c>
      <c r="G3855" s="58" t="s">
        <v>9803</v>
      </c>
      <c r="H3855" s="58" t="s">
        <v>1816</v>
      </c>
      <c r="I3855" s="64" t="s">
        <v>9804</v>
      </c>
      <c r="J3855" s="66"/>
      <c r="K3855" s="66"/>
      <c r="L3855" s="68"/>
      <c r="M3855" s="63" t="str">
        <f>HYPERLINK("http://nsgreg.nga.mil/genc/view?v=866336&amp;end_month=12&amp;end_day=31&amp;end_year=2016","Correlation")</f>
        <v>Correlation</v>
      </c>
    </row>
    <row r="3856" spans="1:13" x14ac:dyDescent="0.2">
      <c r="A3856" s="113"/>
      <c r="B3856" s="58" t="s">
        <v>9805</v>
      </c>
      <c r="C3856" s="58" t="s">
        <v>1816</v>
      </c>
      <c r="D3856" s="58" t="s">
        <v>9806</v>
      </c>
      <c r="E3856" s="60" t="b">
        <v>1</v>
      </c>
      <c r="F3856" s="80" t="s">
        <v>1194</v>
      </c>
      <c r="G3856" s="58" t="s">
        <v>9805</v>
      </c>
      <c r="H3856" s="58" t="s">
        <v>1816</v>
      </c>
      <c r="I3856" s="64" t="s">
        <v>9806</v>
      </c>
      <c r="J3856" s="66"/>
      <c r="K3856" s="66"/>
      <c r="L3856" s="68"/>
      <c r="M3856" s="63" t="str">
        <f>HYPERLINK("http://nsgreg.nga.mil/genc/view?v=866415&amp;end_month=12&amp;end_day=31&amp;end_year=2016","Correlation")</f>
        <v>Correlation</v>
      </c>
    </row>
    <row r="3857" spans="1:13" x14ac:dyDescent="0.2">
      <c r="A3857" s="113"/>
      <c r="B3857" s="58" t="s">
        <v>9807</v>
      </c>
      <c r="C3857" s="58" t="s">
        <v>1816</v>
      </c>
      <c r="D3857" s="58" t="s">
        <v>9808</v>
      </c>
      <c r="E3857" s="60" t="b">
        <v>1</v>
      </c>
      <c r="F3857" s="80" t="s">
        <v>1194</v>
      </c>
      <c r="G3857" s="58" t="s">
        <v>9807</v>
      </c>
      <c r="H3857" s="58" t="s">
        <v>1816</v>
      </c>
      <c r="I3857" s="64" t="s">
        <v>9808</v>
      </c>
      <c r="J3857" s="66"/>
      <c r="K3857" s="66"/>
      <c r="L3857" s="68"/>
      <c r="M3857" s="63" t="str">
        <f>HYPERLINK("http://nsgreg.nga.mil/genc/view?v=866337&amp;end_month=12&amp;end_day=31&amp;end_year=2016","Correlation")</f>
        <v>Correlation</v>
      </c>
    </row>
    <row r="3858" spans="1:13" x14ac:dyDescent="0.2">
      <c r="A3858" s="113"/>
      <c r="B3858" s="58" t="s">
        <v>9809</v>
      </c>
      <c r="C3858" s="58" t="s">
        <v>1816</v>
      </c>
      <c r="D3858" s="58" t="s">
        <v>9810</v>
      </c>
      <c r="E3858" s="60" t="b">
        <v>1</v>
      </c>
      <c r="F3858" s="80" t="s">
        <v>1194</v>
      </c>
      <c r="G3858" s="58" t="s">
        <v>9809</v>
      </c>
      <c r="H3858" s="58" t="s">
        <v>1816</v>
      </c>
      <c r="I3858" s="64" t="s">
        <v>9810</v>
      </c>
      <c r="J3858" s="66"/>
      <c r="K3858" s="66"/>
      <c r="L3858" s="68"/>
      <c r="M3858" s="63" t="str">
        <f>HYPERLINK("http://nsgreg.nga.mil/genc/view?v=866416&amp;end_month=12&amp;end_day=31&amp;end_year=2016","Correlation")</f>
        <v>Correlation</v>
      </c>
    </row>
    <row r="3859" spans="1:13" x14ac:dyDescent="0.2">
      <c r="A3859" s="113"/>
      <c r="B3859" s="58" t="s">
        <v>9811</v>
      </c>
      <c r="C3859" s="58" t="s">
        <v>9684</v>
      </c>
      <c r="D3859" s="58" t="s">
        <v>9812</v>
      </c>
      <c r="E3859" s="60" t="b">
        <v>1</v>
      </c>
      <c r="F3859" s="80" t="s">
        <v>1194</v>
      </c>
      <c r="G3859" s="58" t="s">
        <v>9811</v>
      </c>
      <c r="H3859" s="58" t="s">
        <v>1816</v>
      </c>
      <c r="I3859" s="64" t="s">
        <v>9812</v>
      </c>
      <c r="J3859" s="66"/>
      <c r="K3859" s="66"/>
      <c r="L3859" s="68"/>
      <c r="M3859" s="63" t="str">
        <f>HYPERLINK("http://nsgreg.nga.mil/genc/view?v=866338&amp;end_month=12&amp;end_day=31&amp;end_year=2016","Correlation")</f>
        <v>Correlation</v>
      </c>
    </row>
    <row r="3860" spans="1:13" x14ac:dyDescent="0.2">
      <c r="A3860" s="113"/>
      <c r="B3860" s="58" t="s">
        <v>9813</v>
      </c>
      <c r="C3860" s="58" t="s">
        <v>1816</v>
      </c>
      <c r="D3860" s="58" t="s">
        <v>9814</v>
      </c>
      <c r="E3860" s="60" t="b">
        <v>1</v>
      </c>
      <c r="F3860" s="80" t="s">
        <v>1194</v>
      </c>
      <c r="G3860" s="58" t="s">
        <v>9813</v>
      </c>
      <c r="H3860" s="58" t="s">
        <v>1816</v>
      </c>
      <c r="I3860" s="64" t="s">
        <v>9814</v>
      </c>
      <c r="J3860" s="66"/>
      <c r="K3860" s="66"/>
      <c r="L3860" s="68"/>
      <c r="M3860" s="63" t="str">
        <f>HYPERLINK("http://nsgreg.nga.mil/genc/view?v=866339&amp;end_month=12&amp;end_day=31&amp;end_year=2016","Correlation")</f>
        <v>Correlation</v>
      </c>
    </row>
    <row r="3861" spans="1:13" x14ac:dyDescent="0.2">
      <c r="A3861" s="113"/>
      <c r="B3861" s="58" t="s">
        <v>9815</v>
      </c>
      <c r="C3861" s="58" t="s">
        <v>1816</v>
      </c>
      <c r="D3861" s="58" t="s">
        <v>9816</v>
      </c>
      <c r="E3861" s="60" t="b">
        <v>1</v>
      </c>
      <c r="F3861" s="80" t="s">
        <v>1194</v>
      </c>
      <c r="G3861" s="58" t="s">
        <v>9815</v>
      </c>
      <c r="H3861" s="58" t="s">
        <v>1816</v>
      </c>
      <c r="I3861" s="64" t="s">
        <v>9816</v>
      </c>
      <c r="J3861" s="66"/>
      <c r="K3861" s="66"/>
      <c r="L3861" s="68"/>
      <c r="M3861" s="63" t="str">
        <f>HYPERLINK("http://nsgreg.nga.mil/genc/view?v=866340&amp;end_month=12&amp;end_day=31&amp;end_year=2016","Correlation")</f>
        <v>Correlation</v>
      </c>
    </row>
    <row r="3862" spans="1:13" x14ac:dyDescent="0.2">
      <c r="A3862" s="113"/>
      <c r="B3862" s="58" t="s">
        <v>9817</v>
      </c>
      <c r="C3862" s="58" t="s">
        <v>1816</v>
      </c>
      <c r="D3862" s="58" t="s">
        <v>9818</v>
      </c>
      <c r="E3862" s="60" t="b">
        <v>1</v>
      </c>
      <c r="F3862" s="80" t="s">
        <v>1194</v>
      </c>
      <c r="G3862" s="58" t="s">
        <v>9817</v>
      </c>
      <c r="H3862" s="58" t="s">
        <v>1816</v>
      </c>
      <c r="I3862" s="64" t="s">
        <v>9818</v>
      </c>
      <c r="J3862" s="66"/>
      <c r="K3862" s="66"/>
      <c r="L3862" s="68"/>
      <c r="M3862" s="63" t="str">
        <f>HYPERLINK("http://nsgreg.nga.mil/genc/view?v=866341&amp;end_month=12&amp;end_day=31&amp;end_year=2016","Correlation")</f>
        <v>Correlation</v>
      </c>
    </row>
    <row r="3863" spans="1:13" x14ac:dyDescent="0.2">
      <c r="A3863" s="113"/>
      <c r="B3863" s="58" t="s">
        <v>9819</v>
      </c>
      <c r="C3863" s="58" t="s">
        <v>1816</v>
      </c>
      <c r="D3863" s="58" t="s">
        <v>9820</v>
      </c>
      <c r="E3863" s="60" t="b">
        <v>1</v>
      </c>
      <c r="F3863" s="80" t="s">
        <v>1194</v>
      </c>
      <c r="G3863" s="58" t="s">
        <v>9819</v>
      </c>
      <c r="H3863" s="58" t="s">
        <v>1816</v>
      </c>
      <c r="I3863" s="64" t="s">
        <v>9820</v>
      </c>
      <c r="J3863" s="66"/>
      <c r="K3863" s="66"/>
      <c r="L3863" s="68"/>
      <c r="M3863" s="63" t="str">
        <f>HYPERLINK("http://nsgreg.nga.mil/genc/view?v=866342&amp;end_month=12&amp;end_day=31&amp;end_year=2016","Correlation")</f>
        <v>Correlation</v>
      </c>
    </row>
    <row r="3864" spans="1:13" x14ac:dyDescent="0.2">
      <c r="A3864" s="113"/>
      <c r="B3864" s="58" t="s">
        <v>9821</v>
      </c>
      <c r="C3864" s="58" t="s">
        <v>1816</v>
      </c>
      <c r="D3864" s="58" t="s">
        <v>9822</v>
      </c>
      <c r="E3864" s="60" t="b">
        <v>1</v>
      </c>
      <c r="F3864" s="80" t="s">
        <v>1194</v>
      </c>
      <c r="G3864" s="58" t="s">
        <v>9821</v>
      </c>
      <c r="H3864" s="58" t="s">
        <v>1816</v>
      </c>
      <c r="I3864" s="64" t="s">
        <v>9822</v>
      </c>
      <c r="J3864" s="66"/>
      <c r="K3864" s="66"/>
      <c r="L3864" s="68"/>
      <c r="M3864" s="63" t="str">
        <f>HYPERLINK("http://nsgreg.nga.mil/genc/view?v=866343&amp;end_month=12&amp;end_day=31&amp;end_year=2016","Correlation")</f>
        <v>Correlation</v>
      </c>
    </row>
    <row r="3865" spans="1:13" x14ac:dyDescent="0.2">
      <c r="A3865" s="113"/>
      <c r="B3865" s="58" t="s">
        <v>9823</v>
      </c>
      <c r="C3865" s="58" t="s">
        <v>1816</v>
      </c>
      <c r="D3865" s="58" t="s">
        <v>9824</v>
      </c>
      <c r="E3865" s="60" t="b">
        <v>1</v>
      </c>
      <c r="F3865" s="80" t="s">
        <v>1194</v>
      </c>
      <c r="G3865" s="58" t="s">
        <v>9823</v>
      </c>
      <c r="H3865" s="58" t="s">
        <v>1816</v>
      </c>
      <c r="I3865" s="64" t="s">
        <v>9824</v>
      </c>
      <c r="J3865" s="66"/>
      <c r="K3865" s="66"/>
      <c r="L3865" s="68"/>
      <c r="M3865" s="63" t="str">
        <f>HYPERLINK("http://nsgreg.nga.mil/genc/view?v=866344&amp;end_month=12&amp;end_day=31&amp;end_year=2016","Correlation")</f>
        <v>Correlation</v>
      </c>
    </row>
    <row r="3866" spans="1:13" x14ac:dyDescent="0.2">
      <c r="A3866" s="113"/>
      <c r="B3866" s="58" t="s">
        <v>9825</v>
      </c>
      <c r="C3866" s="58" t="s">
        <v>1816</v>
      </c>
      <c r="D3866" s="58" t="s">
        <v>9826</v>
      </c>
      <c r="E3866" s="60" t="b">
        <v>1</v>
      </c>
      <c r="F3866" s="80" t="s">
        <v>1194</v>
      </c>
      <c r="G3866" s="58" t="s">
        <v>9825</v>
      </c>
      <c r="H3866" s="58" t="s">
        <v>1816</v>
      </c>
      <c r="I3866" s="64" t="s">
        <v>9826</v>
      </c>
      <c r="J3866" s="66"/>
      <c r="K3866" s="66"/>
      <c r="L3866" s="68"/>
      <c r="M3866" s="63" t="str">
        <f>HYPERLINK("http://nsgreg.nga.mil/genc/view?v=866345&amp;end_month=12&amp;end_day=31&amp;end_year=2016","Correlation")</f>
        <v>Correlation</v>
      </c>
    </row>
    <row r="3867" spans="1:13" x14ac:dyDescent="0.2">
      <c r="A3867" s="113"/>
      <c r="B3867" s="58" t="s">
        <v>9827</v>
      </c>
      <c r="C3867" s="58" t="s">
        <v>1816</v>
      </c>
      <c r="D3867" s="58" t="s">
        <v>9828</v>
      </c>
      <c r="E3867" s="60" t="b">
        <v>1</v>
      </c>
      <c r="F3867" s="80" t="s">
        <v>1194</v>
      </c>
      <c r="G3867" s="58" t="s">
        <v>9827</v>
      </c>
      <c r="H3867" s="58" t="s">
        <v>1816</v>
      </c>
      <c r="I3867" s="64" t="s">
        <v>9828</v>
      </c>
      <c r="J3867" s="66"/>
      <c r="K3867" s="66"/>
      <c r="L3867" s="68"/>
      <c r="M3867" s="63" t="str">
        <f>HYPERLINK("http://nsgreg.nga.mil/genc/view?v=866417&amp;end_month=12&amp;end_day=31&amp;end_year=2016","Correlation")</f>
        <v>Correlation</v>
      </c>
    </row>
    <row r="3868" spans="1:13" x14ac:dyDescent="0.2">
      <c r="A3868" s="113"/>
      <c r="B3868" s="58" t="s">
        <v>9829</v>
      </c>
      <c r="C3868" s="58" t="s">
        <v>1816</v>
      </c>
      <c r="D3868" s="58" t="s">
        <v>9830</v>
      </c>
      <c r="E3868" s="60" t="b">
        <v>1</v>
      </c>
      <c r="F3868" s="80" t="s">
        <v>1194</v>
      </c>
      <c r="G3868" s="58" t="s">
        <v>9829</v>
      </c>
      <c r="H3868" s="58" t="s">
        <v>1816</v>
      </c>
      <c r="I3868" s="64" t="s">
        <v>9830</v>
      </c>
      <c r="J3868" s="66"/>
      <c r="K3868" s="66"/>
      <c r="L3868" s="68"/>
      <c r="M3868" s="63" t="str">
        <f>HYPERLINK("http://nsgreg.nga.mil/genc/view?v=866450&amp;end_month=12&amp;end_day=31&amp;end_year=2016","Correlation")</f>
        <v>Correlation</v>
      </c>
    </row>
    <row r="3869" spans="1:13" x14ac:dyDescent="0.2">
      <c r="A3869" s="113"/>
      <c r="B3869" s="58" t="s">
        <v>9831</v>
      </c>
      <c r="C3869" s="58" t="s">
        <v>1816</v>
      </c>
      <c r="D3869" s="58" t="s">
        <v>9832</v>
      </c>
      <c r="E3869" s="60" t="b">
        <v>1</v>
      </c>
      <c r="F3869" s="80" t="s">
        <v>1194</v>
      </c>
      <c r="G3869" s="58" t="s">
        <v>9831</v>
      </c>
      <c r="H3869" s="58" t="s">
        <v>1816</v>
      </c>
      <c r="I3869" s="64" t="s">
        <v>9832</v>
      </c>
      <c r="J3869" s="66"/>
      <c r="K3869" s="66"/>
      <c r="L3869" s="68"/>
      <c r="M3869" s="63" t="str">
        <f>HYPERLINK("http://nsgreg.nga.mil/genc/view?v=866442&amp;end_month=12&amp;end_day=31&amp;end_year=2016","Correlation")</f>
        <v>Correlation</v>
      </c>
    </row>
    <row r="3870" spans="1:13" x14ac:dyDescent="0.2">
      <c r="A3870" s="113"/>
      <c r="B3870" s="58" t="s">
        <v>9833</v>
      </c>
      <c r="C3870" s="58" t="s">
        <v>1816</v>
      </c>
      <c r="D3870" s="58" t="s">
        <v>9834</v>
      </c>
      <c r="E3870" s="60" t="b">
        <v>1</v>
      </c>
      <c r="F3870" s="80" t="s">
        <v>1194</v>
      </c>
      <c r="G3870" s="58" t="s">
        <v>9833</v>
      </c>
      <c r="H3870" s="58" t="s">
        <v>1816</v>
      </c>
      <c r="I3870" s="64" t="s">
        <v>9834</v>
      </c>
      <c r="J3870" s="66"/>
      <c r="K3870" s="66"/>
      <c r="L3870" s="68"/>
      <c r="M3870" s="63" t="str">
        <f>HYPERLINK("http://nsgreg.nga.mil/genc/view?v=866346&amp;end_month=12&amp;end_day=31&amp;end_year=2016","Correlation")</f>
        <v>Correlation</v>
      </c>
    </row>
    <row r="3871" spans="1:13" x14ac:dyDescent="0.2">
      <c r="A3871" s="113"/>
      <c r="B3871" s="58" t="s">
        <v>9835</v>
      </c>
      <c r="C3871" s="58" t="s">
        <v>1816</v>
      </c>
      <c r="D3871" s="58" t="s">
        <v>9836</v>
      </c>
      <c r="E3871" s="60" t="b">
        <v>1</v>
      </c>
      <c r="F3871" s="80" t="s">
        <v>1194</v>
      </c>
      <c r="G3871" s="58" t="s">
        <v>9835</v>
      </c>
      <c r="H3871" s="58" t="s">
        <v>1816</v>
      </c>
      <c r="I3871" s="64" t="s">
        <v>9836</v>
      </c>
      <c r="J3871" s="66"/>
      <c r="K3871" s="66"/>
      <c r="L3871" s="68"/>
      <c r="M3871" s="63" t="str">
        <f>HYPERLINK("http://nsgreg.nga.mil/genc/view?v=866418&amp;end_month=12&amp;end_day=31&amp;end_year=2016","Correlation")</f>
        <v>Correlation</v>
      </c>
    </row>
    <row r="3872" spans="1:13" x14ac:dyDescent="0.2">
      <c r="A3872" s="113"/>
      <c r="B3872" s="58" t="s">
        <v>9837</v>
      </c>
      <c r="C3872" s="58" t="s">
        <v>1816</v>
      </c>
      <c r="D3872" s="58" t="s">
        <v>9838</v>
      </c>
      <c r="E3872" s="60" t="b">
        <v>1</v>
      </c>
      <c r="F3872" s="80" t="s">
        <v>1194</v>
      </c>
      <c r="G3872" s="58" t="s">
        <v>9837</v>
      </c>
      <c r="H3872" s="58" t="s">
        <v>1816</v>
      </c>
      <c r="I3872" s="64" t="s">
        <v>9838</v>
      </c>
      <c r="J3872" s="66"/>
      <c r="K3872" s="66"/>
      <c r="L3872" s="68"/>
      <c r="M3872" s="63" t="str">
        <f>HYPERLINK("http://nsgreg.nga.mil/genc/view?v=866348&amp;end_month=12&amp;end_day=31&amp;end_year=2016","Correlation")</f>
        <v>Correlation</v>
      </c>
    </row>
    <row r="3873" spans="1:13" x14ac:dyDescent="0.2">
      <c r="A3873" s="113"/>
      <c r="B3873" s="58" t="s">
        <v>9839</v>
      </c>
      <c r="C3873" s="58" t="s">
        <v>1816</v>
      </c>
      <c r="D3873" s="58" t="s">
        <v>9840</v>
      </c>
      <c r="E3873" s="60" t="b">
        <v>1</v>
      </c>
      <c r="F3873" s="80" t="s">
        <v>1194</v>
      </c>
      <c r="G3873" s="58" t="s">
        <v>9839</v>
      </c>
      <c r="H3873" s="58" t="s">
        <v>1816</v>
      </c>
      <c r="I3873" s="64" t="s">
        <v>9840</v>
      </c>
      <c r="J3873" s="66"/>
      <c r="K3873" s="66"/>
      <c r="L3873" s="68"/>
      <c r="M3873" s="63" t="str">
        <f>HYPERLINK("http://nsgreg.nga.mil/genc/view?v=866347&amp;end_month=12&amp;end_day=31&amp;end_year=2016","Correlation")</f>
        <v>Correlation</v>
      </c>
    </row>
    <row r="3874" spans="1:13" x14ac:dyDescent="0.2">
      <c r="A3874" s="113"/>
      <c r="B3874" s="58" t="s">
        <v>9841</v>
      </c>
      <c r="C3874" s="58" t="s">
        <v>1816</v>
      </c>
      <c r="D3874" s="58" t="s">
        <v>9842</v>
      </c>
      <c r="E3874" s="60" t="b">
        <v>1</v>
      </c>
      <c r="F3874" s="80" t="s">
        <v>1194</v>
      </c>
      <c r="G3874" s="58" t="s">
        <v>9841</v>
      </c>
      <c r="H3874" s="58" t="s">
        <v>1816</v>
      </c>
      <c r="I3874" s="64" t="s">
        <v>9842</v>
      </c>
      <c r="J3874" s="66"/>
      <c r="K3874" s="66"/>
      <c r="L3874" s="68"/>
      <c r="M3874" s="63" t="str">
        <f>HYPERLINK("http://nsgreg.nga.mil/genc/view?v=866349&amp;end_month=12&amp;end_day=31&amp;end_year=2016","Correlation")</f>
        <v>Correlation</v>
      </c>
    </row>
    <row r="3875" spans="1:13" x14ac:dyDescent="0.2">
      <c r="A3875" s="113"/>
      <c r="B3875" s="58" t="s">
        <v>9843</v>
      </c>
      <c r="C3875" s="58" t="s">
        <v>1816</v>
      </c>
      <c r="D3875" s="58" t="s">
        <v>9844</v>
      </c>
      <c r="E3875" s="60" t="b">
        <v>1</v>
      </c>
      <c r="F3875" s="80" t="s">
        <v>1194</v>
      </c>
      <c r="G3875" s="58" t="s">
        <v>9843</v>
      </c>
      <c r="H3875" s="58" t="s">
        <v>1816</v>
      </c>
      <c r="I3875" s="64" t="s">
        <v>9844</v>
      </c>
      <c r="J3875" s="66"/>
      <c r="K3875" s="66"/>
      <c r="L3875" s="68"/>
      <c r="M3875" s="63" t="str">
        <f>HYPERLINK("http://nsgreg.nga.mil/genc/view?v=866350&amp;end_month=12&amp;end_day=31&amp;end_year=2016","Correlation")</f>
        <v>Correlation</v>
      </c>
    </row>
    <row r="3876" spans="1:13" x14ac:dyDescent="0.2">
      <c r="A3876" s="113"/>
      <c r="B3876" s="58" t="s">
        <v>9845</v>
      </c>
      <c r="C3876" s="58" t="s">
        <v>1816</v>
      </c>
      <c r="D3876" s="58" t="s">
        <v>9846</v>
      </c>
      <c r="E3876" s="60" t="b">
        <v>1</v>
      </c>
      <c r="F3876" s="80" t="s">
        <v>1194</v>
      </c>
      <c r="G3876" s="58" t="s">
        <v>9845</v>
      </c>
      <c r="H3876" s="58" t="s">
        <v>1816</v>
      </c>
      <c r="I3876" s="64" t="s">
        <v>9846</v>
      </c>
      <c r="J3876" s="66"/>
      <c r="K3876" s="66"/>
      <c r="L3876" s="68"/>
      <c r="M3876" s="63" t="str">
        <f>HYPERLINK("http://nsgreg.nga.mil/genc/view?v=866275&amp;end_month=12&amp;end_day=31&amp;end_year=2016","Correlation")</f>
        <v>Correlation</v>
      </c>
    </row>
    <row r="3877" spans="1:13" x14ac:dyDescent="0.2">
      <c r="A3877" s="113"/>
      <c r="B3877" s="58" t="s">
        <v>9847</v>
      </c>
      <c r="C3877" s="58" t="s">
        <v>1816</v>
      </c>
      <c r="D3877" s="58" t="s">
        <v>9848</v>
      </c>
      <c r="E3877" s="60" t="b">
        <v>1</v>
      </c>
      <c r="F3877" s="80" t="s">
        <v>1194</v>
      </c>
      <c r="G3877" s="58" t="s">
        <v>9847</v>
      </c>
      <c r="H3877" s="58" t="s">
        <v>1816</v>
      </c>
      <c r="I3877" s="64" t="s">
        <v>9848</v>
      </c>
      <c r="J3877" s="66"/>
      <c r="K3877" s="66"/>
      <c r="L3877" s="68"/>
      <c r="M3877" s="63" t="str">
        <f>HYPERLINK("http://nsgreg.nga.mil/genc/view?v=866419&amp;end_month=12&amp;end_day=31&amp;end_year=2016","Correlation")</f>
        <v>Correlation</v>
      </c>
    </row>
    <row r="3878" spans="1:13" x14ac:dyDescent="0.2">
      <c r="A3878" s="113"/>
      <c r="B3878" s="58" t="s">
        <v>9849</v>
      </c>
      <c r="C3878" s="58" t="s">
        <v>1816</v>
      </c>
      <c r="D3878" s="58" t="s">
        <v>9850</v>
      </c>
      <c r="E3878" s="60" t="b">
        <v>1</v>
      </c>
      <c r="F3878" s="80" t="s">
        <v>1194</v>
      </c>
      <c r="G3878" s="58" t="s">
        <v>9849</v>
      </c>
      <c r="H3878" s="58" t="s">
        <v>1816</v>
      </c>
      <c r="I3878" s="64" t="s">
        <v>9850</v>
      </c>
      <c r="J3878" s="66"/>
      <c r="K3878" s="66"/>
      <c r="L3878" s="68"/>
      <c r="M3878" s="63" t="str">
        <f>HYPERLINK("http://nsgreg.nga.mil/genc/view?v=866351&amp;end_month=12&amp;end_day=31&amp;end_year=2016","Correlation")</f>
        <v>Correlation</v>
      </c>
    </row>
    <row r="3879" spans="1:13" x14ac:dyDescent="0.2">
      <c r="A3879" s="113"/>
      <c r="B3879" s="58" t="s">
        <v>9851</v>
      </c>
      <c r="C3879" s="58" t="s">
        <v>1816</v>
      </c>
      <c r="D3879" s="58" t="s">
        <v>9852</v>
      </c>
      <c r="E3879" s="60" t="b">
        <v>1</v>
      </c>
      <c r="F3879" s="80" t="s">
        <v>1194</v>
      </c>
      <c r="G3879" s="58" t="s">
        <v>9851</v>
      </c>
      <c r="H3879" s="58" t="s">
        <v>1816</v>
      </c>
      <c r="I3879" s="64" t="s">
        <v>9852</v>
      </c>
      <c r="J3879" s="66"/>
      <c r="K3879" s="66"/>
      <c r="L3879" s="68"/>
      <c r="M3879" s="63" t="str">
        <f>HYPERLINK("http://nsgreg.nga.mil/genc/view?v=866424&amp;end_month=12&amp;end_day=31&amp;end_year=2016","Correlation")</f>
        <v>Correlation</v>
      </c>
    </row>
    <row r="3880" spans="1:13" x14ac:dyDescent="0.2">
      <c r="A3880" s="113"/>
      <c r="B3880" s="58" t="s">
        <v>9853</v>
      </c>
      <c r="C3880" s="58" t="s">
        <v>1816</v>
      </c>
      <c r="D3880" s="58" t="s">
        <v>9854</v>
      </c>
      <c r="E3880" s="60" t="b">
        <v>1</v>
      </c>
      <c r="F3880" s="80" t="s">
        <v>1194</v>
      </c>
      <c r="G3880" s="58" t="s">
        <v>9853</v>
      </c>
      <c r="H3880" s="58" t="s">
        <v>1816</v>
      </c>
      <c r="I3880" s="64" t="s">
        <v>9854</v>
      </c>
      <c r="J3880" s="66"/>
      <c r="K3880" s="66"/>
      <c r="L3880" s="68"/>
      <c r="M3880" s="63" t="str">
        <f>HYPERLINK("http://nsgreg.nga.mil/genc/view?v=866359&amp;end_month=12&amp;end_day=31&amp;end_year=2016","Correlation")</f>
        <v>Correlation</v>
      </c>
    </row>
    <row r="3881" spans="1:13" x14ac:dyDescent="0.2">
      <c r="A3881" s="113"/>
      <c r="B3881" s="58" t="s">
        <v>9855</v>
      </c>
      <c r="C3881" s="58" t="s">
        <v>1816</v>
      </c>
      <c r="D3881" s="58" t="s">
        <v>9856</v>
      </c>
      <c r="E3881" s="60" t="b">
        <v>1</v>
      </c>
      <c r="F3881" s="80" t="s">
        <v>1194</v>
      </c>
      <c r="G3881" s="58" t="s">
        <v>9855</v>
      </c>
      <c r="H3881" s="58" t="s">
        <v>1816</v>
      </c>
      <c r="I3881" s="64" t="s">
        <v>9856</v>
      </c>
      <c r="J3881" s="66"/>
      <c r="K3881" s="66"/>
      <c r="L3881" s="68"/>
      <c r="M3881" s="63" t="str">
        <f>HYPERLINK("http://nsgreg.nga.mil/genc/view?v=866360&amp;end_month=12&amp;end_day=31&amp;end_year=2016","Correlation")</f>
        <v>Correlation</v>
      </c>
    </row>
    <row r="3882" spans="1:13" x14ac:dyDescent="0.2">
      <c r="A3882" s="113"/>
      <c r="B3882" s="58" t="s">
        <v>9857</v>
      </c>
      <c r="C3882" s="58" t="s">
        <v>1816</v>
      </c>
      <c r="D3882" s="58" t="s">
        <v>9858</v>
      </c>
      <c r="E3882" s="60" t="b">
        <v>1</v>
      </c>
      <c r="F3882" s="80" t="s">
        <v>1194</v>
      </c>
      <c r="G3882" s="58" t="s">
        <v>9857</v>
      </c>
      <c r="H3882" s="58" t="s">
        <v>1816</v>
      </c>
      <c r="I3882" s="64" t="s">
        <v>9858</v>
      </c>
      <c r="J3882" s="66"/>
      <c r="K3882" s="66"/>
      <c r="L3882" s="68"/>
      <c r="M3882" s="63" t="str">
        <f>HYPERLINK("http://nsgreg.nga.mil/genc/view?v=866361&amp;end_month=12&amp;end_day=31&amp;end_year=2016","Correlation")</f>
        <v>Correlation</v>
      </c>
    </row>
    <row r="3883" spans="1:13" x14ac:dyDescent="0.2">
      <c r="A3883" s="113"/>
      <c r="B3883" s="58" t="s">
        <v>9859</v>
      </c>
      <c r="C3883" s="58" t="s">
        <v>1816</v>
      </c>
      <c r="D3883" s="58" t="s">
        <v>9860</v>
      </c>
      <c r="E3883" s="60" t="b">
        <v>1</v>
      </c>
      <c r="F3883" s="80" t="s">
        <v>1194</v>
      </c>
      <c r="G3883" s="58" t="s">
        <v>9859</v>
      </c>
      <c r="H3883" s="58" t="s">
        <v>1816</v>
      </c>
      <c r="I3883" s="64" t="s">
        <v>9860</v>
      </c>
      <c r="J3883" s="66"/>
      <c r="K3883" s="66"/>
      <c r="L3883" s="68"/>
      <c r="M3883" s="63" t="str">
        <f>HYPERLINK("http://nsgreg.nga.mil/genc/view?v=866362&amp;end_month=12&amp;end_day=31&amp;end_year=2016","Correlation")</f>
        <v>Correlation</v>
      </c>
    </row>
    <row r="3884" spans="1:13" x14ac:dyDescent="0.2">
      <c r="A3884" s="113"/>
      <c r="B3884" s="58" t="s">
        <v>9861</v>
      </c>
      <c r="C3884" s="58" t="s">
        <v>1816</v>
      </c>
      <c r="D3884" s="58" t="s">
        <v>9862</v>
      </c>
      <c r="E3884" s="60" t="b">
        <v>1</v>
      </c>
      <c r="F3884" s="80" t="s">
        <v>1194</v>
      </c>
      <c r="G3884" s="58" t="s">
        <v>9861</v>
      </c>
      <c r="H3884" s="58" t="s">
        <v>1816</v>
      </c>
      <c r="I3884" s="64" t="s">
        <v>9862</v>
      </c>
      <c r="J3884" s="66"/>
      <c r="K3884" s="66"/>
      <c r="L3884" s="68"/>
      <c r="M3884" s="63" t="str">
        <f>HYPERLINK("http://nsgreg.nga.mil/genc/view?v=866452&amp;end_month=12&amp;end_day=31&amp;end_year=2016","Correlation")</f>
        <v>Correlation</v>
      </c>
    </row>
    <row r="3885" spans="1:13" x14ac:dyDescent="0.2">
      <c r="A3885" s="113"/>
      <c r="B3885" s="58" t="s">
        <v>9863</v>
      </c>
      <c r="C3885" s="58" t="s">
        <v>1816</v>
      </c>
      <c r="D3885" s="58" t="s">
        <v>9864</v>
      </c>
      <c r="E3885" s="60" t="b">
        <v>1</v>
      </c>
      <c r="F3885" s="80" t="s">
        <v>1194</v>
      </c>
      <c r="G3885" s="58" t="s">
        <v>9863</v>
      </c>
      <c r="H3885" s="58" t="s">
        <v>1816</v>
      </c>
      <c r="I3885" s="64" t="s">
        <v>9864</v>
      </c>
      <c r="J3885" s="66"/>
      <c r="K3885" s="66"/>
      <c r="L3885" s="68"/>
      <c r="M3885" s="63" t="str">
        <f>HYPERLINK("http://nsgreg.nga.mil/genc/view?v=866352&amp;end_month=12&amp;end_day=31&amp;end_year=2016","Correlation")</f>
        <v>Correlation</v>
      </c>
    </row>
    <row r="3886" spans="1:13" x14ac:dyDescent="0.2">
      <c r="A3886" s="113"/>
      <c r="B3886" s="58" t="s">
        <v>9865</v>
      </c>
      <c r="C3886" s="58" t="s">
        <v>1816</v>
      </c>
      <c r="D3886" s="58" t="s">
        <v>9866</v>
      </c>
      <c r="E3886" s="60" t="b">
        <v>1</v>
      </c>
      <c r="F3886" s="80" t="s">
        <v>1194</v>
      </c>
      <c r="G3886" s="58" t="s">
        <v>9865</v>
      </c>
      <c r="H3886" s="58" t="s">
        <v>1816</v>
      </c>
      <c r="I3886" s="64" t="s">
        <v>9866</v>
      </c>
      <c r="J3886" s="66"/>
      <c r="K3886" s="66"/>
      <c r="L3886" s="68"/>
      <c r="M3886" s="63" t="str">
        <f>HYPERLINK("http://nsgreg.nga.mil/genc/view?v=866353&amp;end_month=12&amp;end_day=31&amp;end_year=2016","Correlation")</f>
        <v>Correlation</v>
      </c>
    </row>
    <row r="3887" spans="1:13" x14ac:dyDescent="0.2">
      <c r="A3887" s="113"/>
      <c r="B3887" s="58" t="s">
        <v>9867</v>
      </c>
      <c r="C3887" s="58" t="s">
        <v>1816</v>
      </c>
      <c r="D3887" s="58" t="s">
        <v>9868</v>
      </c>
      <c r="E3887" s="60" t="b">
        <v>1</v>
      </c>
      <c r="F3887" s="80" t="s">
        <v>1194</v>
      </c>
      <c r="G3887" s="58" t="s">
        <v>9867</v>
      </c>
      <c r="H3887" s="58" t="s">
        <v>1816</v>
      </c>
      <c r="I3887" s="64" t="s">
        <v>9868</v>
      </c>
      <c r="J3887" s="66"/>
      <c r="K3887" s="66"/>
      <c r="L3887" s="68"/>
      <c r="M3887" s="63" t="str">
        <f>HYPERLINK("http://nsgreg.nga.mil/genc/view?v=866363&amp;end_month=12&amp;end_day=31&amp;end_year=2016","Correlation")</f>
        <v>Correlation</v>
      </c>
    </row>
    <row r="3888" spans="1:13" x14ac:dyDescent="0.2">
      <c r="A3888" s="113"/>
      <c r="B3888" s="58" t="s">
        <v>9869</v>
      </c>
      <c r="C3888" s="58" t="s">
        <v>1816</v>
      </c>
      <c r="D3888" s="58" t="s">
        <v>9870</v>
      </c>
      <c r="E3888" s="60" t="b">
        <v>1</v>
      </c>
      <c r="F3888" s="80" t="s">
        <v>1194</v>
      </c>
      <c r="G3888" s="58" t="s">
        <v>9869</v>
      </c>
      <c r="H3888" s="58" t="s">
        <v>1816</v>
      </c>
      <c r="I3888" s="64" t="s">
        <v>9870</v>
      </c>
      <c r="J3888" s="66"/>
      <c r="K3888" s="66"/>
      <c r="L3888" s="68"/>
      <c r="M3888" s="63" t="str">
        <f>HYPERLINK("http://nsgreg.nga.mil/genc/view?v=866364&amp;end_month=12&amp;end_day=31&amp;end_year=2016","Correlation")</f>
        <v>Correlation</v>
      </c>
    </row>
    <row r="3889" spans="1:13" x14ac:dyDescent="0.2">
      <c r="A3889" s="113"/>
      <c r="B3889" s="58" t="s">
        <v>9871</v>
      </c>
      <c r="C3889" s="58" t="s">
        <v>1816</v>
      </c>
      <c r="D3889" s="58" t="s">
        <v>9872</v>
      </c>
      <c r="E3889" s="60" t="b">
        <v>1</v>
      </c>
      <c r="F3889" s="80" t="s">
        <v>1194</v>
      </c>
      <c r="G3889" s="58" t="s">
        <v>9871</v>
      </c>
      <c r="H3889" s="58" t="s">
        <v>1816</v>
      </c>
      <c r="I3889" s="64" t="s">
        <v>9872</v>
      </c>
      <c r="J3889" s="66"/>
      <c r="K3889" s="66"/>
      <c r="L3889" s="68"/>
      <c r="M3889" s="63" t="str">
        <f>HYPERLINK("http://nsgreg.nga.mil/genc/view?v=866365&amp;end_month=12&amp;end_day=31&amp;end_year=2016","Correlation")</f>
        <v>Correlation</v>
      </c>
    </row>
    <row r="3890" spans="1:13" x14ac:dyDescent="0.2">
      <c r="A3890" s="113"/>
      <c r="B3890" s="58" t="s">
        <v>9873</v>
      </c>
      <c r="C3890" s="58" t="s">
        <v>9684</v>
      </c>
      <c r="D3890" s="58" t="s">
        <v>9874</v>
      </c>
      <c r="E3890" s="60" t="b">
        <v>1</v>
      </c>
      <c r="F3890" s="80" t="s">
        <v>1194</v>
      </c>
      <c r="G3890" s="58" t="s">
        <v>9873</v>
      </c>
      <c r="H3890" s="58" t="s">
        <v>1816</v>
      </c>
      <c r="I3890" s="64" t="s">
        <v>9874</v>
      </c>
      <c r="J3890" s="66"/>
      <c r="K3890" s="66"/>
      <c r="L3890" s="68"/>
      <c r="M3890" s="63" t="str">
        <f>HYPERLINK("http://nsgreg.nga.mil/genc/view?v=866354&amp;end_month=12&amp;end_day=31&amp;end_year=2016","Correlation")</f>
        <v>Correlation</v>
      </c>
    </row>
    <row r="3891" spans="1:13" x14ac:dyDescent="0.2">
      <c r="A3891" s="113"/>
      <c r="B3891" s="58" t="s">
        <v>9875</v>
      </c>
      <c r="C3891" s="58" t="s">
        <v>1816</v>
      </c>
      <c r="D3891" s="58" t="s">
        <v>9876</v>
      </c>
      <c r="E3891" s="60" t="b">
        <v>1</v>
      </c>
      <c r="F3891" s="80" t="s">
        <v>1194</v>
      </c>
      <c r="G3891" s="58" t="s">
        <v>9875</v>
      </c>
      <c r="H3891" s="58" t="s">
        <v>1816</v>
      </c>
      <c r="I3891" s="64" t="s">
        <v>9876</v>
      </c>
      <c r="J3891" s="66"/>
      <c r="K3891" s="66"/>
      <c r="L3891" s="68"/>
      <c r="M3891" s="63" t="str">
        <f>HYPERLINK("http://nsgreg.nga.mil/genc/view?v=866355&amp;end_month=12&amp;end_day=31&amp;end_year=2016","Correlation")</f>
        <v>Correlation</v>
      </c>
    </row>
    <row r="3892" spans="1:13" x14ac:dyDescent="0.2">
      <c r="A3892" s="113"/>
      <c r="B3892" s="58" t="s">
        <v>9877</v>
      </c>
      <c r="C3892" s="58" t="s">
        <v>1816</v>
      </c>
      <c r="D3892" s="58" t="s">
        <v>9878</v>
      </c>
      <c r="E3892" s="60" t="b">
        <v>1</v>
      </c>
      <c r="F3892" s="80" t="s">
        <v>1194</v>
      </c>
      <c r="G3892" s="58" t="s">
        <v>9877</v>
      </c>
      <c r="H3892" s="58" t="s">
        <v>1816</v>
      </c>
      <c r="I3892" s="64" t="s">
        <v>9878</v>
      </c>
      <c r="J3892" s="66"/>
      <c r="K3892" s="66"/>
      <c r="L3892" s="68"/>
      <c r="M3892" s="63" t="str">
        <f>HYPERLINK("http://nsgreg.nga.mil/genc/view?v=866356&amp;end_month=12&amp;end_day=31&amp;end_year=2016","Correlation")</f>
        <v>Correlation</v>
      </c>
    </row>
    <row r="3893" spans="1:13" x14ac:dyDescent="0.2">
      <c r="A3893" s="113"/>
      <c r="B3893" s="58" t="s">
        <v>9879</v>
      </c>
      <c r="C3893" s="58" t="s">
        <v>1816</v>
      </c>
      <c r="D3893" s="58" t="s">
        <v>9880</v>
      </c>
      <c r="E3893" s="60" t="b">
        <v>1</v>
      </c>
      <c r="F3893" s="80" t="s">
        <v>1194</v>
      </c>
      <c r="G3893" s="58" t="s">
        <v>9879</v>
      </c>
      <c r="H3893" s="58" t="s">
        <v>1816</v>
      </c>
      <c r="I3893" s="64" t="s">
        <v>9880</v>
      </c>
      <c r="J3893" s="66"/>
      <c r="K3893" s="66"/>
      <c r="L3893" s="68"/>
      <c r="M3893" s="63" t="str">
        <f>HYPERLINK("http://nsgreg.nga.mil/genc/view?v=866366&amp;end_month=12&amp;end_day=31&amp;end_year=2016","Correlation")</f>
        <v>Correlation</v>
      </c>
    </row>
    <row r="3894" spans="1:13" x14ac:dyDescent="0.2">
      <c r="A3894" s="113"/>
      <c r="B3894" s="58" t="s">
        <v>9881</v>
      </c>
      <c r="C3894" s="58" t="s">
        <v>1816</v>
      </c>
      <c r="D3894" s="58" t="s">
        <v>9882</v>
      </c>
      <c r="E3894" s="60" t="b">
        <v>1</v>
      </c>
      <c r="F3894" s="80" t="s">
        <v>1194</v>
      </c>
      <c r="G3894" s="58" t="s">
        <v>9881</v>
      </c>
      <c r="H3894" s="58" t="s">
        <v>1816</v>
      </c>
      <c r="I3894" s="64" t="s">
        <v>9882</v>
      </c>
      <c r="J3894" s="66"/>
      <c r="K3894" s="66"/>
      <c r="L3894" s="68"/>
      <c r="M3894" s="63" t="str">
        <f>HYPERLINK("http://nsgreg.nga.mil/genc/view?v=866447&amp;end_month=12&amp;end_day=31&amp;end_year=2016","Correlation")</f>
        <v>Correlation</v>
      </c>
    </row>
    <row r="3895" spans="1:13" x14ac:dyDescent="0.2">
      <c r="A3895" s="113"/>
      <c r="B3895" s="58" t="s">
        <v>9883</v>
      </c>
      <c r="C3895" s="58" t="s">
        <v>1816</v>
      </c>
      <c r="D3895" s="58" t="s">
        <v>9884</v>
      </c>
      <c r="E3895" s="60" t="b">
        <v>1</v>
      </c>
      <c r="F3895" s="80" t="s">
        <v>1194</v>
      </c>
      <c r="G3895" s="58" t="s">
        <v>9883</v>
      </c>
      <c r="H3895" s="58" t="s">
        <v>1816</v>
      </c>
      <c r="I3895" s="64" t="s">
        <v>9884</v>
      </c>
      <c r="J3895" s="66"/>
      <c r="K3895" s="66"/>
      <c r="L3895" s="68"/>
      <c r="M3895" s="63" t="str">
        <f>HYPERLINK("http://nsgreg.nga.mil/genc/view?v=866367&amp;end_month=12&amp;end_day=31&amp;end_year=2016","Correlation")</f>
        <v>Correlation</v>
      </c>
    </row>
    <row r="3896" spans="1:13" x14ac:dyDescent="0.2">
      <c r="A3896" s="113"/>
      <c r="B3896" s="58" t="s">
        <v>9885</v>
      </c>
      <c r="C3896" s="58" t="s">
        <v>1816</v>
      </c>
      <c r="D3896" s="58" t="s">
        <v>9886</v>
      </c>
      <c r="E3896" s="60" t="b">
        <v>1</v>
      </c>
      <c r="F3896" s="80" t="s">
        <v>1194</v>
      </c>
      <c r="G3896" s="58" t="s">
        <v>9885</v>
      </c>
      <c r="H3896" s="58" t="s">
        <v>1816</v>
      </c>
      <c r="I3896" s="64" t="s">
        <v>9886</v>
      </c>
      <c r="J3896" s="66"/>
      <c r="K3896" s="66"/>
      <c r="L3896" s="68"/>
      <c r="M3896" s="63" t="str">
        <f>HYPERLINK("http://nsgreg.nga.mil/genc/view?v=866435&amp;end_month=12&amp;end_day=31&amp;end_year=2016","Correlation")</f>
        <v>Correlation</v>
      </c>
    </row>
    <row r="3897" spans="1:13" x14ac:dyDescent="0.2">
      <c r="A3897" s="113"/>
      <c r="B3897" s="58" t="s">
        <v>9887</v>
      </c>
      <c r="C3897" s="58" t="s">
        <v>1816</v>
      </c>
      <c r="D3897" s="58" t="s">
        <v>9888</v>
      </c>
      <c r="E3897" s="60" t="b">
        <v>1</v>
      </c>
      <c r="F3897" s="80" t="s">
        <v>1194</v>
      </c>
      <c r="G3897" s="58" t="s">
        <v>9887</v>
      </c>
      <c r="H3897" s="58" t="s">
        <v>1816</v>
      </c>
      <c r="I3897" s="64" t="s">
        <v>9888</v>
      </c>
      <c r="J3897" s="66"/>
      <c r="K3897" s="66"/>
      <c r="L3897" s="68"/>
      <c r="M3897" s="63" t="str">
        <f>HYPERLINK("http://nsgreg.nga.mil/genc/view?v=866420&amp;end_month=12&amp;end_day=31&amp;end_year=2016","Correlation")</f>
        <v>Correlation</v>
      </c>
    </row>
    <row r="3898" spans="1:13" x14ac:dyDescent="0.2">
      <c r="A3898" s="113"/>
      <c r="B3898" s="58" t="s">
        <v>9889</v>
      </c>
      <c r="C3898" s="58" t="s">
        <v>1816</v>
      </c>
      <c r="D3898" s="58" t="s">
        <v>9890</v>
      </c>
      <c r="E3898" s="60" t="b">
        <v>1</v>
      </c>
      <c r="F3898" s="80" t="s">
        <v>1194</v>
      </c>
      <c r="G3898" s="58" t="s">
        <v>9889</v>
      </c>
      <c r="H3898" s="58" t="s">
        <v>1816</v>
      </c>
      <c r="I3898" s="64" t="s">
        <v>9890</v>
      </c>
      <c r="J3898" s="66"/>
      <c r="K3898" s="66"/>
      <c r="L3898" s="68"/>
      <c r="M3898" s="63" t="str">
        <f>HYPERLINK("http://nsgreg.nga.mil/genc/view?v=866421&amp;end_month=12&amp;end_day=31&amp;end_year=2016","Correlation")</f>
        <v>Correlation</v>
      </c>
    </row>
    <row r="3899" spans="1:13" x14ac:dyDescent="0.2">
      <c r="A3899" s="113"/>
      <c r="B3899" s="58" t="s">
        <v>9891</v>
      </c>
      <c r="C3899" s="58" t="s">
        <v>1816</v>
      </c>
      <c r="D3899" s="58" t="s">
        <v>9892</v>
      </c>
      <c r="E3899" s="60" t="b">
        <v>1</v>
      </c>
      <c r="F3899" s="80" t="s">
        <v>1194</v>
      </c>
      <c r="G3899" s="58" t="s">
        <v>9891</v>
      </c>
      <c r="H3899" s="58" t="s">
        <v>1816</v>
      </c>
      <c r="I3899" s="64" t="s">
        <v>9892</v>
      </c>
      <c r="J3899" s="66"/>
      <c r="K3899" s="66"/>
      <c r="L3899" s="68"/>
      <c r="M3899" s="63" t="str">
        <f>HYPERLINK("http://nsgreg.nga.mil/genc/view?v=866368&amp;end_month=12&amp;end_day=31&amp;end_year=2016","Correlation")</f>
        <v>Correlation</v>
      </c>
    </row>
    <row r="3900" spans="1:13" x14ac:dyDescent="0.2">
      <c r="A3900" s="113"/>
      <c r="B3900" s="58" t="s">
        <v>9893</v>
      </c>
      <c r="C3900" s="58" t="s">
        <v>1816</v>
      </c>
      <c r="D3900" s="58" t="s">
        <v>9894</v>
      </c>
      <c r="E3900" s="60" t="b">
        <v>1</v>
      </c>
      <c r="F3900" s="80" t="s">
        <v>1194</v>
      </c>
      <c r="G3900" s="58" t="s">
        <v>9893</v>
      </c>
      <c r="H3900" s="58" t="s">
        <v>1816</v>
      </c>
      <c r="I3900" s="64" t="s">
        <v>9894</v>
      </c>
      <c r="J3900" s="66"/>
      <c r="K3900" s="66"/>
      <c r="L3900" s="68"/>
      <c r="M3900" s="63" t="str">
        <f>HYPERLINK("http://nsgreg.nga.mil/genc/view?v=866443&amp;end_month=12&amp;end_day=31&amp;end_year=2016","Correlation")</f>
        <v>Correlation</v>
      </c>
    </row>
    <row r="3901" spans="1:13" x14ac:dyDescent="0.2">
      <c r="A3901" s="113"/>
      <c r="B3901" s="58" t="s">
        <v>9895</v>
      </c>
      <c r="C3901" s="58" t="s">
        <v>1816</v>
      </c>
      <c r="D3901" s="58" t="s">
        <v>9896</v>
      </c>
      <c r="E3901" s="60" t="b">
        <v>1</v>
      </c>
      <c r="F3901" s="80" t="s">
        <v>1194</v>
      </c>
      <c r="G3901" s="58" t="s">
        <v>9895</v>
      </c>
      <c r="H3901" s="58" t="s">
        <v>1816</v>
      </c>
      <c r="I3901" s="64" t="s">
        <v>9896</v>
      </c>
      <c r="J3901" s="66"/>
      <c r="K3901" s="66"/>
      <c r="L3901" s="68"/>
      <c r="M3901" s="63" t="str">
        <f>HYPERLINK("http://nsgreg.nga.mil/genc/view?v=866357&amp;end_month=12&amp;end_day=31&amp;end_year=2016","Correlation")</f>
        <v>Correlation</v>
      </c>
    </row>
    <row r="3902" spans="1:13" x14ac:dyDescent="0.2">
      <c r="A3902" s="113"/>
      <c r="B3902" s="58" t="s">
        <v>9897</v>
      </c>
      <c r="C3902" s="58" t="s">
        <v>1816</v>
      </c>
      <c r="D3902" s="58" t="s">
        <v>9898</v>
      </c>
      <c r="E3902" s="60" t="b">
        <v>1</v>
      </c>
      <c r="F3902" s="80" t="s">
        <v>1194</v>
      </c>
      <c r="G3902" s="58" t="s">
        <v>9897</v>
      </c>
      <c r="H3902" s="58" t="s">
        <v>1816</v>
      </c>
      <c r="I3902" s="64" t="s">
        <v>9898</v>
      </c>
      <c r="J3902" s="66"/>
      <c r="K3902" s="66"/>
      <c r="L3902" s="68"/>
      <c r="M3902" s="63" t="str">
        <f>HYPERLINK("http://nsgreg.nga.mil/genc/view?v=866369&amp;end_month=12&amp;end_day=31&amp;end_year=2016","Correlation")</f>
        <v>Correlation</v>
      </c>
    </row>
    <row r="3903" spans="1:13" x14ac:dyDescent="0.2">
      <c r="A3903" s="113"/>
      <c r="B3903" s="58" t="s">
        <v>9899</v>
      </c>
      <c r="C3903" s="58" t="s">
        <v>1816</v>
      </c>
      <c r="D3903" s="58" t="s">
        <v>9900</v>
      </c>
      <c r="E3903" s="60" t="b">
        <v>1</v>
      </c>
      <c r="F3903" s="80" t="s">
        <v>1194</v>
      </c>
      <c r="G3903" s="58" t="s">
        <v>9899</v>
      </c>
      <c r="H3903" s="58" t="s">
        <v>1816</v>
      </c>
      <c r="I3903" s="64" t="s">
        <v>9900</v>
      </c>
      <c r="J3903" s="66"/>
      <c r="K3903" s="66"/>
      <c r="L3903" s="68"/>
      <c r="M3903" s="63" t="str">
        <f>HYPERLINK("http://nsgreg.nga.mil/genc/view?v=866444&amp;end_month=12&amp;end_day=31&amp;end_year=2016","Correlation")</f>
        <v>Correlation</v>
      </c>
    </row>
    <row r="3904" spans="1:13" x14ac:dyDescent="0.2">
      <c r="A3904" s="113"/>
      <c r="B3904" s="58" t="s">
        <v>9901</v>
      </c>
      <c r="C3904" s="58" t="s">
        <v>1816</v>
      </c>
      <c r="D3904" s="58" t="s">
        <v>9902</v>
      </c>
      <c r="E3904" s="60" t="b">
        <v>1</v>
      </c>
      <c r="F3904" s="80" t="s">
        <v>1194</v>
      </c>
      <c r="G3904" s="58" t="s">
        <v>9901</v>
      </c>
      <c r="H3904" s="58" t="s">
        <v>1816</v>
      </c>
      <c r="I3904" s="64" t="s">
        <v>9902</v>
      </c>
      <c r="J3904" s="66"/>
      <c r="K3904" s="66"/>
      <c r="L3904" s="68"/>
      <c r="M3904" s="63" t="str">
        <f>HYPERLINK("http://nsgreg.nga.mil/genc/view?v=866422&amp;end_month=12&amp;end_day=31&amp;end_year=2016","Correlation")</f>
        <v>Correlation</v>
      </c>
    </row>
    <row r="3905" spans="1:13" x14ac:dyDescent="0.2">
      <c r="A3905" s="113"/>
      <c r="B3905" s="58" t="s">
        <v>9903</v>
      </c>
      <c r="C3905" s="58" t="s">
        <v>1816</v>
      </c>
      <c r="D3905" s="58" t="s">
        <v>9904</v>
      </c>
      <c r="E3905" s="60" t="b">
        <v>1</v>
      </c>
      <c r="F3905" s="80" t="s">
        <v>1194</v>
      </c>
      <c r="G3905" s="58" t="s">
        <v>9903</v>
      </c>
      <c r="H3905" s="58" t="s">
        <v>1816</v>
      </c>
      <c r="I3905" s="64" t="s">
        <v>9904</v>
      </c>
      <c r="J3905" s="66"/>
      <c r="K3905" s="66"/>
      <c r="L3905" s="68"/>
      <c r="M3905" s="63" t="str">
        <f>HYPERLINK("http://nsgreg.nga.mil/genc/view?v=866445&amp;end_month=12&amp;end_day=31&amp;end_year=2016","Correlation")</f>
        <v>Correlation</v>
      </c>
    </row>
    <row r="3906" spans="1:13" x14ac:dyDescent="0.2">
      <c r="A3906" s="113"/>
      <c r="B3906" s="58" t="s">
        <v>9905</v>
      </c>
      <c r="C3906" s="58" t="s">
        <v>1816</v>
      </c>
      <c r="D3906" s="58" t="s">
        <v>9906</v>
      </c>
      <c r="E3906" s="60" t="b">
        <v>1</v>
      </c>
      <c r="F3906" s="80" t="s">
        <v>1194</v>
      </c>
      <c r="G3906" s="58" t="s">
        <v>9905</v>
      </c>
      <c r="H3906" s="58" t="s">
        <v>1816</v>
      </c>
      <c r="I3906" s="64" t="s">
        <v>9906</v>
      </c>
      <c r="J3906" s="66"/>
      <c r="K3906" s="66"/>
      <c r="L3906" s="68"/>
      <c r="M3906" s="63" t="str">
        <f>HYPERLINK("http://nsgreg.nga.mil/genc/view?v=866423&amp;end_month=12&amp;end_day=31&amp;end_year=2016","Correlation")</f>
        <v>Correlation</v>
      </c>
    </row>
    <row r="3907" spans="1:13" x14ac:dyDescent="0.2">
      <c r="A3907" s="113"/>
      <c r="B3907" s="58" t="s">
        <v>9907</v>
      </c>
      <c r="C3907" s="58" t="s">
        <v>1816</v>
      </c>
      <c r="D3907" s="58" t="s">
        <v>9908</v>
      </c>
      <c r="E3907" s="60" t="b">
        <v>1</v>
      </c>
      <c r="F3907" s="80" t="s">
        <v>1194</v>
      </c>
      <c r="G3907" s="58" t="s">
        <v>9909</v>
      </c>
      <c r="H3907" s="58" t="s">
        <v>1816</v>
      </c>
      <c r="I3907" s="64" t="s">
        <v>9908</v>
      </c>
      <c r="J3907" s="66"/>
      <c r="K3907" s="66"/>
      <c r="L3907" s="68"/>
      <c r="M3907" s="63" t="str">
        <f>HYPERLINK("http://nsgreg.nga.mil/genc/view?v=866358&amp;end_month=12&amp;end_day=31&amp;end_year=2016","Correlation")</f>
        <v>Correlation</v>
      </c>
    </row>
    <row r="3908" spans="1:13" x14ac:dyDescent="0.2">
      <c r="A3908" s="113"/>
      <c r="B3908" s="58" t="s">
        <v>9910</v>
      </c>
      <c r="C3908" s="58" t="s">
        <v>1816</v>
      </c>
      <c r="D3908" s="58" t="s">
        <v>9911</v>
      </c>
      <c r="E3908" s="60" t="b">
        <v>1</v>
      </c>
      <c r="F3908" s="80" t="s">
        <v>1194</v>
      </c>
      <c r="G3908" s="58" t="s">
        <v>9910</v>
      </c>
      <c r="H3908" s="58" t="s">
        <v>1816</v>
      </c>
      <c r="I3908" s="64" t="s">
        <v>9911</v>
      </c>
      <c r="J3908" s="66"/>
      <c r="K3908" s="66"/>
      <c r="L3908" s="68"/>
      <c r="M3908" s="63" t="str">
        <f>HYPERLINK("http://nsgreg.nga.mil/genc/view?v=866451&amp;end_month=12&amp;end_day=31&amp;end_year=2016","Correlation")</f>
        <v>Correlation</v>
      </c>
    </row>
    <row r="3909" spans="1:13" x14ac:dyDescent="0.2">
      <c r="A3909" s="113"/>
      <c r="B3909" s="58" t="s">
        <v>9912</v>
      </c>
      <c r="C3909" s="58" t="s">
        <v>1816</v>
      </c>
      <c r="D3909" s="58" t="s">
        <v>9913</v>
      </c>
      <c r="E3909" s="60" t="b">
        <v>1</v>
      </c>
      <c r="F3909" s="80" t="s">
        <v>1194</v>
      </c>
      <c r="G3909" s="58" t="s">
        <v>9912</v>
      </c>
      <c r="H3909" s="58" t="s">
        <v>1816</v>
      </c>
      <c r="I3909" s="64" t="s">
        <v>9913</v>
      </c>
      <c r="J3909" s="66"/>
      <c r="K3909" s="66"/>
      <c r="L3909" s="68"/>
      <c r="M3909" s="63" t="str">
        <f>HYPERLINK("http://nsgreg.nga.mil/genc/view?v=866446&amp;end_month=12&amp;end_day=31&amp;end_year=2016","Correlation")</f>
        <v>Correlation</v>
      </c>
    </row>
    <row r="3910" spans="1:13" x14ac:dyDescent="0.2">
      <c r="A3910" s="113"/>
      <c r="B3910" s="58" t="s">
        <v>9914</v>
      </c>
      <c r="C3910" s="58" t="s">
        <v>1816</v>
      </c>
      <c r="D3910" s="58" t="s">
        <v>9915</v>
      </c>
      <c r="E3910" s="60" t="b">
        <v>1</v>
      </c>
      <c r="F3910" s="80" t="s">
        <v>1194</v>
      </c>
      <c r="G3910" s="58" t="s">
        <v>9914</v>
      </c>
      <c r="H3910" s="58" t="s">
        <v>1816</v>
      </c>
      <c r="I3910" s="64" t="s">
        <v>9915</v>
      </c>
      <c r="J3910" s="66"/>
      <c r="K3910" s="66"/>
      <c r="L3910" s="68"/>
      <c r="M3910" s="63" t="str">
        <f>HYPERLINK("http://nsgreg.nga.mil/genc/view?v=866425&amp;end_month=12&amp;end_day=31&amp;end_year=2016","Correlation")</f>
        <v>Correlation</v>
      </c>
    </row>
    <row r="3911" spans="1:13" x14ac:dyDescent="0.2">
      <c r="A3911" s="113"/>
      <c r="B3911" s="58" t="s">
        <v>9916</v>
      </c>
      <c r="C3911" s="58" t="s">
        <v>1816</v>
      </c>
      <c r="D3911" s="58" t="s">
        <v>9917</v>
      </c>
      <c r="E3911" s="60" t="b">
        <v>1</v>
      </c>
      <c r="F3911" s="80" t="s">
        <v>1194</v>
      </c>
      <c r="G3911" s="58" t="s">
        <v>9916</v>
      </c>
      <c r="H3911" s="58" t="s">
        <v>1816</v>
      </c>
      <c r="I3911" s="64" t="s">
        <v>9917</v>
      </c>
      <c r="J3911" s="66"/>
      <c r="K3911" s="66"/>
      <c r="L3911" s="68"/>
      <c r="M3911" s="63" t="str">
        <f>HYPERLINK("http://nsgreg.nga.mil/genc/view?v=866252&amp;end_month=12&amp;end_day=31&amp;end_year=2016","Correlation")</f>
        <v>Correlation</v>
      </c>
    </row>
    <row r="3912" spans="1:13" x14ac:dyDescent="0.2">
      <c r="A3912" s="113"/>
      <c r="B3912" s="58" t="s">
        <v>9918</v>
      </c>
      <c r="C3912" s="58" t="s">
        <v>1816</v>
      </c>
      <c r="D3912" s="58" t="s">
        <v>9919</v>
      </c>
      <c r="E3912" s="60" t="b">
        <v>1</v>
      </c>
      <c r="F3912" s="80" t="s">
        <v>1194</v>
      </c>
      <c r="G3912" s="58" t="s">
        <v>9918</v>
      </c>
      <c r="H3912" s="58" t="s">
        <v>1816</v>
      </c>
      <c r="I3912" s="64" t="s">
        <v>9919</v>
      </c>
      <c r="J3912" s="66"/>
      <c r="K3912" s="66"/>
      <c r="L3912" s="68"/>
      <c r="M3912" s="63" t="str">
        <f>HYPERLINK("http://nsgreg.nga.mil/genc/view?v=866370&amp;end_month=12&amp;end_day=31&amp;end_year=2016","Correlation")</f>
        <v>Correlation</v>
      </c>
    </row>
    <row r="3913" spans="1:13" x14ac:dyDescent="0.2">
      <c r="A3913" s="113"/>
      <c r="B3913" s="58" t="s">
        <v>9920</v>
      </c>
      <c r="C3913" s="58" t="s">
        <v>1816</v>
      </c>
      <c r="D3913" s="58" t="s">
        <v>9921</v>
      </c>
      <c r="E3913" s="60" t="b">
        <v>1</v>
      </c>
      <c r="F3913" s="80" t="s">
        <v>1194</v>
      </c>
      <c r="G3913" s="58" t="s">
        <v>9920</v>
      </c>
      <c r="H3913" s="58" t="s">
        <v>1816</v>
      </c>
      <c r="I3913" s="64" t="s">
        <v>9921</v>
      </c>
      <c r="J3913" s="66"/>
      <c r="K3913" s="66"/>
      <c r="L3913" s="68"/>
      <c r="M3913" s="63" t="str">
        <f>HYPERLINK("http://nsgreg.nga.mil/genc/view?v=866371&amp;end_month=12&amp;end_day=31&amp;end_year=2016","Correlation")</f>
        <v>Correlation</v>
      </c>
    </row>
    <row r="3914" spans="1:13" x14ac:dyDescent="0.2">
      <c r="A3914" s="113"/>
      <c r="B3914" s="58" t="s">
        <v>9922</v>
      </c>
      <c r="C3914" s="58" t="s">
        <v>1816</v>
      </c>
      <c r="D3914" s="58" t="s">
        <v>9923</v>
      </c>
      <c r="E3914" s="60" t="b">
        <v>1</v>
      </c>
      <c r="F3914" s="80" t="s">
        <v>1194</v>
      </c>
      <c r="G3914" s="58" t="s">
        <v>9922</v>
      </c>
      <c r="H3914" s="58" t="s">
        <v>1816</v>
      </c>
      <c r="I3914" s="64" t="s">
        <v>9923</v>
      </c>
      <c r="J3914" s="66"/>
      <c r="K3914" s="66"/>
      <c r="L3914" s="68"/>
      <c r="M3914" s="63" t="str">
        <f>HYPERLINK("http://nsgreg.nga.mil/genc/view?v=866372&amp;end_month=12&amp;end_day=31&amp;end_year=2016","Correlation")</f>
        <v>Correlation</v>
      </c>
    </row>
    <row r="3915" spans="1:13" x14ac:dyDescent="0.2">
      <c r="A3915" s="113"/>
      <c r="B3915" s="58" t="s">
        <v>9924</v>
      </c>
      <c r="C3915" s="58" t="s">
        <v>1816</v>
      </c>
      <c r="D3915" s="58" t="s">
        <v>9925</v>
      </c>
      <c r="E3915" s="60" t="b">
        <v>1</v>
      </c>
      <c r="F3915" s="80" t="s">
        <v>1194</v>
      </c>
      <c r="G3915" s="58" t="s">
        <v>9924</v>
      </c>
      <c r="H3915" s="58" t="s">
        <v>1816</v>
      </c>
      <c r="I3915" s="64" t="s">
        <v>9925</v>
      </c>
      <c r="J3915" s="66"/>
      <c r="K3915" s="66"/>
      <c r="L3915" s="68"/>
      <c r="M3915" s="63" t="str">
        <f>HYPERLINK("http://nsgreg.nga.mil/genc/view?v=866426&amp;end_month=12&amp;end_day=31&amp;end_year=2016","Correlation")</f>
        <v>Correlation</v>
      </c>
    </row>
    <row r="3916" spans="1:13" x14ac:dyDescent="0.2">
      <c r="A3916" s="113"/>
      <c r="B3916" s="58" t="s">
        <v>9926</v>
      </c>
      <c r="C3916" s="58" t="s">
        <v>1816</v>
      </c>
      <c r="D3916" s="58" t="s">
        <v>9927</v>
      </c>
      <c r="E3916" s="60" t="b">
        <v>1</v>
      </c>
      <c r="F3916" s="80" t="s">
        <v>1194</v>
      </c>
      <c r="G3916" s="58" t="s">
        <v>9926</v>
      </c>
      <c r="H3916" s="58" t="s">
        <v>1816</v>
      </c>
      <c r="I3916" s="64" t="s">
        <v>9927</v>
      </c>
      <c r="J3916" s="66"/>
      <c r="K3916" s="66"/>
      <c r="L3916" s="68"/>
      <c r="M3916" s="63" t="str">
        <f>HYPERLINK("http://nsgreg.nga.mil/genc/view?v=866373&amp;end_month=12&amp;end_day=31&amp;end_year=2016","Correlation")</f>
        <v>Correlation</v>
      </c>
    </row>
    <row r="3917" spans="1:13" x14ac:dyDescent="0.2">
      <c r="A3917" s="113"/>
      <c r="B3917" s="58" t="s">
        <v>9928</v>
      </c>
      <c r="C3917" s="58" t="s">
        <v>1816</v>
      </c>
      <c r="D3917" s="58" t="s">
        <v>9929</v>
      </c>
      <c r="E3917" s="60" t="b">
        <v>1</v>
      </c>
      <c r="F3917" s="80" t="s">
        <v>1194</v>
      </c>
      <c r="G3917" s="58" t="s">
        <v>9928</v>
      </c>
      <c r="H3917" s="58" t="s">
        <v>1816</v>
      </c>
      <c r="I3917" s="64" t="s">
        <v>9929</v>
      </c>
      <c r="J3917" s="66"/>
      <c r="K3917" s="66"/>
      <c r="L3917" s="68"/>
      <c r="M3917" s="63" t="str">
        <f>HYPERLINK("http://nsgreg.nga.mil/genc/view?v=866427&amp;end_month=12&amp;end_day=31&amp;end_year=2016","Correlation")</f>
        <v>Correlation</v>
      </c>
    </row>
    <row r="3918" spans="1:13" x14ac:dyDescent="0.2">
      <c r="A3918" s="113"/>
      <c r="B3918" s="58" t="s">
        <v>9930</v>
      </c>
      <c r="C3918" s="58" t="s">
        <v>1816</v>
      </c>
      <c r="D3918" s="58" t="s">
        <v>9931</v>
      </c>
      <c r="E3918" s="60" t="b">
        <v>1</v>
      </c>
      <c r="F3918" s="80" t="s">
        <v>1194</v>
      </c>
      <c r="G3918" s="58" t="s">
        <v>9930</v>
      </c>
      <c r="H3918" s="58" t="s">
        <v>1816</v>
      </c>
      <c r="I3918" s="64" t="s">
        <v>9931</v>
      </c>
      <c r="J3918" s="66"/>
      <c r="K3918" s="66"/>
      <c r="L3918" s="68"/>
      <c r="M3918" s="63" t="str">
        <f>HYPERLINK("http://nsgreg.nga.mil/genc/view?v=866374&amp;end_month=12&amp;end_day=31&amp;end_year=2016","Correlation")</f>
        <v>Correlation</v>
      </c>
    </row>
    <row r="3919" spans="1:13" x14ac:dyDescent="0.2">
      <c r="A3919" s="113"/>
      <c r="B3919" s="58" t="s">
        <v>9932</v>
      </c>
      <c r="C3919" s="58" t="s">
        <v>9684</v>
      </c>
      <c r="D3919" s="58" t="s">
        <v>9933</v>
      </c>
      <c r="E3919" s="60" t="b">
        <v>1</v>
      </c>
      <c r="F3919" s="80" t="s">
        <v>1194</v>
      </c>
      <c r="G3919" s="58" t="s">
        <v>9932</v>
      </c>
      <c r="H3919" s="58" t="s">
        <v>1816</v>
      </c>
      <c r="I3919" s="64" t="s">
        <v>9933</v>
      </c>
      <c r="J3919" s="66"/>
      <c r="K3919" s="66"/>
      <c r="L3919" s="68"/>
      <c r="M3919" s="63" t="str">
        <f>HYPERLINK("http://nsgreg.nga.mil/genc/view?v=866375&amp;end_month=12&amp;end_day=31&amp;end_year=2016","Correlation")</f>
        <v>Correlation</v>
      </c>
    </row>
    <row r="3920" spans="1:13" x14ac:dyDescent="0.2">
      <c r="A3920" s="113"/>
      <c r="B3920" s="58" t="s">
        <v>9934</v>
      </c>
      <c r="C3920" s="58" t="s">
        <v>1816</v>
      </c>
      <c r="D3920" s="58" t="s">
        <v>9935</v>
      </c>
      <c r="E3920" s="60" t="b">
        <v>1</v>
      </c>
      <c r="F3920" s="80" t="s">
        <v>1194</v>
      </c>
      <c r="G3920" s="58" t="s">
        <v>9934</v>
      </c>
      <c r="H3920" s="58" t="s">
        <v>1816</v>
      </c>
      <c r="I3920" s="64" t="s">
        <v>9935</v>
      </c>
      <c r="J3920" s="66"/>
      <c r="K3920" s="66"/>
      <c r="L3920" s="68"/>
      <c r="M3920" s="63" t="str">
        <f>HYPERLINK("http://nsgreg.nga.mil/genc/view?v=866428&amp;end_month=12&amp;end_day=31&amp;end_year=2016","Correlation")</f>
        <v>Correlation</v>
      </c>
    </row>
    <row r="3921" spans="1:13" x14ac:dyDescent="0.2">
      <c r="A3921" s="113"/>
      <c r="B3921" s="58" t="s">
        <v>9936</v>
      </c>
      <c r="C3921" s="58" t="s">
        <v>1816</v>
      </c>
      <c r="D3921" s="58" t="s">
        <v>9937</v>
      </c>
      <c r="E3921" s="60" t="b">
        <v>1</v>
      </c>
      <c r="F3921" s="80" t="s">
        <v>1194</v>
      </c>
      <c r="G3921" s="58" t="s">
        <v>9936</v>
      </c>
      <c r="H3921" s="58" t="s">
        <v>1816</v>
      </c>
      <c r="I3921" s="64" t="s">
        <v>9937</v>
      </c>
      <c r="J3921" s="66"/>
      <c r="K3921" s="66"/>
      <c r="L3921" s="68"/>
      <c r="M3921" s="63" t="str">
        <f>HYPERLINK("http://nsgreg.nga.mil/genc/view?v=866376&amp;end_month=12&amp;end_day=31&amp;end_year=2016","Correlation")</f>
        <v>Correlation</v>
      </c>
    </row>
    <row r="3922" spans="1:13" x14ac:dyDescent="0.2">
      <c r="A3922" s="113"/>
      <c r="B3922" s="58" t="s">
        <v>9938</v>
      </c>
      <c r="C3922" s="58" t="s">
        <v>1816</v>
      </c>
      <c r="D3922" s="58" t="s">
        <v>9939</v>
      </c>
      <c r="E3922" s="60" t="b">
        <v>1</v>
      </c>
      <c r="F3922" s="80" t="s">
        <v>1194</v>
      </c>
      <c r="G3922" s="58" t="s">
        <v>9938</v>
      </c>
      <c r="H3922" s="58" t="s">
        <v>1816</v>
      </c>
      <c r="I3922" s="64" t="s">
        <v>9939</v>
      </c>
      <c r="J3922" s="66"/>
      <c r="K3922" s="66"/>
      <c r="L3922" s="68"/>
      <c r="M3922" s="63" t="str">
        <f>HYPERLINK("http://nsgreg.nga.mil/genc/view?v=866429&amp;end_month=12&amp;end_day=31&amp;end_year=2016","Correlation")</f>
        <v>Correlation</v>
      </c>
    </row>
    <row r="3923" spans="1:13" x14ac:dyDescent="0.2">
      <c r="A3923" s="113"/>
      <c r="B3923" s="58" t="s">
        <v>9940</v>
      </c>
      <c r="C3923" s="58" t="s">
        <v>1816</v>
      </c>
      <c r="D3923" s="58" t="s">
        <v>9941</v>
      </c>
      <c r="E3923" s="60" t="b">
        <v>1</v>
      </c>
      <c r="F3923" s="80" t="s">
        <v>1194</v>
      </c>
      <c r="G3923" s="58" t="s">
        <v>9940</v>
      </c>
      <c r="H3923" s="58" t="s">
        <v>1816</v>
      </c>
      <c r="I3923" s="64" t="s">
        <v>9941</v>
      </c>
      <c r="J3923" s="66"/>
      <c r="K3923" s="66"/>
      <c r="L3923" s="68"/>
      <c r="M3923" s="63" t="str">
        <f>HYPERLINK("http://nsgreg.nga.mil/genc/view?v=866377&amp;end_month=12&amp;end_day=31&amp;end_year=2016","Correlation")</f>
        <v>Correlation</v>
      </c>
    </row>
    <row r="3924" spans="1:13" x14ac:dyDescent="0.2">
      <c r="A3924" s="113"/>
      <c r="B3924" s="58" t="s">
        <v>9942</v>
      </c>
      <c r="C3924" s="58" t="s">
        <v>1816</v>
      </c>
      <c r="D3924" s="58" t="s">
        <v>9943</v>
      </c>
      <c r="E3924" s="60" t="b">
        <v>1</v>
      </c>
      <c r="F3924" s="80" t="s">
        <v>1194</v>
      </c>
      <c r="G3924" s="58" t="s">
        <v>9942</v>
      </c>
      <c r="H3924" s="58" t="s">
        <v>1816</v>
      </c>
      <c r="I3924" s="64" t="s">
        <v>9943</v>
      </c>
      <c r="J3924" s="66"/>
      <c r="K3924" s="66"/>
      <c r="L3924" s="68"/>
      <c r="M3924" s="63" t="str">
        <f>HYPERLINK("http://nsgreg.nga.mil/genc/view?v=866378&amp;end_month=12&amp;end_day=31&amp;end_year=2016","Correlation")</f>
        <v>Correlation</v>
      </c>
    </row>
    <row r="3925" spans="1:13" x14ac:dyDescent="0.2">
      <c r="A3925" s="113"/>
      <c r="B3925" s="58" t="s">
        <v>9944</v>
      </c>
      <c r="C3925" s="58" t="s">
        <v>1816</v>
      </c>
      <c r="D3925" s="58" t="s">
        <v>9945</v>
      </c>
      <c r="E3925" s="60" t="b">
        <v>1</v>
      </c>
      <c r="F3925" s="80" t="s">
        <v>1194</v>
      </c>
      <c r="G3925" s="58" t="s">
        <v>9944</v>
      </c>
      <c r="H3925" s="58" t="s">
        <v>1816</v>
      </c>
      <c r="I3925" s="64" t="s">
        <v>9945</v>
      </c>
      <c r="J3925" s="66"/>
      <c r="K3925" s="66"/>
      <c r="L3925" s="68"/>
      <c r="M3925" s="63" t="str">
        <f>HYPERLINK("http://nsgreg.nga.mil/genc/view?v=866379&amp;end_month=12&amp;end_day=31&amp;end_year=2016","Correlation")</f>
        <v>Correlation</v>
      </c>
    </row>
    <row r="3926" spans="1:13" x14ac:dyDescent="0.2">
      <c r="A3926" s="113"/>
      <c r="B3926" s="58" t="s">
        <v>9946</v>
      </c>
      <c r="C3926" s="58" t="s">
        <v>1816</v>
      </c>
      <c r="D3926" s="58" t="s">
        <v>9947</v>
      </c>
      <c r="E3926" s="60" t="b">
        <v>1</v>
      </c>
      <c r="F3926" s="80" t="s">
        <v>1194</v>
      </c>
      <c r="G3926" s="58" t="s">
        <v>9946</v>
      </c>
      <c r="H3926" s="58" t="s">
        <v>1816</v>
      </c>
      <c r="I3926" s="64" t="s">
        <v>9947</v>
      </c>
      <c r="J3926" s="66"/>
      <c r="K3926" s="66"/>
      <c r="L3926" s="68"/>
      <c r="M3926" s="63" t="str">
        <f>HYPERLINK("http://nsgreg.nga.mil/genc/view?v=866380&amp;end_month=12&amp;end_day=31&amp;end_year=2016","Correlation")</f>
        <v>Correlation</v>
      </c>
    </row>
    <row r="3927" spans="1:13" x14ac:dyDescent="0.2">
      <c r="A3927" s="113"/>
      <c r="B3927" s="58" t="s">
        <v>9948</v>
      </c>
      <c r="C3927" s="58" t="s">
        <v>1816</v>
      </c>
      <c r="D3927" s="58" t="s">
        <v>9949</v>
      </c>
      <c r="E3927" s="60" t="b">
        <v>1</v>
      </c>
      <c r="F3927" s="80" t="s">
        <v>1194</v>
      </c>
      <c r="G3927" s="58" t="s">
        <v>9948</v>
      </c>
      <c r="H3927" s="58" t="s">
        <v>1816</v>
      </c>
      <c r="I3927" s="64" t="s">
        <v>9949</v>
      </c>
      <c r="J3927" s="66"/>
      <c r="K3927" s="66"/>
      <c r="L3927" s="68"/>
      <c r="M3927" s="63" t="str">
        <f>HYPERLINK("http://nsgreg.nga.mil/genc/view?v=866381&amp;end_month=12&amp;end_day=31&amp;end_year=2016","Correlation")</f>
        <v>Correlation</v>
      </c>
    </row>
    <row r="3928" spans="1:13" x14ac:dyDescent="0.2">
      <c r="A3928" s="113"/>
      <c r="B3928" s="58" t="s">
        <v>9950</v>
      </c>
      <c r="C3928" s="58" t="s">
        <v>1816</v>
      </c>
      <c r="D3928" s="58" t="s">
        <v>9951</v>
      </c>
      <c r="E3928" s="60" t="b">
        <v>1</v>
      </c>
      <c r="F3928" s="80" t="s">
        <v>1194</v>
      </c>
      <c r="G3928" s="58" t="s">
        <v>9950</v>
      </c>
      <c r="H3928" s="58" t="s">
        <v>1816</v>
      </c>
      <c r="I3928" s="64" t="s">
        <v>9951</v>
      </c>
      <c r="J3928" s="66"/>
      <c r="K3928" s="66"/>
      <c r="L3928" s="68"/>
      <c r="M3928" s="63" t="str">
        <f>HYPERLINK("http://nsgreg.nga.mil/genc/view?v=866430&amp;end_month=12&amp;end_day=31&amp;end_year=2016","Correlation")</f>
        <v>Correlation</v>
      </c>
    </row>
    <row r="3929" spans="1:13" x14ac:dyDescent="0.2">
      <c r="A3929" s="113"/>
      <c r="B3929" s="58" t="s">
        <v>9952</v>
      </c>
      <c r="C3929" s="58" t="s">
        <v>1816</v>
      </c>
      <c r="D3929" s="58" t="s">
        <v>9953</v>
      </c>
      <c r="E3929" s="60" t="b">
        <v>1</v>
      </c>
      <c r="F3929" s="80" t="s">
        <v>1194</v>
      </c>
      <c r="G3929" s="58" t="s">
        <v>9952</v>
      </c>
      <c r="H3929" s="58" t="s">
        <v>1816</v>
      </c>
      <c r="I3929" s="64" t="s">
        <v>9953</v>
      </c>
      <c r="J3929" s="66"/>
      <c r="K3929" s="66"/>
      <c r="L3929" s="68"/>
      <c r="M3929" s="63" t="str">
        <f>HYPERLINK("http://nsgreg.nga.mil/genc/view?v=866382&amp;end_month=12&amp;end_day=31&amp;end_year=2016","Correlation")</f>
        <v>Correlation</v>
      </c>
    </row>
    <row r="3930" spans="1:13" x14ac:dyDescent="0.2">
      <c r="A3930" s="113"/>
      <c r="B3930" s="58" t="s">
        <v>9954</v>
      </c>
      <c r="C3930" s="58" t="s">
        <v>1816</v>
      </c>
      <c r="D3930" s="58" t="s">
        <v>9955</v>
      </c>
      <c r="E3930" s="60" t="b">
        <v>1</v>
      </c>
      <c r="F3930" s="80" t="s">
        <v>1194</v>
      </c>
      <c r="G3930" s="58" t="s">
        <v>9954</v>
      </c>
      <c r="H3930" s="58" t="s">
        <v>1816</v>
      </c>
      <c r="I3930" s="64" t="s">
        <v>9955</v>
      </c>
      <c r="J3930" s="66"/>
      <c r="K3930" s="66"/>
      <c r="L3930" s="68"/>
      <c r="M3930" s="63" t="str">
        <f>HYPERLINK("http://nsgreg.nga.mil/genc/view?v=866383&amp;end_month=12&amp;end_day=31&amp;end_year=2016","Correlation")</f>
        <v>Correlation</v>
      </c>
    </row>
    <row r="3931" spans="1:13" x14ac:dyDescent="0.2">
      <c r="A3931" s="113"/>
      <c r="B3931" s="58" t="s">
        <v>9956</v>
      </c>
      <c r="C3931" s="58" t="s">
        <v>1816</v>
      </c>
      <c r="D3931" s="58" t="s">
        <v>9957</v>
      </c>
      <c r="E3931" s="60" t="b">
        <v>1</v>
      </c>
      <c r="F3931" s="80" t="s">
        <v>1194</v>
      </c>
      <c r="G3931" s="58" t="s">
        <v>9956</v>
      </c>
      <c r="H3931" s="58" t="s">
        <v>1816</v>
      </c>
      <c r="I3931" s="64" t="s">
        <v>9957</v>
      </c>
      <c r="J3931" s="66"/>
      <c r="K3931" s="66"/>
      <c r="L3931" s="68"/>
      <c r="M3931" s="63" t="str">
        <f>HYPERLINK("http://nsgreg.nga.mil/genc/view?v=866384&amp;end_month=12&amp;end_day=31&amp;end_year=2016","Correlation")</f>
        <v>Correlation</v>
      </c>
    </row>
    <row r="3932" spans="1:13" x14ac:dyDescent="0.2">
      <c r="A3932" s="113"/>
      <c r="B3932" s="58" t="s">
        <v>9958</v>
      </c>
      <c r="C3932" s="58" t="s">
        <v>1816</v>
      </c>
      <c r="D3932" s="58" t="s">
        <v>9959</v>
      </c>
      <c r="E3932" s="60" t="b">
        <v>1</v>
      </c>
      <c r="F3932" s="80" t="s">
        <v>1194</v>
      </c>
      <c r="G3932" s="58" t="s">
        <v>9958</v>
      </c>
      <c r="H3932" s="58" t="s">
        <v>1816</v>
      </c>
      <c r="I3932" s="64" t="s">
        <v>9959</v>
      </c>
      <c r="J3932" s="66"/>
      <c r="K3932" s="66"/>
      <c r="L3932" s="68"/>
      <c r="M3932" s="63" t="str">
        <f>HYPERLINK("http://nsgreg.nga.mil/genc/view?v=866431&amp;end_month=12&amp;end_day=31&amp;end_year=2016","Correlation")</f>
        <v>Correlation</v>
      </c>
    </row>
    <row r="3933" spans="1:13" x14ac:dyDescent="0.2">
      <c r="A3933" s="113"/>
      <c r="B3933" s="58" t="s">
        <v>9960</v>
      </c>
      <c r="C3933" s="58" t="s">
        <v>1816</v>
      </c>
      <c r="D3933" s="58" t="s">
        <v>9961</v>
      </c>
      <c r="E3933" s="60" t="b">
        <v>1</v>
      </c>
      <c r="F3933" s="80" t="s">
        <v>1194</v>
      </c>
      <c r="G3933" s="58" t="s">
        <v>9960</v>
      </c>
      <c r="H3933" s="58" t="s">
        <v>1816</v>
      </c>
      <c r="I3933" s="64" t="s">
        <v>9961</v>
      </c>
      <c r="J3933" s="66"/>
      <c r="K3933" s="66"/>
      <c r="L3933" s="68"/>
      <c r="M3933" s="63" t="str">
        <f>HYPERLINK("http://nsgreg.nga.mil/genc/view?v=866385&amp;end_month=12&amp;end_day=31&amp;end_year=2016","Correlation")</f>
        <v>Correlation</v>
      </c>
    </row>
    <row r="3934" spans="1:13" x14ac:dyDescent="0.2">
      <c r="A3934" s="113"/>
      <c r="B3934" s="58" t="s">
        <v>9962</v>
      </c>
      <c r="C3934" s="58" t="s">
        <v>1816</v>
      </c>
      <c r="D3934" s="58" t="s">
        <v>9963</v>
      </c>
      <c r="E3934" s="60" t="b">
        <v>1</v>
      </c>
      <c r="F3934" s="80" t="s">
        <v>1194</v>
      </c>
      <c r="G3934" s="58" t="s">
        <v>9962</v>
      </c>
      <c r="H3934" s="58" t="s">
        <v>1816</v>
      </c>
      <c r="I3934" s="64" t="s">
        <v>9963</v>
      </c>
      <c r="J3934" s="66"/>
      <c r="K3934" s="66"/>
      <c r="L3934" s="68"/>
      <c r="M3934" s="63" t="str">
        <f>HYPERLINK("http://nsgreg.nga.mil/genc/view?v=866387&amp;end_month=12&amp;end_day=31&amp;end_year=2016","Correlation")</f>
        <v>Correlation</v>
      </c>
    </row>
    <row r="3935" spans="1:13" x14ac:dyDescent="0.2">
      <c r="A3935" s="113"/>
      <c r="B3935" s="58" t="s">
        <v>9964</v>
      </c>
      <c r="C3935" s="58" t="s">
        <v>1816</v>
      </c>
      <c r="D3935" s="58" t="s">
        <v>9965</v>
      </c>
      <c r="E3935" s="60" t="b">
        <v>1</v>
      </c>
      <c r="F3935" s="80" t="s">
        <v>1194</v>
      </c>
      <c r="G3935" s="58" t="s">
        <v>9964</v>
      </c>
      <c r="H3935" s="58" t="s">
        <v>1816</v>
      </c>
      <c r="I3935" s="64" t="s">
        <v>9965</v>
      </c>
      <c r="J3935" s="66"/>
      <c r="K3935" s="66"/>
      <c r="L3935" s="68"/>
      <c r="M3935" s="63" t="str">
        <f>HYPERLINK("http://nsgreg.nga.mil/genc/view?v=866432&amp;end_month=12&amp;end_day=31&amp;end_year=2016","Correlation")</f>
        <v>Correlation</v>
      </c>
    </row>
    <row r="3936" spans="1:13" x14ac:dyDescent="0.2">
      <c r="A3936" s="113"/>
      <c r="B3936" s="58" t="s">
        <v>9966</v>
      </c>
      <c r="C3936" s="58" t="s">
        <v>1816</v>
      </c>
      <c r="D3936" s="58" t="s">
        <v>9967</v>
      </c>
      <c r="E3936" s="60" t="b">
        <v>1</v>
      </c>
      <c r="F3936" s="80" t="s">
        <v>1194</v>
      </c>
      <c r="G3936" s="58" t="s">
        <v>9966</v>
      </c>
      <c r="H3936" s="58" t="s">
        <v>1816</v>
      </c>
      <c r="I3936" s="64" t="s">
        <v>9967</v>
      </c>
      <c r="J3936" s="66"/>
      <c r="K3936" s="66"/>
      <c r="L3936" s="68"/>
      <c r="M3936" s="63" t="str">
        <f>HYPERLINK("http://nsgreg.nga.mil/genc/view?v=866388&amp;end_month=12&amp;end_day=31&amp;end_year=2016","Correlation")</f>
        <v>Correlation</v>
      </c>
    </row>
    <row r="3937" spans="1:13" x14ac:dyDescent="0.2">
      <c r="A3937" s="113"/>
      <c r="B3937" s="58" t="s">
        <v>9968</v>
      </c>
      <c r="C3937" s="58" t="s">
        <v>1816</v>
      </c>
      <c r="D3937" s="58" t="s">
        <v>9969</v>
      </c>
      <c r="E3937" s="60" t="b">
        <v>1</v>
      </c>
      <c r="F3937" s="80" t="s">
        <v>1194</v>
      </c>
      <c r="G3937" s="58" t="s">
        <v>9968</v>
      </c>
      <c r="H3937" s="58" t="s">
        <v>1816</v>
      </c>
      <c r="I3937" s="64" t="s">
        <v>9969</v>
      </c>
      <c r="J3937" s="66"/>
      <c r="K3937" s="66"/>
      <c r="L3937" s="68"/>
      <c r="M3937" s="63" t="str">
        <f>HYPERLINK("http://nsgreg.nga.mil/genc/view?v=866433&amp;end_month=12&amp;end_day=31&amp;end_year=2016","Correlation")</f>
        <v>Correlation</v>
      </c>
    </row>
    <row r="3938" spans="1:13" x14ac:dyDescent="0.2">
      <c r="A3938" s="113"/>
      <c r="B3938" s="58" t="s">
        <v>9970</v>
      </c>
      <c r="C3938" s="58" t="s">
        <v>1816</v>
      </c>
      <c r="D3938" s="58" t="s">
        <v>9971</v>
      </c>
      <c r="E3938" s="60" t="b">
        <v>1</v>
      </c>
      <c r="F3938" s="80" t="s">
        <v>1194</v>
      </c>
      <c r="G3938" s="58" t="s">
        <v>9970</v>
      </c>
      <c r="H3938" s="58" t="s">
        <v>1816</v>
      </c>
      <c r="I3938" s="64" t="s">
        <v>9971</v>
      </c>
      <c r="J3938" s="66"/>
      <c r="K3938" s="66"/>
      <c r="L3938" s="68"/>
      <c r="M3938" s="63" t="str">
        <f>HYPERLINK("http://nsgreg.nga.mil/genc/view?v=866386&amp;end_month=12&amp;end_day=31&amp;end_year=2016","Correlation")</f>
        <v>Correlation</v>
      </c>
    </row>
    <row r="3939" spans="1:13" x14ac:dyDescent="0.2">
      <c r="A3939" s="114"/>
      <c r="B3939" s="71" t="s">
        <v>9972</v>
      </c>
      <c r="C3939" s="71" t="s">
        <v>1816</v>
      </c>
      <c r="D3939" s="71" t="s">
        <v>9973</v>
      </c>
      <c r="E3939" s="73" t="b">
        <v>1</v>
      </c>
      <c r="F3939" s="81" t="s">
        <v>1194</v>
      </c>
      <c r="G3939" s="71" t="s">
        <v>9972</v>
      </c>
      <c r="H3939" s="71" t="s">
        <v>1816</v>
      </c>
      <c r="I3939" s="74" t="s">
        <v>9973</v>
      </c>
      <c r="J3939" s="76"/>
      <c r="K3939" s="76"/>
      <c r="L3939" s="82"/>
      <c r="M3939" s="77" t="str">
        <f>HYPERLINK("http://nsgreg.nga.mil/genc/view?v=866434&amp;end_month=12&amp;end_day=31&amp;end_year=2016","Correlation")</f>
        <v>Correlation</v>
      </c>
    </row>
    <row r="3940" spans="1:13" x14ac:dyDescent="0.2">
      <c r="A3940" s="112" t="s">
        <v>1198</v>
      </c>
      <c r="B3940" s="50" t="s">
        <v>2411</v>
      </c>
      <c r="C3940" s="50" t="s">
        <v>1413</v>
      </c>
      <c r="D3940" s="50" t="s">
        <v>9974</v>
      </c>
      <c r="E3940" s="52" t="b">
        <v>1</v>
      </c>
      <c r="F3940" s="78" t="s">
        <v>1198</v>
      </c>
      <c r="G3940" s="50" t="s">
        <v>2411</v>
      </c>
      <c r="H3940" s="50" t="s">
        <v>1413</v>
      </c>
      <c r="I3940" s="53" t="s">
        <v>9974</v>
      </c>
      <c r="J3940" s="55"/>
      <c r="K3940" s="55"/>
      <c r="L3940" s="79"/>
      <c r="M3940" s="56" t="str">
        <f>HYPERLINK("http://nsgreg.nga.mil/genc/view?v=866161&amp;end_month=12&amp;end_day=31&amp;end_year=2016","Correlation")</f>
        <v>Correlation</v>
      </c>
    </row>
    <row r="3941" spans="1:13" x14ac:dyDescent="0.2">
      <c r="A3941" s="113"/>
      <c r="B3941" s="58" t="s">
        <v>8967</v>
      </c>
      <c r="C3941" s="58" t="s">
        <v>1413</v>
      </c>
      <c r="D3941" s="58" t="s">
        <v>9975</v>
      </c>
      <c r="E3941" s="60" t="b">
        <v>1</v>
      </c>
      <c r="F3941" s="80" t="s">
        <v>1198</v>
      </c>
      <c r="G3941" s="58" t="s">
        <v>8967</v>
      </c>
      <c r="H3941" s="58" t="s">
        <v>1413</v>
      </c>
      <c r="I3941" s="64" t="s">
        <v>9975</v>
      </c>
      <c r="J3941" s="66"/>
      <c r="K3941" s="66"/>
      <c r="L3941" s="68"/>
      <c r="M3941" s="63" t="str">
        <f>HYPERLINK("http://nsgreg.nga.mil/genc/view?v=866162&amp;end_month=12&amp;end_day=31&amp;end_year=2016","Correlation")</f>
        <v>Correlation</v>
      </c>
    </row>
    <row r="3942" spans="1:13" x14ac:dyDescent="0.2">
      <c r="A3942" s="113"/>
      <c r="B3942" s="58" t="s">
        <v>9976</v>
      </c>
      <c r="C3942" s="58" t="s">
        <v>1413</v>
      </c>
      <c r="D3942" s="58" t="s">
        <v>9977</v>
      </c>
      <c r="E3942" s="60" t="b">
        <v>1</v>
      </c>
      <c r="F3942" s="80" t="s">
        <v>1198</v>
      </c>
      <c r="G3942" s="58" t="s">
        <v>9976</v>
      </c>
      <c r="H3942" s="58" t="s">
        <v>1413</v>
      </c>
      <c r="I3942" s="64" t="s">
        <v>9977</v>
      </c>
      <c r="J3942" s="66"/>
      <c r="K3942" s="66"/>
      <c r="L3942" s="68"/>
      <c r="M3942" s="63" t="str">
        <f>HYPERLINK("http://nsgreg.nga.mil/genc/view?v=866164&amp;end_month=12&amp;end_day=31&amp;end_year=2016","Correlation")</f>
        <v>Correlation</v>
      </c>
    </row>
    <row r="3943" spans="1:13" x14ac:dyDescent="0.2">
      <c r="A3943" s="113"/>
      <c r="B3943" s="58" t="s">
        <v>9978</v>
      </c>
      <c r="C3943" s="58" t="s">
        <v>1681</v>
      </c>
      <c r="D3943" s="58" t="s">
        <v>9979</v>
      </c>
      <c r="E3943" s="60" t="b">
        <v>1</v>
      </c>
      <c r="F3943" s="80" t="s">
        <v>1198</v>
      </c>
      <c r="G3943" s="58" t="s">
        <v>9980</v>
      </c>
      <c r="H3943" s="58" t="s">
        <v>7895</v>
      </c>
      <c r="I3943" s="64" t="s">
        <v>9979</v>
      </c>
      <c r="J3943" s="66"/>
      <c r="K3943" s="66"/>
      <c r="L3943" s="68"/>
      <c r="M3943" s="63" t="str">
        <f>HYPERLINK("http://nsgreg.nga.mil/genc/view?v=866163&amp;end_month=12&amp;end_day=31&amp;end_year=2016","Correlation")</f>
        <v>Correlation</v>
      </c>
    </row>
    <row r="3944" spans="1:13" x14ac:dyDescent="0.2">
      <c r="A3944" s="113"/>
      <c r="B3944" s="58" t="s">
        <v>9981</v>
      </c>
      <c r="C3944" s="58" t="s">
        <v>1413</v>
      </c>
      <c r="D3944" s="58" t="s">
        <v>9982</v>
      </c>
      <c r="E3944" s="60" t="b">
        <v>1</v>
      </c>
      <c r="F3944" s="80" t="s">
        <v>1198</v>
      </c>
      <c r="G3944" s="58" t="s">
        <v>9981</v>
      </c>
      <c r="H3944" s="58" t="s">
        <v>1413</v>
      </c>
      <c r="I3944" s="64" t="s">
        <v>9982</v>
      </c>
      <c r="J3944" s="66"/>
      <c r="K3944" s="66"/>
      <c r="L3944" s="68"/>
      <c r="M3944" s="63" t="str">
        <f>HYPERLINK("http://nsgreg.nga.mil/genc/view?v=866165&amp;end_month=12&amp;end_day=31&amp;end_year=2016","Correlation")</f>
        <v>Correlation</v>
      </c>
    </row>
    <row r="3945" spans="1:13" x14ac:dyDescent="0.2">
      <c r="A3945" s="113"/>
      <c r="B3945" s="58" t="s">
        <v>9983</v>
      </c>
      <c r="C3945" s="58" t="s">
        <v>1413</v>
      </c>
      <c r="D3945" s="58" t="s">
        <v>9984</v>
      </c>
      <c r="E3945" s="60" t="b">
        <v>1</v>
      </c>
      <c r="F3945" s="80" t="s">
        <v>1198</v>
      </c>
      <c r="G3945" s="58" t="s">
        <v>9985</v>
      </c>
      <c r="H3945" s="58" t="s">
        <v>1413</v>
      </c>
      <c r="I3945" s="64" t="s">
        <v>9984</v>
      </c>
      <c r="J3945" s="66"/>
      <c r="K3945" s="66"/>
      <c r="L3945" s="68"/>
      <c r="M3945" s="63" t="str">
        <f>HYPERLINK("http://nsgreg.nga.mil/genc/view?v=866166&amp;end_month=12&amp;end_day=31&amp;end_year=2016","Correlation")</f>
        <v>Correlation</v>
      </c>
    </row>
    <row r="3946" spans="1:13" x14ac:dyDescent="0.2">
      <c r="A3946" s="113"/>
      <c r="B3946" s="58" t="s">
        <v>9986</v>
      </c>
      <c r="C3946" s="58" t="s">
        <v>1413</v>
      </c>
      <c r="D3946" s="58" t="s">
        <v>9987</v>
      </c>
      <c r="E3946" s="60" t="b">
        <v>1</v>
      </c>
      <c r="F3946" s="80" t="s">
        <v>1198</v>
      </c>
      <c r="G3946" s="58" t="s">
        <v>9986</v>
      </c>
      <c r="H3946" s="58" t="s">
        <v>1413</v>
      </c>
      <c r="I3946" s="64" t="s">
        <v>9987</v>
      </c>
      <c r="J3946" s="66"/>
      <c r="K3946" s="66"/>
      <c r="L3946" s="68"/>
      <c r="M3946" s="63" t="str">
        <f>HYPERLINK("http://nsgreg.nga.mil/genc/view?v=866167&amp;end_month=12&amp;end_day=31&amp;end_year=2016","Correlation")</f>
        <v>Correlation</v>
      </c>
    </row>
    <row r="3947" spans="1:13" x14ac:dyDescent="0.2">
      <c r="A3947" s="113"/>
      <c r="B3947" s="58" t="s">
        <v>9988</v>
      </c>
      <c r="C3947" s="58" t="s">
        <v>1413</v>
      </c>
      <c r="D3947" s="58" t="s">
        <v>9989</v>
      </c>
      <c r="E3947" s="60" t="b">
        <v>1</v>
      </c>
      <c r="F3947" s="80" t="s">
        <v>1198</v>
      </c>
      <c r="G3947" s="58" t="s">
        <v>9988</v>
      </c>
      <c r="H3947" s="58" t="s">
        <v>1413</v>
      </c>
      <c r="I3947" s="64" t="s">
        <v>9989</v>
      </c>
      <c r="J3947" s="66"/>
      <c r="K3947" s="66"/>
      <c r="L3947" s="68"/>
      <c r="M3947" s="63" t="str">
        <f>HYPERLINK("http://nsgreg.nga.mil/genc/view?v=866168&amp;end_month=12&amp;end_day=31&amp;end_year=2016","Correlation")</f>
        <v>Correlation</v>
      </c>
    </row>
    <row r="3948" spans="1:13" x14ac:dyDescent="0.2">
      <c r="A3948" s="113"/>
      <c r="B3948" s="58" t="s">
        <v>9990</v>
      </c>
      <c r="C3948" s="58" t="s">
        <v>1413</v>
      </c>
      <c r="D3948" s="58" t="s">
        <v>9991</v>
      </c>
      <c r="E3948" s="60" t="b">
        <v>1</v>
      </c>
      <c r="F3948" s="80" t="s">
        <v>1198</v>
      </c>
      <c r="G3948" s="58" t="s">
        <v>9990</v>
      </c>
      <c r="H3948" s="58" t="s">
        <v>1413</v>
      </c>
      <c r="I3948" s="64" t="s">
        <v>9991</v>
      </c>
      <c r="J3948" s="66"/>
      <c r="K3948" s="66"/>
      <c r="L3948" s="68"/>
      <c r="M3948" s="63" t="str">
        <f>HYPERLINK("http://nsgreg.nga.mil/genc/view?v=866169&amp;end_month=12&amp;end_day=31&amp;end_year=2016","Correlation")</f>
        <v>Correlation</v>
      </c>
    </row>
    <row r="3949" spans="1:13" x14ac:dyDescent="0.2">
      <c r="A3949" s="114"/>
      <c r="B3949" s="71" t="s">
        <v>4083</v>
      </c>
      <c r="C3949" s="71" t="s">
        <v>1413</v>
      </c>
      <c r="D3949" s="71" t="s">
        <v>9992</v>
      </c>
      <c r="E3949" s="73" t="b">
        <v>1</v>
      </c>
      <c r="F3949" s="81" t="s">
        <v>1198</v>
      </c>
      <c r="G3949" s="71" t="s">
        <v>4083</v>
      </c>
      <c r="H3949" s="71" t="s">
        <v>1413</v>
      </c>
      <c r="I3949" s="74" t="s">
        <v>9992</v>
      </c>
      <c r="J3949" s="76"/>
      <c r="K3949" s="76"/>
      <c r="L3949" s="82"/>
      <c r="M3949" s="77" t="str">
        <f>HYPERLINK("http://nsgreg.nga.mil/genc/view?v=866170&amp;end_month=12&amp;end_day=31&amp;end_year=2016","Correlation")</f>
        <v>Correlation</v>
      </c>
    </row>
    <row r="3950" spans="1:13" x14ac:dyDescent="0.2">
      <c r="A3950" s="112" t="s">
        <v>1202</v>
      </c>
      <c r="B3950" s="50" t="s">
        <v>9993</v>
      </c>
      <c r="C3950" s="50" t="s">
        <v>1728</v>
      </c>
      <c r="D3950" s="50" t="s">
        <v>9994</v>
      </c>
      <c r="E3950" s="52" t="b">
        <v>1</v>
      </c>
      <c r="F3950" s="78" t="s">
        <v>1202</v>
      </c>
      <c r="G3950" s="50" t="s">
        <v>9993</v>
      </c>
      <c r="H3950" s="50" t="s">
        <v>1728</v>
      </c>
      <c r="I3950" s="53" t="s">
        <v>9994</v>
      </c>
      <c r="J3950" s="55"/>
      <c r="K3950" s="55"/>
      <c r="L3950" s="79"/>
      <c r="M3950" s="56" t="str">
        <f>HYPERLINK("http://nsgreg.nga.mil/genc/view?v=866490&amp;end_month=12&amp;end_day=31&amp;end_year=2016","Correlation")</f>
        <v>Correlation</v>
      </c>
    </row>
    <row r="3951" spans="1:13" x14ac:dyDescent="0.2">
      <c r="A3951" s="113"/>
      <c r="B3951" s="58" t="s">
        <v>9995</v>
      </c>
      <c r="C3951" s="58" t="s">
        <v>1728</v>
      </c>
      <c r="D3951" s="58" t="s">
        <v>9996</v>
      </c>
      <c r="E3951" s="60" t="b">
        <v>1</v>
      </c>
      <c r="F3951" s="80" t="s">
        <v>1202</v>
      </c>
      <c r="G3951" s="58" t="s">
        <v>9995</v>
      </c>
      <c r="H3951" s="58" t="s">
        <v>1728</v>
      </c>
      <c r="I3951" s="64" t="s">
        <v>9996</v>
      </c>
      <c r="J3951" s="66"/>
      <c r="K3951" s="66"/>
      <c r="L3951" s="68"/>
      <c r="M3951" s="63" t="str">
        <f>HYPERLINK("http://nsgreg.nga.mil/genc/view?v=866491&amp;end_month=12&amp;end_day=31&amp;end_year=2016","Correlation")</f>
        <v>Correlation</v>
      </c>
    </row>
    <row r="3952" spans="1:13" x14ac:dyDescent="0.2">
      <c r="A3952" s="113"/>
      <c r="B3952" s="58" t="s">
        <v>9997</v>
      </c>
      <c r="C3952" s="58" t="s">
        <v>1728</v>
      </c>
      <c r="D3952" s="58" t="s">
        <v>9998</v>
      </c>
      <c r="E3952" s="60" t="b">
        <v>1</v>
      </c>
      <c r="F3952" s="80" t="s">
        <v>1202</v>
      </c>
      <c r="G3952" s="58" t="s">
        <v>9997</v>
      </c>
      <c r="H3952" s="58" t="s">
        <v>1728</v>
      </c>
      <c r="I3952" s="64" t="s">
        <v>9998</v>
      </c>
      <c r="J3952" s="66"/>
      <c r="K3952" s="66"/>
      <c r="L3952" s="68"/>
      <c r="M3952" s="63" t="str">
        <f>HYPERLINK("http://nsgreg.nga.mil/genc/view?v=866492&amp;end_month=12&amp;end_day=31&amp;end_year=2016","Correlation")</f>
        <v>Correlation</v>
      </c>
    </row>
    <row r="3953" spans="1:13" x14ac:dyDescent="0.2">
      <c r="A3953" s="113"/>
      <c r="B3953" s="58" t="s">
        <v>5229</v>
      </c>
      <c r="C3953" s="58" t="s">
        <v>1728</v>
      </c>
      <c r="D3953" s="58" t="s">
        <v>9999</v>
      </c>
      <c r="E3953" s="60" t="b">
        <v>1</v>
      </c>
      <c r="F3953" s="80" t="s">
        <v>1202</v>
      </c>
      <c r="G3953" s="58" t="s">
        <v>5229</v>
      </c>
      <c r="H3953" s="58" t="s">
        <v>1728</v>
      </c>
      <c r="I3953" s="64" t="s">
        <v>9999</v>
      </c>
      <c r="J3953" s="66"/>
      <c r="K3953" s="66"/>
      <c r="L3953" s="68"/>
      <c r="M3953" s="63" t="str">
        <f>HYPERLINK("http://nsgreg.nga.mil/genc/view?v=866493&amp;end_month=12&amp;end_day=31&amp;end_year=2016","Correlation")</f>
        <v>Correlation</v>
      </c>
    </row>
    <row r="3954" spans="1:13" x14ac:dyDescent="0.2">
      <c r="A3954" s="113"/>
      <c r="B3954" s="58" t="s">
        <v>10000</v>
      </c>
      <c r="C3954" s="58" t="s">
        <v>1728</v>
      </c>
      <c r="D3954" s="58" t="s">
        <v>10001</v>
      </c>
      <c r="E3954" s="60" t="b">
        <v>1</v>
      </c>
      <c r="F3954" s="80" t="s">
        <v>1202</v>
      </c>
      <c r="G3954" s="58" t="s">
        <v>10000</v>
      </c>
      <c r="H3954" s="58" t="s">
        <v>1728</v>
      </c>
      <c r="I3954" s="64" t="s">
        <v>10001</v>
      </c>
      <c r="J3954" s="66"/>
      <c r="K3954" s="66"/>
      <c r="L3954" s="68"/>
      <c r="M3954" s="63" t="str">
        <f>HYPERLINK("http://nsgreg.nga.mil/genc/view?v=866494&amp;end_month=12&amp;end_day=31&amp;end_year=2016","Correlation")</f>
        <v>Correlation</v>
      </c>
    </row>
    <row r="3955" spans="1:13" x14ac:dyDescent="0.2">
      <c r="A3955" s="113"/>
      <c r="B3955" s="58" t="s">
        <v>10002</v>
      </c>
      <c r="C3955" s="58" t="s">
        <v>1728</v>
      </c>
      <c r="D3955" s="58" t="s">
        <v>10003</v>
      </c>
      <c r="E3955" s="60" t="b">
        <v>1</v>
      </c>
      <c r="F3955" s="80" t="s">
        <v>1202</v>
      </c>
      <c r="G3955" s="58" t="s">
        <v>10002</v>
      </c>
      <c r="H3955" s="58" t="s">
        <v>1728</v>
      </c>
      <c r="I3955" s="64" t="s">
        <v>10003</v>
      </c>
      <c r="J3955" s="66"/>
      <c r="K3955" s="66"/>
      <c r="L3955" s="68"/>
      <c r="M3955" s="63" t="str">
        <f>HYPERLINK("http://nsgreg.nga.mil/genc/view?v=866495&amp;end_month=12&amp;end_day=31&amp;end_year=2016","Correlation")</f>
        <v>Correlation</v>
      </c>
    </row>
    <row r="3956" spans="1:13" x14ac:dyDescent="0.2">
      <c r="A3956" s="113"/>
      <c r="B3956" s="58" t="s">
        <v>10004</v>
      </c>
      <c r="C3956" s="58" t="s">
        <v>1728</v>
      </c>
      <c r="D3956" s="58" t="s">
        <v>10005</v>
      </c>
      <c r="E3956" s="60" t="b">
        <v>1</v>
      </c>
      <c r="F3956" s="80" t="s">
        <v>1202</v>
      </c>
      <c r="G3956" s="58" t="s">
        <v>10004</v>
      </c>
      <c r="H3956" s="58" t="s">
        <v>1728</v>
      </c>
      <c r="I3956" s="64" t="s">
        <v>10005</v>
      </c>
      <c r="J3956" s="66"/>
      <c r="K3956" s="66"/>
      <c r="L3956" s="68"/>
      <c r="M3956" s="63" t="str">
        <f>HYPERLINK("http://nsgreg.nga.mil/genc/view?v=866496&amp;end_month=12&amp;end_day=31&amp;end_year=2016","Correlation")</f>
        <v>Correlation</v>
      </c>
    </row>
    <row r="3957" spans="1:13" x14ac:dyDescent="0.2">
      <c r="A3957" s="113"/>
      <c r="B3957" s="58" t="s">
        <v>10006</v>
      </c>
      <c r="C3957" s="58" t="s">
        <v>1728</v>
      </c>
      <c r="D3957" s="58" t="s">
        <v>10007</v>
      </c>
      <c r="E3957" s="60" t="b">
        <v>1</v>
      </c>
      <c r="F3957" s="80" t="s">
        <v>1202</v>
      </c>
      <c r="G3957" s="58" t="s">
        <v>10006</v>
      </c>
      <c r="H3957" s="58" t="s">
        <v>1728</v>
      </c>
      <c r="I3957" s="64" t="s">
        <v>10007</v>
      </c>
      <c r="J3957" s="66"/>
      <c r="K3957" s="66"/>
      <c r="L3957" s="68"/>
      <c r="M3957" s="63" t="str">
        <f>HYPERLINK("http://nsgreg.nga.mil/genc/view?v=866497&amp;end_month=12&amp;end_day=31&amp;end_year=2016","Correlation")</f>
        <v>Correlation</v>
      </c>
    </row>
    <row r="3958" spans="1:13" x14ac:dyDescent="0.2">
      <c r="A3958" s="113"/>
      <c r="B3958" s="58" t="s">
        <v>10008</v>
      </c>
      <c r="C3958" s="58" t="s">
        <v>1728</v>
      </c>
      <c r="D3958" s="58" t="s">
        <v>10009</v>
      </c>
      <c r="E3958" s="60" t="b">
        <v>1</v>
      </c>
      <c r="F3958" s="80" t="s">
        <v>1202</v>
      </c>
      <c r="G3958" s="58" t="s">
        <v>10008</v>
      </c>
      <c r="H3958" s="58" t="s">
        <v>1728</v>
      </c>
      <c r="I3958" s="64" t="s">
        <v>10009</v>
      </c>
      <c r="J3958" s="66"/>
      <c r="K3958" s="66"/>
      <c r="L3958" s="68"/>
      <c r="M3958" s="63" t="str">
        <f>HYPERLINK("http://nsgreg.nga.mil/genc/view?v=866498&amp;end_month=12&amp;end_day=31&amp;end_year=2016","Correlation")</f>
        <v>Correlation</v>
      </c>
    </row>
    <row r="3959" spans="1:13" x14ac:dyDescent="0.2">
      <c r="A3959" s="113"/>
      <c r="B3959" s="58" t="s">
        <v>10010</v>
      </c>
      <c r="C3959" s="58" t="s">
        <v>1728</v>
      </c>
      <c r="D3959" s="58" t="s">
        <v>10011</v>
      </c>
      <c r="E3959" s="60" t="b">
        <v>1</v>
      </c>
      <c r="F3959" s="80" t="s">
        <v>1202</v>
      </c>
      <c r="G3959" s="58" t="s">
        <v>10010</v>
      </c>
      <c r="H3959" s="58" t="s">
        <v>1728</v>
      </c>
      <c r="I3959" s="64" t="s">
        <v>10011</v>
      </c>
      <c r="J3959" s="66"/>
      <c r="K3959" s="66"/>
      <c r="L3959" s="68"/>
      <c r="M3959" s="63" t="str">
        <f>HYPERLINK("http://nsgreg.nga.mil/genc/view?v=866499&amp;end_month=12&amp;end_day=31&amp;end_year=2016","Correlation")</f>
        <v>Correlation</v>
      </c>
    </row>
    <row r="3960" spans="1:13" x14ac:dyDescent="0.2">
      <c r="A3960" s="113"/>
      <c r="B3960" s="58" t="s">
        <v>10012</v>
      </c>
      <c r="C3960" s="58" t="s">
        <v>1728</v>
      </c>
      <c r="D3960" s="58" t="s">
        <v>10013</v>
      </c>
      <c r="E3960" s="60" t="b">
        <v>1</v>
      </c>
      <c r="F3960" s="80" t="s">
        <v>1202</v>
      </c>
      <c r="G3960" s="58" t="s">
        <v>10012</v>
      </c>
      <c r="H3960" s="58" t="s">
        <v>1728</v>
      </c>
      <c r="I3960" s="64" t="s">
        <v>10013</v>
      </c>
      <c r="J3960" s="66"/>
      <c r="K3960" s="66"/>
      <c r="L3960" s="68"/>
      <c r="M3960" s="63" t="str">
        <f>HYPERLINK("http://nsgreg.nga.mil/genc/view?v=866500&amp;end_month=12&amp;end_day=31&amp;end_year=2016","Correlation")</f>
        <v>Correlation</v>
      </c>
    </row>
    <row r="3961" spans="1:13" x14ac:dyDescent="0.2">
      <c r="A3961" s="113"/>
      <c r="B3961" s="58" t="s">
        <v>10014</v>
      </c>
      <c r="C3961" s="58" t="s">
        <v>1728</v>
      </c>
      <c r="D3961" s="58" t="s">
        <v>10015</v>
      </c>
      <c r="E3961" s="60" t="b">
        <v>1</v>
      </c>
      <c r="F3961" s="80" t="s">
        <v>1202</v>
      </c>
      <c r="G3961" s="58" t="s">
        <v>10014</v>
      </c>
      <c r="H3961" s="58" t="s">
        <v>1728</v>
      </c>
      <c r="I3961" s="64" t="s">
        <v>10015</v>
      </c>
      <c r="J3961" s="66"/>
      <c r="K3961" s="66"/>
      <c r="L3961" s="68"/>
      <c r="M3961" s="63" t="str">
        <f>HYPERLINK("http://nsgreg.nga.mil/genc/view?v=866501&amp;end_month=12&amp;end_day=31&amp;end_year=2016","Correlation")</f>
        <v>Correlation</v>
      </c>
    </row>
    <row r="3962" spans="1:13" x14ac:dyDescent="0.2">
      <c r="A3962" s="113"/>
      <c r="B3962" s="58" t="s">
        <v>10016</v>
      </c>
      <c r="C3962" s="58" t="s">
        <v>1728</v>
      </c>
      <c r="D3962" s="58" t="s">
        <v>10017</v>
      </c>
      <c r="E3962" s="60" t="b">
        <v>1</v>
      </c>
      <c r="F3962" s="80" t="s">
        <v>1202</v>
      </c>
      <c r="G3962" s="58" t="s">
        <v>10016</v>
      </c>
      <c r="H3962" s="58" t="s">
        <v>1728</v>
      </c>
      <c r="I3962" s="64" t="s">
        <v>10017</v>
      </c>
      <c r="J3962" s="66"/>
      <c r="K3962" s="66"/>
      <c r="L3962" s="68"/>
      <c r="M3962" s="63" t="str">
        <f>HYPERLINK("http://nsgreg.nga.mil/genc/view?v=866502&amp;end_month=12&amp;end_day=31&amp;end_year=2016","Correlation")</f>
        <v>Correlation</v>
      </c>
    </row>
    <row r="3963" spans="1:13" x14ac:dyDescent="0.2">
      <c r="A3963" s="113"/>
      <c r="B3963" s="58" t="s">
        <v>10018</v>
      </c>
      <c r="C3963" s="58" t="s">
        <v>1728</v>
      </c>
      <c r="D3963" s="58" t="s">
        <v>10019</v>
      </c>
      <c r="E3963" s="60" t="b">
        <v>1</v>
      </c>
      <c r="F3963" s="80" t="s">
        <v>1202</v>
      </c>
      <c r="G3963" s="58" t="s">
        <v>10018</v>
      </c>
      <c r="H3963" s="58" t="s">
        <v>1728</v>
      </c>
      <c r="I3963" s="64" t="s">
        <v>10019</v>
      </c>
      <c r="J3963" s="66"/>
      <c r="K3963" s="66"/>
      <c r="L3963" s="68"/>
      <c r="M3963" s="63" t="str">
        <f>HYPERLINK("http://nsgreg.nga.mil/genc/view?v=866503&amp;end_month=12&amp;end_day=31&amp;end_year=2016","Correlation")</f>
        <v>Correlation</v>
      </c>
    </row>
    <row r="3964" spans="1:13" x14ac:dyDescent="0.2">
      <c r="A3964" s="113"/>
      <c r="B3964" s="58" t="s">
        <v>10020</v>
      </c>
      <c r="C3964" s="58" t="s">
        <v>1728</v>
      </c>
      <c r="D3964" s="58" t="s">
        <v>10021</v>
      </c>
      <c r="E3964" s="60" t="b">
        <v>1</v>
      </c>
      <c r="F3964" s="80" t="s">
        <v>1202</v>
      </c>
      <c r="G3964" s="58" t="s">
        <v>10020</v>
      </c>
      <c r="H3964" s="58" t="s">
        <v>1728</v>
      </c>
      <c r="I3964" s="64" t="s">
        <v>10021</v>
      </c>
      <c r="J3964" s="66"/>
      <c r="K3964" s="66"/>
      <c r="L3964" s="68"/>
      <c r="M3964" s="63" t="str">
        <f>HYPERLINK("http://nsgreg.nga.mil/genc/view?v=866504&amp;end_month=12&amp;end_day=31&amp;end_year=2016","Correlation")</f>
        <v>Correlation</v>
      </c>
    </row>
    <row r="3965" spans="1:13" x14ac:dyDescent="0.2">
      <c r="A3965" s="113"/>
      <c r="B3965" s="58" t="s">
        <v>10022</v>
      </c>
      <c r="C3965" s="58" t="s">
        <v>1728</v>
      </c>
      <c r="D3965" s="58" t="s">
        <v>10023</v>
      </c>
      <c r="E3965" s="60" t="b">
        <v>1</v>
      </c>
      <c r="F3965" s="80" t="s">
        <v>1202</v>
      </c>
      <c r="G3965" s="58" t="s">
        <v>10022</v>
      </c>
      <c r="H3965" s="58" t="s">
        <v>1728</v>
      </c>
      <c r="I3965" s="64" t="s">
        <v>10023</v>
      </c>
      <c r="J3965" s="66"/>
      <c r="K3965" s="66"/>
      <c r="L3965" s="68"/>
      <c r="M3965" s="63" t="str">
        <f>HYPERLINK("http://nsgreg.nga.mil/genc/view?v=866505&amp;end_month=12&amp;end_day=31&amp;end_year=2016","Correlation")</f>
        <v>Correlation</v>
      </c>
    </row>
    <row r="3966" spans="1:13" x14ac:dyDescent="0.2">
      <c r="A3966" s="113"/>
      <c r="B3966" s="58" t="s">
        <v>10024</v>
      </c>
      <c r="C3966" s="58" t="s">
        <v>1728</v>
      </c>
      <c r="D3966" s="58" t="s">
        <v>10025</v>
      </c>
      <c r="E3966" s="60" t="b">
        <v>1</v>
      </c>
      <c r="F3966" s="80" t="s">
        <v>1202</v>
      </c>
      <c r="G3966" s="58" t="s">
        <v>10024</v>
      </c>
      <c r="H3966" s="58" t="s">
        <v>1728</v>
      </c>
      <c r="I3966" s="64" t="s">
        <v>10025</v>
      </c>
      <c r="J3966" s="66"/>
      <c r="K3966" s="66"/>
      <c r="L3966" s="68"/>
      <c r="M3966" s="63" t="str">
        <f>HYPERLINK("http://nsgreg.nga.mil/genc/view?v=866506&amp;end_month=12&amp;end_day=31&amp;end_year=2016","Correlation")</f>
        <v>Correlation</v>
      </c>
    </row>
    <row r="3967" spans="1:13" x14ac:dyDescent="0.2">
      <c r="A3967" s="114"/>
      <c r="B3967" s="71" t="s">
        <v>10026</v>
      </c>
      <c r="C3967" s="71" t="s">
        <v>1728</v>
      </c>
      <c r="D3967" s="71" t="s">
        <v>10027</v>
      </c>
      <c r="E3967" s="73" t="b">
        <v>1</v>
      </c>
      <c r="F3967" s="81" t="s">
        <v>1202</v>
      </c>
      <c r="G3967" s="71" t="s">
        <v>10026</v>
      </c>
      <c r="H3967" s="71" t="s">
        <v>1728</v>
      </c>
      <c r="I3967" s="74" t="s">
        <v>10027</v>
      </c>
      <c r="J3967" s="76"/>
      <c r="K3967" s="76"/>
      <c r="L3967" s="82"/>
      <c r="M3967" s="77" t="str">
        <f>HYPERLINK("http://nsgreg.nga.mil/genc/view?v=866507&amp;end_month=12&amp;end_day=31&amp;end_year=2016","Correlation")</f>
        <v>Correlation</v>
      </c>
    </row>
    <row r="3968" spans="1:13" x14ac:dyDescent="0.2">
      <c r="A3968" s="112" t="s">
        <v>1206</v>
      </c>
      <c r="B3968" s="50" t="s">
        <v>10028</v>
      </c>
      <c r="C3968" s="50" t="s">
        <v>1413</v>
      </c>
      <c r="D3968" s="50" t="s">
        <v>10029</v>
      </c>
      <c r="E3968" s="52" t="b">
        <v>1</v>
      </c>
      <c r="F3968" s="78" t="s">
        <v>1206</v>
      </c>
      <c r="G3968" s="50" t="s">
        <v>10028</v>
      </c>
      <c r="H3968" s="50" t="s">
        <v>1413</v>
      </c>
      <c r="I3968" s="53" t="s">
        <v>10029</v>
      </c>
      <c r="J3968" s="55"/>
      <c r="K3968" s="55"/>
      <c r="L3968" s="79"/>
      <c r="M3968" s="56" t="str">
        <f>HYPERLINK("http://nsgreg.nga.mil/genc/view?v=867277&amp;end_month=12&amp;end_day=31&amp;end_year=2016","Correlation")</f>
        <v>Correlation</v>
      </c>
    </row>
    <row r="3969" spans="1:13" x14ac:dyDescent="0.2">
      <c r="A3969" s="113"/>
      <c r="B3969" s="58" t="s">
        <v>10030</v>
      </c>
      <c r="C3969" s="58" t="s">
        <v>1413</v>
      </c>
      <c r="D3969" s="58" t="s">
        <v>10031</v>
      </c>
      <c r="E3969" s="60" t="b">
        <v>1</v>
      </c>
      <c r="F3969" s="80" t="s">
        <v>1206</v>
      </c>
      <c r="G3969" s="58" t="s">
        <v>10030</v>
      </c>
      <c r="H3969" s="58" t="s">
        <v>1413</v>
      </c>
      <c r="I3969" s="64" t="s">
        <v>10031</v>
      </c>
      <c r="J3969" s="66"/>
      <c r="K3969" s="66"/>
      <c r="L3969" s="68"/>
      <c r="M3969" s="63" t="str">
        <f>HYPERLINK("http://nsgreg.nga.mil/genc/view?v=867278&amp;end_month=12&amp;end_day=31&amp;end_year=2016","Correlation")</f>
        <v>Correlation</v>
      </c>
    </row>
    <row r="3970" spans="1:13" x14ac:dyDescent="0.2">
      <c r="A3970" s="113"/>
      <c r="B3970" s="58" t="s">
        <v>10032</v>
      </c>
      <c r="C3970" s="58" t="s">
        <v>1413</v>
      </c>
      <c r="D3970" s="58" t="s">
        <v>10033</v>
      </c>
      <c r="E3970" s="60" t="b">
        <v>1</v>
      </c>
      <c r="F3970" s="80" t="s">
        <v>1206</v>
      </c>
      <c r="G3970" s="58" t="s">
        <v>10032</v>
      </c>
      <c r="H3970" s="58" t="s">
        <v>1413</v>
      </c>
      <c r="I3970" s="64" t="s">
        <v>10033</v>
      </c>
      <c r="J3970" s="66"/>
      <c r="K3970" s="66"/>
      <c r="L3970" s="68"/>
      <c r="M3970" s="63" t="str">
        <f>HYPERLINK("http://nsgreg.nga.mil/genc/view?v=867279&amp;end_month=12&amp;end_day=31&amp;end_year=2016","Correlation")</f>
        <v>Correlation</v>
      </c>
    </row>
    <row r="3971" spans="1:13" x14ac:dyDescent="0.2">
      <c r="A3971" s="113"/>
      <c r="B3971" s="58" t="s">
        <v>10034</v>
      </c>
      <c r="C3971" s="58" t="s">
        <v>1413</v>
      </c>
      <c r="D3971" s="58" t="s">
        <v>10035</v>
      </c>
      <c r="E3971" s="60" t="b">
        <v>1</v>
      </c>
      <c r="F3971" s="80" t="s">
        <v>1206</v>
      </c>
      <c r="G3971" s="58" t="s">
        <v>10036</v>
      </c>
      <c r="H3971" s="58" t="s">
        <v>1413</v>
      </c>
      <c r="I3971" s="64" t="s">
        <v>10035</v>
      </c>
      <c r="J3971" s="66"/>
      <c r="K3971" s="66"/>
      <c r="L3971" s="68"/>
      <c r="M3971" s="63" t="str">
        <f>HYPERLINK("http://nsgreg.nga.mil/genc/view?v=867283&amp;end_month=12&amp;end_day=31&amp;end_year=2016","Correlation")</f>
        <v>Correlation</v>
      </c>
    </row>
    <row r="3972" spans="1:13" x14ac:dyDescent="0.2">
      <c r="A3972" s="113"/>
      <c r="B3972" s="58" t="s">
        <v>10037</v>
      </c>
      <c r="C3972" s="58" t="s">
        <v>1413</v>
      </c>
      <c r="D3972" s="58" t="s">
        <v>10038</v>
      </c>
      <c r="E3972" s="60" t="b">
        <v>1</v>
      </c>
      <c r="F3972" s="80" t="s">
        <v>1206</v>
      </c>
      <c r="G3972" s="58" t="s">
        <v>10037</v>
      </c>
      <c r="H3972" s="58" t="s">
        <v>1413</v>
      </c>
      <c r="I3972" s="64" t="s">
        <v>10038</v>
      </c>
      <c r="J3972" s="66"/>
      <c r="K3972" s="66"/>
      <c r="L3972" s="68"/>
      <c r="M3972" s="63" t="str">
        <f>HYPERLINK("http://nsgreg.nga.mil/genc/view?v=867280&amp;end_month=12&amp;end_day=31&amp;end_year=2016","Correlation")</f>
        <v>Correlation</v>
      </c>
    </row>
    <row r="3973" spans="1:13" x14ac:dyDescent="0.2">
      <c r="A3973" s="113"/>
      <c r="B3973" s="58" t="s">
        <v>10039</v>
      </c>
      <c r="C3973" s="58" t="s">
        <v>1413</v>
      </c>
      <c r="D3973" s="58" t="s">
        <v>10040</v>
      </c>
      <c r="E3973" s="60" t="b">
        <v>1</v>
      </c>
      <c r="F3973" s="80" t="s">
        <v>1206</v>
      </c>
      <c r="G3973" s="58" t="s">
        <v>10039</v>
      </c>
      <c r="H3973" s="58" t="s">
        <v>1413</v>
      </c>
      <c r="I3973" s="64" t="s">
        <v>10040</v>
      </c>
      <c r="J3973" s="66"/>
      <c r="K3973" s="66"/>
      <c r="L3973" s="68"/>
      <c r="M3973" s="63" t="str">
        <f>HYPERLINK("http://nsgreg.nga.mil/genc/view?v=867281&amp;end_month=12&amp;end_day=31&amp;end_year=2016","Correlation")</f>
        <v>Correlation</v>
      </c>
    </row>
    <row r="3974" spans="1:13" x14ac:dyDescent="0.2">
      <c r="A3974" s="113"/>
      <c r="B3974" s="58" t="s">
        <v>10041</v>
      </c>
      <c r="C3974" s="58" t="s">
        <v>1413</v>
      </c>
      <c r="D3974" s="58" t="s">
        <v>10042</v>
      </c>
      <c r="E3974" s="60" t="b">
        <v>1</v>
      </c>
      <c r="F3974" s="80" t="s">
        <v>1206</v>
      </c>
      <c r="G3974" s="58" t="s">
        <v>10041</v>
      </c>
      <c r="H3974" s="58" t="s">
        <v>1413</v>
      </c>
      <c r="I3974" s="64" t="s">
        <v>10042</v>
      </c>
      <c r="J3974" s="66"/>
      <c r="K3974" s="66"/>
      <c r="L3974" s="68"/>
      <c r="M3974" s="63" t="str">
        <f>HYPERLINK("http://nsgreg.nga.mil/genc/view?v=867282&amp;end_month=12&amp;end_day=31&amp;end_year=2016","Correlation")</f>
        <v>Correlation</v>
      </c>
    </row>
    <row r="3975" spans="1:13" x14ac:dyDescent="0.2">
      <c r="A3975" s="113"/>
      <c r="B3975" s="58" t="s">
        <v>2434</v>
      </c>
      <c r="C3975" s="58" t="s">
        <v>1413</v>
      </c>
      <c r="D3975" s="58" t="s">
        <v>10043</v>
      </c>
      <c r="E3975" s="60" t="b">
        <v>1</v>
      </c>
      <c r="F3975" s="80" t="s">
        <v>1206</v>
      </c>
      <c r="G3975" s="58" t="s">
        <v>2887</v>
      </c>
      <c r="H3975" s="58" t="s">
        <v>1413</v>
      </c>
      <c r="I3975" s="64" t="s">
        <v>10043</v>
      </c>
      <c r="J3975" s="66"/>
      <c r="K3975" s="66"/>
      <c r="L3975" s="68"/>
      <c r="M3975" s="63" t="str">
        <f>HYPERLINK("http://nsgreg.nga.mil/genc/view?v=867284&amp;end_month=12&amp;end_day=31&amp;end_year=2016","Correlation")</f>
        <v>Correlation</v>
      </c>
    </row>
    <row r="3976" spans="1:13" x14ac:dyDescent="0.2">
      <c r="A3976" s="114"/>
      <c r="B3976" s="71" t="s">
        <v>10044</v>
      </c>
      <c r="C3976" s="71" t="s">
        <v>1413</v>
      </c>
      <c r="D3976" s="71" t="s">
        <v>10045</v>
      </c>
      <c r="E3976" s="73" t="b">
        <v>1</v>
      </c>
      <c r="F3976" s="81" t="s">
        <v>1206</v>
      </c>
      <c r="G3976" s="71" t="s">
        <v>10044</v>
      </c>
      <c r="H3976" s="71" t="s">
        <v>1413</v>
      </c>
      <c r="I3976" s="74" t="s">
        <v>10045</v>
      </c>
      <c r="J3976" s="76"/>
      <c r="K3976" s="76"/>
      <c r="L3976" s="82"/>
      <c r="M3976" s="77" t="str">
        <f>HYPERLINK("http://nsgreg.nga.mil/genc/view?v=867285&amp;end_month=12&amp;end_day=31&amp;end_year=2016","Correlation")</f>
        <v>Correlation</v>
      </c>
    </row>
    <row r="3977" spans="1:13" x14ac:dyDescent="0.2">
      <c r="A3977" s="112" t="s">
        <v>1215</v>
      </c>
      <c r="B3977" s="50" t="s">
        <v>10046</v>
      </c>
      <c r="C3977" s="50" t="s">
        <v>1763</v>
      </c>
      <c r="D3977" s="50" t="s">
        <v>10047</v>
      </c>
      <c r="E3977" s="52" t="b">
        <v>1</v>
      </c>
      <c r="F3977" s="78" t="s">
        <v>1215</v>
      </c>
      <c r="G3977" s="50" t="s">
        <v>10046</v>
      </c>
      <c r="H3977" s="50" t="s">
        <v>1763</v>
      </c>
      <c r="I3977" s="53" t="s">
        <v>10047</v>
      </c>
      <c r="J3977" s="55"/>
      <c r="K3977" s="55"/>
      <c r="L3977" s="79"/>
      <c r="M3977" s="56" t="str">
        <f>HYPERLINK("http://nsgreg.nga.mil/genc/view?v=866520&amp;end_month=12&amp;end_day=31&amp;end_year=2016","Correlation")</f>
        <v>Correlation</v>
      </c>
    </row>
    <row r="3978" spans="1:13" x14ac:dyDescent="0.2">
      <c r="A3978" s="113"/>
      <c r="B3978" s="58" t="s">
        <v>10048</v>
      </c>
      <c r="C3978" s="58" t="s">
        <v>1763</v>
      </c>
      <c r="D3978" s="58" t="s">
        <v>10049</v>
      </c>
      <c r="E3978" s="60" t="b">
        <v>1</v>
      </c>
      <c r="F3978" s="80" t="s">
        <v>1215</v>
      </c>
      <c r="G3978" s="58" t="s">
        <v>10048</v>
      </c>
      <c r="H3978" s="58" t="s">
        <v>1763</v>
      </c>
      <c r="I3978" s="64" t="s">
        <v>10049</v>
      </c>
      <c r="J3978" s="66"/>
      <c r="K3978" s="66"/>
      <c r="L3978" s="68"/>
      <c r="M3978" s="63" t="str">
        <f>HYPERLINK("http://nsgreg.nga.mil/genc/view?v=866521&amp;end_month=12&amp;end_day=31&amp;end_year=2016","Correlation")</f>
        <v>Correlation</v>
      </c>
    </row>
    <row r="3979" spans="1:13" x14ac:dyDescent="0.2">
      <c r="A3979" s="113"/>
      <c r="B3979" s="58" t="s">
        <v>10050</v>
      </c>
      <c r="C3979" s="58" t="s">
        <v>1763</v>
      </c>
      <c r="D3979" s="58" t="s">
        <v>10051</v>
      </c>
      <c r="E3979" s="60" t="b">
        <v>1</v>
      </c>
      <c r="F3979" s="80" t="s">
        <v>1215</v>
      </c>
      <c r="G3979" s="58" t="s">
        <v>10050</v>
      </c>
      <c r="H3979" s="58" t="s">
        <v>1763</v>
      </c>
      <c r="I3979" s="64" t="s">
        <v>10051</v>
      </c>
      <c r="J3979" s="66"/>
      <c r="K3979" s="66"/>
      <c r="L3979" s="68"/>
      <c r="M3979" s="63" t="str">
        <f>HYPERLINK("http://nsgreg.nga.mil/genc/view?v=866523&amp;end_month=12&amp;end_day=31&amp;end_year=2016","Correlation")</f>
        <v>Correlation</v>
      </c>
    </row>
    <row r="3980" spans="1:13" x14ac:dyDescent="0.2">
      <c r="A3980" s="113"/>
      <c r="B3980" s="58" t="s">
        <v>10052</v>
      </c>
      <c r="C3980" s="58" t="s">
        <v>1763</v>
      </c>
      <c r="D3980" s="58" t="s">
        <v>10053</v>
      </c>
      <c r="E3980" s="60" t="b">
        <v>1</v>
      </c>
      <c r="F3980" s="80" t="s">
        <v>1215</v>
      </c>
      <c r="G3980" s="58" t="s">
        <v>10052</v>
      </c>
      <c r="H3980" s="58" t="s">
        <v>1763</v>
      </c>
      <c r="I3980" s="64" t="s">
        <v>10053</v>
      </c>
      <c r="J3980" s="66"/>
      <c r="K3980" s="66"/>
      <c r="L3980" s="68"/>
      <c r="M3980" s="63" t="str">
        <f>HYPERLINK("http://nsgreg.nga.mil/genc/view?v=866524&amp;end_month=12&amp;end_day=31&amp;end_year=2016","Correlation")</f>
        <v>Correlation</v>
      </c>
    </row>
    <row r="3981" spans="1:13" x14ac:dyDescent="0.2">
      <c r="A3981" s="113"/>
      <c r="B3981" s="58" t="s">
        <v>10054</v>
      </c>
      <c r="C3981" s="58" t="s">
        <v>1763</v>
      </c>
      <c r="D3981" s="58" t="s">
        <v>10055</v>
      </c>
      <c r="E3981" s="60" t="b">
        <v>1</v>
      </c>
      <c r="F3981" s="80" t="s">
        <v>1215</v>
      </c>
      <c r="G3981" s="58" t="s">
        <v>10054</v>
      </c>
      <c r="H3981" s="58" t="s">
        <v>1763</v>
      </c>
      <c r="I3981" s="64" t="s">
        <v>10055</v>
      </c>
      <c r="J3981" s="66"/>
      <c r="K3981" s="66"/>
      <c r="L3981" s="68"/>
      <c r="M3981" s="63" t="str">
        <f>HYPERLINK("http://nsgreg.nga.mil/genc/view?v=866518&amp;end_month=12&amp;end_day=31&amp;end_year=2016","Correlation")</f>
        <v>Correlation</v>
      </c>
    </row>
    <row r="3982" spans="1:13" x14ac:dyDescent="0.2">
      <c r="A3982" s="113"/>
      <c r="B3982" s="58" t="s">
        <v>10056</v>
      </c>
      <c r="C3982" s="58" t="s">
        <v>1763</v>
      </c>
      <c r="D3982" s="58" t="s">
        <v>10057</v>
      </c>
      <c r="E3982" s="60" t="b">
        <v>1</v>
      </c>
      <c r="F3982" s="80" t="s">
        <v>1215</v>
      </c>
      <c r="G3982" s="58" t="s">
        <v>10056</v>
      </c>
      <c r="H3982" s="58" t="s">
        <v>1763</v>
      </c>
      <c r="I3982" s="64" t="s">
        <v>10057</v>
      </c>
      <c r="J3982" s="66"/>
      <c r="K3982" s="66"/>
      <c r="L3982" s="68"/>
      <c r="M3982" s="63" t="str">
        <f>HYPERLINK("http://nsgreg.nga.mil/genc/view?v=866526&amp;end_month=12&amp;end_day=31&amp;end_year=2016","Correlation")</f>
        <v>Correlation</v>
      </c>
    </row>
    <row r="3983" spans="1:13" x14ac:dyDescent="0.2">
      <c r="A3983" s="113"/>
      <c r="B3983" s="58" t="s">
        <v>10058</v>
      </c>
      <c r="C3983" s="58" t="s">
        <v>1763</v>
      </c>
      <c r="D3983" s="58" t="s">
        <v>10059</v>
      </c>
      <c r="E3983" s="60" t="b">
        <v>1</v>
      </c>
      <c r="F3983" s="80" t="s">
        <v>1215</v>
      </c>
      <c r="G3983" s="58" t="s">
        <v>10058</v>
      </c>
      <c r="H3983" s="58" t="s">
        <v>1763</v>
      </c>
      <c r="I3983" s="64" t="s">
        <v>10059</v>
      </c>
      <c r="J3983" s="66"/>
      <c r="K3983" s="66"/>
      <c r="L3983" s="68"/>
      <c r="M3983" s="63" t="str">
        <f>HYPERLINK("http://nsgreg.nga.mil/genc/view?v=866525&amp;end_month=12&amp;end_day=31&amp;end_year=2016","Correlation")</f>
        <v>Correlation</v>
      </c>
    </row>
    <row r="3984" spans="1:13" x14ac:dyDescent="0.2">
      <c r="A3984" s="113"/>
      <c r="B3984" s="58" t="s">
        <v>10060</v>
      </c>
      <c r="C3984" s="58" t="s">
        <v>1763</v>
      </c>
      <c r="D3984" s="58" t="s">
        <v>10061</v>
      </c>
      <c r="E3984" s="60" t="b">
        <v>1</v>
      </c>
      <c r="F3984" s="80" t="s">
        <v>1215</v>
      </c>
      <c r="G3984" s="58" t="s">
        <v>10060</v>
      </c>
      <c r="H3984" s="58" t="s">
        <v>1763</v>
      </c>
      <c r="I3984" s="64" t="s">
        <v>10061</v>
      </c>
      <c r="J3984" s="66"/>
      <c r="K3984" s="66"/>
      <c r="L3984" s="68"/>
      <c r="M3984" s="63" t="str">
        <f>HYPERLINK("http://nsgreg.nga.mil/genc/view?v=866527&amp;end_month=12&amp;end_day=31&amp;end_year=2016","Correlation")</f>
        <v>Correlation</v>
      </c>
    </row>
    <row r="3985" spans="1:13" x14ac:dyDescent="0.2">
      <c r="A3985" s="113"/>
      <c r="B3985" s="58" t="s">
        <v>10062</v>
      </c>
      <c r="C3985" s="58" t="s">
        <v>1763</v>
      </c>
      <c r="D3985" s="58" t="s">
        <v>10063</v>
      </c>
      <c r="E3985" s="60" t="b">
        <v>1</v>
      </c>
      <c r="F3985" s="80" t="s">
        <v>1215</v>
      </c>
      <c r="G3985" s="58" t="s">
        <v>10062</v>
      </c>
      <c r="H3985" s="58" t="s">
        <v>1763</v>
      </c>
      <c r="I3985" s="64" t="s">
        <v>10063</v>
      </c>
      <c r="J3985" s="66"/>
      <c r="K3985" s="66"/>
      <c r="L3985" s="68"/>
      <c r="M3985" s="63" t="str">
        <f>HYPERLINK("http://nsgreg.nga.mil/genc/view?v=866519&amp;end_month=12&amp;end_day=31&amp;end_year=2016","Correlation")</f>
        <v>Correlation</v>
      </c>
    </row>
    <row r="3986" spans="1:13" x14ac:dyDescent="0.2">
      <c r="A3986" s="114"/>
      <c r="B3986" s="71" t="s">
        <v>10064</v>
      </c>
      <c r="C3986" s="71" t="s">
        <v>1763</v>
      </c>
      <c r="D3986" s="71" t="s">
        <v>10065</v>
      </c>
      <c r="E3986" s="73" t="b">
        <v>1</v>
      </c>
      <c r="F3986" s="81" t="s">
        <v>1215</v>
      </c>
      <c r="G3986" s="71" t="s">
        <v>10064</v>
      </c>
      <c r="H3986" s="71" t="s">
        <v>1763</v>
      </c>
      <c r="I3986" s="74" t="s">
        <v>10065</v>
      </c>
      <c r="J3986" s="76"/>
      <c r="K3986" s="76"/>
      <c r="L3986" s="82"/>
      <c r="M3986" s="77" t="str">
        <f>HYPERLINK("http://nsgreg.nga.mil/genc/view?v=866522&amp;end_month=12&amp;end_day=31&amp;end_year=2016","Correlation")</f>
        <v>Correlation</v>
      </c>
    </row>
    <row r="3987" spans="1:13" x14ac:dyDescent="0.2">
      <c r="A3987" s="112" t="s">
        <v>1219</v>
      </c>
      <c r="B3987" s="50" t="s">
        <v>10066</v>
      </c>
      <c r="C3987" s="50" t="s">
        <v>1413</v>
      </c>
      <c r="D3987" s="50" t="s">
        <v>10067</v>
      </c>
      <c r="E3987" s="52" t="b">
        <v>1</v>
      </c>
      <c r="F3987" s="78" t="s">
        <v>1219</v>
      </c>
      <c r="G3987" s="50" t="s">
        <v>10066</v>
      </c>
      <c r="H3987" s="50" t="s">
        <v>1413</v>
      </c>
      <c r="I3987" s="53" t="s">
        <v>10067</v>
      </c>
      <c r="J3987" s="55"/>
      <c r="K3987" s="55"/>
      <c r="L3987" s="79"/>
      <c r="M3987" s="56" t="str">
        <f>HYPERLINK("http://nsgreg.nga.mil/genc/view?v=863332&amp;end_month=12&amp;end_day=31&amp;end_year=2016","Correlation")</f>
        <v>Correlation</v>
      </c>
    </row>
    <row r="3988" spans="1:13" x14ac:dyDescent="0.2">
      <c r="A3988" s="113"/>
      <c r="B3988" s="58" t="s">
        <v>10068</v>
      </c>
      <c r="C3988" s="58" t="s">
        <v>1413</v>
      </c>
      <c r="D3988" s="58" t="s">
        <v>10069</v>
      </c>
      <c r="E3988" s="60" t="b">
        <v>1</v>
      </c>
      <c r="F3988" s="80" t="s">
        <v>1219</v>
      </c>
      <c r="G3988" s="58" t="s">
        <v>10068</v>
      </c>
      <c r="H3988" s="58" t="s">
        <v>1413</v>
      </c>
      <c r="I3988" s="64" t="s">
        <v>10069</v>
      </c>
      <c r="J3988" s="66"/>
      <c r="K3988" s="66"/>
      <c r="L3988" s="68"/>
      <c r="M3988" s="63" t="str">
        <f>HYPERLINK("http://nsgreg.nga.mil/genc/view?v=863387&amp;end_month=12&amp;end_day=31&amp;end_year=2016","Correlation")</f>
        <v>Correlation</v>
      </c>
    </row>
    <row r="3989" spans="1:13" x14ac:dyDescent="0.2">
      <c r="A3989" s="113"/>
      <c r="B3989" s="58" t="s">
        <v>10070</v>
      </c>
      <c r="C3989" s="58" t="s">
        <v>1413</v>
      </c>
      <c r="D3989" s="58" t="s">
        <v>10071</v>
      </c>
      <c r="E3989" s="60" t="b">
        <v>1</v>
      </c>
      <c r="F3989" s="80" t="s">
        <v>1219</v>
      </c>
      <c r="G3989" s="58" t="s">
        <v>10070</v>
      </c>
      <c r="H3989" s="58" t="s">
        <v>1413</v>
      </c>
      <c r="I3989" s="64" t="s">
        <v>10071</v>
      </c>
      <c r="J3989" s="66"/>
      <c r="K3989" s="66"/>
      <c r="L3989" s="68"/>
      <c r="M3989" s="63" t="str">
        <f>HYPERLINK("http://nsgreg.nga.mil/genc/view?v=863322&amp;end_month=12&amp;end_day=31&amp;end_year=2016","Correlation")</f>
        <v>Correlation</v>
      </c>
    </row>
    <row r="3990" spans="1:13" x14ac:dyDescent="0.2">
      <c r="A3990" s="113"/>
      <c r="B3990" s="58" t="s">
        <v>10072</v>
      </c>
      <c r="C3990" s="58" t="s">
        <v>1413</v>
      </c>
      <c r="D3990" s="58" t="s">
        <v>10073</v>
      </c>
      <c r="E3990" s="60" t="b">
        <v>1</v>
      </c>
      <c r="F3990" s="80" t="s">
        <v>1219</v>
      </c>
      <c r="G3990" s="58" t="s">
        <v>10072</v>
      </c>
      <c r="H3990" s="58" t="s">
        <v>1413</v>
      </c>
      <c r="I3990" s="64" t="s">
        <v>10073</v>
      </c>
      <c r="J3990" s="66"/>
      <c r="K3990" s="66"/>
      <c r="L3990" s="68"/>
      <c r="M3990" s="63" t="str">
        <f>HYPERLINK("http://nsgreg.nga.mil/genc/view?v=863321&amp;end_month=12&amp;end_day=31&amp;end_year=2016","Correlation")</f>
        <v>Correlation</v>
      </c>
    </row>
    <row r="3991" spans="1:13" x14ac:dyDescent="0.2">
      <c r="A3991" s="113"/>
      <c r="B3991" s="58" t="s">
        <v>10074</v>
      </c>
      <c r="C3991" s="58" t="s">
        <v>1413</v>
      </c>
      <c r="D3991" s="58" t="s">
        <v>10075</v>
      </c>
      <c r="E3991" s="60" t="b">
        <v>1</v>
      </c>
      <c r="F3991" s="80" t="s">
        <v>1219</v>
      </c>
      <c r="G3991" s="58" t="s">
        <v>10074</v>
      </c>
      <c r="H3991" s="58" t="s">
        <v>1413</v>
      </c>
      <c r="I3991" s="64" t="s">
        <v>10075</v>
      </c>
      <c r="J3991" s="66"/>
      <c r="K3991" s="66"/>
      <c r="L3991" s="68"/>
      <c r="M3991" s="63" t="str">
        <f>HYPERLINK("http://nsgreg.nga.mil/genc/view?v=863323&amp;end_month=12&amp;end_day=31&amp;end_year=2016","Correlation")</f>
        <v>Correlation</v>
      </c>
    </row>
    <row r="3992" spans="1:13" x14ac:dyDescent="0.2">
      <c r="A3992" s="113"/>
      <c r="B3992" s="58" t="s">
        <v>10076</v>
      </c>
      <c r="C3992" s="58" t="s">
        <v>10077</v>
      </c>
      <c r="D3992" s="58" t="s">
        <v>10078</v>
      </c>
      <c r="E3992" s="60" t="b">
        <v>1</v>
      </c>
      <c r="F3992" s="80" t="s">
        <v>1219</v>
      </c>
      <c r="G3992" s="58" t="s">
        <v>10079</v>
      </c>
      <c r="H3992" s="58" t="s">
        <v>10077</v>
      </c>
      <c r="I3992" s="64" t="s">
        <v>10078</v>
      </c>
      <c r="J3992" s="66"/>
      <c r="K3992" s="66"/>
      <c r="L3992" s="68"/>
      <c r="M3992" s="63" t="str">
        <f>HYPERLINK("http://nsgreg.nga.mil/genc/view?v=863324&amp;end_month=12&amp;end_day=31&amp;end_year=2016","Correlation")</f>
        <v>Correlation</v>
      </c>
    </row>
    <row r="3993" spans="1:13" x14ac:dyDescent="0.2">
      <c r="A3993" s="113"/>
      <c r="B3993" s="58" t="s">
        <v>10080</v>
      </c>
      <c r="C3993" s="58" t="s">
        <v>10077</v>
      </c>
      <c r="D3993" s="58" t="s">
        <v>10081</v>
      </c>
      <c r="E3993" s="60" t="b">
        <v>1</v>
      </c>
      <c r="F3993" s="80" t="s">
        <v>1219</v>
      </c>
      <c r="G3993" s="58" t="s">
        <v>10082</v>
      </c>
      <c r="H3993" s="58" t="s">
        <v>10077</v>
      </c>
      <c r="I3993" s="64" t="s">
        <v>10081</v>
      </c>
      <c r="J3993" s="66"/>
      <c r="K3993" s="66"/>
      <c r="L3993" s="68"/>
      <c r="M3993" s="63" t="str">
        <f>HYPERLINK("http://nsgreg.nga.mil/genc/view?v=863325&amp;end_month=12&amp;end_day=31&amp;end_year=2016","Correlation")</f>
        <v>Correlation</v>
      </c>
    </row>
    <row r="3994" spans="1:13" x14ac:dyDescent="0.2">
      <c r="A3994" s="113"/>
      <c r="B3994" s="58" t="s">
        <v>10083</v>
      </c>
      <c r="C3994" s="58" t="s">
        <v>10077</v>
      </c>
      <c r="D3994" s="58" t="s">
        <v>10084</v>
      </c>
      <c r="E3994" s="60" t="b">
        <v>1</v>
      </c>
      <c r="F3994" s="80" t="s">
        <v>1219</v>
      </c>
      <c r="G3994" s="58" t="s">
        <v>10085</v>
      </c>
      <c r="H3994" s="58" t="s">
        <v>10077</v>
      </c>
      <c r="I3994" s="64" t="s">
        <v>10084</v>
      </c>
      <c r="J3994" s="66"/>
      <c r="K3994" s="66"/>
      <c r="L3994" s="68"/>
      <c r="M3994" s="63" t="str">
        <f>HYPERLINK("http://nsgreg.nga.mil/genc/view?v=863326&amp;end_month=12&amp;end_day=31&amp;end_year=2016","Correlation")</f>
        <v>Correlation</v>
      </c>
    </row>
    <row r="3995" spans="1:13" x14ac:dyDescent="0.2">
      <c r="A3995" s="113"/>
      <c r="B3995" s="58" t="s">
        <v>10083</v>
      </c>
      <c r="C3995" s="58" t="s">
        <v>1413</v>
      </c>
      <c r="D3995" s="58" t="s">
        <v>10086</v>
      </c>
      <c r="E3995" s="60" t="b">
        <v>1</v>
      </c>
      <c r="F3995" s="80" t="s">
        <v>1219</v>
      </c>
      <c r="G3995" s="58" t="s">
        <v>10083</v>
      </c>
      <c r="H3995" s="58" t="s">
        <v>1413</v>
      </c>
      <c r="I3995" s="64" t="s">
        <v>10086</v>
      </c>
      <c r="J3995" s="66"/>
      <c r="K3995" s="66"/>
      <c r="L3995" s="68"/>
      <c r="M3995" s="63" t="str">
        <f>HYPERLINK("http://nsgreg.nga.mil/genc/view?v=863367&amp;end_month=12&amp;end_day=31&amp;end_year=2016","Correlation")</f>
        <v>Correlation</v>
      </c>
    </row>
    <row r="3996" spans="1:13" x14ac:dyDescent="0.2">
      <c r="A3996" s="113"/>
      <c r="B3996" s="58" t="s">
        <v>10087</v>
      </c>
      <c r="C3996" s="58" t="s">
        <v>1413</v>
      </c>
      <c r="D3996" s="58" t="s">
        <v>10088</v>
      </c>
      <c r="E3996" s="60" t="b">
        <v>1</v>
      </c>
      <c r="F3996" s="80" t="s">
        <v>1219</v>
      </c>
      <c r="G3996" s="58" t="s">
        <v>10087</v>
      </c>
      <c r="H3996" s="58" t="s">
        <v>1413</v>
      </c>
      <c r="I3996" s="64" t="s">
        <v>10088</v>
      </c>
      <c r="J3996" s="66"/>
      <c r="K3996" s="66"/>
      <c r="L3996" s="68"/>
      <c r="M3996" s="63" t="str">
        <f>HYPERLINK("http://nsgreg.nga.mil/genc/view?v=863327&amp;end_month=12&amp;end_day=31&amp;end_year=2016","Correlation")</f>
        <v>Correlation</v>
      </c>
    </row>
    <row r="3997" spans="1:13" x14ac:dyDescent="0.2">
      <c r="A3997" s="113"/>
      <c r="B3997" s="58" t="s">
        <v>10089</v>
      </c>
      <c r="C3997" s="58" t="s">
        <v>1413</v>
      </c>
      <c r="D3997" s="58" t="s">
        <v>10090</v>
      </c>
      <c r="E3997" s="60" t="b">
        <v>1</v>
      </c>
      <c r="F3997" s="80" t="s">
        <v>1219</v>
      </c>
      <c r="G3997" s="58" t="s">
        <v>10089</v>
      </c>
      <c r="H3997" s="58" t="s">
        <v>1413</v>
      </c>
      <c r="I3997" s="64" t="s">
        <v>10090</v>
      </c>
      <c r="J3997" s="66"/>
      <c r="K3997" s="66"/>
      <c r="L3997" s="68"/>
      <c r="M3997" s="63" t="str">
        <f>HYPERLINK("http://nsgreg.nga.mil/genc/view?v=863329&amp;end_month=12&amp;end_day=31&amp;end_year=2016","Correlation")</f>
        <v>Correlation</v>
      </c>
    </row>
    <row r="3998" spans="1:13" x14ac:dyDescent="0.2">
      <c r="A3998" s="113"/>
      <c r="B3998" s="58" t="s">
        <v>10091</v>
      </c>
      <c r="C3998" s="58" t="s">
        <v>1413</v>
      </c>
      <c r="D3998" s="58" t="s">
        <v>10092</v>
      </c>
      <c r="E3998" s="60" t="b">
        <v>1</v>
      </c>
      <c r="F3998" s="80" t="s">
        <v>1219</v>
      </c>
      <c r="G3998" s="58" t="s">
        <v>10093</v>
      </c>
      <c r="H3998" s="58" t="s">
        <v>1413</v>
      </c>
      <c r="I3998" s="64" t="s">
        <v>10092</v>
      </c>
      <c r="J3998" s="66"/>
      <c r="K3998" s="66"/>
      <c r="L3998" s="68"/>
      <c r="M3998" s="63" t="str">
        <f>HYPERLINK("http://nsgreg.nga.mil/genc/view?v=863370&amp;end_month=12&amp;end_day=31&amp;end_year=2016","Correlation")</f>
        <v>Correlation</v>
      </c>
    </row>
    <row r="3999" spans="1:13" x14ac:dyDescent="0.2">
      <c r="A3999" s="113"/>
      <c r="B3999" s="58" t="s">
        <v>10094</v>
      </c>
      <c r="C3999" s="58" t="s">
        <v>10077</v>
      </c>
      <c r="D3999" s="58" t="s">
        <v>10095</v>
      </c>
      <c r="E3999" s="60" t="b">
        <v>1</v>
      </c>
      <c r="F3999" s="80" t="s">
        <v>1219</v>
      </c>
      <c r="G3999" s="58" t="s">
        <v>10096</v>
      </c>
      <c r="H3999" s="58" t="s">
        <v>10077</v>
      </c>
      <c r="I3999" s="64" t="s">
        <v>10095</v>
      </c>
      <c r="J3999" s="66"/>
      <c r="K3999" s="66"/>
      <c r="L3999" s="68"/>
      <c r="M3999" s="63" t="str">
        <f>HYPERLINK("http://nsgreg.nga.mil/genc/view?v=863353&amp;end_month=12&amp;end_day=31&amp;end_year=2016","Correlation")</f>
        <v>Correlation</v>
      </c>
    </row>
    <row r="4000" spans="1:13" x14ac:dyDescent="0.2">
      <c r="A4000" s="113"/>
      <c r="B4000" s="58" t="s">
        <v>10097</v>
      </c>
      <c r="C4000" s="58" t="s">
        <v>1413</v>
      </c>
      <c r="D4000" s="58" t="s">
        <v>10098</v>
      </c>
      <c r="E4000" s="60" t="b">
        <v>1</v>
      </c>
      <c r="F4000" s="80" t="s">
        <v>1219</v>
      </c>
      <c r="G4000" s="58" t="s">
        <v>10097</v>
      </c>
      <c r="H4000" s="58" t="s">
        <v>1413</v>
      </c>
      <c r="I4000" s="64" t="s">
        <v>10098</v>
      </c>
      <c r="J4000" s="66"/>
      <c r="K4000" s="66"/>
      <c r="L4000" s="68"/>
      <c r="M4000" s="63" t="str">
        <f>HYPERLINK("http://nsgreg.nga.mil/genc/view?v=863328&amp;end_month=12&amp;end_day=31&amp;end_year=2016","Correlation")</f>
        <v>Correlation</v>
      </c>
    </row>
    <row r="4001" spans="1:13" x14ac:dyDescent="0.2">
      <c r="A4001" s="113"/>
      <c r="B4001" s="58" t="s">
        <v>10099</v>
      </c>
      <c r="C4001" s="58" t="s">
        <v>10077</v>
      </c>
      <c r="D4001" s="58" t="s">
        <v>10100</v>
      </c>
      <c r="E4001" s="60" t="b">
        <v>1</v>
      </c>
      <c r="F4001" s="80" t="s">
        <v>1219</v>
      </c>
      <c r="G4001" s="58" t="s">
        <v>10101</v>
      </c>
      <c r="H4001" s="58" t="s">
        <v>10077</v>
      </c>
      <c r="I4001" s="64" t="s">
        <v>10100</v>
      </c>
      <c r="J4001" s="66"/>
      <c r="K4001" s="66"/>
      <c r="L4001" s="68"/>
      <c r="M4001" s="63" t="str">
        <f>HYPERLINK("http://nsgreg.nga.mil/genc/view?v=863372&amp;end_month=12&amp;end_day=31&amp;end_year=2016","Correlation")</f>
        <v>Correlation</v>
      </c>
    </row>
    <row r="4002" spans="1:13" x14ac:dyDescent="0.2">
      <c r="A4002" s="113"/>
      <c r="B4002" s="58" t="s">
        <v>10102</v>
      </c>
      <c r="C4002" s="58" t="s">
        <v>1413</v>
      </c>
      <c r="D4002" s="58" t="s">
        <v>10103</v>
      </c>
      <c r="E4002" s="60" t="b">
        <v>1</v>
      </c>
      <c r="F4002" s="80" t="s">
        <v>1219</v>
      </c>
      <c r="G4002" s="58" t="s">
        <v>10102</v>
      </c>
      <c r="H4002" s="58" t="s">
        <v>1413</v>
      </c>
      <c r="I4002" s="64" t="s">
        <v>10103</v>
      </c>
      <c r="J4002" s="66"/>
      <c r="K4002" s="66"/>
      <c r="L4002" s="68"/>
      <c r="M4002" s="63" t="str">
        <f>HYPERLINK("http://nsgreg.nga.mil/genc/view?v=863331&amp;end_month=12&amp;end_day=31&amp;end_year=2016","Correlation")</f>
        <v>Correlation</v>
      </c>
    </row>
    <row r="4003" spans="1:13" x14ac:dyDescent="0.2">
      <c r="A4003" s="113"/>
      <c r="B4003" s="58" t="s">
        <v>10104</v>
      </c>
      <c r="C4003" s="58" t="s">
        <v>1413</v>
      </c>
      <c r="D4003" s="58" t="s">
        <v>10105</v>
      </c>
      <c r="E4003" s="60" t="b">
        <v>1</v>
      </c>
      <c r="F4003" s="80" t="s">
        <v>1219</v>
      </c>
      <c r="G4003" s="58" t="s">
        <v>10104</v>
      </c>
      <c r="H4003" s="58" t="s">
        <v>1413</v>
      </c>
      <c r="I4003" s="64" t="s">
        <v>10105</v>
      </c>
      <c r="J4003" s="66"/>
      <c r="K4003" s="66"/>
      <c r="L4003" s="68"/>
      <c r="M4003" s="63" t="str">
        <f>HYPERLINK("http://nsgreg.nga.mil/genc/view?v=863335&amp;end_month=12&amp;end_day=31&amp;end_year=2016","Correlation")</f>
        <v>Correlation</v>
      </c>
    </row>
    <row r="4004" spans="1:13" x14ac:dyDescent="0.2">
      <c r="A4004" s="113"/>
      <c r="B4004" s="58" t="s">
        <v>10106</v>
      </c>
      <c r="C4004" s="58" t="s">
        <v>1413</v>
      </c>
      <c r="D4004" s="58" t="s">
        <v>10107</v>
      </c>
      <c r="E4004" s="60" t="b">
        <v>1</v>
      </c>
      <c r="F4004" s="80" t="s">
        <v>1219</v>
      </c>
      <c r="G4004" s="58" t="s">
        <v>10106</v>
      </c>
      <c r="H4004" s="58" t="s">
        <v>1413</v>
      </c>
      <c r="I4004" s="64" t="s">
        <v>10107</v>
      </c>
      <c r="J4004" s="66"/>
      <c r="K4004" s="66"/>
      <c r="L4004" s="68"/>
      <c r="M4004" s="63" t="str">
        <f>HYPERLINK("http://nsgreg.nga.mil/genc/view?v=863333&amp;end_month=12&amp;end_day=31&amp;end_year=2016","Correlation")</f>
        <v>Correlation</v>
      </c>
    </row>
    <row r="4005" spans="1:13" x14ac:dyDescent="0.2">
      <c r="A4005" s="113"/>
      <c r="B4005" s="58" t="s">
        <v>10108</v>
      </c>
      <c r="C4005" s="58" t="s">
        <v>10077</v>
      </c>
      <c r="D4005" s="58" t="s">
        <v>10109</v>
      </c>
      <c r="E4005" s="60" t="b">
        <v>1</v>
      </c>
      <c r="F4005" s="80" t="s">
        <v>1219</v>
      </c>
      <c r="G4005" s="58" t="s">
        <v>10110</v>
      </c>
      <c r="H4005" s="58" t="s">
        <v>10077</v>
      </c>
      <c r="I4005" s="64" t="s">
        <v>10109</v>
      </c>
      <c r="J4005" s="66"/>
      <c r="K4005" s="66"/>
      <c r="L4005" s="68"/>
      <c r="M4005" s="63" t="str">
        <f>HYPERLINK("http://nsgreg.nga.mil/genc/view?v=863339&amp;end_month=12&amp;end_day=31&amp;end_year=2016","Correlation")</f>
        <v>Correlation</v>
      </c>
    </row>
    <row r="4006" spans="1:13" x14ac:dyDescent="0.2">
      <c r="A4006" s="113"/>
      <c r="B4006" s="58" t="s">
        <v>10111</v>
      </c>
      <c r="C4006" s="58" t="s">
        <v>10077</v>
      </c>
      <c r="D4006" s="58" t="s">
        <v>10112</v>
      </c>
      <c r="E4006" s="60" t="b">
        <v>1</v>
      </c>
      <c r="F4006" s="80" t="s">
        <v>1219</v>
      </c>
      <c r="G4006" s="58" t="s">
        <v>10111</v>
      </c>
      <c r="H4006" s="58" t="s">
        <v>10077</v>
      </c>
      <c r="I4006" s="64" t="s">
        <v>10112</v>
      </c>
      <c r="J4006" s="66"/>
      <c r="K4006" s="66"/>
      <c r="L4006" s="68"/>
      <c r="M4006" s="63" t="str">
        <f>HYPERLINK("http://nsgreg.nga.mil/genc/view?v=863334&amp;end_month=12&amp;end_day=31&amp;end_year=2016","Correlation")</f>
        <v>Correlation</v>
      </c>
    </row>
    <row r="4007" spans="1:13" x14ac:dyDescent="0.2">
      <c r="A4007" s="113"/>
      <c r="B4007" s="58" t="s">
        <v>10111</v>
      </c>
      <c r="C4007" s="58" t="s">
        <v>1413</v>
      </c>
      <c r="D4007" s="58" t="s">
        <v>10113</v>
      </c>
      <c r="E4007" s="60" t="b">
        <v>1</v>
      </c>
      <c r="F4007" s="80" t="s">
        <v>1219</v>
      </c>
      <c r="G4007" s="58" t="s">
        <v>10111</v>
      </c>
      <c r="H4007" s="58" t="s">
        <v>1413</v>
      </c>
      <c r="I4007" s="64" t="s">
        <v>10113</v>
      </c>
      <c r="J4007" s="66"/>
      <c r="K4007" s="66"/>
      <c r="L4007" s="68"/>
      <c r="M4007" s="63" t="str">
        <f>HYPERLINK("http://nsgreg.nga.mil/genc/view?v=863374&amp;end_month=12&amp;end_day=31&amp;end_year=2016","Correlation")</f>
        <v>Correlation</v>
      </c>
    </row>
    <row r="4008" spans="1:13" x14ac:dyDescent="0.2">
      <c r="A4008" s="113"/>
      <c r="B4008" s="58" t="s">
        <v>10114</v>
      </c>
      <c r="C4008" s="58" t="s">
        <v>1413</v>
      </c>
      <c r="D4008" s="58" t="s">
        <v>10115</v>
      </c>
      <c r="E4008" s="60" t="b">
        <v>1</v>
      </c>
      <c r="F4008" s="80" t="s">
        <v>1219</v>
      </c>
      <c r="G4008" s="58" t="s">
        <v>10114</v>
      </c>
      <c r="H4008" s="58" t="s">
        <v>1413</v>
      </c>
      <c r="I4008" s="64" t="s">
        <v>10115</v>
      </c>
      <c r="J4008" s="66"/>
      <c r="K4008" s="66"/>
      <c r="L4008" s="68"/>
      <c r="M4008" s="63" t="str">
        <f>HYPERLINK("http://nsgreg.nga.mil/genc/view?v=863342&amp;end_month=12&amp;end_day=31&amp;end_year=2016","Correlation")</f>
        <v>Correlation</v>
      </c>
    </row>
    <row r="4009" spans="1:13" x14ac:dyDescent="0.2">
      <c r="A4009" s="113"/>
      <c r="B4009" s="58" t="s">
        <v>10116</v>
      </c>
      <c r="C4009" s="58" t="s">
        <v>10077</v>
      </c>
      <c r="D4009" s="58" t="s">
        <v>10117</v>
      </c>
      <c r="E4009" s="60" t="b">
        <v>1</v>
      </c>
      <c r="F4009" s="80" t="s">
        <v>1219</v>
      </c>
      <c r="G4009" s="58" t="s">
        <v>10118</v>
      </c>
      <c r="H4009" s="58" t="s">
        <v>10077</v>
      </c>
      <c r="I4009" s="64" t="s">
        <v>10117</v>
      </c>
      <c r="J4009" s="66"/>
      <c r="K4009" s="66"/>
      <c r="L4009" s="68"/>
      <c r="M4009" s="63" t="str">
        <f>HYPERLINK("http://nsgreg.nga.mil/genc/view?v=863338&amp;end_month=12&amp;end_day=31&amp;end_year=2016","Correlation")</f>
        <v>Correlation</v>
      </c>
    </row>
    <row r="4010" spans="1:13" x14ac:dyDescent="0.2">
      <c r="A4010" s="113"/>
      <c r="B4010" s="58" t="s">
        <v>10119</v>
      </c>
      <c r="C4010" s="58" t="s">
        <v>10077</v>
      </c>
      <c r="D4010" s="58" t="s">
        <v>10120</v>
      </c>
      <c r="E4010" s="60" t="b">
        <v>1</v>
      </c>
      <c r="F4010" s="80" t="s">
        <v>1219</v>
      </c>
      <c r="G4010" s="58" t="s">
        <v>10121</v>
      </c>
      <c r="H4010" s="58" t="s">
        <v>10077</v>
      </c>
      <c r="I4010" s="64" t="s">
        <v>10120</v>
      </c>
      <c r="J4010" s="66"/>
      <c r="K4010" s="66"/>
      <c r="L4010" s="68"/>
      <c r="M4010" s="63" t="str">
        <f>HYPERLINK("http://nsgreg.nga.mil/genc/view?v=863337&amp;end_month=12&amp;end_day=31&amp;end_year=2016","Correlation")</f>
        <v>Correlation</v>
      </c>
    </row>
    <row r="4011" spans="1:13" x14ac:dyDescent="0.2">
      <c r="A4011" s="113"/>
      <c r="B4011" s="58" t="s">
        <v>10122</v>
      </c>
      <c r="C4011" s="58" t="s">
        <v>10077</v>
      </c>
      <c r="D4011" s="58" t="s">
        <v>10123</v>
      </c>
      <c r="E4011" s="60" t="b">
        <v>1</v>
      </c>
      <c r="F4011" s="80" t="s">
        <v>1219</v>
      </c>
      <c r="G4011" s="58" t="s">
        <v>10124</v>
      </c>
      <c r="H4011" s="58" t="s">
        <v>10077</v>
      </c>
      <c r="I4011" s="64" t="s">
        <v>10123</v>
      </c>
      <c r="J4011" s="66"/>
      <c r="K4011" s="66"/>
      <c r="L4011" s="68"/>
      <c r="M4011" s="63" t="str">
        <f>HYPERLINK("http://nsgreg.nga.mil/genc/view?v=863343&amp;end_month=12&amp;end_day=31&amp;end_year=2016","Correlation")</f>
        <v>Correlation</v>
      </c>
    </row>
    <row r="4012" spans="1:13" x14ac:dyDescent="0.2">
      <c r="A4012" s="113"/>
      <c r="B4012" s="58" t="s">
        <v>10125</v>
      </c>
      <c r="C4012" s="58" t="s">
        <v>1678</v>
      </c>
      <c r="D4012" s="58" t="s">
        <v>10126</v>
      </c>
      <c r="E4012" s="60" t="b">
        <v>1</v>
      </c>
      <c r="F4012" s="80" t="s">
        <v>1219</v>
      </c>
      <c r="G4012" s="58" t="s">
        <v>10125</v>
      </c>
      <c r="H4012" s="58" t="s">
        <v>10127</v>
      </c>
      <c r="I4012" s="64" t="s">
        <v>10126</v>
      </c>
      <c r="J4012" s="66"/>
      <c r="K4012" s="66"/>
      <c r="L4012" s="68"/>
      <c r="M4012" s="63" t="str">
        <f>HYPERLINK("http://nsgreg.nga.mil/genc/view?v=863336&amp;end_month=12&amp;end_day=31&amp;end_year=2016","Correlation")</f>
        <v>Correlation</v>
      </c>
    </row>
    <row r="4013" spans="1:13" x14ac:dyDescent="0.2">
      <c r="A4013" s="113"/>
      <c r="B4013" s="58" t="s">
        <v>10128</v>
      </c>
      <c r="C4013" s="58" t="s">
        <v>1413</v>
      </c>
      <c r="D4013" s="58" t="s">
        <v>10129</v>
      </c>
      <c r="E4013" s="60" t="b">
        <v>1</v>
      </c>
      <c r="F4013" s="80" t="s">
        <v>1219</v>
      </c>
      <c r="G4013" s="58" t="s">
        <v>10128</v>
      </c>
      <c r="H4013" s="58" t="s">
        <v>1413</v>
      </c>
      <c r="I4013" s="64" t="s">
        <v>10129</v>
      </c>
      <c r="J4013" s="66"/>
      <c r="K4013" s="66"/>
      <c r="L4013" s="68"/>
      <c r="M4013" s="63" t="str">
        <f>HYPERLINK("http://nsgreg.nga.mil/genc/view?v=863341&amp;end_month=12&amp;end_day=31&amp;end_year=2016","Correlation")</f>
        <v>Correlation</v>
      </c>
    </row>
    <row r="4014" spans="1:13" x14ac:dyDescent="0.2">
      <c r="A4014" s="113"/>
      <c r="B4014" s="58" t="s">
        <v>1688</v>
      </c>
      <c r="C4014" s="58" t="s">
        <v>1413</v>
      </c>
      <c r="D4014" s="58" t="s">
        <v>10130</v>
      </c>
      <c r="E4014" s="60" t="b">
        <v>1</v>
      </c>
      <c r="F4014" s="80" t="s">
        <v>1219</v>
      </c>
      <c r="G4014" s="58" t="s">
        <v>1688</v>
      </c>
      <c r="H4014" s="58" t="s">
        <v>1413</v>
      </c>
      <c r="I4014" s="64" t="s">
        <v>10130</v>
      </c>
      <c r="J4014" s="66"/>
      <c r="K4014" s="66"/>
      <c r="L4014" s="68"/>
      <c r="M4014" s="63" t="str">
        <f>HYPERLINK("http://nsgreg.nga.mil/genc/view?v=863340&amp;end_month=12&amp;end_day=31&amp;end_year=2016","Correlation")</f>
        <v>Correlation</v>
      </c>
    </row>
    <row r="4015" spans="1:13" x14ac:dyDescent="0.2">
      <c r="A4015" s="113"/>
      <c r="B4015" s="58" t="s">
        <v>10131</v>
      </c>
      <c r="C4015" s="58" t="s">
        <v>1413</v>
      </c>
      <c r="D4015" s="58" t="s">
        <v>10132</v>
      </c>
      <c r="E4015" s="60" t="b">
        <v>1</v>
      </c>
      <c r="F4015" s="80" t="s">
        <v>1219</v>
      </c>
      <c r="G4015" s="58" t="s">
        <v>10131</v>
      </c>
      <c r="H4015" s="58" t="s">
        <v>1413</v>
      </c>
      <c r="I4015" s="64" t="s">
        <v>10132</v>
      </c>
      <c r="J4015" s="66"/>
      <c r="K4015" s="66"/>
      <c r="L4015" s="68"/>
      <c r="M4015" s="63" t="str">
        <f>HYPERLINK("http://nsgreg.nga.mil/genc/view?v=863344&amp;end_month=12&amp;end_day=31&amp;end_year=2016","Correlation")</f>
        <v>Correlation</v>
      </c>
    </row>
    <row r="4016" spans="1:13" x14ac:dyDescent="0.2">
      <c r="A4016" s="113"/>
      <c r="B4016" s="58" t="s">
        <v>10133</v>
      </c>
      <c r="C4016" s="58" t="s">
        <v>10077</v>
      </c>
      <c r="D4016" s="58" t="s">
        <v>10134</v>
      </c>
      <c r="E4016" s="60" t="b">
        <v>1</v>
      </c>
      <c r="F4016" s="80" t="s">
        <v>1219</v>
      </c>
      <c r="G4016" s="58" t="s">
        <v>10133</v>
      </c>
      <c r="H4016" s="58" t="s">
        <v>10077</v>
      </c>
      <c r="I4016" s="64" t="s">
        <v>10134</v>
      </c>
      <c r="J4016" s="66"/>
      <c r="K4016" s="66"/>
      <c r="L4016" s="68"/>
      <c r="M4016" s="63" t="str">
        <f>HYPERLINK("http://nsgreg.nga.mil/genc/view?v=863345&amp;end_month=12&amp;end_day=31&amp;end_year=2016","Correlation")</f>
        <v>Correlation</v>
      </c>
    </row>
    <row r="4017" spans="1:13" x14ac:dyDescent="0.2">
      <c r="A4017" s="113"/>
      <c r="B4017" s="58" t="s">
        <v>10135</v>
      </c>
      <c r="C4017" s="58" t="s">
        <v>10077</v>
      </c>
      <c r="D4017" s="58" t="s">
        <v>10136</v>
      </c>
      <c r="E4017" s="60" t="b">
        <v>1</v>
      </c>
      <c r="F4017" s="80" t="s">
        <v>1219</v>
      </c>
      <c r="G4017" s="58" t="s">
        <v>10135</v>
      </c>
      <c r="H4017" s="58" t="s">
        <v>10077</v>
      </c>
      <c r="I4017" s="64" t="s">
        <v>10136</v>
      </c>
      <c r="J4017" s="66"/>
      <c r="K4017" s="66"/>
      <c r="L4017" s="68"/>
      <c r="M4017" s="63" t="str">
        <f>HYPERLINK("http://nsgreg.nga.mil/genc/view?v=863346&amp;end_month=12&amp;end_day=31&amp;end_year=2016","Correlation")</f>
        <v>Correlation</v>
      </c>
    </row>
    <row r="4018" spans="1:13" x14ac:dyDescent="0.2">
      <c r="A4018" s="113"/>
      <c r="B4018" s="58" t="s">
        <v>10137</v>
      </c>
      <c r="C4018" s="58" t="s">
        <v>1413</v>
      </c>
      <c r="D4018" s="58" t="s">
        <v>10138</v>
      </c>
      <c r="E4018" s="60" t="b">
        <v>1</v>
      </c>
      <c r="F4018" s="80" t="s">
        <v>1219</v>
      </c>
      <c r="G4018" s="58" t="s">
        <v>10139</v>
      </c>
      <c r="H4018" s="58" t="s">
        <v>1413</v>
      </c>
      <c r="I4018" s="64" t="s">
        <v>10138</v>
      </c>
      <c r="J4018" s="66"/>
      <c r="K4018" s="66"/>
      <c r="L4018" s="68"/>
      <c r="M4018" s="63" t="str">
        <f>HYPERLINK("http://nsgreg.nga.mil/genc/view?v=863348&amp;end_month=12&amp;end_day=31&amp;end_year=2016","Correlation")</f>
        <v>Correlation</v>
      </c>
    </row>
    <row r="4019" spans="1:13" x14ac:dyDescent="0.2">
      <c r="A4019" s="113"/>
      <c r="B4019" s="58" t="s">
        <v>7829</v>
      </c>
      <c r="C4019" s="58" t="s">
        <v>1413</v>
      </c>
      <c r="D4019" s="58" t="s">
        <v>10140</v>
      </c>
      <c r="E4019" s="60" t="b">
        <v>1</v>
      </c>
      <c r="F4019" s="80" t="s">
        <v>1219</v>
      </c>
      <c r="G4019" s="58" t="s">
        <v>7829</v>
      </c>
      <c r="H4019" s="58" t="s">
        <v>1413</v>
      </c>
      <c r="I4019" s="64" t="s">
        <v>10140</v>
      </c>
      <c r="J4019" s="66"/>
      <c r="K4019" s="66"/>
      <c r="L4019" s="68"/>
      <c r="M4019" s="63" t="str">
        <f>HYPERLINK("http://nsgreg.nga.mil/genc/view?v=863349&amp;end_month=12&amp;end_day=31&amp;end_year=2016","Correlation")</f>
        <v>Correlation</v>
      </c>
    </row>
    <row r="4020" spans="1:13" x14ac:dyDescent="0.2">
      <c r="A4020" s="113"/>
      <c r="B4020" s="58" t="s">
        <v>10141</v>
      </c>
      <c r="C4020" s="58" t="s">
        <v>1413</v>
      </c>
      <c r="D4020" s="58" t="s">
        <v>10142</v>
      </c>
      <c r="E4020" s="60" t="b">
        <v>1</v>
      </c>
      <c r="F4020" s="80" t="s">
        <v>1219</v>
      </c>
      <c r="G4020" s="58" t="s">
        <v>10141</v>
      </c>
      <c r="H4020" s="58" t="s">
        <v>1413</v>
      </c>
      <c r="I4020" s="64" t="s">
        <v>10142</v>
      </c>
      <c r="J4020" s="66"/>
      <c r="K4020" s="66"/>
      <c r="L4020" s="68"/>
      <c r="M4020" s="63" t="str">
        <f>HYPERLINK("http://nsgreg.nga.mil/genc/view?v=863350&amp;end_month=12&amp;end_day=31&amp;end_year=2016","Correlation")</f>
        <v>Correlation</v>
      </c>
    </row>
    <row r="4021" spans="1:13" x14ac:dyDescent="0.2">
      <c r="A4021" s="113"/>
      <c r="B4021" s="58" t="s">
        <v>10143</v>
      </c>
      <c r="C4021" s="58" t="s">
        <v>1413</v>
      </c>
      <c r="D4021" s="58" t="s">
        <v>10144</v>
      </c>
      <c r="E4021" s="60" t="b">
        <v>1</v>
      </c>
      <c r="F4021" s="80" t="s">
        <v>1219</v>
      </c>
      <c r="G4021" s="58" t="s">
        <v>10145</v>
      </c>
      <c r="H4021" s="58" t="s">
        <v>1413</v>
      </c>
      <c r="I4021" s="64" t="s">
        <v>10144</v>
      </c>
      <c r="J4021" s="66"/>
      <c r="K4021" s="66"/>
      <c r="L4021" s="68"/>
      <c r="M4021" s="63" t="str">
        <f>HYPERLINK("http://nsgreg.nga.mil/genc/view?v=863379&amp;end_month=12&amp;end_day=31&amp;end_year=2016","Correlation")</f>
        <v>Correlation</v>
      </c>
    </row>
    <row r="4022" spans="1:13" x14ac:dyDescent="0.2">
      <c r="A4022" s="113"/>
      <c r="B4022" s="58" t="s">
        <v>10146</v>
      </c>
      <c r="C4022" s="58" t="s">
        <v>1413</v>
      </c>
      <c r="D4022" s="58" t="s">
        <v>10147</v>
      </c>
      <c r="E4022" s="60" t="b">
        <v>1</v>
      </c>
      <c r="F4022" s="80" t="s">
        <v>1219</v>
      </c>
      <c r="G4022" s="58" t="s">
        <v>10146</v>
      </c>
      <c r="H4022" s="58" t="s">
        <v>1413</v>
      </c>
      <c r="I4022" s="64" t="s">
        <v>10147</v>
      </c>
      <c r="J4022" s="66"/>
      <c r="K4022" s="66"/>
      <c r="L4022" s="68"/>
      <c r="M4022" s="63" t="str">
        <f>HYPERLINK("http://nsgreg.nga.mil/genc/view?v=863351&amp;end_month=12&amp;end_day=31&amp;end_year=2016","Correlation")</f>
        <v>Correlation</v>
      </c>
    </row>
    <row r="4023" spans="1:13" x14ac:dyDescent="0.2">
      <c r="A4023" s="113"/>
      <c r="B4023" s="58" t="s">
        <v>10148</v>
      </c>
      <c r="C4023" s="58" t="s">
        <v>1413</v>
      </c>
      <c r="D4023" s="58" t="s">
        <v>10149</v>
      </c>
      <c r="E4023" s="60" t="b">
        <v>1</v>
      </c>
      <c r="F4023" s="80" t="s">
        <v>1219</v>
      </c>
      <c r="G4023" s="58" t="s">
        <v>10148</v>
      </c>
      <c r="H4023" s="58" t="s">
        <v>1413</v>
      </c>
      <c r="I4023" s="64" t="s">
        <v>10149</v>
      </c>
      <c r="J4023" s="66"/>
      <c r="K4023" s="66"/>
      <c r="L4023" s="68"/>
      <c r="M4023" s="63" t="str">
        <f>HYPERLINK("http://nsgreg.nga.mil/genc/view?v=863352&amp;end_month=12&amp;end_day=31&amp;end_year=2016","Correlation")</f>
        <v>Correlation</v>
      </c>
    </row>
    <row r="4024" spans="1:13" x14ac:dyDescent="0.2">
      <c r="A4024" s="113"/>
      <c r="B4024" s="58" t="s">
        <v>10150</v>
      </c>
      <c r="C4024" s="58" t="s">
        <v>1413</v>
      </c>
      <c r="D4024" s="58" t="s">
        <v>10151</v>
      </c>
      <c r="E4024" s="60" t="b">
        <v>1</v>
      </c>
      <c r="F4024" s="80" t="s">
        <v>1219</v>
      </c>
      <c r="G4024" s="58" t="s">
        <v>10150</v>
      </c>
      <c r="H4024" s="58" t="s">
        <v>1413</v>
      </c>
      <c r="I4024" s="64" t="s">
        <v>10151</v>
      </c>
      <c r="J4024" s="66"/>
      <c r="K4024" s="66"/>
      <c r="L4024" s="68"/>
      <c r="M4024" s="63" t="str">
        <f>HYPERLINK("http://nsgreg.nga.mil/genc/view?v=863354&amp;end_month=12&amp;end_day=31&amp;end_year=2016","Correlation")</f>
        <v>Correlation</v>
      </c>
    </row>
    <row r="4025" spans="1:13" x14ac:dyDescent="0.2">
      <c r="A4025" s="113"/>
      <c r="B4025" s="58" t="s">
        <v>1700</v>
      </c>
      <c r="C4025" s="58" t="s">
        <v>10077</v>
      </c>
      <c r="D4025" s="58" t="s">
        <v>10152</v>
      </c>
      <c r="E4025" s="60" t="b">
        <v>1</v>
      </c>
      <c r="F4025" s="80" t="s">
        <v>1219</v>
      </c>
      <c r="G4025" s="58" t="s">
        <v>1700</v>
      </c>
      <c r="H4025" s="58" t="s">
        <v>10077</v>
      </c>
      <c r="I4025" s="64" t="s">
        <v>10152</v>
      </c>
      <c r="J4025" s="66"/>
      <c r="K4025" s="66"/>
      <c r="L4025" s="68"/>
      <c r="M4025" s="63" t="str">
        <f>HYPERLINK("http://nsgreg.nga.mil/genc/view?v=863373&amp;end_month=12&amp;end_day=31&amp;end_year=2016","Correlation")</f>
        <v>Correlation</v>
      </c>
    </row>
    <row r="4026" spans="1:13" x14ac:dyDescent="0.2">
      <c r="A4026" s="113"/>
      <c r="B4026" s="58" t="s">
        <v>1700</v>
      </c>
      <c r="C4026" s="58" t="s">
        <v>1413</v>
      </c>
      <c r="D4026" s="58" t="s">
        <v>10153</v>
      </c>
      <c r="E4026" s="60" t="b">
        <v>1</v>
      </c>
      <c r="F4026" s="80" t="s">
        <v>1219</v>
      </c>
      <c r="G4026" s="58" t="s">
        <v>1700</v>
      </c>
      <c r="H4026" s="58" t="s">
        <v>1413</v>
      </c>
      <c r="I4026" s="64" t="s">
        <v>10153</v>
      </c>
      <c r="J4026" s="66"/>
      <c r="K4026" s="66"/>
      <c r="L4026" s="68"/>
      <c r="M4026" s="63" t="str">
        <f>HYPERLINK("http://nsgreg.nga.mil/genc/view?v=863357&amp;end_month=12&amp;end_day=31&amp;end_year=2016","Correlation")</f>
        <v>Correlation</v>
      </c>
    </row>
    <row r="4027" spans="1:13" x14ac:dyDescent="0.2">
      <c r="A4027" s="113"/>
      <c r="B4027" s="58" t="s">
        <v>10154</v>
      </c>
      <c r="C4027" s="58" t="s">
        <v>1413</v>
      </c>
      <c r="D4027" s="58" t="s">
        <v>10155</v>
      </c>
      <c r="E4027" s="60" t="b">
        <v>1</v>
      </c>
      <c r="F4027" s="80" t="s">
        <v>1219</v>
      </c>
      <c r="G4027" s="58" t="s">
        <v>10154</v>
      </c>
      <c r="H4027" s="58" t="s">
        <v>1413</v>
      </c>
      <c r="I4027" s="64" t="s">
        <v>10155</v>
      </c>
      <c r="J4027" s="66"/>
      <c r="K4027" s="66"/>
      <c r="L4027" s="68"/>
      <c r="M4027" s="63" t="str">
        <f>HYPERLINK("http://nsgreg.nga.mil/genc/view?v=863347&amp;end_month=12&amp;end_day=31&amp;end_year=2016","Correlation")</f>
        <v>Correlation</v>
      </c>
    </row>
    <row r="4028" spans="1:13" x14ac:dyDescent="0.2">
      <c r="A4028" s="113"/>
      <c r="B4028" s="58" t="s">
        <v>7833</v>
      </c>
      <c r="C4028" s="58" t="s">
        <v>1413</v>
      </c>
      <c r="D4028" s="58" t="s">
        <v>10156</v>
      </c>
      <c r="E4028" s="60" t="b">
        <v>1</v>
      </c>
      <c r="F4028" s="80" t="s">
        <v>1219</v>
      </c>
      <c r="G4028" s="58" t="s">
        <v>7833</v>
      </c>
      <c r="H4028" s="58" t="s">
        <v>1413</v>
      </c>
      <c r="I4028" s="64" t="s">
        <v>10156</v>
      </c>
      <c r="J4028" s="66"/>
      <c r="K4028" s="66"/>
      <c r="L4028" s="68"/>
      <c r="M4028" s="63" t="str">
        <f>HYPERLINK("http://nsgreg.nga.mil/genc/view?v=863356&amp;end_month=12&amp;end_day=31&amp;end_year=2016","Correlation")</f>
        <v>Correlation</v>
      </c>
    </row>
    <row r="4029" spans="1:13" x14ac:dyDescent="0.2">
      <c r="A4029" s="113"/>
      <c r="B4029" s="58" t="s">
        <v>10157</v>
      </c>
      <c r="C4029" s="58" t="s">
        <v>1413</v>
      </c>
      <c r="D4029" s="58" t="s">
        <v>10158</v>
      </c>
      <c r="E4029" s="60" t="b">
        <v>1</v>
      </c>
      <c r="F4029" s="80" t="s">
        <v>1219</v>
      </c>
      <c r="G4029" s="58" t="s">
        <v>10159</v>
      </c>
      <c r="H4029" s="58" t="s">
        <v>1413</v>
      </c>
      <c r="I4029" s="64" t="s">
        <v>10158</v>
      </c>
      <c r="J4029" s="66"/>
      <c r="K4029" s="66"/>
      <c r="L4029" s="68"/>
      <c r="M4029" s="63" t="str">
        <f>HYPERLINK("http://nsgreg.nga.mil/genc/view?v=863355&amp;end_month=12&amp;end_day=31&amp;end_year=2016","Correlation")</f>
        <v>Correlation</v>
      </c>
    </row>
    <row r="4030" spans="1:13" x14ac:dyDescent="0.2">
      <c r="A4030" s="113"/>
      <c r="B4030" s="58" t="s">
        <v>10160</v>
      </c>
      <c r="C4030" s="58" t="s">
        <v>1413</v>
      </c>
      <c r="D4030" s="58" t="s">
        <v>10161</v>
      </c>
      <c r="E4030" s="60" t="b">
        <v>1</v>
      </c>
      <c r="F4030" s="80" t="s">
        <v>1219</v>
      </c>
      <c r="G4030" s="58" t="s">
        <v>10160</v>
      </c>
      <c r="H4030" s="58" t="s">
        <v>1413</v>
      </c>
      <c r="I4030" s="64" t="s">
        <v>10161</v>
      </c>
      <c r="J4030" s="66"/>
      <c r="K4030" s="66"/>
      <c r="L4030" s="68"/>
      <c r="M4030" s="63" t="str">
        <f>HYPERLINK("http://nsgreg.nga.mil/genc/view?v=863358&amp;end_month=12&amp;end_day=31&amp;end_year=2016","Correlation")</f>
        <v>Correlation</v>
      </c>
    </row>
    <row r="4031" spans="1:13" x14ac:dyDescent="0.2">
      <c r="A4031" s="113"/>
      <c r="B4031" s="58" t="s">
        <v>10162</v>
      </c>
      <c r="C4031" s="58" t="s">
        <v>10077</v>
      </c>
      <c r="D4031" s="58" t="s">
        <v>10163</v>
      </c>
      <c r="E4031" s="60" t="b">
        <v>1</v>
      </c>
      <c r="F4031" s="80" t="s">
        <v>1219</v>
      </c>
      <c r="G4031" s="58" t="s">
        <v>10164</v>
      </c>
      <c r="H4031" s="58" t="s">
        <v>10077</v>
      </c>
      <c r="I4031" s="64" t="s">
        <v>10163</v>
      </c>
      <c r="J4031" s="66"/>
      <c r="K4031" s="66"/>
      <c r="L4031" s="68"/>
      <c r="M4031" s="63" t="str">
        <f>HYPERLINK("http://nsgreg.nga.mil/genc/view?v=863362&amp;end_month=12&amp;end_day=31&amp;end_year=2016","Correlation")</f>
        <v>Correlation</v>
      </c>
    </row>
    <row r="4032" spans="1:13" x14ac:dyDescent="0.2">
      <c r="A4032" s="113"/>
      <c r="B4032" s="58" t="s">
        <v>10162</v>
      </c>
      <c r="C4032" s="58" t="s">
        <v>1413</v>
      </c>
      <c r="D4032" s="58" t="s">
        <v>10165</v>
      </c>
      <c r="E4032" s="60" t="b">
        <v>1</v>
      </c>
      <c r="F4032" s="80" t="s">
        <v>1219</v>
      </c>
      <c r="G4032" s="58" t="s">
        <v>10162</v>
      </c>
      <c r="H4032" s="58" t="s">
        <v>1413</v>
      </c>
      <c r="I4032" s="64" t="s">
        <v>10165</v>
      </c>
      <c r="J4032" s="66"/>
      <c r="K4032" s="66"/>
      <c r="L4032" s="68"/>
      <c r="M4032" s="63" t="str">
        <f>HYPERLINK("http://nsgreg.nga.mil/genc/view?v=863359&amp;end_month=12&amp;end_day=31&amp;end_year=2016","Correlation")</f>
        <v>Correlation</v>
      </c>
    </row>
    <row r="4033" spans="1:13" x14ac:dyDescent="0.2">
      <c r="A4033" s="113"/>
      <c r="B4033" s="58" t="s">
        <v>10166</v>
      </c>
      <c r="C4033" s="58" t="s">
        <v>1413</v>
      </c>
      <c r="D4033" s="58" t="s">
        <v>10167</v>
      </c>
      <c r="E4033" s="60" t="b">
        <v>1</v>
      </c>
      <c r="F4033" s="80" t="s">
        <v>1219</v>
      </c>
      <c r="G4033" s="58" t="s">
        <v>10166</v>
      </c>
      <c r="H4033" s="58" t="s">
        <v>1413</v>
      </c>
      <c r="I4033" s="64" t="s">
        <v>10167</v>
      </c>
      <c r="J4033" s="66"/>
      <c r="K4033" s="66"/>
      <c r="L4033" s="68"/>
      <c r="M4033" s="63" t="str">
        <f>HYPERLINK("http://nsgreg.nga.mil/genc/view?v=863360&amp;end_month=12&amp;end_day=31&amp;end_year=2016","Correlation")</f>
        <v>Correlation</v>
      </c>
    </row>
    <row r="4034" spans="1:13" x14ac:dyDescent="0.2">
      <c r="A4034" s="113"/>
      <c r="B4034" s="58" t="s">
        <v>10168</v>
      </c>
      <c r="C4034" s="58" t="s">
        <v>1678</v>
      </c>
      <c r="D4034" s="58" t="s">
        <v>10169</v>
      </c>
      <c r="E4034" s="60" t="b">
        <v>1</v>
      </c>
      <c r="F4034" s="80" t="s">
        <v>1219</v>
      </c>
      <c r="G4034" s="58" t="s">
        <v>10168</v>
      </c>
      <c r="H4034" s="58" t="s">
        <v>10127</v>
      </c>
      <c r="I4034" s="64" t="s">
        <v>10169</v>
      </c>
      <c r="J4034" s="66"/>
      <c r="K4034" s="66"/>
      <c r="L4034" s="68"/>
      <c r="M4034" s="63" t="str">
        <f>HYPERLINK("http://nsgreg.nga.mil/genc/view?v=863363&amp;end_month=12&amp;end_day=31&amp;end_year=2016","Correlation")</f>
        <v>Correlation</v>
      </c>
    </row>
    <row r="4035" spans="1:13" x14ac:dyDescent="0.2">
      <c r="A4035" s="113"/>
      <c r="B4035" s="58" t="s">
        <v>10170</v>
      </c>
      <c r="C4035" s="58" t="s">
        <v>10077</v>
      </c>
      <c r="D4035" s="58" t="s">
        <v>10171</v>
      </c>
      <c r="E4035" s="60" t="b">
        <v>1</v>
      </c>
      <c r="F4035" s="80" t="s">
        <v>1219</v>
      </c>
      <c r="G4035" s="58" t="s">
        <v>10172</v>
      </c>
      <c r="H4035" s="58" t="s">
        <v>10077</v>
      </c>
      <c r="I4035" s="64" t="s">
        <v>10171</v>
      </c>
      <c r="J4035" s="66"/>
      <c r="K4035" s="66"/>
      <c r="L4035" s="68"/>
      <c r="M4035" s="63" t="str">
        <f>HYPERLINK("http://nsgreg.nga.mil/genc/view?v=863361&amp;end_month=12&amp;end_day=31&amp;end_year=2016","Correlation")</f>
        <v>Correlation</v>
      </c>
    </row>
    <row r="4036" spans="1:13" x14ac:dyDescent="0.2">
      <c r="A4036" s="113"/>
      <c r="B4036" s="58" t="s">
        <v>10170</v>
      </c>
      <c r="C4036" s="58" t="s">
        <v>1413</v>
      </c>
      <c r="D4036" s="58" t="s">
        <v>10173</v>
      </c>
      <c r="E4036" s="60" t="b">
        <v>1</v>
      </c>
      <c r="F4036" s="80" t="s">
        <v>1219</v>
      </c>
      <c r="G4036" s="58" t="s">
        <v>10170</v>
      </c>
      <c r="H4036" s="58" t="s">
        <v>1413</v>
      </c>
      <c r="I4036" s="64" t="s">
        <v>10173</v>
      </c>
      <c r="J4036" s="66"/>
      <c r="K4036" s="66"/>
      <c r="L4036" s="68"/>
      <c r="M4036" s="63" t="str">
        <f>HYPERLINK("http://nsgreg.nga.mil/genc/view?v=863364&amp;end_month=12&amp;end_day=31&amp;end_year=2016","Correlation")</f>
        <v>Correlation</v>
      </c>
    </row>
    <row r="4037" spans="1:13" x14ac:dyDescent="0.2">
      <c r="A4037" s="113"/>
      <c r="B4037" s="58" t="s">
        <v>10174</v>
      </c>
      <c r="C4037" s="58" t="s">
        <v>1413</v>
      </c>
      <c r="D4037" s="58" t="s">
        <v>10175</v>
      </c>
      <c r="E4037" s="60" t="b">
        <v>1</v>
      </c>
      <c r="F4037" s="80" t="s">
        <v>1219</v>
      </c>
      <c r="G4037" s="58" t="s">
        <v>10174</v>
      </c>
      <c r="H4037" s="58" t="s">
        <v>1413</v>
      </c>
      <c r="I4037" s="64" t="s">
        <v>10175</v>
      </c>
      <c r="J4037" s="66"/>
      <c r="K4037" s="66"/>
      <c r="L4037" s="68"/>
      <c r="M4037" s="63" t="str">
        <f>HYPERLINK("http://nsgreg.nga.mil/genc/view?v=863365&amp;end_month=12&amp;end_day=31&amp;end_year=2016","Correlation")</f>
        <v>Correlation</v>
      </c>
    </row>
    <row r="4038" spans="1:13" x14ac:dyDescent="0.2">
      <c r="A4038" s="113"/>
      <c r="B4038" s="58" t="s">
        <v>10176</v>
      </c>
      <c r="C4038" s="58" t="s">
        <v>10077</v>
      </c>
      <c r="D4038" s="58" t="s">
        <v>10177</v>
      </c>
      <c r="E4038" s="60" t="b">
        <v>1</v>
      </c>
      <c r="F4038" s="80" t="s">
        <v>1219</v>
      </c>
      <c r="G4038" s="58" t="s">
        <v>10178</v>
      </c>
      <c r="H4038" s="58" t="s">
        <v>10077</v>
      </c>
      <c r="I4038" s="64" t="s">
        <v>10177</v>
      </c>
      <c r="J4038" s="66"/>
      <c r="K4038" s="66"/>
      <c r="L4038" s="68"/>
      <c r="M4038" s="63" t="str">
        <f>HYPERLINK("http://nsgreg.nga.mil/genc/view?v=863366&amp;end_month=12&amp;end_day=31&amp;end_year=2016","Correlation")</f>
        <v>Correlation</v>
      </c>
    </row>
    <row r="4039" spans="1:13" x14ac:dyDescent="0.2">
      <c r="A4039" s="113"/>
      <c r="B4039" s="58" t="s">
        <v>10179</v>
      </c>
      <c r="C4039" s="58" t="s">
        <v>1413</v>
      </c>
      <c r="D4039" s="58" t="s">
        <v>10180</v>
      </c>
      <c r="E4039" s="60" t="b">
        <v>1</v>
      </c>
      <c r="F4039" s="80" t="s">
        <v>1219</v>
      </c>
      <c r="G4039" s="58" t="s">
        <v>10179</v>
      </c>
      <c r="H4039" s="58" t="s">
        <v>1413</v>
      </c>
      <c r="I4039" s="64" t="s">
        <v>10180</v>
      </c>
      <c r="J4039" s="66"/>
      <c r="K4039" s="66"/>
      <c r="L4039" s="68"/>
      <c r="M4039" s="63" t="str">
        <f>HYPERLINK("http://nsgreg.nga.mil/genc/view?v=863368&amp;end_month=12&amp;end_day=31&amp;end_year=2016","Correlation")</f>
        <v>Correlation</v>
      </c>
    </row>
    <row r="4040" spans="1:13" x14ac:dyDescent="0.2">
      <c r="A4040" s="113"/>
      <c r="B4040" s="58" t="s">
        <v>10181</v>
      </c>
      <c r="C4040" s="58" t="s">
        <v>1413</v>
      </c>
      <c r="D4040" s="58" t="s">
        <v>10182</v>
      </c>
      <c r="E4040" s="60" t="b">
        <v>1</v>
      </c>
      <c r="F4040" s="80" t="s">
        <v>1219</v>
      </c>
      <c r="G4040" s="58" t="s">
        <v>10181</v>
      </c>
      <c r="H4040" s="58" t="s">
        <v>1413</v>
      </c>
      <c r="I4040" s="64" t="s">
        <v>10182</v>
      </c>
      <c r="J4040" s="66"/>
      <c r="K4040" s="66"/>
      <c r="L4040" s="68"/>
      <c r="M4040" s="63" t="str">
        <f>HYPERLINK("http://nsgreg.nga.mil/genc/view?v=863369&amp;end_month=12&amp;end_day=31&amp;end_year=2016","Correlation")</f>
        <v>Correlation</v>
      </c>
    </row>
    <row r="4041" spans="1:13" x14ac:dyDescent="0.2">
      <c r="A4041" s="113"/>
      <c r="B4041" s="58" t="s">
        <v>10183</v>
      </c>
      <c r="C4041" s="58" t="s">
        <v>1413</v>
      </c>
      <c r="D4041" s="58" t="s">
        <v>10184</v>
      </c>
      <c r="E4041" s="60" t="b">
        <v>1</v>
      </c>
      <c r="F4041" s="80" t="s">
        <v>1219</v>
      </c>
      <c r="G4041" s="58" t="s">
        <v>10183</v>
      </c>
      <c r="H4041" s="58" t="s">
        <v>1413</v>
      </c>
      <c r="I4041" s="64" t="s">
        <v>10184</v>
      </c>
      <c r="J4041" s="66"/>
      <c r="K4041" s="66"/>
      <c r="L4041" s="68"/>
      <c r="M4041" s="63" t="str">
        <f>HYPERLINK("http://nsgreg.nga.mil/genc/view?v=863371&amp;end_month=12&amp;end_day=31&amp;end_year=2016","Correlation")</f>
        <v>Correlation</v>
      </c>
    </row>
    <row r="4042" spans="1:13" x14ac:dyDescent="0.2">
      <c r="A4042" s="113"/>
      <c r="B4042" s="58" t="s">
        <v>10185</v>
      </c>
      <c r="C4042" s="58" t="s">
        <v>1413</v>
      </c>
      <c r="D4042" s="58" t="s">
        <v>10186</v>
      </c>
      <c r="E4042" s="60" t="b">
        <v>1</v>
      </c>
      <c r="F4042" s="80" t="s">
        <v>1219</v>
      </c>
      <c r="G4042" s="58" t="s">
        <v>10185</v>
      </c>
      <c r="H4042" s="58" t="s">
        <v>1413</v>
      </c>
      <c r="I4042" s="64" t="s">
        <v>10186</v>
      </c>
      <c r="J4042" s="66"/>
      <c r="K4042" s="66"/>
      <c r="L4042" s="68"/>
      <c r="M4042" s="63" t="str">
        <f>HYPERLINK("http://nsgreg.nga.mil/genc/view?v=863375&amp;end_month=12&amp;end_day=31&amp;end_year=2016","Correlation")</f>
        <v>Correlation</v>
      </c>
    </row>
    <row r="4043" spans="1:13" x14ac:dyDescent="0.2">
      <c r="A4043" s="113"/>
      <c r="B4043" s="58" t="s">
        <v>10187</v>
      </c>
      <c r="C4043" s="58" t="s">
        <v>1413</v>
      </c>
      <c r="D4043" s="58" t="s">
        <v>10188</v>
      </c>
      <c r="E4043" s="60" t="b">
        <v>1</v>
      </c>
      <c r="F4043" s="80" t="s">
        <v>1219</v>
      </c>
      <c r="G4043" s="58" t="s">
        <v>10187</v>
      </c>
      <c r="H4043" s="58" t="s">
        <v>1413</v>
      </c>
      <c r="I4043" s="64" t="s">
        <v>10188</v>
      </c>
      <c r="J4043" s="66"/>
      <c r="K4043" s="66"/>
      <c r="L4043" s="68"/>
      <c r="M4043" s="63" t="str">
        <f>HYPERLINK("http://nsgreg.nga.mil/genc/view?v=863382&amp;end_month=12&amp;end_day=31&amp;end_year=2016","Correlation")</f>
        <v>Correlation</v>
      </c>
    </row>
    <row r="4044" spans="1:13" x14ac:dyDescent="0.2">
      <c r="A4044" s="113"/>
      <c r="B4044" s="58" t="s">
        <v>10189</v>
      </c>
      <c r="C4044" s="58" t="s">
        <v>1413</v>
      </c>
      <c r="D4044" s="58" t="s">
        <v>10190</v>
      </c>
      <c r="E4044" s="60" t="b">
        <v>1</v>
      </c>
      <c r="F4044" s="80" t="s">
        <v>1219</v>
      </c>
      <c r="G4044" s="58" t="s">
        <v>10189</v>
      </c>
      <c r="H4044" s="58" t="s">
        <v>1413</v>
      </c>
      <c r="I4044" s="64" t="s">
        <v>10190</v>
      </c>
      <c r="J4044" s="66"/>
      <c r="K4044" s="66"/>
      <c r="L4044" s="68"/>
      <c r="M4044" s="63" t="str">
        <f>HYPERLINK("http://nsgreg.nga.mil/genc/view?v=863377&amp;end_month=12&amp;end_day=31&amp;end_year=2016","Correlation")</f>
        <v>Correlation</v>
      </c>
    </row>
    <row r="4045" spans="1:13" x14ac:dyDescent="0.2">
      <c r="A4045" s="113"/>
      <c r="B4045" s="58" t="s">
        <v>10191</v>
      </c>
      <c r="C4045" s="58" t="s">
        <v>1413</v>
      </c>
      <c r="D4045" s="58" t="s">
        <v>10192</v>
      </c>
      <c r="E4045" s="60" t="b">
        <v>1</v>
      </c>
      <c r="F4045" s="80" t="s">
        <v>1219</v>
      </c>
      <c r="G4045" s="58" t="s">
        <v>10191</v>
      </c>
      <c r="H4045" s="58" t="s">
        <v>1413</v>
      </c>
      <c r="I4045" s="64" t="s">
        <v>10192</v>
      </c>
      <c r="J4045" s="66"/>
      <c r="K4045" s="66"/>
      <c r="L4045" s="68"/>
      <c r="M4045" s="63" t="str">
        <f>HYPERLINK("http://nsgreg.nga.mil/genc/view?v=863376&amp;end_month=12&amp;end_day=31&amp;end_year=2016","Correlation")</f>
        <v>Correlation</v>
      </c>
    </row>
    <row r="4046" spans="1:13" x14ac:dyDescent="0.2">
      <c r="A4046" s="113"/>
      <c r="B4046" s="58" t="s">
        <v>10193</v>
      </c>
      <c r="C4046" s="58" t="s">
        <v>1413</v>
      </c>
      <c r="D4046" s="58" t="s">
        <v>10194</v>
      </c>
      <c r="E4046" s="60" t="b">
        <v>1</v>
      </c>
      <c r="F4046" s="80" t="s">
        <v>1219</v>
      </c>
      <c r="G4046" s="58" t="s">
        <v>10193</v>
      </c>
      <c r="H4046" s="58" t="s">
        <v>1413</v>
      </c>
      <c r="I4046" s="64" t="s">
        <v>10194</v>
      </c>
      <c r="J4046" s="66"/>
      <c r="K4046" s="66"/>
      <c r="L4046" s="68"/>
      <c r="M4046" s="63" t="str">
        <f>HYPERLINK("http://nsgreg.nga.mil/genc/view?v=863378&amp;end_month=12&amp;end_day=31&amp;end_year=2016","Correlation")</f>
        <v>Correlation</v>
      </c>
    </row>
    <row r="4047" spans="1:13" x14ac:dyDescent="0.2">
      <c r="A4047" s="113"/>
      <c r="B4047" s="58" t="s">
        <v>10195</v>
      </c>
      <c r="C4047" s="58" t="s">
        <v>1413</v>
      </c>
      <c r="D4047" s="58" t="s">
        <v>10196</v>
      </c>
      <c r="E4047" s="60" t="b">
        <v>1</v>
      </c>
      <c r="F4047" s="80" t="s">
        <v>1219</v>
      </c>
      <c r="G4047" s="58" t="s">
        <v>10195</v>
      </c>
      <c r="H4047" s="58" t="s">
        <v>1413</v>
      </c>
      <c r="I4047" s="64" t="s">
        <v>10196</v>
      </c>
      <c r="J4047" s="66"/>
      <c r="K4047" s="66"/>
      <c r="L4047" s="68"/>
      <c r="M4047" s="63" t="str">
        <f>HYPERLINK("http://nsgreg.nga.mil/genc/view?v=863380&amp;end_month=12&amp;end_day=31&amp;end_year=2016","Correlation")</f>
        <v>Correlation</v>
      </c>
    </row>
    <row r="4048" spans="1:13" x14ac:dyDescent="0.2">
      <c r="A4048" s="113"/>
      <c r="B4048" s="58" t="s">
        <v>10197</v>
      </c>
      <c r="C4048" s="58" t="s">
        <v>1413</v>
      </c>
      <c r="D4048" s="58" t="s">
        <v>10198</v>
      </c>
      <c r="E4048" s="60" t="b">
        <v>1</v>
      </c>
      <c r="F4048" s="80" t="s">
        <v>1219</v>
      </c>
      <c r="G4048" s="58" t="s">
        <v>10197</v>
      </c>
      <c r="H4048" s="58" t="s">
        <v>1413</v>
      </c>
      <c r="I4048" s="64" t="s">
        <v>10198</v>
      </c>
      <c r="J4048" s="66"/>
      <c r="K4048" s="66"/>
      <c r="L4048" s="68"/>
      <c r="M4048" s="63" t="str">
        <f>HYPERLINK("http://nsgreg.nga.mil/genc/view?v=863381&amp;end_month=12&amp;end_day=31&amp;end_year=2016","Correlation")</f>
        <v>Correlation</v>
      </c>
    </row>
    <row r="4049" spans="1:13" x14ac:dyDescent="0.2">
      <c r="A4049" s="113"/>
      <c r="B4049" s="58" t="s">
        <v>2291</v>
      </c>
      <c r="C4049" s="58" t="s">
        <v>1413</v>
      </c>
      <c r="D4049" s="58" t="s">
        <v>10199</v>
      </c>
      <c r="E4049" s="60" t="b">
        <v>1</v>
      </c>
      <c r="F4049" s="80" t="s">
        <v>1219</v>
      </c>
      <c r="G4049" s="58" t="s">
        <v>2291</v>
      </c>
      <c r="H4049" s="58" t="s">
        <v>1413</v>
      </c>
      <c r="I4049" s="64" t="s">
        <v>10199</v>
      </c>
      <c r="J4049" s="66"/>
      <c r="K4049" s="66"/>
      <c r="L4049" s="68"/>
      <c r="M4049" s="63" t="str">
        <f>HYPERLINK("http://nsgreg.nga.mil/genc/view?v=863383&amp;end_month=12&amp;end_day=31&amp;end_year=2016","Correlation")</f>
        <v>Correlation</v>
      </c>
    </row>
    <row r="4050" spans="1:13" x14ac:dyDescent="0.2">
      <c r="A4050" s="113"/>
      <c r="B4050" s="58" t="s">
        <v>10200</v>
      </c>
      <c r="C4050" s="58" t="s">
        <v>10077</v>
      </c>
      <c r="D4050" s="58" t="s">
        <v>10201</v>
      </c>
      <c r="E4050" s="60" t="b">
        <v>1</v>
      </c>
      <c r="F4050" s="80" t="s">
        <v>1219</v>
      </c>
      <c r="G4050" s="58" t="s">
        <v>10202</v>
      </c>
      <c r="H4050" s="58" t="s">
        <v>10077</v>
      </c>
      <c r="I4050" s="64" t="s">
        <v>10201</v>
      </c>
      <c r="J4050" s="66"/>
      <c r="K4050" s="66"/>
      <c r="L4050" s="68"/>
      <c r="M4050" s="63" t="str">
        <f>HYPERLINK("http://nsgreg.nga.mil/genc/view?v=863386&amp;end_month=12&amp;end_day=31&amp;end_year=2016","Correlation")</f>
        <v>Correlation</v>
      </c>
    </row>
    <row r="4051" spans="1:13" x14ac:dyDescent="0.2">
      <c r="A4051" s="113"/>
      <c r="B4051" s="58" t="s">
        <v>10200</v>
      </c>
      <c r="C4051" s="58" t="s">
        <v>1413</v>
      </c>
      <c r="D4051" s="58" t="s">
        <v>10203</v>
      </c>
      <c r="E4051" s="60" t="b">
        <v>1</v>
      </c>
      <c r="F4051" s="80" t="s">
        <v>1219</v>
      </c>
      <c r="G4051" s="58" t="s">
        <v>10200</v>
      </c>
      <c r="H4051" s="58" t="s">
        <v>1413</v>
      </c>
      <c r="I4051" s="64" t="s">
        <v>10203</v>
      </c>
      <c r="J4051" s="66"/>
      <c r="K4051" s="66"/>
      <c r="L4051" s="68"/>
      <c r="M4051" s="63" t="str">
        <f>HYPERLINK("http://nsgreg.nga.mil/genc/view?v=863384&amp;end_month=12&amp;end_day=31&amp;end_year=2016","Correlation")</f>
        <v>Correlation</v>
      </c>
    </row>
    <row r="4052" spans="1:13" x14ac:dyDescent="0.2">
      <c r="A4052" s="113"/>
      <c r="B4052" s="58" t="s">
        <v>10204</v>
      </c>
      <c r="C4052" s="58" t="s">
        <v>1413</v>
      </c>
      <c r="D4052" s="58" t="s">
        <v>10205</v>
      </c>
      <c r="E4052" s="60" t="b">
        <v>1</v>
      </c>
      <c r="F4052" s="80" t="s">
        <v>1219</v>
      </c>
      <c r="G4052" s="58" t="s">
        <v>10204</v>
      </c>
      <c r="H4052" s="58" t="s">
        <v>1413</v>
      </c>
      <c r="I4052" s="64" t="s">
        <v>10205</v>
      </c>
      <c r="J4052" s="66"/>
      <c r="K4052" s="66"/>
      <c r="L4052" s="68"/>
      <c r="M4052" s="63" t="str">
        <f>HYPERLINK("http://nsgreg.nga.mil/genc/view?v=863385&amp;end_month=12&amp;end_day=31&amp;end_year=2016","Correlation")</f>
        <v>Correlation</v>
      </c>
    </row>
    <row r="4053" spans="1:13" x14ac:dyDescent="0.2">
      <c r="A4053" s="113"/>
      <c r="B4053" s="58" t="s">
        <v>10206</v>
      </c>
      <c r="C4053" s="58" t="s">
        <v>1413</v>
      </c>
      <c r="D4053" s="58" t="s">
        <v>10207</v>
      </c>
      <c r="E4053" s="60" t="b">
        <v>1</v>
      </c>
      <c r="F4053" s="80" t="s">
        <v>1219</v>
      </c>
      <c r="G4053" s="58" t="s">
        <v>10208</v>
      </c>
      <c r="H4053" s="58" t="s">
        <v>1413</v>
      </c>
      <c r="I4053" s="64" t="s">
        <v>10207</v>
      </c>
      <c r="J4053" s="66"/>
      <c r="K4053" s="66"/>
      <c r="L4053" s="68"/>
      <c r="M4053" s="63" t="str">
        <f>HYPERLINK("http://nsgreg.nga.mil/genc/view?v=863330&amp;end_month=12&amp;end_day=31&amp;end_year=2016","Correlation")</f>
        <v>Correlation</v>
      </c>
    </row>
    <row r="4054" spans="1:13" x14ac:dyDescent="0.2">
      <c r="A4054" s="113"/>
      <c r="B4054" s="58" t="s">
        <v>10209</v>
      </c>
      <c r="C4054" s="58" t="s">
        <v>1413</v>
      </c>
      <c r="D4054" s="58" t="s">
        <v>10210</v>
      </c>
      <c r="E4054" s="60" t="b">
        <v>1</v>
      </c>
      <c r="F4054" s="80" t="s">
        <v>1219</v>
      </c>
      <c r="G4054" s="58" t="s">
        <v>10209</v>
      </c>
      <c r="H4054" s="58" t="s">
        <v>1413</v>
      </c>
      <c r="I4054" s="64" t="s">
        <v>10210</v>
      </c>
      <c r="J4054" s="66"/>
      <c r="K4054" s="66"/>
      <c r="L4054" s="68"/>
      <c r="M4054" s="63" t="str">
        <f>HYPERLINK("http://nsgreg.nga.mil/genc/view?v=863389&amp;end_month=12&amp;end_day=31&amp;end_year=2016","Correlation")</f>
        <v>Correlation</v>
      </c>
    </row>
    <row r="4055" spans="1:13" x14ac:dyDescent="0.2">
      <c r="A4055" s="114"/>
      <c r="B4055" s="71" t="s">
        <v>10211</v>
      </c>
      <c r="C4055" s="71" t="s">
        <v>1413</v>
      </c>
      <c r="D4055" s="71" t="s">
        <v>10212</v>
      </c>
      <c r="E4055" s="73" t="b">
        <v>1</v>
      </c>
      <c r="F4055" s="81" t="s">
        <v>1219</v>
      </c>
      <c r="G4055" s="71" t="s">
        <v>10211</v>
      </c>
      <c r="H4055" s="71" t="s">
        <v>1413</v>
      </c>
      <c r="I4055" s="74" t="s">
        <v>10212</v>
      </c>
      <c r="J4055" s="76"/>
      <c r="K4055" s="76"/>
      <c r="L4055" s="82"/>
      <c r="M4055" s="77" t="str">
        <f>HYPERLINK("http://nsgreg.nga.mil/genc/view?v=863388&amp;end_month=12&amp;end_day=31&amp;end_year=2016","Correlation")</f>
        <v>Correlation</v>
      </c>
    </row>
    <row r="4056" spans="1:13" x14ac:dyDescent="0.2">
      <c r="A4056" s="112" t="s">
        <v>1227</v>
      </c>
      <c r="B4056" s="50" t="s">
        <v>10213</v>
      </c>
      <c r="C4056" s="50" t="s">
        <v>1796</v>
      </c>
      <c r="D4056" s="50" t="s">
        <v>10214</v>
      </c>
      <c r="E4056" s="52" t="b">
        <v>1</v>
      </c>
      <c r="F4056" s="78" t="s">
        <v>1227</v>
      </c>
      <c r="G4056" s="50" t="s">
        <v>10213</v>
      </c>
      <c r="H4056" s="50" t="s">
        <v>1796</v>
      </c>
      <c r="I4056" s="53" t="s">
        <v>10214</v>
      </c>
      <c r="J4056" s="55"/>
      <c r="K4056" s="55"/>
      <c r="L4056" s="79"/>
      <c r="M4056" s="56" t="str">
        <f>HYPERLINK("http://nsgreg.nga.mil/genc/view?v=864669&amp;end_month=12&amp;end_day=31&amp;end_year=2016","Correlation")</f>
        <v>Correlation</v>
      </c>
    </row>
    <row r="4057" spans="1:13" x14ac:dyDescent="0.2">
      <c r="A4057" s="113"/>
      <c r="B4057" s="58" t="s">
        <v>10215</v>
      </c>
      <c r="C4057" s="58" t="s">
        <v>1796</v>
      </c>
      <c r="D4057" s="58" t="s">
        <v>10216</v>
      </c>
      <c r="E4057" s="60" t="b">
        <v>1</v>
      </c>
      <c r="F4057" s="80" t="s">
        <v>1227</v>
      </c>
      <c r="G4057" s="58" t="s">
        <v>10215</v>
      </c>
      <c r="H4057" s="58" t="s">
        <v>1796</v>
      </c>
      <c r="I4057" s="64" t="s">
        <v>10216</v>
      </c>
      <c r="J4057" s="66"/>
      <c r="K4057" s="66"/>
      <c r="L4057" s="68"/>
      <c r="M4057" s="63" t="str">
        <f>HYPERLINK("http://nsgreg.nga.mil/genc/view?v=864675&amp;end_month=12&amp;end_day=31&amp;end_year=2016","Correlation")</f>
        <v>Correlation</v>
      </c>
    </row>
    <row r="4058" spans="1:13" x14ac:dyDescent="0.2">
      <c r="A4058" s="113"/>
      <c r="B4058" s="58" t="s">
        <v>10217</v>
      </c>
      <c r="C4058" s="58" t="s">
        <v>1796</v>
      </c>
      <c r="D4058" s="58" t="s">
        <v>10218</v>
      </c>
      <c r="E4058" s="60" t="b">
        <v>1</v>
      </c>
      <c r="F4058" s="80" t="s">
        <v>1227</v>
      </c>
      <c r="G4058" s="58" t="s">
        <v>10217</v>
      </c>
      <c r="H4058" s="58" t="s">
        <v>1796</v>
      </c>
      <c r="I4058" s="64" t="s">
        <v>10218</v>
      </c>
      <c r="J4058" s="66"/>
      <c r="K4058" s="66"/>
      <c r="L4058" s="68"/>
      <c r="M4058" s="63" t="str">
        <f>HYPERLINK("http://nsgreg.nga.mil/genc/view?v=864678&amp;end_month=12&amp;end_day=31&amp;end_year=2016","Correlation")</f>
        <v>Correlation</v>
      </c>
    </row>
    <row r="4059" spans="1:13" x14ac:dyDescent="0.2">
      <c r="A4059" s="113"/>
      <c r="B4059" s="58" t="s">
        <v>10219</v>
      </c>
      <c r="C4059" s="58" t="s">
        <v>1796</v>
      </c>
      <c r="D4059" s="58" t="s">
        <v>10220</v>
      </c>
      <c r="E4059" s="60" t="b">
        <v>1</v>
      </c>
      <c r="F4059" s="80" t="s">
        <v>1227</v>
      </c>
      <c r="G4059" s="58" t="s">
        <v>10219</v>
      </c>
      <c r="H4059" s="58" t="s">
        <v>1796</v>
      </c>
      <c r="I4059" s="64" t="s">
        <v>10220</v>
      </c>
      <c r="J4059" s="66"/>
      <c r="K4059" s="66"/>
      <c r="L4059" s="68"/>
      <c r="M4059" s="63" t="str">
        <f>HYPERLINK("http://nsgreg.nga.mil/genc/view?v=864668&amp;end_month=12&amp;end_day=31&amp;end_year=2016","Correlation")</f>
        <v>Correlation</v>
      </c>
    </row>
    <row r="4060" spans="1:13" x14ac:dyDescent="0.2">
      <c r="A4060" s="113"/>
      <c r="B4060" s="58" t="s">
        <v>2411</v>
      </c>
      <c r="C4060" s="58" t="s">
        <v>1413</v>
      </c>
      <c r="D4060" s="58" t="s">
        <v>10221</v>
      </c>
      <c r="E4060" s="60" t="b">
        <v>1</v>
      </c>
      <c r="F4060" s="80" t="s">
        <v>1227</v>
      </c>
      <c r="G4060" s="58" t="s">
        <v>10222</v>
      </c>
      <c r="H4060" s="58" t="s">
        <v>1413</v>
      </c>
      <c r="I4060" s="64" t="s">
        <v>10221</v>
      </c>
      <c r="J4060" s="66"/>
      <c r="K4060" s="66"/>
      <c r="L4060" s="68"/>
      <c r="M4060" s="63" t="str">
        <f>HYPERLINK("http://nsgreg.nga.mil/genc/view?v=864653&amp;end_month=12&amp;end_day=31&amp;end_year=2016","Correlation")</f>
        <v>Correlation</v>
      </c>
    </row>
    <row r="4061" spans="1:13" x14ac:dyDescent="0.2">
      <c r="A4061" s="113"/>
      <c r="B4061" s="58" t="s">
        <v>10223</v>
      </c>
      <c r="C4061" s="58" t="s">
        <v>1796</v>
      </c>
      <c r="D4061" s="58" t="s">
        <v>10224</v>
      </c>
      <c r="E4061" s="60" t="b">
        <v>1</v>
      </c>
      <c r="F4061" s="80" t="s">
        <v>1227</v>
      </c>
      <c r="G4061" s="58" t="s">
        <v>10223</v>
      </c>
      <c r="H4061" s="58" t="s">
        <v>1796</v>
      </c>
      <c r="I4061" s="64" t="s">
        <v>10224</v>
      </c>
      <c r="J4061" s="66"/>
      <c r="K4061" s="66"/>
      <c r="L4061" s="68"/>
      <c r="M4061" s="63" t="str">
        <f>HYPERLINK("http://nsgreg.nga.mil/genc/view?v=864650&amp;end_month=12&amp;end_day=31&amp;end_year=2016","Correlation")</f>
        <v>Correlation</v>
      </c>
    </row>
    <row r="4062" spans="1:13" x14ac:dyDescent="0.2">
      <c r="A4062" s="113"/>
      <c r="B4062" s="58" t="s">
        <v>4055</v>
      </c>
      <c r="C4062" s="58" t="s">
        <v>1413</v>
      </c>
      <c r="D4062" s="58" t="s">
        <v>10225</v>
      </c>
      <c r="E4062" s="60" t="b">
        <v>1</v>
      </c>
      <c r="F4062" s="80" t="s">
        <v>1227</v>
      </c>
      <c r="G4062" s="58" t="s">
        <v>8906</v>
      </c>
      <c r="H4062" s="58" t="s">
        <v>1413</v>
      </c>
      <c r="I4062" s="64" t="s">
        <v>10225</v>
      </c>
      <c r="J4062" s="66"/>
      <c r="K4062" s="66"/>
      <c r="L4062" s="68"/>
      <c r="M4062" s="63" t="str">
        <f>HYPERLINK("http://nsgreg.nga.mil/genc/view?v=864667&amp;end_month=12&amp;end_day=31&amp;end_year=2016","Correlation")</f>
        <v>Correlation</v>
      </c>
    </row>
    <row r="4063" spans="1:13" x14ac:dyDescent="0.2">
      <c r="A4063" s="113"/>
      <c r="B4063" s="58" t="s">
        <v>10226</v>
      </c>
      <c r="C4063" s="58" t="s">
        <v>1796</v>
      </c>
      <c r="D4063" s="58" t="s">
        <v>10227</v>
      </c>
      <c r="E4063" s="60" t="b">
        <v>1</v>
      </c>
      <c r="F4063" s="80" t="s">
        <v>1227</v>
      </c>
      <c r="G4063" s="58" t="s">
        <v>10226</v>
      </c>
      <c r="H4063" s="58" t="s">
        <v>1796</v>
      </c>
      <c r="I4063" s="64" t="s">
        <v>10227</v>
      </c>
      <c r="J4063" s="66"/>
      <c r="K4063" s="66"/>
      <c r="L4063" s="68"/>
      <c r="M4063" s="63" t="str">
        <f>HYPERLINK("http://nsgreg.nga.mil/genc/view?v=864658&amp;end_month=12&amp;end_day=31&amp;end_year=2016","Correlation")</f>
        <v>Correlation</v>
      </c>
    </row>
    <row r="4064" spans="1:13" x14ac:dyDescent="0.2">
      <c r="A4064" s="113"/>
      <c r="B4064" s="58" t="s">
        <v>10228</v>
      </c>
      <c r="C4064" s="58" t="s">
        <v>1796</v>
      </c>
      <c r="D4064" s="58" t="s">
        <v>10229</v>
      </c>
      <c r="E4064" s="60" t="b">
        <v>1</v>
      </c>
      <c r="F4064" s="80" t="s">
        <v>1227</v>
      </c>
      <c r="G4064" s="58" t="s">
        <v>10228</v>
      </c>
      <c r="H4064" s="58" t="s">
        <v>1796</v>
      </c>
      <c r="I4064" s="64" t="s">
        <v>10229</v>
      </c>
      <c r="J4064" s="66"/>
      <c r="K4064" s="66"/>
      <c r="L4064" s="68"/>
      <c r="M4064" s="63" t="str">
        <f>HYPERLINK("http://nsgreg.nga.mil/genc/view?v=864651&amp;end_month=12&amp;end_day=31&amp;end_year=2016","Correlation")</f>
        <v>Correlation</v>
      </c>
    </row>
    <row r="4065" spans="1:13" x14ac:dyDescent="0.2">
      <c r="A4065" s="113"/>
      <c r="B4065" s="58" t="s">
        <v>10230</v>
      </c>
      <c r="C4065" s="58" t="s">
        <v>1796</v>
      </c>
      <c r="D4065" s="58" t="s">
        <v>10231</v>
      </c>
      <c r="E4065" s="60" t="b">
        <v>1</v>
      </c>
      <c r="F4065" s="80" t="s">
        <v>1227</v>
      </c>
      <c r="G4065" s="58" t="s">
        <v>10230</v>
      </c>
      <c r="H4065" s="58" t="s">
        <v>1796</v>
      </c>
      <c r="I4065" s="64" t="s">
        <v>10231</v>
      </c>
      <c r="J4065" s="66"/>
      <c r="K4065" s="66"/>
      <c r="L4065" s="68"/>
      <c r="M4065" s="63" t="str">
        <f>HYPERLINK("http://nsgreg.nga.mil/genc/view?v=864660&amp;end_month=12&amp;end_day=31&amp;end_year=2016","Correlation")</f>
        <v>Correlation</v>
      </c>
    </row>
    <row r="4066" spans="1:13" x14ac:dyDescent="0.2">
      <c r="A4066" s="113"/>
      <c r="B4066" s="58" t="s">
        <v>10232</v>
      </c>
      <c r="C4066" s="58" t="s">
        <v>1796</v>
      </c>
      <c r="D4066" s="58" t="s">
        <v>10233</v>
      </c>
      <c r="E4066" s="60" t="b">
        <v>1</v>
      </c>
      <c r="F4066" s="80" t="s">
        <v>1227</v>
      </c>
      <c r="G4066" s="58" t="s">
        <v>10232</v>
      </c>
      <c r="H4066" s="58" t="s">
        <v>1796</v>
      </c>
      <c r="I4066" s="64" t="s">
        <v>10233</v>
      </c>
      <c r="J4066" s="66"/>
      <c r="K4066" s="66"/>
      <c r="L4066" s="68"/>
      <c r="M4066" s="63" t="str">
        <f>HYPERLINK("http://nsgreg.nga.mil/genc/view?v=864662&amp;end_month=12&amp;end_day=31&amp;end_year=2016","Correlation")</f>
        <v>Correlation</v>
      </c>
    </row>
    <row r="4067" spans="1:13" x14ac:dyDescent="0.2">
      <c r="A4067" s="113"/>
      <c r="B4067" s="58" t="s">
        <v>10234</v>
      </c>
      <c r="C4067" s="58" t="s">
        <v>1796</v>
      </c>
      <c r="D4067" s="58" t="s">
        <v>10235</v>
      </c>
      <c r="E4067" s="60" t="b">
        <v>1</v>
      </c>
      <c r="F4067" s="80" t="s">
        <v>1227</v>
      </c>
      <c r="G4067" s="58" t="s">
        <v>10234</v>
      </c>
      <c r="H4067" s="58" t="s">
        <v>1796</v>
      </c>
      <c r="I4067" s="64" t="s">
        <v>10235</v>
      </c>
      <c r="J4067" s="66"/>
      <c r="K4067" s="66"/>
      <c r="L4067" s="68"/>
      <c r="M4067" s="63" t="str">
        <f>HYPERLINK("http://nsgreg.nga.mil/genc/view?v=864652&amp;end_month=12&amp;end_day=31&amp;end_year=2016","Correlation")</f>
        <v>Correlation</v>
      </c>
    </row>
    <row r="4068" spans="1:13" x14ac:dyDescent="0.2">
      <c r="A4068" s="113"/>
      <c r="B4068" s="58" t="s">
        <v>10236</v>
      </c>
      <c r="C4068" s="58" t="s">
        <v>1796</v>
      </c>
      <c r="D4068" s="58" t="s">
        <v>10237</v>
      </c>
      <c r="E4068" s="60" t="b">
        <v>1</v>
      </c>
      <c r="F4068" s="80" t="s">
        <v>1227</v>
      </c>
      <c r="G4068" s="58" t="s">
        <v>10236</v>
      </c>
      <c r="H4068" s="58" t="s">
        <v>1796</v>
      </c>
      <c r="I4068" s="64" t="s">
        <v>10237</v>
      </c>
      <c r="J4068" s="66"/>
      <c r="K4068" s="66"/>
      <c r="L4068" s="68"/>
      <c r="M4068" s="63" t="str">
        <f>HYPERLINK("http://nsgreg.nga.mil/genc/view?v=864654&amp;end_month=12&amp;end_day=31&amp;end_year=2016","Correlation")</f>
        <v>Correlation</v>
      </c>
    </row>
    <row r="4069" spans="1:13" x14ac:dyDescent="0.2">
      <c r="A4069" s="113"/>
      <c r="B4069" s="58" t="s">
        <v>10238</v>
      </c>
      <c r="C4069" s="58" t="s">
        <v>1796</v>
      </c>
      <c r="D4069" s="58" t="s">
        <v>10239</v>
      </c>
      <c r="E4069" s="60" t="b">
        <v>1</v>
      </c>
      <c r="F4069" s="80" t="s">
        <v>1227</v>
      </c>
      <c r="G4069" s="58" t="s">
        <v>10238</v>
      </c>
      <c r="H4069" s="58" t="s">
        <v>1796</v>
      </c>
      <c r="I4069" s="64" t="s">
        <v>10239</v>
      </c>
      <c r="J4069" s="66"/>
      <c r="K4069" s="66"/>
      <c r="L4069" s="68"/>
      <c r="M4069" s="63" t="str">
        <f>HYPERLINK("http://nsgreg.nga.mil/genc/view?v=864682&amp;end_month=12&amp;end_day=31&amp;end_year=2016","Correlation")</f>
        <v>Correlation</v>
      </c>
    </row>
    <row r="4070" spans="1:13" x14ac:dyDescent="0.2">
      <c r="A4070" s="113"/>
      <c r="B4070" s="58" t="s">
        <v>10240</v>
      </c>
      <c r="C4070" s="58" t="s">
        <v>1796</v>
      </c>
      <c r="D4070" s="58" t="s">
        <v>10241</v>
      </c>
      <c r="E4070" s="60" t="b">
        <v>1</v>
      </c>
      <c r="F4070" s="80" t="s">
        <v>1227</v>
      </c>
      <c r="G4070" s="58" t="s">
        <v>10240</v>
      </c>
      <c r="H4070" s="58" t="s">
        <v>1796</v>
      </c>
      <c r="I4070" s="64" t="s">
        <v>10241</v>
      </c>
      <c r="J4070" s="66"/>
      <c r="K4070" s="66"/>
      <c r="L4070" s="68"/>
      <c r="M4070" s="63" t="str">
        <f>HYPERLINK("http://nsgreg.nga.mil/genc/view?v=864663&amp;end_month=12&amp;end_day=31&amp;end_year=2016","Correlation")</f>
        <v>Correlation</v>
      </c>
    </row>
    <row r="4071" spans="1:13" x14ac:dyDescent="0.2">
      <c r="A4071" s="113"/>
      <c r="B4071" s="58" t="s">
        <v>10242</v>
      </c>
      <c r="C4071" s="58" t="s">
        <v>1796</v>
      </c>
      <c r="D4071" s="58" t="s">
        <v>10243</v>
      </c>
      <c r="E4071" s="60" t="b">
        <v>1</v>
      </c>
      <c r="F4071" s="80" t="s">
        <v>1227</v>
      </c>
      <c r="G4071" s="58" t="s">
        <v>10242</v>
      </c>
      <c r="H4071" s="58" t="s">
        <v>1796</v>
      </c>
      <c r="I4071" s="64" t="s">
        <v>10243</v>
      </c>
      <c r="J4071" s="66"/>
      <c r="K4071" s="66"/>
      <c r="L4071" s="68"/>
      <c r="M4071" s="63" t="str">
        <f>HYPERLINK("http://nsgreg.nga.mil/genc/view?v=864672&amp;end_month=12&amp;end_day=31&amp;end_year=2016","Correlation")</f>
        <v>Correlation</v>
      </c>
    </row>
    <row r="4072" spans="1:13" x14ac:dyDescent="0.2">
      <c r="A4072" s="113"/>
      <c r="B4072" s="58" t="s">
        <v>10244</v>
      </c>
      <c r="C4072" s="58" t="s">
        <v>1796</v>
      </c>
      <c r="D4072" s="58" t="s">
        <v>10245</v>
      </c>
      <c r="E4072" s="60" t="b">
        <v>1</v>
      </c>
      <c r="F4072" s="80" t="s">
        <v>1227</v>
      </c>
      <c r="G4072" s="58" t="s">
        <v>10244</v>
      </c>
      <c r="H4072" s="58" t="s">
        <v>1796</v>
      </c>
      <c r="I4072" s="64" t="s">
        <v>10245</v>
      </c>
      <c r="J4072" s="66"/>
      <c r="K4072" s="66"/>
      <c r="L4072" s="68"/>
      <c r="M4072" s="63" t="str">
        <f>HYPERLINK("http://nsgreg.nga.mil/genc/view?v=864664&amp;end_month=12&amp;end_day=31&amp;end_year=2016","Correlation")</f>
        <v>Correlation</v>
      </c>
    </row>
    <row r="4073" spans="1:13" x14ac:dyDescent="0.2">
      <c r="A4073" s="113"/>
      <c r="B4073" s="58" t="s">
        <v>10246</v>
      </c>
      <c r="C4073" s="58" t="s">
        <v>1796</v>
      </c>
      <c r="D4073" s="58" t="s">
        <v>10247</v>
      </c>
      <c r="E4073" s="60" t="b">
        <v>1</v>
      </c>
      <c r="F4073" s="80" t="s">
        <v>1227</v>
      </c>
      <c r="G4073" s="58" t="s">
        <v>10246</v>
      </c>
      <c r="H4073" s="58" t="s">
        <v>1796</v>
      </c>
      <c r="I4073" s="64" t="s">
        <v>10247</v>
      </c>
      <c r="J4073" s="66"/>
      <c r="K4073" s="66"/>
      <c r="L4073" s="68"/>
      <c r="M4073" s="63" t="str">
        <f>HYPERLINK("http://nsgreg.nga.mil/genc/view?v=864655&amp;end_month=12&amp;end_day=31&amp;end_year=2016","Correlation")</f>
        <v>Correlation</v>
      </c>
    </row>
    <row r="4074" spans="1:13" x14ac:dyDescent="0.2">
      <c r="A4074" s="113"/>
      <c r="B4074" s="58" t="s">
        <v>10248</v>
      </c>
      <c r="C4074" s="58" t="s">
        <v>1796</v>
      </c>
      <c r="D4074" s="58" t="s">
        <v>10249</v>
      </c>
      <c r="E4074" s="60" t="b">
        <v>1</v>
      </c>
      <c r="F4074" s="80" t="s">
        <v>1227</v>
      </c>
      <c r="G4074" s="58" t="s">
        <v>10248</v>
      </c>
      <c r="H4074" s="58" t="s">
        <v>1796</v>
      </c>
      <c r="I4074" s="64" t="s">
        <v>10249</v>
      </c>
      <c r="J4074" s="66"/>
      <c r="K4074" s="66"/>
      <c r="L4074" s="68"/>
      <c r="M4074" s="63" t="str">
        <f>HYPERLINK("http://nsgreg.nga.mil/genc/view?v=864659&amp;end_month=12&amp;end_day=31&amp;end_year=2016","Correlation")</f>
        <v>Correlation</v>
      </c>
    </row>
    <row r="4075" spans="1:13" x14ac:dyDescent="0.2">
      <c r="A4075" s="113"/>
      <c r="B4075" s="58" t="s">
        <v>10250</v>
      </c>
      <c r="C4075" s="58" t="s">
        <v>1796</v>
      </c>
      <c r="D4075" s="58" t="s">
        <v>10251</v>
      </c>
      <c r="E4075" s="60" t="b">
        <v>1</v>
      </c>
      <c r="F4075" s="80" t="s">
        <v>1227</v>
      </c>
      <c r="G4075" s="58" t="s">
        <v>10250</v>
      </c>
      <c r="H4075" s="58" t="s">
        <v>1796</v>
      </c>
      <c r="I4075" s="64" t="s">
        <v>10251</v>
      </c>
      <c r="J4075" s="66"/>
      <c r="K4075" s="66"/>
      <c r="L4075" s="68"/>
      <c r="M4075" s="63" t="str">
        <f>HYPERLINK("http://nsgreg.nga.mil/genc/view?v=864679&amp;end_month=12&amp;end_day=31&amp;end_year=2016","Correlation")</f>
        <v>Correlation</v>
      </c>
    </row>
    <row r="4076" spans="1:13" x14ac:dyDescent="0.2">
      <c r="A4076" s="113"/>
      <c r="B4076" s="58" t="s">
        <v>10252</v>
      </c>
      <c r="C4076" s="58" t="s">
        <v>1796</v>
      </c>
      <c r="D4076" s="58" t="s">
        <v>10253</v>
      </c>
      <c r="E4076" s="60" t="b">
        <v>1</v>
      </c>
      <c r="F4076" s="80" t="s">
        <v>1227</v>
      </c>
      <c r="G4076" s="58" t="s">
        <v>10252</v>
      </c>
      <c r="H4076" s="58" t="s">
        <v>1796</v>
      </c>
      <c r="I4076" s="64" t="s">
        <v>10253</v>
      </c>
      <c r="J4076" s="66"/>
      <c r="K4076" s="66"/>
      <c r="L4076" s="68"/>
      <c r="M4076" s="63" t="str">
        <f>HYPERLINK("http://nsgreg.nga.mil/genc/view?v=864666&amp;end_month=12&amp;end_day=31&amp;end_year=2016","Correlation")</f>
        <v>Correlation</v>
      </c>
    </row>
    <row r="4077" spans="1:13" x14ac:dyDescent="0.2">
      <c r="A4077" s="113"/>
      <c r="B4077" s="58" t="s">
        <v>6995</v>
      </c>
      <c r="C4077" s="58" t="s">
        <v>1413</v>
      </c>
      <c r="D4077" s="58" t="s">
        <v>10254</v>
      </c>
      <c r="E4077" s="60" t="b">
        <v>1</v>
      </c>
      <c r="F4077" s="80" t="s">
        <v>1227</v>
      </c>
      <c r="G4077" s="58" t="s">
        <v>10255</v>
      </c>
      <c r="H4077" s="58" t="s">
        <v>1413</v>
      </c>
      <c r="I4077" s="64" t="s">
        <v>10254</v>
      </c>
      <c r="J4077" s="66"/>
      <c r="K4077" s="66"/>
      <c r="L4077" s="68"/>
      <c r="M4077" s="63" t="str">
        <f>HYPERLINK("http://nsgreg.nga.mil/genc/view?v=864661&amp;end_month=12&amp;end_day=31&amp;end_year=2016","Correlation")</f>
        <v>Correlation</v>
      </c>
    </row>
    <row r="4078" spans="1:13" x14ac:dyDescent="0.2">
      <c r="A4078" s="113"/>
      <c r="B4078" s="58" t="s">
        <v>4071</v>
      </c>
      <c r="C4078" s="58" t="s">
        <v>1413</v>
      </c>
      <c r="D4078" s="58" t="s">
        <v>10256</v>
      </c>
      <c r="E4078" s="60" t="b">
        <v>1</v>
      </c>
      <c r="F4078" s="80" t="s">
        <v>1227</v>
      </c>
      <c r="G4078" s="58" t="s">
        <v>8911</v>
      </c>
      <c r="H4078" s="58" t="s">
        <v>1413</v>
      </c>
      <c r="I4078" s="64" t="s">
        <v>10256</v>
      </c>
      <c r="J4078" s="66"/>
      <c r="K4078" s="66"/>
      <c r="L4078" s="68"/>
      <c r="M4078" s="63" t="str">
        <f>HYPERLINK("http://nsgreg.nga.mil/genc/view?v=864674&amp;end_month=12&amp;end_day=31&amp;end_year=2016","Correlation")</f>
        <v>Correlation</v>
      </c>
    </row>
    <row r="4079" spans="1:13" x14ac:dyDescent="0.2">
      <c r="A4079" s="113"/>
      <c r="B4079" s="58" t="s">
        <v>10257</v>
      </c>
      <c r="C4079" s="58" t="s">
        <v>1413</v>
      </c>
      <c r="D4079" s="58" t="s">
        <v>10258</v>
      </c>
      <c r="E4079" s="60" t="b">
        <v>1</v>
      </c>
      <c r="F4079" s="80" t="s">
        <v>1227</v>
      </c>
      <c r="G4079" s="58" t="s">
        <v>10259</v>
      </c>
      <c r="H4079" s="58" t="s">
        <v>1413</v>
      </c>
      <c r="I4079" s="64" t="s">
        <v>10258</v>
      </c>
      <c r="J4079" s="66"/>
      <c r="K4079" s="66"/>
      <c r="L4079" s="68"/>
      <c r="M4079" s="63" t="str">
        <f>HYPERLINK("http://nsgreg.nga.mil/genc/view?v=864671&amp;end_month=12&amp;end_day=31&amp;end_year=2016","Correlation")</f>
        <v>Correlation</v>
      </c>
    </row>
    <row r="4080" spans="1:13" x14ac:dyDescent="0.2">
      <c r="A4080" s="113"/>
      <c r="B4080" s="58" t="s">
        <v>10260</v>
      </c>
      <c r="C4080" s="58" t="s">
        <v>1796</v>
      </c>
      <c r="D4080" s="58" t="s">
        <v>10261</v>
      </c>
      <c r="E4080" s="60" t="b">
        <v>1</v>
      </c>
      <c r="F4080" s="80" t="s">
        <v>1227</v>
      </c>
      <c r="G4080" s="58" t="s">
        <v>10260</v>
      </c>
      <c r="H4080" s="58" t="s">
        <v>1796</v>
      </c>
      <c r="I4080" s="64" t="s">
        <v>10261</v>
      </c>
      <c r="J4080" s="66"/>
      <c r="K4080" s="66"/>
      <c r="L4080" s="68"/>
      <c r="M4080" s="63" t="str">
        <f>HYPERLINK("http://nsgreg.nga.mil/genc/view?v=864656&amp;end_month=12&amp;end_day=31&amp;end_year=2016","Correlation")</f>
        <v>Correlation</v>
      </c>
    </row>
    <row r="4081" spans="1:13" x14ac:dyDescent="0.2">
      <c r="A4081" s="113"/>
      <c r="B4081" s="58" t="s">
        <v>10262</v>
      </c>
      <c r="C4081" s="58" t="s">
        <v>1796</v>
      </c>
      <c r="D4081" s="58" t="s">
        <v>10263</v>
      </c>
      <c r="E4081" s="60" t="b">
        <v>1</v>
      </c>
      <c r="F4081" s="80" t="s">
        <v>1227</v>
      </c>
      <c r="G4081" s="58" t="s">
        <v>10262</v>
      </c>
      <c r="H4081" s="58" t="s">
        <v>1796</v>
      </c>
      <c r="I4081" s="64" t="s">
        <v>10263</v>
      </c>
      <c r="J4081" s="66"/>
      <c r="K4081" s="66"/>
      <c r="L4081" s="68"/>
      <c r="M4081" s="63" t="str">
        <f>HYPERLINK("http://nsgreg.nga.mil/genc/view?v=864676&amp;end_month=12&amp;end_day=31&amp;end_year=2016","Correlation")</f>
        <v>Correlation</v>
      </c>
    </row>
    <row r="4082" spans="1:13" x14ac:dyDescent="0.2">
      <c r="A4082" s="113"/>
      <c r="B4082" s="58" t="s">
        <v>10264</v>
      </c>
      <c r="C4082" s="58" t="s">
        <v>1796</v>
      </c>
      <c r="D4082" s="58" t="s">
        <v>10265</v>
      </c>
      <c r="E4082" s="60" t="b">
        <v>1</v>
      </c>
      <c r="F4082" s="80" t="s">
        <v>1227</v>
      </c>
      <c r="G4082" s="58" t="s">
        <v>10264</v>
      </c>
      <c r="H4082" s="58" t="s">
        <v>1796</v>
      </c>
      <c r="I4082" s="64" t="s">
        <v>10265</v>
      </c>
      <c r="J4082" s="66"/>
      <c r="K4082" s="66"/>
      <c r="L4082" s="68"/>
      <c r="M4082" s="63" t="str">
        <f>HYPERLINK("http://nsgreg.nga.mil/genc/view?v=864673&amp;end_month=12&amp;end_day=31&amp;end_year=2016","Correlation")</f>
        <v>Correlation</v>
      </c>
    </row>
    <row r="4083" spans="1:13" x14ac:dyDescent="0.2">
      <c r="A4083" s="113"/>
      <c r="B4083" s="58" t="s">
        <v>10266</v>
      </c>
      <c r="C4083" s="58" t="s">
        <v>1796</v>
      </c>
      <c r="D4083" s="58" t="s">
        <v>10267</v>
      </c>
      <c r="E4083" s="60" t="b">
        <v>1</v>
      </c>
      <c r="F4083" s="80" t="s">
        <v>1227</v>
      </c>
      <c r="G4083" s="58" t="s">
        <v>10266</v>
      </c>
      <c r="H4083" s="58" t="s">
        <v>1796</v>
      </c>
      <c r="I4083" s="64" t="s">
        <v>10267</v>
      </c>
      <c r="J4083" s="66"/>
      <c r="K4083" s="66"/>
      <c r="L4083" s="68"/>
      <c r="M4083" s="63" t="str">
        <f>HYPERLINK("http://nsgreg.nga.mil/genc/view?v=864681&amp;end_month=12&amp;end_day=31&amp;end_year=2016","Correlation")</f>
        <v>Correlation</v>
      </c>
    </row>
    <row r="4084" spans="1:13" x14ac:dyDescent="0.2">
      <c r="A4084" s="113"/>
      <c r="B4084" s="58" t="s">
        <v>10268</v>
      </c>
      <c r="C4084" s="58" t="s">
        <v>1413</v>
      </c>
      <c r="D4084" s="58" t="s">
        <v>10269</v>
      </c>
      <c r="E4084" s="60" t="b">
        <v>1</v>
      </c>
      <c r="F4084" s="80" t="s">
        <v>1227</v>
      </c>
      <c r="G4084" s="58" t="s">
        <v>10270</v>
      </c>
      <c r="H4084" s="58" t="s">
        <v>1413</v>
      </c>
      <c r="I4084" s="64" t="s">
        <v>10269</v>
      </c>
      <c r="J4084" s="66"/>
      <c r="K4084" s="66"/>
      <c r="L4084" s="68"/>
      <c r="M4084" s="63" t="str">
        <f>HYPERLINK("http://nsgreg.nga.mil/genc/view?v=864680&amp;end_month=12&amp;end_day=31&amp;end_year=2016","Correlation")</f>
        <v>Correlation</v>
      </c>
    </row>
    <row r="4085" spans="1:13" x14ac:dyDescent="0.2">
      <c r="A4085" s="113"/>
      <c r="B4085" s="58" t="s">
        <v>2440</v>
      </c>
      <c r="C4085" s="58" t="s">
        <v>1413</v>
      </c>
      <c r="D4085" s="58" t="s">
        <v>10271</v>
      </c>
      <c r="E4085" s="60" t="b">
        <v>1</v>
      </c>
      <c r="F4085" s="80" t="s">
        <v>1227</v>
      </c>
      <c r="G4085" s="58" t="s">
        <v>8913</v>
      </c>
      <c r="H4085" s="58" t="s">
        <v>1413</v>
      </c>
      <c r="I4085" s="64" t="s">
        <v>10271</v>
      </c>
      <c r="J4085" s="66"/>
      <c r="K4085" s="66"/>
      <c r="L4085" s="68"/>
      <c r="M4085" s="63" t="str">
        <f>HYPERLINK("http://nsgreg.nga.mil/genc/view?v=864657&amp;end_month=12&amp;end_day=31&amp;end_year=2016","Correlation")</f>
        <v>Correlation</v>
      </c>
    </row>
    <row r="4086" spans="1:13" x14ac:dyDescent="0.2">
      <c r="A4086" s="113"/>
      <c r="B4086" s="58" t="s">
        <v>10272</v>
      </c>
      <c r="C4086" s="58" t="s">
        <v>1796</v>
      </c>
      <c r="D4086" s="58" t="s">
        <v>10273</v>
      </c>
      <c r="E4086" s="60" t="b">
        <v>1</v>
      </c>
      <c r="F4086" s="80" t="s">
        <v>1227</v>
      </c>
      <c r="G4086" s="58" t="s">
        <v>10272</v>
      </c>
      <c r="H4086" s="58" t="s">
        <v>1796</v>
      </c>
      <c r="I4086" s="64" t="s">
        <v>10273</v>
      </c>
      <c r="J4086" s="66"/>
      <c r="K4086" s="66"/>
      <c r="L4086" s="68"/>
      <c r="M4086" s="63" t="str">
        <f>HYPERLINK("http://nsgreg.nga.mil/genc/view?v=864670&amp;end_month=12&amp;end_day=31&amp;end_year=2016","Correlation")</f>
        <v>Correlation</v>
      </c>
    </row>
    <row r="4087" spans="1:13" x14ac:dyDescent="0.2">
      <c r="A4087" s="113"/>
      <c r="B4087" s="58" t="s">
        <v>10274</v>
      </c>
      <c r="C4087" s="58" t="s">
        <v>1413</v>
      </c>
      <c r="D4087" s="58" t="s">
        <v>10275</v>
      </c>
      <c r="E4087" s="60" t="b">
        <v>1</v>
      </c>
      <c r="F4087" s="80" t="s">
        <v>1227</v>
      </c>
      <c r="G4087" s="58" t="s">
        <v>10276</v>
      </c>
      <c r="H4087" s="58" t="s">
        <v>1413</v>
      </c>
      <c r="I4087" s="64" t="s">
        <v>10275</v>
      </c>
      <c r="J4087" s="66"/>
      <c r="K4087" s="66"/>
      <c r="L4087" s="68"/>
      <c r="M4087" s="63" t="str">
        <f>HYPERLINK("http://nsgreg.nga.mil/genc/view?v=864677&amp;end_month=12&amp;end_day=31&amp;end_year=2016","Correlation")</f>
        <v>Correlation</v>
      </c>
    </row>
    <row r="4088" spans="1:13" x14ac:dyDescent="0.2">
      <c r="A4088" s="113"/>
      <c r="B4088" s="58" t="s">
        <v>10277</v>
      </c>
      <c r="C4088" s="58" t="s">
        <v>1796</v>
      </c>
      <c r="D4088" s="58" t="s">
        <v>10278</v>
      </c>
      <c r="E4088" s="60" t="b">
        <v>1</v>
      </c>
      <c r="F4088" s="80" t="s">
        <v>1227</v>
      </c>
      <c r="G4088" s="58" t="s">
        <v>10277</v>
      </c>
      <c r="H4088" s="58" t="s">
        <v>1796</v>
      </c>
      <c r="I4088" s="64" t="s">
        <v>10278</v>
      </c>
      <c r="J4088" s="66"/>
      <c r="K4088" s="66"/>
      <c r="L4088" s="68"/>
      <c r="M4088" s="63" t="str">
        <f>HYPERLINK("http://nsgreg.nga.mil/genc/view?v=864665&amp;end_month=12&amp;end_day=31&amp;end_year=2016","Correlation")</f>
        <v>Correlation</v>
      </c>
    </row>
    <row r="4089" spans="1:13" x14ac:dyDescent="0.2">
      <c r="A4089" s="114"/>
      <c r="B4089" s="71" t="s">
        <v>4083</v>
      </c>
      <c r="C4089" s="71" t="s">
        <v>1413</v>
      </c>
      <c r="D4089" s="71" t="s">
        <v>10279</v>
      </c>
      <c r="E4089" s="73" t="b">
        <v>1</v>
      </c>
      <c r="F4089" s="81" t="s">
        <v>1227</v>
      </c>
      <c r="G4089" s="71" t="s">
        <v>8915</v>
      </c>
      <c r="H4089" s="71" t="s">
        <v>1413</v>
      </c>
      <c r="I4089" s="74" t="s">
        <v>10279</v>
      </c>
      <c r="J4089" s="76"/>
      <c r="K4089" s="76"/>
      <c r="L4089" s="82"/>
      <c r="M4089" s="77" t="str">
        <f>HYPERLINK("http://nsgreg.nga.mil/genc/view?v=864649&amp;end_month=12&amp;end_day=31&amp;end_year=2016","Correlation")</f>
        <v>Correlation</v>
      </c>
    </row>
    <row r="4090" spans="1:13" x14ac:dyDescent="0.2">
      <c r="A4090" s="112" t="s">
        <v>1231</v>
      </c>
      <c r="B4090" s="50" t="s">
        <v>10280</v>
      </c>
      <c r="C4090" s="50" t="s">
        <v>1763</v>
      </c>
      <c r="D4090" s="50" t="s">
        <v>10281</v>
      </c>
      <c r="E4090" s="52" t="b">
        <v>1</v>
      </c>
      <c r="F4090" s="78" t="s">
        <v>1231</v>
      </c>
      <c r="G4090" s="50" t="s">
        <v>10282</v>
      </c>
      <c r="H4090" s="50" t="s">
        <v>1763</v>
      </c>
      <c r="I4090" s="53" t="s">
        <v>10281</v>
      </c>
      <c r="J4090" s="55"/>
      <c r="K4090" s="55"/>
      <c r="L4090" s="79"/>
      <c r="M4090" s="56" t="str">
        <f>HYPERLINK("http://nsgreg.nga.mil/genc/view?v=866208&amp;end_month=12&amp;end_day=31&amp;end_year=2016","Correlation")</f>
        <v>Correlation</v>
      </c>
    </row>
    <row r="4091" spans="1:13" x14ac:dyDescent="0.2">
      <c r="A4091" s="113"/>
      <c r="B4091" s="58" t="s">
        <v>10283</v>
      </c>
      <c r="C4091" s="58" t="s">
        <v>1763</v>
      </c>
      <c r="D4091" s="58" t="s">
        <v>10284</v>
      </c>
      <c r="E4091" s="60" t="b">
        <v>1</v>
      </c>
      <c r="F4091" s="80" t="s">
        <v>1231</v>
      </c>
      <c r="G4091" s="58" t="s">
        <v>10285</v>
      </c>
      <c r="H4091" s="58" t="s">
        <v>1763</v>
      </c>
      <c r="I4091" s="64" t="s">
        <v>10284</v>
      </c>
      <c r="J4091" s="66"/>
      <c r="K4091" s="66"/>
      <c r="L4091" s="68"/>
      <c r="M4091" s="63" t="str">
        <f>HYPERLINK("http://nsgreg.nga.mil/genc/view?v=866196&amp;end_month=12&amp;end_day=31&amp;end_year=2016","Correlation")</f>
        <v>Correlation</v>
      </c>
    </row>
    <row r="4092" spans="1:13" x14ac:dyDescent="0.2">
      <c r="A4092" s="113"/>
      <c r="B4092" s="58" t="s">
        <v>10286</v>
      </c>
      <c r="C4092" s="58" t="s">
        <v>1763</v>
      </c>
      <c r="D4092" s="58" t="s">
        <v>10287</v>
      </c>
      <c r="E4092" s="60" t="b">
        <v>1</v>
      </c>
      <c r="F4092" s="80" t="s">
        <v>1231</v>
      </c>
      <c r="G4092" s="58" t="s">
        <v>10288</v>
      </c>
      <c r="H4092" s="58" t="s">
        <v>1763</v>
      </c>
      <c r="I4092" s="64" t="s">
        <v>10287</v>
      </c>
      <c r="J4092" s="66"/>
      <c r="K4092" s="66"/>
      <c r="L4092" s="68"/>
      <c r="M4092" s="63" t="str">
        <f>HYPERLINK("http://nsgreg.nga.mil/genc/view?v=866197&amp;end_month=12&amp;end_day=31&amp;end_year=2016","Correlation")</f>
        <v>Correlation</v>
      </c>
    </row>
    <row r="4093" spans="1:13" x14ac:dyDescent="0.2">
      <c r="A4093" s="113"/>
      <c r="B4093" s="58" t="s">
        <v>10289</v>
      </c>
      <c r="C4093" s="58" t="s">
        <v>1763</v>
      </c>
      <c r="D4093" s="58" t="s">
        <v>10290</v>
      </c>
      <c r="E4093" s="60" t="b">
        <v>1</v>
      </c>
      <c r="F4093" s="80" t="s">
        <v>1231</v>
      </c>
      <c r="G4093" s="58" t="s">
        <v>10291</v>
      </c>
      <c r="H4093" s="58" t="s">
        <v>1763</v>
      </c>
      <c r="I4093" s="64" t="s">
        <v>10290</v>
      </c>
      <c r="J4093" s="66"/>
      <c r="K4093" s="66"/>
      <c r="L4093" s="68"/>
      <c r="M4093" s="63" t="str">
        <f>HYPERLINK("http://nsgreg.nga.mil/genc/view?v=866201&amp;end_month=12&amp;end_day=31&amp;end_year=2016","Correlation")</f>
        <v>Correlation</v>
      </c>
    </row>
    <row r="4094" spans="1:13" x14ac:dyDescent="0.2">
      <c r="A4094" s="113"/>
      <c r="B4094" s="58" t="s">
        <v>10292</v>
      </c>
      <c r="C4094" s="58" t="s">
        <v>1763</v>
      </c>
      <c r="D4094" s="58" t="s">
        <v>10293</v>
      </c>
      <c r="E4094" s="60" t="b">
        <v>1</v>
      </c>
      <c r="F4094" s="80" t="s">
        <v>1231</v>
      </c>
      <c r="G4094" s="58" t="s">
        <v>10294</v>
      </c>
      <c r="H4094" s="58" t="s">
        <v>1763</v>
      </c>
      <c r="I4094" s="64" t="s">
        <v>10293</v>
      </c>
      <c r="J4094" s="66"/>
      <c r="K4094" s="66"/>
      <c r="L4094" s="68"/>
      <c r="M4094" s="63" t="str">
        <f>HYPERLINK("http://nsgreg.nga.mil/genc/view?v=866202&amp;end_month=12&amp;end_day=31&amp;end_year=2016","Correlation")</f>
        <v>Correlation</v>
      </c>
    </row>
    <row r="4095" spans="1:13" x14ac:dyDescent="0.2">
      <c r="A4095" s="113"/>
      <c r="B4095" s="58" t="s">
        <v>10295</v>
      </c>
      <c r="C4095" s="58" t="s">
        <v>1763</v>
      </c>
      <c r="D4095" s="58" t="s">
        <v>10296</v>
      </c>
      <c r="E4095" s="60" t="b">
        <v>1</v>
      </c>
      <c r="F4095" s="80" t="s">
        <v>1231</v>
      </c>
      <c r="G4095" s="58" t="s">
        <v>10297</v>
      </c>
      <c r="H4095" s="58" t="s">
        <v>1763</v>
      </c>
      <c r="I4095" s="64" t="s">
        <v>10296</v>
      </c>
      <c r="J4095" s="66"/>
      <c r="K4095" s="66"/>
      <c r="L4095" s="68"/>
      <c r="M4095" s="63" t="str">
        <f>HYPERLINK("http://nsgreg.nga.mil/genc/view?v=866203&amp;end_month=12&amp;end_day=31&amp;end_year=2016","Correlation")</f>
        <v>Correlation</v>
      </c>
    </row>
    <row r="4096" spans="1:13" x14ac:dyDescent="0.2">
      <c r="A4096" s="113"/>
      <c r="B4096" s="58" t="s">
        <v>10298</v>
      </c>
      <c r="C4096" s="58" t="s">
        <v>1763</v>
      </c>
      <c r="D4096" s="58" t="s">
        <v>10299</v>
      </c>
      <c r="E4096" s="60" t="b">
        <v>1</v>
      </c>
      <c r="F4096" s="80" t="s">
        <v>1231</v>
      </c>
      <c r="G4096" s="58" t="s">
        <v>10300</v>
      </c>
      <c r="H4096" s="58" t="s">
        <v>1763</v>
      </c>
      <c r="I4096" s="64" t="s">
        <v>10299</v>
      </c>
      <c r="J4096" s="66"/>
      <c r="K4096" s="66"/>
      <c r="L4096" s="68"/>
      <c r="M4096" s="63" t="str">
        <f>HYPERLINK("http://nsgreg.nga.mil/genc/view?v=866204&amp;end_month=12&amp;end_day=31&amp;end_year=2016","Correlation")</f>
        <v>Correlation</v>
      </c>
    </row>
    <row r="4097" spans="1:13" x14ac:dyDescent="0.2">
      <c r="A4097" s="113"/>
      <c r="B4097" s="58" t="s">
        <v>10301</v>
      </c>
      <c r="C4097" s="58" t="s">
        <v>1763</v>
      </c>
      <c r="D4097" s="58" t="s">
        <v>10302</v>
      </c>
      <c r="E4097" s="60" t="b">
        <v>1</v>
      </c>
      <c r="F4097" s="80" t="s">
        <v>1231</v>
      </c>
      <c r="G4097" s="58" t="s">
        <v>10303</v>
      </c>
      <c r="H4097" s="58" t="s">
        <v>1763</v>
      </c>
      <c r="I4097" s="64" t="s">
        <v>10302</v>
      </c>
      <c r="J4097" s="66"/>
      <c r="K4097" s="66"/>
      <c r="L4097" s="68"/>
      <c r="M4097" s="63" t="str">
        <f>HYPERLINK("http://nsgreg.nga.mil/genc/view?v=866198&amp;end_month=12&amp;end_day=31&amp;end_year=2016","Correlation")</f>
        <v>Correlation</v>
      </c>
    </row>
    <row r="4098" spans="1:13" x14ac:dyDescent="0.2">
      <c r="A4098" s="113"/>
      <c r="B4098" s="58" t="s">
        <v>4071</v>
      </c>
      <c r="C4098" s="58" t="s">
        <v>1763</v>
      </c>
      <c r="D4098" s="58" t="s">
        <v>10304</v>
      </c>
      <c r="E4098" s="60" t="b">
        <v>1</v>
      </c>
      <c r="F4098" s="80" t="s">
        <v>1231</v>
      </c>
      <c r="G4098" s="58" t="s">
        <v>2036</v>
      </c>
      <c r="H4098" s="58" t="s">
        <v>1763</v>
      </c>
      <c r="I4098" s="64" t="s">
        <v>10304</v>
      </c>
      <c r="J4098" s="66"/>
      <c r="K4098" s="66"/>
      <c r="L4098" s="68"/>
      <c r="M4098" s="63" t="str">
        <f>HYPERLINK("http://nsgreg.nga.mil/genc/view?v=866209&amp;end_month=12&amp;end_day=31&amp;end_year=2016","Correlation")</f>
        <v>Correlation</v>
      </c>
    </row>
    <row r="4099" spans="1:13" x14ac:dyDescent="0.2">
      <c r="A4099" s="113"/>
      <c r="B4099" s="58" t="s">
        <v>10305</v>
      </c>
      <c r="C4099" s="58" t="s">
        <v>1763</v>
      </c>
      <c r="D4099" s="58" t="s">
        <v>10306</v>
      </c>
      <c r="E4099" s="60" t="b">
        <v>1</v>
      </c>
      <c r="F4099" s="80" t="s">
        <v>1231</v>
      </c>
      <c r="G4099" s="58" t="s">
        <v>10307</v>
      </c>
      <c r="H4099" s="58" t="s">
        <v>1763</v>
      </c>
      <c r="I4099" s="64" t="s">
        <v>10306</v>
      </c>
      <c r="J4099" s="66"/>
      <c r="K4099" s="66"/>
      <c r="L4099" s="68"/>
      <c r="M4099" s="63" t="str">
        <f>HYPERLINK("http://nsgreg.nga.mil/genc/view?v=866205&amp;end_month=12&amp;end_day=31&amp;end_year=2016","Correlation")</f>
        <v>Correlation</v>
      </c>
    </row>
    <row r="4100" spans="1:13" x14ac:dyDescent="0.2">
      <c r="A4100" s="113"/>
      <c r="B4100" s="58" t="s">
        <v>10308</v>
      </c>
      <c r="C4100" s="58" t="s">
        <v>1763</v>
      </c>
      <c r="D4100" s="58" t="s">
        <v>10309</v>
      </c>
      <c r="E4100" s="60" t="b">
        <v>1</v>
      </c>
      <c r="F4100" s="80" t="s">
        <v>1231</v>
      </c>
      <c r="G4100" s="58" t="s">
        <v>3881</v>
      </c>
      <c r="H4100" s="58" t="s">
        <v>1763</v>
      </c>
      <c r="I4100" s="64" t="s">
        <v>10309</v>
      </c>
      <c r="J4100" s="66"/>
      <c r="K4100" s="66"/>
      <c r="L4100" s="68"/>
      <c r="M4100" s="63" t="str">
        <f>HYPERLINK("http://nsgreg.nga.mil/genc/view?v=866212&amp;end_month=12&amp;end_day=31&amp;end_year=2016","Correlation")</f>
        <v>Correlation</v>
      </c>
    </row>
    <row r="4101" spans="1:13" x14ac:dyDescent="0.2">
      <c r="A4101" s="113"/>
      <c r="B4101" s="58" t="s">
        <v>10310</v>
      </c>
      <c r="C4101" s="58" t="s">
        <v>1763</v>
      </c>
      <c r="D4101" s="58" t="s">
        <v>10311</v>
      </c>
      <c r="E4101" s="60" t="b">
        <v>1</v>
      </c>
      <c r="F4101" s="80" t="s">
        <v>1231</v>
      </c>
      <c r="G4101" s="58" t="s">
        <v>10312</v>
      </c>
      <c r="H4101" s="58" t="s">
        <v>1763</v>
      </c>
      <c r="I4101" s="64" t="s">
        <v>10311</v>
      </c>
      <c r="J4101" s="66"/>
      <c r="K4101" s="66"/>
      <c r="L4101" s="68"/>
      <c r="M4101" s="63" t="str">
        <f>HYPERLINK("http://nsgreg.nga.mil/genc/view?v=866210&amp;end_month=12&amp;end_day=31&amp;end_year=2016","Correlation")</f>
        <v>Correlation</v>
      </c>
    </row>
    <row r="4102" spans="1:13" x14ac:dyDescent="0.2">
      <c r="A4102" s="113"/>
      <c r="B4102" s="58" t="s">
        <v>10313</v>
      </c>
      <c r="C4102" s="58" t="s">
        <v>1763</v>
      </c>
      <c r="D4102" s="58" t="s">
        <v>10314</v>
      </c>
      <c r="E4102" s="60" t="b">
        <v>1</v>
      </c>
      <c r="F4102" s="80" t="s">
        <v>1231</v>
      </c>
      <c r="G4102" s="58" t="s">
        <v>10315</v>
      </c>
      <c r="H4102" s="58" t="s">
        <v>1763</v>
      </c>
      <c r="I4102" s="64" t="s">
        <v>10314</v>
      </c>
      <c r="J4102" s="66"/>
      <c r="K4102" s="66"/>
      <c r="L4102" s="68"/>
      <c r="M4102" s="63" t="str">
        <f>HYPERLINK("http://nsgreg.nga.mil/genc/view?v=866213&amp;end_month=12&amp;end_day=31&amp;end_year=2016","Correlation")</f>
        <v>Correlation</v>
      </c>
    </row>
    <row r="4103" spans="1:13" x14ac:dyDescent="0.2">
      <c r="A4103" s="113"/>
      <c r="B4103" s="58" t="s">
        <v>10316</v>
      </c>
      <c r="C4103" s="58" t="s">
        <v>1763</v>
      </c>
      <c r="D4103" s="58" t="s">
        <v>10317</v>
      </c>
      <c r="E4103" s="60" t="b">
        <v>1</v>
      </c>
      <c r="F4103" s="80" t="s">
        <v>1231</v>
      </c>
      <c r="G4103" s="58" t="s">
        <v>10318</v>
      </c>
      <c r="H4103" s="58" t="s">
        <v>1763</v>
      </c>
      <c r="I4103" s="64" t="s">
        <v>10317</v>
      </c>
      <c r="J4103" s="66"/>
      <c r="K4103" s="66"/>
      <c r="L4103" s="68"/>
      <c r="M4103" s="63" t="str">
        <f>HYPERLINK("http://nsgreg.nga.mil/genc/view?v=866199&amp;end_month=12&amp;end_day=31&amp;end_year=2016","Correlation")</f>
        <v>Correlation</v>
      </c>
    </row>
    <row r="4104" spans="1:13" x14ac:dyDescent="0.2">
      <c r="A4104" s="113"/>
      <c r="B4104" s="58" t="s">
        <v>10319</v>
      </c>
      <c r="C4104" s="58" t="s">
        <v>1763</v>
      </c>
      <c r="D4104" s="58" t="s">
        <v>10320</v>
      </c>
      <c r="E4104" s="60" t="b">
        <v>1</v>
      </c>
      <c r="F4104" s="80" t="s">
        <v>1231</v>
      </c>
      <c r="G4104" s="58" t="s">
        <v>10321</v>
      </c>
      <c r="H4104" s="58" t="s">
        <v>1763</v>
      </c>
      <c r="I4104" s="64" t="s">
        <v>10320</v>
      </c>
      <c r="J4104" s="66"/>
      <c r="K4104" s="66"/>
      <c r="L4104" s="68"/>
      <c r="M4104" s="63" t="str">
        <f>HYPERLINK("http://nsgreg.nga.mil/genc/view?v=866206&amp;end_month=12&amp;end_day=31&amp;end_year=2016","Correlation")</f>
        <v>Correlation</v>
      </c>
    </row>
    <row r="4105" spans="1:13" x14ac:dyDescent="0.2">
      <c r="A4105" s="113"/>
      <c r="B4105" s="58" t="s">
        <v>10322</v>
      </c>
      <c r="C4105" s="58" t="s">
        <v>1763</v>
      </c>
      <c r="D4105" s="58" t="s">
        <v>10323</v>
      </c>
      <c r="E4105" s="60" t="b">
        <v>1</v>
      </c>
      <c r="F4105" s="80" t="s">
        <v>1231</v>
      </c>
      <c r="G4105" s="58" t="s">
        <v>10324</v>
      </c>
      <c r="H4105" s="58" t="s">
        <v>1763</v>
      </c>
      <c r="I4105" s="64" t="s">
        <v>10323</v>
      </c>
      <c r="J4105" s="66"/>
      <c r="K4105" s="66"/>
      <c r="L4105" s="68"/>
      <c r="M4105" s="63" t="str">
        <f>HYPERLINK("http://nsgreg.nga.mil/genc/view?v=866207&amp;end_month=12&amp;end_day=31&amp;end_year=2016","Correlation")</f>
        <v>Correlation</v>
      </c>
    </row>
    <row r="4106" spans="1:13" x14ac:dyDescent="0.2">
      <c r="A4106" s="113"/>
      <c r="B4106" s="58" t="s">
        <v>10325</v>
      </c>
      <c r="C4106" s="58" t="s">
        <v>1763</v>
      </c>
      <c r="D4106" s="58" t="s">
        <v>10326</v>
      </c>
      <c r="E4106" s="60" t="b">
        <v>1</v>
      </c>
      <c r="F4106" s="80" t="s">
        <v>1231</v>
      </c>
      <c r="G4106" s="58" t="s">
        <v>10327</v>
      </c>
      <c r="H4106" s="58" t="s">
        <v>1763</v>
      </c>
      <c r="I4106" s="64" t="s">
        <v>10326</v>
      </c>
      <c r="J4106" s="66"/>
      <c r="K4106" s="66"/>
      <c r="L4106" s="68"/>
      <c r="M4106" s="63" t="str">
        <f>HYPERLINK("http://nsgreg.nga.mil/genc/view?v=866200&amp;end_month=12&amp;end_day=31&amp;end_year=2016","Correlation")</f>
        <v>Correlation</v>
      </c>
    </row>
    <row r="4107" spans="1:13" x14ac:dyDescent="0.2">
      <c r="A4107" s="114"/>
      <c r="B4107" s="71" t="s">
        <v>10328</v>
      </c>
      <c r="C4107" s="71" t="s">
        <v>1763</v>
      </c>
      <c r="D4107" s="71" t="s">
        <v>10329</v>
      </c>
      <c r="E4107" s="73" t="b">
        <v>1</v>
      </c>
      <c r="F4107" s="81" t="s">
        <v>1231</v>
      </c>
      <c r="G4107" s="71" t="s">
        <v>10330</v>
      </c>
      <c r="H4107" s="71" t="s">
        <v>1763</v>
      </c>
      <c r="I4107" s="74" t="s">
        <v>10329</v>
      </c>
      <c r="J4107" s="76"/>
      <c r="K4107" s="76"/>
      <c r="L4107" s="82"/>
      <c r="M4107" s="77" t="str">
        <f>HYPERLINK("http://nsgreg.nga.mil/genc/view?v=866211&amp;end_month=12&amp;end_day=31&amp;end_year=2016","Correlation")</f>
        <v>Correlation</v>
      </c>
    </row>
    <row r="4108" spans="1:13" x14ac:dyDescent="0.2">
      <c r="A4108" s="112" t="s">
        <v>1235</v>
      </c>
      <c r="B4108" s="50" t="s">
        <v>10331</v>
      </c>
      <c r="C4108" s="50" t="s">
        <v>1796</v>
      </c>
      <c r="D4108" s="50" t="s">
        <v>10332</v>
      </c>
      <c r="E4108" s="52" t="b">
        <v>1</v>
      </c>
      <c r="F4108" s="78" t="s">
        <v>1235</v>
      </c>
      <c r="G4108" s="50" t="s">
        <v>10331</v>
      </c>
      <c r="H4108" s="50" t="s">
        <v>1796</v>
      </c>
      <c r="I4108" s="53" t="s">
        <v>10332</v>
      </c>
      <c r="J4108" s="55"/>
      <c r="K4108" s="55"/>
      <c r="L4108" s="79"/>
      <c r="M4108" s="56" t="str">
        <f>HYPERLINK("http://nsgreg.nga.mil/genc/view?v=866508&amp;end_month=12&amp;end_day=31&amp;end_year=2016","Correlation")</f>
        <v>Correlation</v>
      </c>
    </row>
    <row r="4109" spans="1:13" x14ac:dyDescent="0.2">
      <c r="A4109" s="113"/>
      <c r="B4109" s="58" t="s">
        <v>10333</v>
      </c>
      <c r="C4109" s="58" t="s">
        <v>1796</v>
      </c>
      <c r="D4109" s="58" t="s">
        <v>10334</v>
      </c>
      <c r="E4109" s="60" t="b">
        <v>1</v>
      </c>
      <c r="F4109" s="80" t="s">
        <v>1235</v>
      </c>
      <c r="G4109" s="58" t="s">
        <v>10333</v>
      </c>
      <c r="H4109" s="58" t="s">
        <v>1796</v>
      </c>
      <c r="I4109" s="64" t="s">
        <v>10334</v>
      </c>
      <c r="J4109" s="66"/>
      <c r="K4109" s="66"/>
      <c r="L4109" s="68"/>
      <c r="M4109" s="63" t="str">
        <f>HYPERLINK("http://nsgreg.nga.mil/genc/view?v=866509&amp;end_month=12&amp;end_day=31&amp;end_year=2016","Correlation")</f>
        <v>Correlation</v>
      </c>
    </row>
    <row r="4110" spans="1:13" x14ac:dyDescent="0.2">
      <c r="A4110" s="113"/>
      <c r="B4110" s="58" t="s">
        <v>10335</v>
      </c>
      <c r="C4110" s="58" t="s">
        <v>1796</v>
      </c>
      <c r="D4110" s="58" t="s">
        <v>10336</v>
      </c>
      <c r="E4110" s="60" t="b">
        <v>1</v>
      </c>
      <c r="F4110" s="80" t="s">
        <v>1235</v>
      </c>
      <c r="G4110" s="58" t="s">
        <v>10335</v>
      </c>
      <c r="H4110" s="58" t="s">
        <v>1796</v>
      </c>
      <c r="I4110" s="64" t="s">
        <v>10336</v>
      </c>
      <c r="J4110" s="66"/>
      <c r="K4110" s="66"/>
      <c r="L4110" s="68"/>
      <c r="M4110" s="63" t="str">
        <f>HYPERLINK("http://nsgreg.nga.mil/genc/view?v=866510&amp;end_month=12&amp;end_day=31&amp;end_year=2016","Correlation")</f>
        <v>Correlation</v>
      </c>
    </row>
    <row r="4111" spans="1:13" x14ac:dyDescent="0.2">
      <c r="A4111" s="113"/>
      <c r="B4111" s="58" t="s">
        <v>10337</v>
      </c>
      <c r="C4111" s="58" t="s">
        <v>1796</v>
      </c>
      <c r="D4111" s="58" t="s">
        <v>10338</v>
      </c>
      <c r="E4111" s="60" t="b">
        <v>1</v>
      </c>
      <c r="F4111" s="80" t="s">
        <v>1235</v>
      </c>
      <c r="G4111" s="58" t="s">
        <v>10337</v>
      </c>
      <c r="H4111" s="58" t="s">
        <v>1796</v>
      </c>
      <c r="I4111" s="64" t="s">
        <v>10338</v>
      </c>
      <c r="J4111" s="66"/>
      <c r="K4111" s="66"/>
      <c r="L4111" s="68"/>
      <c r="M4111" s="63" t="str">
        <f>HYPERLINK("http://nsgreg.nga.mil/genc/view?v=866511&amp;end_month=12&amp;end_day=31&amp;end_year=2016","Correlation")</f>
        <v>Correlation</v>
      </c>
    </row>
    <row r="4112" spans="1:13" x14ac:dyDescent="0.2">
      <c r="A4112" s="113"/>
      <c r="B4112" s="58" t="s">
        <v>10339</v>
      </c>
      <c r="C4112" s="58" t="s">
        <v>1796</v>
      </c>
      <c r="D4112" s="58" t="s">
        <v>10340</v>
      </c>
      <c r="E4112" s="60" t="b">
        <v>1</v>
      </c>
      <c r="F4112" s="80" t="s">
        <v>1235</v>
      </c>
      <c r="G4112" s="58" t="s">
        <v>10339</v>
      </c>
      <c r="H4112" s="58" t="s">
        <v>1796</v>
      </c>
      <c r="I4112" s="64" t="s">
        <v>10340</v>
      </c>
      <c r="J4112" s="66"/>
      <c r="K4112" s="66"/>
      <c r="L4112" s="68"/>
      <c r="M4112" s="63" t="str">
        <f>HYPERLINK("http://nsgreg.nga.mil/genc/view?v=866512&amp;end_month=12&amp;end_day=31&amp;end_year=2016","Correlation")</f>
        <v>Correlation</v>
      </c>
    </row>
    <row r="4113" spans="1:13" x14ac:dyDescent="0.2">
      <c r="A4113" s="113"/>
      <c r="B4113" s="58" t="s">
        <v>10341</v>
      </c>
      <c r="C4113" s="58" t="s">
        <v>1796</v>
      </c>
      <c r="D4113" s="58" t="s">
        <v>10342</v>
      </c>
      <c r="E4113" s="60" t="b">
        <v>1</v>
      </c>
      <c r="F4113" s="80" t="s">
        <v>1235</v>
      </c>
      <c r="G4113" s="58" t="s">
        <v>10341</v>
      </c>
      <c r="H4113" s="58" t="s">
        <v>1796</v>
      </c>
      <c r="I4113" s="64" t="s">
        <v>10342</v>
      </c>
      <c r="J4113" s="66"/>
      <c r="K4113" s="66"/>
      <c r="L4113" s="68"/>
      <c r="M4113" s="63" t="str">
        <f>HYPERLINK("http://nsgreg.nga.mil/genc/view?v=866514&amp;end_month=12&amp;end_day=31&amp;end_year=2016","Correlation")</f>
        <v>Correlation</v>
      </c>
    </row>
    <row r="4114" spans="1:13" x14ac:dyDescent="0.2">
      <c r="A4114" s="113"/>
      <c r="B4114" s="58" t="s">
        <v>10343</v>
      </c>
      <c r="C4114" s="58" t="s">
        <v>1796</v>
      </c>
      <c r="D4114" s="58" t="s">
        <v>10344</v>
      </c>
      <c r="E4114" s="60" t="b">
        <v>1</v>
      </c>
      <c r="F4114" s="80" t="s">
        <v>1235</v>
      </c>
      <c r="G4114" s="58" t="s">
        <v>10343</v>
      </c>
      <c r="H4114" s="58" t="s">
        <v>1796</v>
      </c>
      <c r="I4114" s="64" t="s">
        <v>10344</v>
      </c>
      <c r="J4114" s="66"/>
      <c r="K4114" s="66"/>
      <c r="L4114" s="68"/>
      <c r="M4114" s="63" t="str">
        <f>HYPERLINK("http://nsgreg.nga.mil/genc/view?v=866513&amp;end_month=12&amp;end_day=31&amp;end_year=2016","Correlation")</f>
        <v>Correlation</v>
      </c>
    </row>
    <row r="4115" spans="1:13" x14ac:dyDescent="0.2">
      <c r="A4115" s="113"/>
      <c r="B4115" s="58" t="s">
        <v>10345</v>
      </c>
      <c r="C4115" s="58" t="s">
        <v>1796</v>
      </c>
      <c r="D4115" s="58" t="s">
        <v>10346</v>
      </c>
      <c r="E4115" s="60" t="b">
        <v>1</v>
      </c>
      <c r="F4115" s="80" t="s">
        <v>1235</v>
      </c>
      <c r="G4115" s="58" t="s">
        <v>10345</v>
      </c>
      <c r="H4115" s="58" t="s">
        <v>1796</v>
      </c>
      <c r="I4115" s="64" t="s">
        <v>10346</v>
      </c>
      <c r="J4115" s="66"/>
      <c r="K4115" s="66"/>
      <c r="L4115" s="68"/>
      <c r="M4115" s="63" t="str">
        <f>HYPERLINK("http://nsgreg.nga.mil/genc/view?v=866515&amp;end_month=12&amp;end_day=31&amp;end_year=2016","Correlation")</f>
        <v>Correlation</v>
      </c>
    </row>
    <row r="4116" spans="1:13" x14ac:dyDescent="0.2">
      <c r="A4116" s="113"/>
      <c r="B4116" s="58" t="s">
        <v>10347</v>
      </c>
      <c r="C4116" s="58" t="s">
        <v>1796</v>
      </c>
      <c r="D4116" s="58" t="s">
        <v>10348</v>
      </c>
      <c r="E4116" s="60" t="b">
        <v>1</v>
      </c>
      <c r="F4116" s="80" t="s">
        <v>1235</v>
      </c>
      <c r="G4116" s="58" t="s">
        <v>10347</v>
      </c>
      <c r="H4116" s="58" t="s">
        <v>1796</v>
      </c>
      <c r="I4116" s="64" t="s">
        <v>10348</v>
      </c>
      <c r="J4116" s="66"/>
      <c r="K4116" s="66"/>
      <c r="L4116" s="68"/>
      <c r="M4116" s="63" t="str">
        <f>HYPERLINK("http://nsgreg.nga.mil/genc/view?v=866516&amp;end_month=12&amp;end_day=31&amp;end_year=2016","Correlation")</f>
        <v>Correlation</v>
      </c>
    </row>
    <row r="4117" spans="1:13" x14ac:dyDescent="0.2">
      <c r="A4117" s="114"/>
      <c r="B4117" s="71" t="s">
        <v>10349</v>
      </c>
      <c r="C4117" s="71" t="s">
        <v>1796</v>
      </c>
      <c r="D4117" s="71" t="s">
        <v>10350</v>
      </c>
      <c r="E4117" s="73" t="b">
        <v>1</v>
      </c>
      <c r="F4117" s="81" t="s">
        <v>1235</v>
      </c>
      <c r="G4117" s="71" t="s">
        <v>10349</v>
      </c>
      <c r="H4117" s="71" t="s">
        <v>1796</v>
      </c>
      <c r="I4117" s="74" t="s">
        <v>10350</v>
      </c>
      <c r="J4117" s="76"/>
      <c r="K4117" s="76"/>
      <c r="L4117" s="82"/>
      <c r="M4117" s="77" t="str">
        <f>HYPERLINK("http://nsgreg.nga.mil/genc/view?v=866517&amp;end_month=12&amp;end_day=31&amp;end_year=2016","Correlation")</f>
        <v>Correlation</v>
      </c>
    </row>
    <row r="4118" spans="1:13" x14ac:dyDescent="0.2">
      <c r="A4118" s="112" t="s">
        <v>1245</v>
      </c>
      <c r="B4118" s="50" t="s">
        <v>10351</v>
      </c>
      <c r="C4118" s="50" t="s">
        <v>1796</v>
      </c>
      <c r="D4118" s="50" t="s">
        <v>10352</v>
      </c>
      <c r="E4118" s="52" t="b">
        <v>1</v>
      </c>
      <c r="F4118" s="78" t="s">
        <v>1245</v>
      </c>
      <c r="G4118" s="50" t="s">
        <v>10351</v>
      </c>
      <c r="H4118" s="50" t="s">
        <v>1796</v>
      </c>
      <c r="I4118" s="53" t="s">
        <v>10352</v>
      </c>
      <c r="J4118" s="55"/>
      <c r="K4118" s="55"/>
      <c r="L4118" s="79"/>
      <c r="M4118" s="56" t="str">
        <f>HYPERLINK("http://nsgreg.nga.mil/genc/view?v=866558&amp;end_month=12&amp;end_day=31&amp;end_year=2016","Correlation")</f>
        <v>Correlation</v>
      </c>
    </row>
    <row r="4119" spans="1:13" x14ac:dyDescent="0.2">
      <c r="A4119" s="113"/>
      <c r="B4119" s="58" t="s">
        <v>10353</v>
      </c>
      <c r="C4119" s="58" t="s">
        <v>1796</v>
      </c>
      <c r="D4119" s="58" t="s">
        <v>10354</v>
      </c>
      <c r="E4119" s="60" t="b">
        <v>1</v>
      </c>
      <c r="F4119" s="80" t="s">
        <v>1245</v>
      </c>
      <c r="G4119" s="58" t="s">
        <v>10353</v>
      </c>
      <c r="H4119" s="58" t="s">
        <v>1796</v>
      </c>
      <c r="I4119" s="64" t="s">
        <v>10354</v>
      </c>
      <c r="J4119" s="66"/>
      <c r="K4119" s="66"/>
      <c r="L4119" s="68"/>
      <c r="M4119" s="63" t="str">
        <f>HYPERLINK("http://nsgreg.nga.mil/genc/view?v=866559&amp;end_month=12&amp;end_day=31&amp;end_year=2016","Correlation")</f>
        <v>Correlation</v>
      </c>
    </row>
    <row r="4120" spans="1:13" x14ac:dyDescent="0.2">
      <c r="A4120" s="113"/>
      <c r="B4120" s="58" t="s">
        <v>10355</v>
      </c>
      <c r="C4120" s="58" t="s">
        <v>1796</v>
      </c>
      <c r="D4120" s="58" t="s">
        <v>10356</v>
      </c>
      <c r="E4120" s="60" t="b">
        <v>1</v>
      </c>
      <c r="F4120" s="80" t="s">
        <v>1245</v>
      </c>
      <c r="G4120" s="58" t="s">
        <v>10355</v>
      </c>
      <c r="H4120" s="58" t="s">
        <v>1796</v>
      </c>
      <c r="I4120" s="64" t="s">
        <v>10356</v>
      </c>
      <c r="J4120" s="66"/>
      <c r="K4120" s="66"/>
      <c r="L4120" s="68"/>
      <c r="M4120" s="63" t="str">
        <f>HYPERLINK("http://nsgreg.nga.mil/genc/view?v=866560&amp;end_month=12&amp;end_day=31&amp;end_year=2016","Correlation")</f>
        <v>Correlation</v>
      </c>
    </row>
    <row r="4121" spans="1:13" x14ac:dyDescent="0.2">
      <c r="A4121" s="114"/>
      <c r="B4121" s="71" t="s">
        <v>10357</v>
      </c>
      <c r="C4121" s="71" t="s">
        <v>1796</v>
      </c>
      <c r="D4121" s="71" t="s">
        <v>10358</v>
      </c>
      <c r="E4121" s="73" t="b">
        <v>1</v>
      </c>
      <c r="F4121" s="81" t="s">
        <v>1245</v>
      </c>
      <c r="G4121" s="71" t="s">
        <v>10357</v>
      </c>
      <c r="H4121" s="71" t="s">
        <v>1796</v>
      </c>
      <c r="I4121" s="74" t="s">
        <v>10358</v>
      </c>
      <c r="J4121" s="76"/>
      <c r="K4121" s="76"/>
      <c r="L4121" s="82"/>
      <c r="M4121" s="77" t="str">
        <f>HYPERLINK("http://nsgreg.nga.mil/genc/view?v=866561&amp;end_month=12&amp;end_day=31&amp;end_year=2016","Correlation")</f>
        <v>Correlation</v>
      </c>
    </row>
    <row r="4122" spans="1:13" x14ac:dyDescent="0.2">
      <c r="A4122" s="112" t="s">
        <v>1249</v>
      </c>
      <c r="B4122" s="50" t="s">
        <v>10359</v>
      </c>
      <c r="C4122" s="50" t="s">
        <v>1483</v>
      </c>
      <c r="D4122" s="50" t="s">
        <v>10360</v>
      </c>
      <c r="E4122" s="52" t="b">
        <v>1</v>
      </c>
      <c r="F4122" s="78" t="s">
        <v>1249</v>
      </c>
      <c r="G4122" s="50" t="s">
        <v>10361</v>
      </c>
      <c r="H4122" s="50" t="s">
        <v>1483</v>
      </c>
      <c r="I4122" s="53" t="s">
        <v>10360</v>
      </c>
      <c r="J4122" s="55"/>
      <c r="K4122" s="55"/>
      <c r="L4122" s="79"/>
      <c r="M4122" s="56" t="str">
        <f>HYPERLINK("http://nsgreg.nga.mil/genc/view?v=866224&amp;end_month=12&amp;end_day=31&amp;end_year=2016","Correlation")</f>
        <v>Correlation</v>
      </c>
    </row>
    <row r="4123" spans="1:13" x14ac:dyDescent="0.2">
      <c r="A4123" s="113"/>
      <c r="B4123" s="58" t="s">
        <v>10362</v>
      </c>
      <c r="C4123" s="58" t="s">
        <v>1483</v>
      </c>
      <c r="D4123" s="58" t="s">
        <v>10363</v>
      </c>
      <c r="E4123" s="60" t="b">
        <v>1</v>
      </c>
      <c r="F4123" s="80" t="s">
        <v>1249</v>
      </c>
      <c r="G4123" s="58" t="s">
        <v>10364</v>
      </c>
      <c r="H4123" s="58" t="s">
        <v>1483</v>
      </c>
      <c r="I4123" s="64" t="s">
        <v>10363</v>
      </c>
      <c r="J4123" s="66"/>
      <c r="K4123" s="66"/>
      <c r="L4123" s="68"/>
      <c r="M4123" s="63" t="str">
        <f>HYPERLINK("http://nsgreg.nga.mil/genc/view?v=866231&amp;end_month=12&amp;end_day=31&amp;end_year=2016","Correlation")</f>
        <v>Correlation</v>
      </c>
    </row>
    <row r="4124" spans="1:13" x14ac:dyDescent="0.2">
      <c r="A4124" s="113"/>
      <c r="B4124" s="58" t="s">
        <v>10365</v>
      </c>
      <c r="C4124" s="58" t="s">
        <v>1483</v>
      </c>
      <c r="D4124" s="58" t="s">
        <v>10366</v>
      </c>
      <c r="E4124" s="60" t="b">
        <v>1</v>
      </c>
      <c r="F4124" s="80" t="s">
        <v>1249</v>
      </c>
      <c r="G4124" s="58" t="s">
        <v>10367</v>
      </c>
      <c r="H4124" s="58" t="s">
        <v>1483</v>
      </c>
      <c r="I4124" s="64" t="s">
        <v>10366</v>
      </c>
      <c r="J4124" s="66"/>
      <c r="K4124" s="66"/>
      <c r="L4124" s="68"/>
      <c r="M4124" s="63" t="str">
        <f>HYPERLINK("http://nsgreg.nga.mil/genc/view?v=866232&amp;end_month=12&amp;end_day=31&amp;end_year=2016","Correlation")</f>
        <v>Correlation</v>
      </c>
    </row>
    <row r="4125" spans="1:13" x14ac:dyDescent="0.2">
      <c r="A4125" s="113"/>
      <c r="B4125" s="58" t="s">
        <v>10368</v>
      </c>
      <c r="C4125" s="58" t="s">
        <v>1483</v>
      </c>
      <c r="D4125" s="58" t="s">
        <v>10369</v>
      </c>
      <c r="E4125" s="60" t="b">
        <v>1</v>
      </c>
      <c r="F4125" s="80" t="s">
        <v>1249</v>
      </c>
      <c r="G4125" s="58" t="s">
        <v>10370</v>
      </c>
      <c r="H4125" s="58" t="s">
        <v>1483</v>
      </c>
      <c r="I4125" s="64" t="s">
        <v>10369</v>
      </c>
      <c r="J4125" s="66"/>
      <c r="K4125" s="66"/>
      <c r="L4125" s="68"/>
      <c r="M4125" s="63" t="str">
        <f>HYPERLINK("http://nsgreg.nga.mil/genc/view?v=866223&amp;end_month=12&amp;end_day=31&amp;end_year=2016","Correlation")</f>
        <v>Correlation</v>
      </c>
    </row>
    <row r="4126" spans="1:13" x14ac:dyDescent="0.2">
      <c r="A4126" s="113"/>
      <c r="B4126" s="58" t="s">
        <v>10371</v>
      </c>
      <c r="C4126" s="58" t="s">
        <v>1483</v>
      </c>
      <c r="D4126" s="58" t="s">
        <v>10372</v>
      </c>
      <c r="E4126" s="60" t="b">
        <v>1</v>
      </c>
      <c r="F4126" s="80" t="s">
        <v>1249</v>
      </c>
      <c r="G4126" s="58" t="s">
        <v>10373</v>
      </c>
      <c r="H4126" s="58" t="s">
        <v>1483</v>
      </c>
      <c r="I4126" s="64" t="s">
        <v>10372</v>
      </c>
      <c r="J4126" s="66"/>
      <c r="K4126" s="66"/>
      <c r="L4126" s="68"/>
      <c r="M4126" s="63" t="str">
        <f>HYPERLINK("http://nsgreg.nga.mil/genc/view?v=866226&amp;end_month=12&amp;end_day=31&amp;end_year=2016","Correlation")</f>
        <v>Correlation</v>
      </c>
    </row>
    <row r="4127" spans="1:13" x14ac:dyDescent="0.2">
      <c r="A4127" s="113"/>
      <c r="B4127" s="58" t="s">
        <v>10374</v>
      </c>
      <c r="C4127" s="58" t="s">
        <v>1483</v>
      </c>
      <c r="D4127" s="58" t="s">
        <v>10375</v>
      </c>
      <c r="E4127" s="60" t="b">
        <v>1</v>
      </c>
      <c r="F4127" s="80" t="s">
        <v>1249</v>
      </c>
      <c r="G4127" s="58" t="s">
        <v>10376</v>
      </c>
      <c r="H4127" s="58" t="s">
        <v>1483</v>
      </c>
      <c r="I4127" s="64" t="s">
        <v>10375</v>
      </c>
      <c r="J4127" s="66"/>
      <c r="K4127" s="66"/>
      <c r="L4127" s="68"/>
      <c r="M4127" s="63" t="str">
        <f>HYPERLINK("http://nsgreg.nga.mil/genc/view?v=866234&amp;end_month=12&amp;end_day=31&amp;end_year=2016","Correlation")</f>
        <v>Correlation</v>
      </c>
    </row>
    <row r="4128" spans="1:13" x14ac:dyDescent="0.2">
      <c r="A4128" s="113"/>
      <c r="B4128" s="58" t="s">
        <v>10377</v>
      </c>
      <c r="C4128" s="58" t="s">
        <v>1483</v>
      </c>
      <c r="D4128" s="58" t="s">
        <v>10378</v>
      </c>
      <c r="E4128" s="60" t="b">
        <v>1</v>
      </c>
      <c r="F4128" s="80" t="s">
        <v>1249</v>
      </c>
      <c r="G4128" s="58" t="s">
        <v>10379</v>
      </c>
      <c r="H4128" s="58" t="s">
        <v>1483</v>
      </c>
      <c r="I4128" s="64" t="s">
        <v>10378</v>
      </c>
      <c r="J4128" s="66"/>
      <c r="K4128" s="66"/>
      <c r="L4128" s="68"/>
      <c r="M4128" s="63" t="str">
        <f>HYPERLINK("http://nsgreg.nga.mil/genc/view?v=866220&amp;end_month=12&amp;end_day=31&amp;end_year=2016","Correlation")</f>
        <v>Correlation</v>
      </c>
    </row>
    <row r="4129" spans="1:13" x14ac:dyDescent="0.2">
      <c r="A4129" s="113"/>
      <c r="B4129" s="58" t="s">
        <v>10380</v>
      </c>
      <c r="C4129" s="58" t="s">
        <v>1483</v>
      </c>
      <c r="D4129" s="58" t="s">
        <v>10381</v>
      </c>
      <c r="E4129" s="60" t="b">
        <v>1</v>
      </c>
      <c r="F4129" s="80" t="s">
        <v>1249</v>
      </c>
      <c r="G4129" s="58" t="s">
        <v>10382</v>
      </c>
      <c r="H4129" s="58" t="s">
        <v>1483</v>
      </c>
      <c r="I4129" s="64" t="s">
        <v>10381</v>
      </c>
      <c r="J4129" s="66"/>
      <c r="K4129" s="66"/>
      <c r="L4129" s="68"/>
      <c r="M4129" s="63" t="str">
        <f>HYPERLINK("http://nsgreg.nga.mil/genc/view?v=866222&amp;end_month=12&amp;end_day=31&amp;end_year=2016","Correlation")</f>
        <v>Correlation</v>
      </c>
    </row>
    <row r="4130" spans="1:13" x14ac:dyDescent="0.2">
      <c r="A4130" s="113"/>
      <c r="B4130" s="58" t="s">
        <v>10383</v>
      </c>
      <c r="C4130" s="58" t="s">
        <v>1483</v>
      </c>
      <c r="D4130" s="58" t="s">
        <v>10384</v>
      </c>
      <c r="E4130" s="60" t="b">
        <v>1</v>
      </c>
      <c r="F4130" s="80" t="s">
        <v>1249</v>
      </c>
      <c r="G4130" s="58" t="s">
        <v>10385</v>
      </c>
      <c r="H4130" s="58" t="s">
        <v>1483</v>
      </c>
      <c r="I4130" s="64" t="s">
        <v>10384</v>
      </c>
      <c r="J4130" s="66"/>
      <c r="K4130" s="66"/>
      <c r="L4130" s="68"/>
      <c r="M4130" s="63" t="str">
        <f>HYPERLINK("http://nsgreg.nga.mil/genc/view?v=866221&amp;end_month=12&amp;end_day=31&amp;end_year=2016","Correlation")</f>
        <v>Correlation</v>
      </c>
    </row>
    <row r="4131" spans="1:13" x14ac:dyDescent="0.2">
      <c r="A4131" s="113"/>
      <c r="B4131" s="58" t="s">
        <v>10386</v>
      </c>
      <c r="C4131" s="58" t="s">
        <v>1483</v>
      </c>
      <c r="D4131" s="58" t="s">
        <v>10387</v>
      </c>
      <c r="E4131" s="60" t="b">
        <v>1</v>
      </c>
      <c r="F4131" s="80" t="s">
        <v>1249</v>
      </c>
      <c r="G4131" s="58" t="s">
        <v>10388</v>
      </c>
      <c r="H4131" s="58" t="s">
        <v>1483</v>
      </c>
      <c r="I4131" s="64" t="s">
        <v>10387</v>
      </c>
      <c r="J4131" s="66"/>
      <c r="K4131" s="66"/>
      <c r="L4131" s="68"/>
      <c r="M4131" s="63" t="str">
        <f>HYPERLINK("http://nsgreg.nga.mil/genc/view?v=866216&amp;end_month=12&amp;end_day=31&amp;end_year=2016","Correlation")</f>
        <v>Correlation</v>
      </c>
    </row>
    <row r="4132" spans="1:13" x14ac:dyDescent="0.2">
      <c r="A4132" s="113"/>
      <c r="B4132" s="58" t="s">
        <v>10389</v>
      </c>
      <c r="C4132" s="58" t="s">
        <v>1483</v>
      </c>
      <c r="D4132" s="58" t="s">
        <v>10390</v>
      </c>
      <c r="E4132" s="60" t="b">
        <v>1</v>
      </c>
      <c r="F4132" s="80" t="s">
        <v>1249</v>
      </c>
      <c r="G4132" s="58" t="s">
        <v>10391</v>
      </c>
      <c r="H4132" s="58" t="s">
        <v>1483</v>
      </c>
      <c r="I4132" s="64" t="s">
        <v>10390</v>
      </c>
      <c r="J4132" s="66"/>
      <c r="K4132" s="66"/>
      <c r="L4132" s="68"/>
      <c r="M4132" s="63" t="str">
        <f>HYPERLINK("http://nsgreg.nga.mil/genc/view?v=866229&amp;end_month=12&amp;end_day=31&amp;end_year=2016","Correlation")</f>
        <v>Correlation</v>
      </c>
    </row>
    <row r="4133" spans="1:13" x14ac:dyDescent="0.2">
      <c r="A4133" s="113"/>
      <c r="B4133" s="58" t="s">
        <v>10392</v>
      </c>
      <c r="C4133" s="58" t="s">
        <v>1483</v>
      </c>
      <c r="D4133" s="58" t="s">
        <v>10393</v>
      </c>
      <c r="E4133" s="60" t="b">
        <v>1</v>
      </c>
      <c r="F4133" s="80" t="s">
        <v>1249</v>
      </c>
      <c r="G4133" s="58" t="s">
        <v>10394</v>
      </c>
      <c r="H4133" s="58" t="s">
        <v>1483</v>
      </c>
      <c r="I4133" s="64" t="s">
        <v>10393</v>
      </c>
      <c r="J4133" s="66"/>
      <c r="K4133" s="66"/>
      <c r="L4133" s="68"/>
      <c r="M4133" s="63" t="str">
        <f>HYPERLINK("http://nsgreg.nga.mil/genc/view?v=866219&amp;end_month=12&amp;end_day=31&amp;end_year=2016","Correlation")</f>
        <v>Correlation</v>
      </c>
    </row>
    <row r="4134" spans="1:13" x14ac:dyDescent="0.2">
      <c r="A4134" s="113"/>
      <c r="B4134" s="58" t="s">
        <v>10395</v>
      </c>
      <c r="C4134" s="58" t="s">
        <v>1483</v>
      </c>
      <c r="D4134" s="58" t="s">
        <v>10396</v>
      </c>
      <c r="E4134" s="60" t="b">
        <v>1</v>
      </c>
      <c r="F4134" s="80" t="s">
        <v>1249</v>
      </c>
      <c r="G4134" s="58" t="s">
        <v>10397</v>
      </c>
      <c r="H4134" s="58" t="s">
        <v>1483</v>
      </c>
      <c r="I4134" s="64" t="s">
        <v>10396</v>
      </c>
      <c r="J4134" s="66"/>
      <c r="K4134" s="66"/>
      <c r="L4134" s="68"/>
      <c r="M4134" s="63" t="str">
        <f>HYPERLINK("http://nsgreg.nga.mil/genc/view?v=866225&amp;end_month=12&amp;end_day=31&amp;end_year=2016","Correlation")</f>
        <v>Correlation</v>
      </c>
    </row>
    <row r="4135" spans="1:13" x14ac:dyDescent="0.2">
      <c r="A4135" s="113"/>
      <c r="B4135" s="58" t="s">
        <v>10398</v>
      </c>
      <c r="C4135" s="58" t="s">
        <v>1483</v>
      </c>
      <c r="D4135" s="58" t="s">
        <v>10399</v>
      </c>
      <c r="E4135" s="60" t="b">
        <v>1</v>
      </c>
      <c r="F4135" s="80" t="s">
        <v>1249</v>
      </c>
      <c r="G4135" s="58" t="s">
        <v>10400</v>
      </c>
      <c r="H4135" s="58" t="s">
        <v>1483</v>
      </c>
      <c r="I4135" s="64" t="s">
        <v>10399</v>
      </c>
      <c r="J4135" s="66"/>
      <c r="K4135" s="66"/>
      <c r="L4135" s="68"/>
      <c r="M4135" s="63" t="str">
        <f>HYPERLINK("http://nsgreg.nga.mil/genc/view?v=866218&amp;end_month=12&amp;end_day=31&amp;end_year=2016","Correlation")</f>
        <v>Correlation</v>
      </c>
    </row>
    <row r="4136" spans="1:13" x14ac:dyDescent="0.2">
      <c r="A4136" s="113"/>
      <c r="B4136" s="58" t="s">
        <v>10401</v>
      </c>
      <c r="C4136" s="58" t="s">
        <v>1483</v>
      </c>
      <c r="D4136" s="58" t="s">
        <v>10402</v>
      </c>
      <c r="E4136" s="60" t="b">
        <v>1</v>
      </c>
      <c r="F4136" s="80" t="s">
        <v>1249</v>
      </c>
      <c r="G4136" s="58" t="s">
        <v>10403</v>
      </c>
      <c r="H4136" s="58" t="s">
        <v>1483</v>
      </c>
      <c r="I4136" s="64" t="s">
        <v>10402</v>
      </c>
      <c r="J4136" s="66"/>
      <c r="K4136" s="66"/>
      <c r="L4136" s="68"/>
      <c r="M4136" s="63" t="str">
        <f>HYPERLINK("http://nsgreg.nga.mil/genc/view?v=866214&amp;end_month=12&amp;end_day=31&amp;end_year=2016","Correlation")</f>
        <v>Correlation</v>
      </c>
    </row>
    <row r="4137" spans="1:13" x14ac:dyDescent="0.2">
      <c r="A4137" s="113"/>
      <c r="B4137" s="58" t="s">
        <v>10404</v>
      </c>
      <c r="C4137" s="58" t="s">
        <v>1483</v>
      </c>
      <c r="D4137" s="58" t="s">
        <v>10405</v>
      </c>
      <c r="E4137" s="60" t="b">
        <v>1</v>
      </c>
      <c r="F4137" s="80" t="s">
        <v>1249</v>
      </c>
      <c r="G4137" s="58" t="s">
        <v>10406</v>
      </c>
      <c r="H4137" s="58" t="s">
        <v>1483</v>
      </c>
      <c r="I4137" s="64" t="s">
        <v>10405</v>
      </c>
      <c r="J4137" s="66"/>
      <c r="K4137" s="66"/>
      <c r="L4137" s="68"/>
      <c r="M4137" s="63" t="str">
        <f>HYPERLINK("http://nsgreg.nga.mil/genc/view?v=866217&amp;end_month=12&amp;end_day=31&amp;end_year=2016","Correlation")</f>
        <v>Correlation</v>
      </c>
    </row>
    <row r="4138" spans="1:13" x14ac:dyDescent="0.2">
      <c r="A4138" s="113"/>
      <c r="B4138" s="58" t="s">
        <v>10407</v>
      </c>
      <c r="C4138" s="58" t="s">
        <v>1483</v>
      </c>
      <c r="D4138" s="58" t="s">
        <v>10408</v>
      </c>
      <c r="E4138" s="60" t="b">
        <v>1</v>
      </c>
      <c r="F4138" s="80" t="s">
        <v>1249</v>
      </c>
      <c r="G4138" s="58" t="s">
        <v>10409</v>
      </c>
      <c r="H4138" s="58" t="s">
        <v>1483</v>
      </c>
      <c r="I4138" s="64" t="s">
        <v>10408</v>
      </c>
      <c r="J4138" s="66"/>
      <c r="K4138" s="66"/>
      <c r="L4138" s="68"/>
      <c r="M4138" s="63" t="str">
        <f>HYPERLINK("http://nsgreg.nga.mil/genc/view?v=866228&amp;end_month=12&amp;end_day=31&amp;end_year=2016","Correlation")</f>
        <v>Correlation</v>
      </c>
    </row>
    <row r="4139" spans="1:13" x14ac:dyDescent="0.2">
      <c r="A4139" s="113"/>
      <c r="B4139" s="58" t="s">
        <v>10410</v>
      </c>
      <c r="C4139" s="58" t="s">
        <v>1483</v>
      </c>
      <c r="D4139" s="58" t="s">
        <v>10411</v>
      </c>
      <c r="E4139" s="60" t="b">
        <v>1</v>
      </c>
      <c r="F4139" s="80" t="s">
        <v>1249</v>
      </c>
      <c r="G4139" s="58" t="s">
        <v>10412</v>
      </c>
      <c r="H4139" s="58" t="s">
        <v>1483</v>
      </c>
      <c r="I4139" s="64" t="s">
        <v>10411</v>
      </c>
      <c r="J4139" s="66"/>
      <c r="K4139" s="66"/>
      <c r="L4139" s="68"/>
      <c r="M4139" s="63" t="str">
        <f>HYPERLINK("http://nsgreg.nga.mil/genc/view?v=866215&amp;end_month=12&amp;end_day=31&amp;end_year=2016","Correlation")</f>
        <v>Correlation</v>
      </c>
    </row>
    <row r="4140" spans="1:13" x14ac:dyDescent="0.2">
      <c r="A4140" s="113"/>
      <c r="B4140" s="58" t="s">
        <v>10413</v>
      </c>
      <c r="C4140" s="58" t="s">
        <v>1483</v>
      </c>
      <c r="D4140" s="58" t="s">
        <v>10414</v>
      </c>
      <c r="E4140" s="60" t="b">
        <v>1</v>
      </c>
      <c r="F4140" s="80" t="s">
        <v>1249</v>
      </c>
      <c r="G4140" s="58" t="s">
        <v>10415</v>
      </c>
      <c r="H4140" s="58" t="s">
        <v>1483</v>
      </c>
      <c r="I4140" s="64" t="s">
        <v>10414</v>
      </c>
      <c r="J4140" s="66"/>
      <c r="K4140" s="66"/>
      <c r="L4140" s="68"/>
      <c r="M4140" s="63" t="str">
        <f>HYPERLINK("http://nsgreg.nga.mil/genc/view?v=866233&amp;end_month=12&amp;end_day=31&amp;end_year=2016","Correlation")</f>
        <v>Correlation</v>
      </c>
    </row>
    <row r="4141" spans="1:13" x14ac:dyDescent="0.2">
      <c r="A4141" s="113"/>
      <c r="B4141" s="58" t="s">
        <v>10416</v>
      </c>
      <c r="C4141" s="58" t="s">
        <v>1483</v>
      </c>
      <c r="D4141" s="58" t="s">
        <v>10417</v>
      </c>
      <c r="E4141" s="60" t="b">
        <v>1</v>
      </c>
      <c r="F4141" s="80" t="s">
        <v>1249</v>
      </c>
      <c r="G4141" s="58" t="s">
        <v>10418</v>
      </c>
      <c r="H4141" s="58" t="s">
        <v>1483</v>
      </c>
      <c r="I4141" s="64" t="s">
        <v>10417</v>
      </c>
      <c r="J4141" s="66"/>
      <c r="K4141" s="66"/>
      <c r="L4141" s="68"/>
      <c r="M4141" s="63" t="str">
        <f>HYPERLINK("http://nsgreg.nga.mil/genc/view?v=866230&amp;end_month=12&amp;end_day=31&amp;end_year=2016","Correlation")</f>
        <v>Correlation</v>
      </c>
    </row>
    <row r="4142" spans="1:13" x14ac:dyDescent="0.2">
      <c r="A4142" s="114"/>
      <c r="B4142" s="71" t="s">
        <v>10419</v>
      </c>
      <c r="C4142" s="71" t="s">
        <v>1483</v>
      </c>
      <c r="D4142" s="71" t="s">
        <v>10420</v>
      </c>
      <c r="E4142" s="73" t="b">
        <v>1</v>
      </c>
      <c r="F4142" s="81" t="s">
        <v>1249</v>
      </c>
      <c r="G4142" s="71" t="s">
        <v>10421</v>
      </c>
      <c r="H4142" s="71" t="s">
        <v>1483</v>
      </c>
      <c r="I4142" s="74" t="s">
        <v>10420</v>
      </c>
      <c r="J4142" s="76"/>
      <c r="K4142" s="76"/>
      <c r="L4142" s="82"/>
      <c r="M4142" s="77" t="str">
        <f>HYPERLINK("http://nsgreg.nga.mil/genc/view?v=866227&amp;end_month=12&amp;end_day=31&amp;end_year=2016","Correlation")</f>
        <v>Correlation</v>
      </c>
    </row>
    <row r="4143" spans="1:13" x14ac:dyDescent="0.2">
      <c r="A4143" s="112" t="s">
        <v>1253</v>
      </c>
      <c r="B4143" s="50" t="s">
        <v>10422</v>
      </c>
      <c r="C4143" s="50" t="s">
        <v>6660</v>
      </c>
      <c r="D4143" s="50" t="s">
        <v>10423</v>
      </c>
      <c r="E4143" s="52" t="b">
        <v>1</v>
      </c>
      <c r="F4143" s="78" t="s">
        <v>1253</v>
      </c>
      <c r="G4143" s="50" t="s">
        <v>10422</v>
      </c>
      <c r="H4143" s="50" t="s">
        <v>6660</v>
      </c>
      <c r="I4143" s="53" t="s">
        <v>10423</v>
      </c>
      <c r="J4143" s="55"/>
      <c r="K4143" s="55"/>
      <c r="L4143" s="79"/>
      <c r="M4143" s="56" t="str">
        <f>HYPERLINK("http://nsgreg.nga.mil/genc/view?v=862828&amp;end_month=12&amp;end_day=31&amp;end_year=2016","Correlation")</f>
        <v>Correlation</v>
      </c>
    </row>
    <row r="4144" spans="1:13" x14ac:dyDescent="0.2">
      <c r="A4144" s="113"/>
      <c r="B4144" s="58" t="s">
        <v>10424</v>
      </c>
      <c r="C4144" s="58" t="s">
        <v>6660</v>
      </c>
      <c r="D4144" s="58" t="s">
        <v>10425</v>
      </c>
      <c r="E4144" s="60" t="b">
        <v>1</v>
      </c>
      <c r="F4144" s="80" t="s">
        <v>1253</v>
      </c>
      <c r="G4144" s="58" t="s">
        <v>10424</v>
      </c>
      <c r="H4144" s="58" t="s">
        <v>6660</v>
      </c>
      <c r="I4144" s="64" t="s">
        <v>10425</v>
      </c>
      <c r="J4144" s="66"/>
      <c r="K4144" s="66"/>
      <c r="L4144" s="68"/>
      <c r="M4144" s="63" t="str">
        <f>HYPERLINK("http://nsgreg.nga.mil/genc/view?v=862830&amp;end_month=12&amp;end_day=31&amp;end_year=2016","Correlation")</f>
        <v>Correlation</v>
      </c>
    </row>
    <row r="4145" spans="1:13" x14ac:dyDescent="0.2">
      <c r="A4145" s="113"/>
      <c r="B4145" s="58" t="s">
        <v>10426</v>
      </c>
      <c r="C4145" s="58" t="s">
        <v>6660</v>
      </c>
      <c r="D4145" s="58" t="s">
        <v>10427</v>
      </c>
      <c r="E4145" s="60" t="b">
        <v>1</v>
      </c>
      <c r="F4145" s="80" t="s">
        <v>1253</v>
      </c>
      <c r="G4145" s="58" t="s">
        <v>10426</v>
      </c>
      <c r="H4145" s="58" t="s">
        <v>6660</v>
      </c>
      <c r="I4145" s="64" t="s">
        <v>10427</v>
      </c>
      <c r="J4145" s="66"/>
      <c r="K4145" s="66"/>
      <c r="L4145" s="68"/>
      <c r="M4145" s="63" t="str">
        <f>HYPERLINK("http://nsgreg.nga.mil/genc/view?v=862829&amp;end_month=12&amp;end_day=31&amp;end_year=2016","Correlation")</f>
        <v>Correlation</v>
      </c>
    </row>
    <row r="4146" spans="1:13" x14ac:dyDescent="0.2">
      <c r="A4146" s="113"/>
      <c r="B4146" s="58" t="s">
        <v>10428</v>
      </c>
      <c r="C4146" s="58" t="s">
        <v>6660</v>
      </c>
      <c r="D4146" s="58" t="s">
        <v>10429</v>
      </c>
      <c r="E4146" s="60" t="b">
        <v>1</v>
      </c>
      <c r="F4146" s="80" t="s">
        <v>1253</v>
      </c>
      <c r="G4146" s="58" t="s">
        <v>10428</v>
      </c>
      <c r="H4146" s="58" t="s">
        <v>6660</v>
      </c>
      <c r="I4146" s="64" t="s">
        <v>10429</v>
      </c>
      <c r="J4146" s="66"/>
      <c r="K4146" s="66"/>
      <c r="L4146" s="68"/>
      <c r="M4146" s="63" t="str">
        <f>HYPERLINK("http://nsgreg.nga.mil/genc/view?v=862832&amp;end_month=12&amp;end_day=31&amp;end_year=2016","Correlation")</f>
        <v>Correlation</v>
      </c>
    </row>
    <row r="4147" spans="1:13" x14ac:dyDescent="0.2">
      <c r="A4147" s="113"/>
      <c r="B4147" s="58" t="s">
        <v>10430</v>
      </c>
      <c r="C4147" s="58" t="s">
        <v>6660</v>
      </c>
      <c r="D4147" s="58" t="s">
        <v>10431</v>
      </c>
      <c r="E4147" s="60" t="b">
        <v>1</v>
      </c>
      <c r="F4147" s="80" t="s">
        <v>1253</v>
      </c>
      <c r="G4147" s="58" t="s">
        <v>10430</v>
      </c>
      <c r="H4147" s="58" t="s">
        <v>6660</v>
      </c>
      <c r="I4147" s="64" t="s">
        <v>10431</v>
      </c>
      <c r="J4147" s="66"/>
      <c r="K4147" s="66"/>
      <c r="L4147" s="68"/>
      <c r="M4147" s="63" t="str">
        <f>HYPERLINK("http://nsgreg.nga.mil/genc/view?v=862833&amp;end_month=12&amp;end_day=31&amp;end_year=2016","Correlation")</f>
        <v>Correlation</v>
      </c>
    </row>
    <row r="4148" spans="1:13" x14ac:dyDescent="0.2">
      <c r="A4148" s="113"/>
      <c r="B4148" s="58" t="s">
        <v>10432</v>
      </c>
      <c r="C4148" s="58" t="s">
        <v>6660</v>
      </c>
      <c r="D4148" s="58" t="s">
        <v>10433</v>
      </c>
      <c r="E4148" s="60" t="b">
        <v>1</v>
      </c>
      <c r="F4148" s="80" t="s">
        <v>1253</v>
      </c>
      <c r="G4148" s="58" t="s">
        <v>10432</v>
      </c>
      <c r="H4148" s="58" t="s">
        <v>6660</v>
      </c>
      <c r="I4148" s="64" t="s">
        <v>10433</v>
      </c>
      <c r="J4148" s="66"/>
      <c r="K4148" s="66"/>
      <c r="L4148" s="68"/>
      <c r="M4148" s="63" t="str">
        <f>HYPERLINK("http://nsgreg.nga.mil/genc/view?v=862831&amp;end_month=12&amp;end_day=31&amp;end_year=2016","Correlation")</f>
        <v>Correlation</v>
      </c>
    </row>
    <row r="4149" spans="1:13" x14ac:dyDescent="0.2">
      <c r="A4149" s="113"/>
      <c r="B4149" s="58" t="s">
        <v>10434</v>
      </c>
      <c r="C4149" s="58" t="s">
        <v>6660</v>
      </c>
      <c r="D4149" s="58" t="s">
        <v>10435</v>
      </c>
      <c r="E4149" s="60" t="b">
        <v>1</v>
      </c>
      <c r="F4149" s="80" t="s">
        <v>1253</v>
      </c>
      <c r="G4149" s="58" t="s">
        <v>10434</v>
      </c>
      <c r="H4149" s="58" t="s">
        <v>6660</v>
      </c>
      <c r="I4149" s="64" t="s">
        <v>10435</v>
      </c>
      <c r="J4149" s="66"/>
      <c r="K4149" s="66"/>
      <c r="L4149" s="68"/>
      <c r="M4149" s="63" t="str">
        <f>HYPERLINK("http://nsgreg.nga.mil/genc/view?v=862834&amp;end_month=12&amp;end_day=31&amp;end_year=2016","Correlation")</f>
        <v>Correlation</v>
      </c>
    </row>
    <row r="4150" spans="1:13" x14ac:dyDescent="0.2">
      <c r="A4150" s="113"/>
      <c r="B4150" s="58" t="s">
        <v>10436</v>
      </c>
      <c r="C4150" s="58" t="s">
        <v>6660</v>
      </c>
      <c r="D4150" s="58" t="s">
        <v>10437</v>
      </c>
      <c r="E4150" s="60" t="b">
        <v>1</v>
      </c>
      <c r="F4150" s="80" t="s">
        <v>1253</v>
      </c>
      <c r="G4150" s="58" t="s">
        <v>10436</v>
      </c>
      <c r="H4150" s="58" t="s">
        <v>6660</v>
      </c>
      <c r="I4150" s="64" t="s">
        <v>10437</v>
      </c>
      <c r="J4150" s="66"/>
      <c r="K4150" s="66"/>
      <c r="L4150" s="68"/>
      <c r="M4150" s="63" t="str">
        <f>HYPERLINK("http://nsgreg.nga.mil/genc/view?v=862835&amp;end_month=12&amp;end_day=31&amp;end_year=2016","Correlation")</f>
        <v>Correlation</v>
      </c>
    </row>
    <row r="4151" spans="1:13" x14ac:dyDescent="0.2">
      <c r="A4151" s="113"/>
      <c r="B4151" s="58" t="s">
        <v>10438</v>
      </c>
      <c r="C4151" s="58" t="s">
        <v>6660</v>
      </c>
      <c r="D4151" s="58" t="s">
        <v>10439</v>
      </c>
      <c r="E4151" s="60" t="b">
        <v>1</v>
      </c>
      <c r="F4151" s="80" t="s">
        <v>1253</v>
      </c>
      <c r="G4151" s="58" t="s">
        <v>10438</v>
      </c>
      <c r="H4151" s="58" t="s">
        <v>6660</v>
      </c>
      <c r="I4151" s="64" t="s">
        <v>10439</v>
      </c>
      <c r="J4151" s="66"/>
      <c r="K4151" s="66"/>
      <c r="L4151" s="68"/>
      <c r="M4151" s="63" t="str">
        <f>HYPERLINK("http://nsgreg.nga.mil/genc/view?v=862836&amp;end_month=12&amp;end_day=31&amp;end_year=2016","Correlation")</f>
        <v>Correlation</v>
      </c>
    </row>
    <row r="4152" spans="1:13" x14ac:dyDescent="0.2">
      <c r="A4152" s="113"/>
      <c r="B4152" s="58" t="s">
        <v>10440</v>
      </c>
      <c r="C4152" s="58" t="s">
        <v>6660</v>
      </c>
      <c r="D4152" s="58" t="s">
        <v>10441</v>
      </c>
      <c r="E4152" s="60" t="b">
        <v>1</v>
      </c>
      <c r="F4152" s="80" t="s">
        <v>1253</v>
      </c>
      <c r="G4152" s="58" t="s">
        <v>10440</v>
      </c>
      <c r="H4152" s="58" t="s">
        <v>6660</v>
      </c>
      <c r="I4152" s="64" t="s">
        <v>10441</v>
      </c>
      <c r="J4152" s="66"/>
      <c r="K4152" s="66"/>
      <c r="L4152" s="68"/>
      <c r="M4152" s="63" t="str">
        <f>HYPERLINK("http://nsgreg.nga.mil/genc/view?v=862837&amp;end_month=12&amp;end_day=31&amp;end_year=2016","Correlation")</f>
        <v>Correlation</v>
      </c>
    </row>
    <row r="4153" spans="1:13" x14ac:dyDescent="0.2">
      <c r="A4153" s="113"/>
      <c r="B4153" s="58" t="s">
        <v>4249</v>
      </c>
      <c r="C4153" s="58" t="s">
        <v>6660</v>
      </c>
      <c r="D4153" s="58" t="s">
        <v>10442</v>
      </c>
      <c r="E4153" s="60" t="b">
        <v>1</v>
      </c>
      <c r="F4153" s="80" t="s">
        <v>1253</v>
      </c>
      <c r="G4153" s="58" t="s">
        <v>4249</v>
      </c>
      <c r="H4153" s="58" t="s">
        <v>6660</v>
      </c>
      <c r="I4153" s="64" t="s">
        <v>10442</v>
      </c>
      <c r="J4153" s="66"/>
      <c r="K4153" s="66"/>
      <c r="L4153" s="68"/>
      <c r="M4153" s="63" t="str">
        <f>HYPERLINK("http://nsgreg.nga.mil/genc/view?v=862838&amp;end_month=12&amp;end_day=31&amp;end_year=2016","Correlation")</f>
        <v>Correlation</v>
      </c>
    </row>
    <row r="4154" spans="1:13" x14ac:dyDescent="0.2">
      <c r="A4154" s="113"/>
      <c r="B4154" s="58" t="s">
        <v>10443</v>
      </c>
      <c r="C4154" s="58" t="s">
        <v>6660</v>
      </c>
      <c r="D4154" s="58" t="s">
        <v>10444</v>
      </c>
      <c r="E4154" s="60" t="b">
        <v>1</v>
      </c>
      <c r="F4154" s="80" t="s">
        <v>1253</v>
      </c>
      <c r="G4154" s="58" t="s">
        <v>10443</v>
      </c>
      <c r="H4154" s="58" t="s">
        <v>6660</v>
      </c>
      <c r="I4154" s="64" t="s">
        <v>10444</v>
      </c>
      <c r="J4154" s="66"/>
      <c r="K4154" s="66"/>
      <c r="L4154" s="68"/>
      <c r="M4154" s="63" t="str">
        <f>HYPERLINK("http://nsgreg.nga.mil/genc/view?v=862839&amp;end_month=12&amp;end_day=31&amp;end_year=2016","Correlation")</f>
        <v>Correlation</v>
      </c>
    </row>
    <row r="4155" spans="1:13" x14ac:dyDescent="0.2">
      <c r="A4155" s="113"/>
      <c r="B4155" s="58" t="s">
        <v>10445</v>
      </c>
      <c r="C4155" s="58" t="s">
        <v>6660</v>
      </c>
      <c r="D4155" s="58" t="s">
        <v>10446</v>
      </c>
      <c r="E4155" s="60" t="b">
        <v>1</v>
      </c>
      <c r="F4155" s="80" t="s">
        <v>1253</v>
      </c>
      <c r="G4155" s="58" t="s">
        <v>10445</v>
      </c>
      <c r="H4155" s="58" t="s">
        <v>6660</v>
      </c>
      <c r="I4155" s="64" t="s">
        <v>10446</v>
      </c>
      <c r="J4155" s="66"/>
      <c r="K4155" s="66"/>
      <c r="L4155" s="68"/>
      <c r="M4155" s="63" t="str">
        <f>HYPERLINK("http://nsgreg.nga.mil/genc/view?v=862840&amp;end_month=12&amp;end_day=31&amp;end_year=2016","Correlation")</f>
        <v>Correlation</v>
      </c>
    </row>
    <row r="4156" spans="1:13" x14ac:dyDescent="0.2">
      <c r="A4156" s="113"/>
      <c r="B4156" s="58" t="s">
        <v>10447</v>
      </c>
      <c r="C4156" s="58" t="s">
        <v>6660</v>
      </c>
      <c r="D4156" s="58" t="s">
        <v>10448</v>
      </c>
      <c r="E4156" s="60" t="b">
        <v>1</v>
      </c>
      <c r="F4156" s="80" t="s">
        <v>1253</v>
      </c>
      <c r="G4156" s="58" t="s">
        <v>10447</v>
      </c>
      <c r="H4156" s="58" t="s">
        <v>6660</v>
      </c>
      <c r="I4156" s="64" t="s">
        <v>10448</v>
      </c>
      <c r="J4156" s="66"/>
      <c r="K4156" s="66"/>
      <c r="L4156" s="68"/>
      <c r="M4156" s="63" t="str">
        <f>HYPERLINK("http://nsgreg.nga.mil/genc/view?v=862841&amp;end_month=12&amp;end_day=31&amp;end_year=2016","Correlation")</f>
        <v>Correlation</v>
      </c>
    </row>
    <row r="4157" spans="1:13" x14ac:dyDescent="0.2">
      <c r="A4157" s="113"/>
      <c r="B4157" s="58" t="s">
        <v>10449</v>
      </c>
      <c r="C4157" s="58" t="s">
        <v>6660</v>
      </c>
      <c r="D4157" s="58" t="s">
        <v>10450</v>
      </c>
      <c r="E4157" s="60" t="b">
        <v>1</v>
      </c>
      <c r="F4157" s="80" t="s">
        <v>1253</v>
      </c>
      <c r="G4157" s="58" t="s">
        <v>10449</v>
      </c>
      <c r="H4157" s="58" t="s">
        <v>6660</v>
      </c>
      <c r="I4157" s="64" t="s">
        <v>10450</v>
      </c>
      <c r="J4157" s="66"/>
      <c r="K4157" s="66"/>
      <c r="L4157" s="68"/>
      <c r="M4157" s="63" t="str">
        <f>HYPERLINK("http://nsgreg.nga.mil/genc/view?v=862842&amp;end_month=12&amp;end_day=31&amp;end_year=2016","Correlation")</f>
        <v>Correlation</v>
      </c>
    </row>
    <row r="4158" spans="1:13" x14ac:dyDescent="0.2">
      <c r="A4158" s="113"/>
      <c r="B4158" s="58" t="s">
        <v>10451</v>
      </c>
      <c r="C4158" s="58" t="s">
        <v>6660</v>
      </c>
      <c r="D4158" s="58" t="s">
        <v>10452</v>
      </c>
      <c r="E4158" s="60" t="b">
        <v>1</v>
      </c>
      <c r="F4158" s="80" t="s">
        <v>1253</v>
      </c>
      <c r="G4158" s="58" t="s">
        <v>10451</v>
      </c>
      <c r="H4158" s="58" t="s">
        <v>6660</v>
      </c>
      <c r="I4158" s="64" t="s">
        <v>10452</v>
      </c>
      <c r="J4158" s="66"/>
      <c r="K4158" s="66"/>
      <c r="L4158" s="68"/>
      <c r="M4158" s="63" t="str">
        <f>HYPERLINK("http://nsgreg.nga.mil/genc/view?v=862843&amp;end_month=12&amp;end_day=31&amp;end_year=2016","Correlation")</f>
        <v>Correlation</v>
      </c>
    </row>
    <row r="4159" spans="1:13" x14ac:dyDescent="0.2">
      <c r="A4159" s="113"/>
      <c r="B4159" s="58" t="s">
        <v>10453</v>
      </c>
      <c r="C4159" s="58" t="s">
        <v>6660</v>
      </c>
      <c r="D4159" s="58" t="s">
        <v>10454</v>
      </c>
      <c r="E4159" s="60" t="b">
        <v>1</v>
      </c>
      <c r="F4159" s="80" t="s">
        <v>1253</v>
      </c>
      <c r="G4159" s="58" t="s">
        <v>10453</v>
      </c>
      <c r="H4159" s="58" t="s">
        <v>6660</v>
      </c>
      <c r="I4159" s="64" t="s">
        <v>10454</v>
      </c>
      <c r="J4159" s="66"/>
      <c r="K4159" s="66"/>
      <c r="L4159" s="68"/>
      <c r="M4159" s="63" t="str">
        <f>HYPERLINK("http://nsgreg.nga.mil/genc/view?v=862844&amp;end_month=12&amp;end_day=31&amp;end_year=2016","Correlation")</f>
        <v>Correlation</v>
      </c>
    </row>
    <row r="4160" spans="1:13" x14ac:dyDescent="0.2">
      <c r="A4160" s="113"/>
      <c r="B4160" s="58" t="s">
        <v>10455</v>
      </c>
      <c r="C4160" s="58" t="s">
        <v>6660</v>
      </c>
      <c r="D4160" s="58" t="s">
        <v>10456</v>
      </c>
      <c r="E4160" s="60" t="b">
        <v>1</v>
      </c>
      <c r="F4160" s="80" t="s">
        <v>1253</v>
      </c>
      <c r="G4160" s="58" t="s">
        <v>10455</v>
      </c>
      <c r="H4160" s="58" t="s">
        <v>6660</v>
      </c>
      <c r="I4160" s="64" t="s">
        <v>10456</v>
      </c>
      <c r="J4160" s="66"/>
      <c r="K4160" s="66"/>
      <c r="L4160" s="68"/>
      <c r="M4160" s="63" t="str">
        <f>HYPERLINK("http://nsgreg.nga.mil/genc/view?v=862846&amp;end_month=12&amp;end_day=31&amp;end_year=2016","Correlation")</f>
        <v>Correlation</v>
      </c>
    </row>
    <row r="4161" spans="1:13" x14ac:dyDescent="0.2">
      <c r="A4161" s="113"/>
      <c r="B4161" s="58" t="s">
        <v>10457</v>
      </c>
      <c r="C4161" s="58" t="s">
        <v>6660</v>
      </c>
      <c r="D4161" s="58" t="s">
        <v>10458</v>
      </c>
      <c r="E4161" s="60" t="b">
        <v>1</v>
      </c>
      <c r="F4161" s="80" t="s">
        <v>1253</v>
      </c>
      <c r="G4161" s="58" t="s">
        <v>10457</v>
      </c>
      <c r="H4161" s="58" t="s">
        <v>6660</v>
      </c>
      <c r="I4161" s="64" t="s">
        <v>10458</v>
      </c>
      <c r="J4161" s="66"/>
      <c r="K4161" s="66"/>
      <c r="L4161" s="68"/>
      <c r="M4161" s="63" t="str">
        <f>HYPERLINK("http://nsgreg.nga.mil/genc/view?v=862845&amp;end_month=12&amp;end_day=31&amp;end_year=2016","Correlation")</f>
        <v>Correlation</v>
      </c>
    </row>
    <row r="4162" spans="1:13" x14ac:dyDescent="0.2">
      <c r="A4162" s="113"/>
      <c r="B4162" s="58" t="s">
        <v>10459</v>
      </c>
      <c r="C4162" s="58" t="s">
        <v>6660</v>
      </c>
      <c r="D4162" s="58" t="s">
        <v>10460</v>
      </c>
      <c r="E4162" s="60" t="b">
        <v>1</v>
      </c>
      <c r="F4162" s="80" t="s">
        <v>1253</v>
      </c>
      <c r="G4162" s="58" t="s">
        <v>10459</v>
      </c>
      <c r="H4162" s="58" t="s">
        <v>6660</v>
      </c>
      <c r="I4162" s="64" t="s">
        <v>10460</v>
      </c>
      <c r="J4162" s="66"/>
      <c r="K4162" s="66"/>
      <c r="L4162" s="68"/>
      <c r="M4162" s="63" t="str">
        <f>HYPERLINK("http://nsgreg.nga.mil/genc/view?v=862847&amp;end_month=12&amp;end_day=31&amp;end_year=2016","Correlation")</f>
        <v>Correlation</v>
      </c>
    </row>
    <row r="4163" spans="1:13" x14ac:dyDescent="0.2">
      <c r="A4163" s="113"/>
      <c r="B4163" s="58" t="s">
        <v>10461</v>
      </c>
      <c r="C4163" s="58" t="s">
        <v>6660</v>
      </c>
      <c r="D4163" s="58" t="s">
        <v>10462</v>
      </c>
      <c r="E4163" s="60" t="b">
        <v>1</v>
      </c>
      <c r="F4163" s="80" t="s">
        <v>1253</v>
      </c>
      <c r="G4163" s="58" t="s">
        <v>10461</v>
      </c>
      <c r="H4163" s="58" t="s">
        <v>6660</v>
      </c>
      <c r="I4163" s="64" t="s">
        <v>10462</v>
      </c>
      <c r="J4163" s="66"/>
      <c r="K4163" s="66"/>
      <c r="L4163" s="68"/>
      <c r="M4163" s="63" t="str">
        <f>HYPERLINK("http://nsgreg.nga.mil/genc/view?v=862848&amp;end_month=12&amp;end_day=31&amp;end_year=2016","Correlation")</f>
        <v>Correlation</v>
      </c>
    </row>
    <row r="4164" spans="1:13" x14ac:dyDescent="0.2">
      <c r="A4164" s="113"/>
      <c r="B4164" s="58" t="s">
        <v>10463</v>
      </c>
      <c r="C4164" s="58" t="s">
        <v>6660</v>
      </c>
      <c r="D4164" s="58" t="s">
        <v>10464</v>
      </c>
      <c r="E4164" s="60" t="b">
        <v>1</v>
      </c>
      <c r="F4164" s="80" t="s">
        <v>1253</v>
      </c>
      <c r="G4164" s="58" t="s">
        <v>10463</v>
      </c>
      <c r="H4164" s="58" t="s">
        <v>6660</v>
      </c>
      <c r="I4164" s="64" t="s">
        <v>10464</v>
      </c>
      <c r="J4164" s="66"/>
      <c r="K4164" s="66"/>
      <c r="L4164" s="68"/>
      <c r="M4164" s="63" t="str">
        <f>HYPERLINK("http://nsgreg.nga.mil/genc/view?v=862849&amp;end_month=12&amp;end_day=31&amp;end_year=2016","Correlation")</f>
        <v>Correlation</v>
      </c>
    </row>
    <row r="4165" spans="1:13" x14ac:dyDescent="0.2">
      <c r="A4165" s="113"/>
      <c r="B4165" s="58" t="s">
        <v>10465</v>
      </c>
      <c r="C4165" s="58" t="s">
        <v>6660</v>
      </c>
      <c r="D4165" s="58" t="s">
        <v>10466</v>
      </c>
      <c r="E4165" s="60" t="b">
        <v>1</v>
      </c>
      <c r="F4165" s="80" t="s">
        <v>1253</v>
      </c>
      <c r="G4165" s="58" t="s">
        <v>10465</v>
      </c>
      <c r="H4165" s="58" t="s">
        <v>6660</v>
      </c>
      <c r="I4165" s="64" t="s">
        <v>10466</v>
      </c>
      <c r="J4165" s="66"/>
      <c r="K4165" s="66"/>
      <c r="L4165" s="68"/>
      <c r="M4165" s="63" t="str">
        <f>HYPERLINK("http://nsgreg.nga.mil/genc/view?v=862851&amp;end_month=12&amp;end_day=31&amp;end_year=2016","Correlation")</f>
        <v>Correlation</v>
      </c>
    </row>
    <row r="4166" spans="1:13" x14ac:dyDescent="0.2">
      <c r="A4166" s="113"/>
      <c r="B4166" s="58" t="s">
        <v>10467</v>
      </c>
      <c r="C4166" s="58" t="s">
        <v>6660</v>
      </c>
      <c r="D4166" s="58" t="s">
        <v>10468</v>
      </c>
      <c r="E4166" s="60" t="b">
        <v>1</v>
      </c>
      <c r="F4166" s="80" t="s">
        <v>1253</v>
      </c>
      <c r="G4166" s="58" t="s">
        <v>10467</v>
      </c>
      <c r="H4166" s="58" t="s">
        <v>6660</v>
      </c>
      <c r="I4166" s="64" t="s">
        <v>10468</v>
      </c>
      <c r="J4166" s="66"/>
      <c r="K4166" s="66"/>
      <c r="L4166" s="68"/>
      <c r="M4166" s="63" t="str">
        <f>HYPERLINK("http://nsgreg.nga.mil/genc/view?v=862850&amp;end_month=12&amp;end_day=31&amp;end_year=2016","Correlation")</f>
        <v>Correlation</v>
      </c>
    </row>
    <row r="4167" spans="1:13" x14ac:dyDescent="0.2">
      <c r="A4167" s="113"/>
      <c r="B4167" s="58" t="s">
        <v>10469</v>
      </c>
      <c r="C4167" s="58" t="s">
        <v>6660</v>
      </c>
      <c r="D4167" s="58" t="s">
        <v>10470</v>
      </c>
      <c r="E4167" s="60" t="b">
        <v>1</v>
      </c>
      <c r="F4167" s="80" t="s">
        <v>1253</v>
      </c>
      <c r="G4167" s="58" t="s">
        <v>10469</v>
      </c>
      <c r="H4167" s="58" t="s">
        <v>6660</v>
      </c>
      <c r="I4167" s="64" t="s">
        <v>10470</v>
      </c>
      <c r="J4167" s="66"/>
      <c r="K4167" s="66"/>
      <c r="L4167" s="68"/>
      <c r="M4167" s="63" t="str">
        <f>HYPERLINK("http://nsgreg.nga.mil/genc/view?v=862852&amp;end_month=12&amp;end_day=31&amp;end_year=2016","Correlation")</f>
        <v>Correlation</v>
      </c>
    </row>
    <row r="4168" spans="1:13" x14ac:dyDescent="0.2">
      <c r="A4168" s="114"/>
      <c r="B4168" s="71" t="s">
        <v>10471</v>
      </c>
      <c r="C4168" s="71" t="s">
        <v>6660</v>
      </c>
      <c r="D4168" s="71" t="s">
        <v>10472</v>
      </c>
      <c r="E4168" s="73" t="b">
        <v>1</v>
      </c>
      <c r="F4168" s="81" t="s">
        <v>1253</v>
      </c>
      <c r="G4168" s="71" t="s">
        <v>10471</v>
      </c>
      <c r="H4168" s="71" t="s">
        <v>6660</v>
      </c>
      <c r="I4168" s="74" t="s">
        <v>10472</v>
      </c>
      <c r="J4168" s="76"/>
      <c r="K4168" s="76"/>
      <c r="L4168" s="82"/>
      <c r="M4168" s="77" t="str">
        <f>HYPERLINK("http://nsgreg.nga.mil/genc/view?v=862853&amp;end_month=12&amp;end_day=31&amp;end_year=2016","Correlation")</f>
        <v>Correlation</v>
      </c>
    </row>
    <row r="4169" spans="1:13" x14ac:dyDescent="0.2">
      <c r="A4169" s="112" t="s">
        <v>1257</v>
      </c>
      <c r="B4169" s="50" t="s">
        <v>10473</v>
      </c>
      <c r="C4169" s="50" t="s">
        <v>2030</v>
      </c>
      <c r="D4169" s="50" t="s">
        <v>10474</v>
      </c>
      <c r="E4169" s="52" t="b">
        <v>1</v>
      </c>
      <c r="F4169" s="78" t="s">
        <v>1261</v>
      </c>
      <c r="G4169" s="50" t="s">
        <v>10473</v>
      </c>
      <c r="H4169" s="50" t="s">
        <v>1413</v>
      </c>
      <c r="I4169" s="53" t="s">
        <v>10474</v>
      </c>
      <c r="J4169" s="55"/>
      <c r="K4169" s="55"/>
      <c r="L4169" s="79"/>
      <c r="M4169" s="56" t="str">
        <f>HYPERLINK("http://nsgreg.nga.mil/genc/view?v=866547&amp;end_month=12&amp;end_day=31&amp;end_year=2016","Correlation")</f>
        <v>Correlation</v>
      </c>
    </row>
    <row r="4170" spans="1:13" x14ac:dyDescent="0.2">
      <c r="A4170" s="113"/>
      <c r="B4170" s="58" t="s">
        <v>10475</v>
      </c>
      <c r="C4170" s="58" t="s">
        <v>2030</v>
      </c>
      <c r="D4170" s="58" t="s">
        <v>10476</v>
      </c>
      <c r="E4170" s="60" t="b">
        <v>1</v>
      </c>
      <c r="F4170" s="80" t="s">
        <v>1261</v>
      </c>
      <c r="G4170" s="58" t="s">
        <v>10475</v>
      </c>
      <c r="H4170" s="58" t="s">
        <v>1413</v>
      </c>
      <c r="I4170" s="64" t="s">
        <v>10476</v>
      </c>
      <c r="J4170" s="66"/>
      <c r="K4170" s="66"/>
      <c r="L4170" s="68"/>
      <c r="M4170" s="63" t="str">
        <f>HYPERLINK("http://nsgreg.nga.mil/genc/view?v=866552&amp;end_month=12&amp;end_day=31&amp;end_year=2016","Correlation")</f>
        <v>Correlation</v>
      </c>
    </row>
    <row r="4171" spans="1:13" x14ac:dyDescent="0.2">
      <c r="A4171" s="113"/>
      <c r="B4171" s="58" t="s">
        <v>10477</v>
      </c>
      <c r="C4171" s="58" t="s">
        <v>2030</v>
      </c>
      <c r="D4171" s="58" t="s">
        <v>10478</v>
      </c>
      <c r="E4171" s="60" t="b">
        <v>1</v>
      </c>
      <c r="F4171" s="80" t="s">
        <v>1261</v>
      </c>
      <c r="G4171" s="58" t="s">
        <v>10477</v>
      </c>
      <c r="H4171" s="58" t="s">
        <v>1413</v>
      </c>
      <c r="I4171" s="64" t="s">
        <v>10478</v>
      </c>
      <c r="J4171" s="66"/>
      <c r="K4171" s="66"/>
      <c r="L4171" s="68"/>
      <c r="M4171" s="63" t="str">
        <f>HYPERLINK("http://nsgreg.nga.mil/genc/view?v=866553&amp;end_month=12&amp;end_day=31&amp;end_year=2016","Correlation")</f>
        <v>Correlation</v>
      </c>
    </row>
    <row r="4172" spans="1:13" x14ac:dyDescent="0.2">
      <c r="A4172" s="113"/>
      <c r="B4172" s="58" t="s">
        <v>10479</v>
      </c>
      <c r="C4172" s="58" t="s">
        <v>2030</v>
      </c>
      <c r="D4172" s="58" t="s">
        <v>10480</v>
      </c>
      <c r="E4172" s="60" t="b">
        <v>1</v>
      </c>
      <c r="F4172" s="80" t="s">
        <v>1261</v>
      </c>
      <c r="G4172" s="58" t="s">
        <v>10479</v>
      </c>
      <c r="H4172" s="58" t="s">
        <v>1413</v>
      </c>
      <c r="I4172" s="64" t="s">
        <v>10480</v>
      </c>
      <c r="J4172" s="66"/>
      <c r="K4172" s="66"/>
      <c r="L4172" s="68"/>
      <c r="M4172" s="63" t="str">
        <f>HYPERLINK("http://nsgreg.nga.mil/genc/view?v=866554&amp;end_month=12&amp;end_day=31&amp;end_year=2016","Correlation")</f>
        <v>Correlation</v>
      </c>
    </row>
    <row r="4173" spans="1:13" x14ac:dyDescent="0.2">
      <c r="A4173" s="113"/>
      <c r="B4173" s="58" t="s">
        <v>10481</v>
      </c>
      <c r="C4173" s="58" t="s">
        <v>2030</v>
      </c>
      <c r="D4173" s="58" t="s">
        <v>10482</v>
      </c>
      <c r="E4173" s="60" t="b">
        <v>1</v>
      </c>
      <c r="F4173" s="80" t="s">
        <v>1261</v>
      </c>
      <c r="G4173" s="58" t="s">
        <v>10481</v>
      </c>
      <c r="H4173" s="58" t="s">
        <v>1413</v>
      </c>
      <c r="I4173" s="64" t="s">
        <v>10482</v>
      </c>
      <c r="J4173" s="66"/>
      <c r="K4173" s="66"/>
      <c r="L4173" s="68"/>
      <c r="M4173" s="63" t="str">
        <f>HYPERLINK("http://nsgreg.nga.mil/genc/view?v=866556&amp;end_month=12&amp;end_day=31&amp;end_year=2016","Correlation")</f>
        <v>Correlation</v>
      </c>
    </row>
    <row r="4174" spans="1:13" x14ac:dyDescent="0.2">
      <c r="A4174" s="113"/>
      <c r="B4174" s="58" t="s">
        <v>10483</v>
      </c>
      <c r="C4174" s="58" t="s">
        <v>2030</v>
      </c>
      <c r="D4174" s="58" t="s">
        <v>10484</v>
      </c>
      <c r="E4174" s="60" t="b">
        <v>1</v>
      </c>
      <c r="F4174" s="80" t="s">
        <v>1261</v>
      </c>
      <c r="G4174" s="58" t="s">
        <v>10483</v>
      </c>
      <c r="H4174" s="58" t="s">
        <v>1413</v>
      </c>
      <c r="I4174" s="64" t="s">
        <v>10484</v>
      </c>
      <c r="J4174" s="66"/>
      <c r="K4174" s="66"/>
      <c r="L4174" s="68"/>
      <c r="M4174" s="63" t="str">
        <f>HYPERLINK("http://nsgreg.nga.mil/genc/view?v=866545&amp;end_month=12&amp;end_day=31&amp;end_year=2016","Correlation")</f>
        <v>Correlation</v>
      </c>
    </row>
    <row r="4175" spans="1:13" x14ac:dyDescent="0.2">
      <c r="A4175" s="113"/>
      <c r="B4175" s="58" t="s">
        <v>10485</v>
      </c>
      <c r="C4175" s="58" t="s">
        <v>2030</v>
      </c>
      <c r="D4175" s="58" t="s">
        <v>10486</v>
      </c>
      <c r="E4175" s="60" t="b">
        <v>1</v>
      </c>
      <c r="F4175" s="80" t="s">
        <v>1261</v>
      </c>
      <c r="G4175" s="58" t="s">
        <v>10485</v>
      </c>
      <c r="H4175" s="58" t="s">
        <v>1413</v>
      </c>
      <c r="I4175" s="64" t="s">
        <v>10486</v>
      </c>
      <c r="J4175" s="66"/>
      <c r="K4175" s="66"/>
      <c r="L4175" s="68"/>
      <c r="M4175" s="63" t="str">
        <f>HYPERLINK("http://nsgreg.nga.mil/genc/view?v=866546&amp;end_month=12&amp;end_day=31&amp;end_year=2016","Correlation")</f>
        <v>Correlation</v>
      </c>
    </row>
    <row r="4176" spans="1:13" x14ac:dyDescent="0.2">
      <c r="A4176" s="113"/>
      <c r="B4176" s="58" t="s">
        <v>10487</v>
      </c>
      <c r="C4176" s="58" t="s">
        <v>2030</v>
      </c>
      <c r="D4176" s="58" t="s">
        <v>10488</v>
      </c>
      <c r="E4176" s="60" t="b">
        <v>1</v>
      </c>
      <c r="F4176" s="80" t="s">
        <v>1261</v>
      </c>
      <c r="G4176" s="58" t="s">
        <v>10487</v>
      </c>
      <c r="H4176" s="58" t="s">
        <v>1413</v>
      </c>
      <c r="I4176" s="64" t="s">
        <v>10488</v>
      </c>
      <c r="J4176" s="66"/>
      <c r="K4176" s="66"/>
      <c r="L4176" s="68"/>
      <c r="M4176" s="63" t="str">
        <f>HYPERLINK("http://nsgreg.nga.mil/genc/view?v=866544&amp;end_month=12&amp;end_day=31&amp;end_year=2016","Correlation")</f>
        <v>Correlation</v>
      </c>
    </row>
    <row r="4177" spans="1:13" x14ac:dyDescent="0.2">
      <c r="A4177" s="113"/>
      <c r="B4177" s="58" t="s">
        <v>10489</v>
      </c>
      <c r="C4177" s="58" t="s">
        <v>2030</v>
      </c>
      <c r="D4177" s="58" t="s">
        <v>10490</v>
      </c>
      <c r="E4177" s="60" t="b">
        <v>1</v>
      </c>
      <c r="F4177" s="80" t="s">
        <v>1261</v>
      </c>
      <c r="G4177" s="58" t="s">
        <v>10489</v>
      </c>
      <c r="H4177" s="58" t="s">
        <v>1413</v>
      </c>
      <c r="I4177" s="64" t="s">
        <v>10490</v>
      </c>
      <c r="J4177" s="66"/>
      <c r="K4177" s="66"/>
      <c r="L4177" s="68"/>
      <c r="M4177" s="63" t="str">
        <f>HYPERLINK("http://nsgreg.nga.mil/genc/view?v=866549&amp;end_month=12&amp;end_day=31&amp;end_year=2016","Correlation")</f>
        <v>Correlation</v>
      </c>
    </row>
    <row r="4178" spans="1:13" x14ac:dyDescent="0.2">
      <c r="A4178" s="113"/>
      <c r="B4178" s="58" t="s">
        <v>10491</v>
      </c>
      <c r="C4178" s="58" t="s">
        <v>2030</v>
      </c>
      <c r="D4178" s="58" t="s">
        <v>10492</v>
      </c>
      <c r="E4178" s="60" t="b">
        <v>1</v>
      </c>
      <c r="F4178" s="80" t="s">
        <v>1261</v>
      </c>
      <c r="G4178" s="58" t="s">
        <v>10491</v>
      </c>
      <c r="H4178" s="58" t="s">
        <v>1413</v>
      </c>
      <c r="I4178" s="64" t="s">
        <v>10492</v>
      </c>
      <c r="J4178" s="66"/>
      <c r="K4178" s="66"/>
      <c r="L4178" s="68"/>
      <c r="M4178" s="63" t="str">
        <f>HYPERLINK("http://nsgreg.nga.mil/genc/view?v=866550&amp;end_month=12&amp;end_day=31&amp;end_year=2016","Correlation")</f>
        <v>Correlation</v>
      </c>
    </row>
    <row r="4179" spans="1:13" x14ac:dyDescent="0.2">
      <c r="A4179" s="113"/>
      <c r="B4179" s="58" t="s">
        <v>10493</v>
      </c>
      <c r="C4179" s="58" t="s">
        <v>2030</v>
      </c>
      <c r="D4179" s="58" t="s">
        <v>10494</v>
      </c>
      <c r="E4179" s="60" t="b">
        <v>1</v>
      </c>
      <c r="F4179" s="80" t="s">
        <v>1261</v>
      </c>
      <c r="G4179" s="58" t="s">
        <v>10493</v>
      </c>
      <c r="H4179" s="58" t="s">
        <v>1413</v>
      </c>
      <c r="I4179" s="64" t="s">
        <v>10494</v>
      </c>
      <c r="J4179" s="66"/>
      <c r="K4179" s="66"/>
      <c r="L4179" s="68"/>
      <c r="M4179" s="63" t="str">
        <f>HYPERLINK("http://nsgreg.nga.mil/genc/view?v=866548&amp;end_month=12&amp;end_day=31&amp;end_year=2016","Correlation")</f>
        <v>Correlation</v>
      </c>
    </row>
    <row r="4180" spans="1:13" x14ac:dyDescent="0.2">
      <c r="A4180" s="113"/>
      <c r="B4180" s="58" t="s">
        <v>10495</v>
      </c>
      <c r="C4180" s="58" t="s">
        <v>2030</v>
      </c>
      <c r="D4180" s="58" t="s">
        <v>10496</v>
      </c>
      <c r="E4180" s="60" t="b">
        <v>1</v>
      </c>
      <c r="F4180" s="80" t="s">
        <v>1261</v>
      </c>
      <c r="G4180" s="58" t="s">
        <v>10495</v>
      </c>
      <c r="H4180" s="58" t="s">
        <v>1413</v>
      </c>
      <c r="I4180" s="64" t="s">
        <v>10496</v>
      </c>
      <c r="J4180" s="66"/>
      <c r="K4180" s="66"/>
      <c r="L4180" s="68"/>
      <c r="M4180" s="63" t="str">
        <f>HYPERLINK("http://nsgreg.nga.mil/genc/view?v=866551&amp;end_month=12&amp;end_day=31&amp;end_year=2016","Correlation")</f>
        <v>Correlation</v>
      </c>
    </row>
    <row r="4181" spans="1:13" x14ac:dyDescent="0.2">
      <c r="A4181" s="113"/>
      <c r="B4181" s="58" t="s">
        <v>10497</v>
      </c>
      <c r="C4181" s="58" t="s">
        <v>2030</v>
      </c>
      <c r="D4181" s="58" t="s">
        <v>10498</v>
      </c>
      <c r="E4181" s="60" t="b">
        <v>1</v>
      </c>
      <c r="F4181" s="80" t="s">
        <v>1261</v>
      </c>
      <c r="G4181" s="58" t="s">
        <v>10497</v>
      </c>
      <c r="H4181" s="58" t="s">
        <v>1413</v>
      </c>
      <c r="I4181" s="64" t="s">
        <v>10498</v>
      </c>
      <c r="J4181" s="66"/>
      <c r="K4181" s="66"/>
      <c r="L4181" s="68"/>
      <c r="M4181" s="63" t="str">
        <f>HYPERLINK("http://nsgreg.nga.mil/genc/view?v=866555&amp;end_month=12&amp;end_day=31&amp;end_year=2016","Correlation")</f>
        <v>Correlation</v>
      </c>
    </row>
    <row r="4182" spans="1:13" x14ac:dyDescent="0.2">
      <c r="A4182" s="114"/>
      <c r="B4182" s="71" t="s">
        <v>10499</v>
      </c>
      <c r="C4182" s="71" t="s">
        <v>2030</v>
      </c>
      <c r="D4182" s="71" t="s">
        <v>10500</v>
      </c>
      <c r="E4182" s="73" t="b">
        <v>1</v>
      </c>
      <c r="F4182" s="81" t="s">
        <v>1261</v>
      </c>
      <c r="G4182" s="71" t="s">
        <v>10499</v>
      </c>
      <c r="H4182" s="71" t="s">
        <v>1413</v>
      </c>
      <c r="I4182" s="74" t="s">
        <v>10500</v>
      </c>
      <c r="J4182" s="76"/>
      <c r="K4182" s="76"/>
      <c r="L4182" s="82"/>
      <c r="M4182" s="77" t="str">
        <f>HYPERLINK("http://nsgreg.nga.mil/genc/view?v=866557&amp;end_month=12&amp;end_day=31&amp;end_year=2016","Correlation")</f>
        <v>Correlation</v>
      </c>
    </row>
    <row r="4183" spans="1:13" x14ac:dyDescent="0.2">
      <c r="A4183" s="112" t="s">
        <v>1262</v>
      </c>
      <c r="B4183" s="50" t="s">
        <v>10501</v>
      </c>
      <c r="C4183" s="50" t="s">
        <v>1483</v>
      </c>
      <c r="D4183" s="50" t="s">
        <v>10502</v>
      </c>
      <c r="E4183" s="52" t="b">
        <v>1</v>
      </c>
      <c r="F4183" s="78" t="s">
        <v>1046</v>
      </c>
      <c r="G4183" s="50" t="s">
        <v>10501</v>
      </c>
      <c r="H4183" s="50" t="s">
        <v>1483</v>
      </c>
      <c r="I4183" s="53" t="s">
        <v>10502</v>
      </c>
      <c r="J4183" s="55"/>
      <c r="K4183" s="55"/>
      <c r="L4183" s="79"/>
      <c r="M4183" s="56" t="str">
        <f>HYPERLINK("http://nsgreg.nga.mil/genc/view?v=866824&amp;end_month=12&amp;end_day=31&amp;end_year=2016","Correlation")</f>
        <v>Correlation</v>
      </c>
    </row>
    <row r="4184" spans="1:13" x14ac:dyDescent="0.2">
      <c r="A4184" s="113"/>
      <c r="B4184" s="58" t="s">
        <v>10503</v>
      </c>
      <c r="C4184" s="58" t="s">
        <v>1681</v>
      </c>
      <c r="D4184" s="58" t="s">
        <v>10504</v>
      </c>
      <c r="E4184" s="60" t="b">
        <v>1</v>
      </c>
      <c r="F4184" s="80" t="s">
        <v>1046</v>
      </c>
      <c r="G4184" s="58" t="s">
        <v>10503</v>
      </c>
      <c r="H4184" s="58" t="s">
        <v>1681</v>
      </c>
      <c r="I4184" s="64" t="s">
        <v>10504</v>
      </c>
      <c r="J4184" s="66"/>
      <c r="K4184" s="66"/>
      <c r="L4184" s="68"/>
      <c r="M4184" s="63" t="str">
        <f>HYPERLINK("http://nsgreg.nga.mil/genc/view?v=866825&amp;end_month=12&amp;end_day=31&amp;end_year=2016","Correlation")</f>
        <v>Correlation</v>
      </c>
    </row>
    <row r="4185" spans="1:13" x14ac:dyDescent="0.2">
      <c r="A4185" s="113"/>
      <c r="B4185" s="58" t="s">
        <v>10503</v>
      </c>
      <c r="C4185" s="58" t="s">
        <v>1483</v>
      </c>
      <c r="D4185" s="58" t="s">
        <v>10505</v>
      </c>
      <c r="E4185" s="60" t="b">
        <v>1</v>
      </c>
      <c r="F4185" s="80" t="s">
        <v>1046</v>
      </c>
      <c r="G4185" s="58" t="s">
        <v>10503</v>
      </c>
      <c r="H4185" s="58" t="s">
        <v>1483</v>
      </c>
      <c r="I4185" s="64" t="s">
        <v>10505</v>
      </c>
      <c r="J4185" s="66"/>
      <c r="K4185" s="66"/>
      <c r="L4185" s="68"/>
      <c r="M4185" s="63" t="str">
        <f>HYPERLINK("http://nsgreg.nga.mil/genc/view?v=866826&amp;end_month=12&amp;end_day=31&amp;end_year=2016","Correlation")</f>
        <v>Correlation</v>
      </c>
    </row>
    <row r="4186" spans="1:13" x14ac:dyDescent="0.2">
      <c r="A4186" s="113"/>
      <c r="B4186" s="58" t="s">
        <v>10506</v>
      </c>
      <c r="C4186" s="58" t="s">
        <v>1681</v>
      </c>
      <c r="D4186" s="58" t="s">
        <v>10507</v>
      </c>
      <c r="E4186" s="60" t="b">
        <v>1</v>
      </c>
      <c r="F4186" s="80" t="s">
        <v>1046</v>
      </c>
      <c r="G4186" s="58" t="s">
        <v>10506</v>
      </c>
      <c r="H4186" s="58" t="s">
        <v>1681</v>
      </c>
      <c r="I4186" s="64" t="s">
        <v>10507</v>
      </c>
      <c r="J4186" s="66"/>
      <c r="K4186" s="66"/>
      <c r="L4186" s="68"/>
      <c r="M4186" s="63" t="str">
        <f>HYPERLINK("http://nsgreg.nga.mil/genc/view?v=866828&amp;end_month=12&amp;end_day=31&amp;end_year=2016","Correlation")</f>
        <v>Correlation</v>
      </c>
    </row>
    <row r="4187" spans="1:13" x14ac:dyDescent="0.2">
      <c r="A4187" s="113"/>
      <c r="B4187" s="58" t="s">
        <v>10506</v>
      </c>
      <c r="C4187" s="58" t="s">
        <v>1483</v>
      </c>
      <c r="D4187" s="58" t="s">
        <v>10508</v>
      </c>
      <c r="E4187" s="60" t="b">
        <v>1</v>
      </c>
      <c r="F4187" s="80" t="s">
        <v>1046</v>
      </c>
      <c r="G4187" s="58" t="s">
        <v>10506</v>
      </c>
      <c r="H4187" s="58" t="s">
        <v>1483</v>
      </c>
      <c r="I4187" s="64" t="s">
        <v>10508</v>
      </c>
      <c r="J4187" s="66"/>
      <c r="K4187" s="66"/>
      <c r="L4187" s="68"/>
      <c r="M4187" s="63" t="str">
        <f>HYPERLINK("http://nsgreg.nga.mil/genc/view?v=866827&amp;end_month=12&amp;end_day=31&amp;end_year=2016","Correlation")</f>
        <v>Correlation</v>
      </c>
    </row>
    <row r="4188" spans="1:13" x14ac:dyDescent="0.2">
      <c r="A4188" s="113"/>
      <c r="B4188" s="58" t="s">
        <v>10509</v>
      </c>
      <c r="C4188" s="58" t="s">
        <v>1483</v>
      </c>
      <c r="D4188" s="58" t="s">
        <v>10510</v>
      </c>
      <c r="E4188" s="60" t="b">
        <v>1</v>
      </c>
      <c r="F4188" s="80" t="s">
        <v>1046</v>
      </c>
      <c r="G4188" s="58" t="s">
        <v>10509</v>
      </c>
      <c r="H4188" s="58" t="s">
        <v>1483</v>
      </c>
      <c r="I4188" s="64" t="s">
        <v>10510</v>
      </c>
      <c r="J4188" s="66"/>
      <c r="K4188" s="66"/>
      <c r="L4188" s="68"/>
      <c r="M4188" s="63" t="str">
        <f>HYPERLINK("http://nsgreg.nga.mil/genc/view?v=866829&amp;end_month=12&amp;end_day=31&amp;end_year=2016","Correlation")</f>
        <v>Correlation</v>
      </c>
    </row>
    <row r="4189" spans="1:13" x14ac:dyDescent="0.2">
      <c r="A4189" s="113"/>
      <c r="B4189" s="58" t="s">
        <v>10511</v>
      </c>
      <c r="C4189" s="58" t="s">
        <v>2396</v>
      </c>
      <c r="D4189" s="58" t="s">
        <v>10512</v>
      </c>
      <c r="E4189" s="60" t="b">
        <v>1</v>
      </c>
      <c r="F4189" s="80" t="s">
        <v>1046</v>
      </c>
      <c r="G4189" s="58" t="s">
        <v>10511</v>
      </c>
      <c r="H4189" s="58" t="s">
        <v>2396</v>
      </c>
      <c r="I4189" s="64" t="s">
        <v>10512</v>
      </c>
      <c r="J4189" s="66"/>
      <c r="K4189" s="66"/>
      <c r="L4189" s="68"/>
      <c r="M4189" s="63" t="str">
        <f>HYPERLINK("http://nsgreg.nga.mil/genc/view?v=866832&amp;end_month=12&amp;end_day=31&amp;end_year=2016","Correlation")</f>
        <v>Correlation</v>
      </c>
    </row>
    <row r="4190" spans="1:13" x14ac:dyDescent="0.2">
      <c r="A4190" s="113"/>
      <c r="B4190" s="58" t="s">
        <v>10513</v>
      </c>
      <c r="C4190" s="58" t="s">
        <v>1681</v>
      </c>
      <c r="D4190" s="58" t="s">
        <v>10514</v>
      </c>
      <c r="E4190" s="60" t="b">
        <v>1</v>
      </c>
      <c r="F4190" s="80" t="s">
        <v>1046</v>
      </c>
      <c r="G4190" s="58" t="s">
        <v>10513</v>
      </c>
      <c r="H4190" s="58" t="s">
        <v>1681</v>
      </c>
      <c r="I4190" s="64" t="s">
        <v>10514</v>
      </c>
      <c r="J4190" s="66"/>
      <c r="K4190" s="66"/>
      <c r="L4190" s="68"/>
      <c r="M4190" s="63" t="str">
        <f>HYPERLINK("http://nsgreg.nga.mil/genc/view?v=866831&amp;end_month=12&amp;end_day=31&amp;end_year=2016","Correlation")</f>
        <v>Correlation</v>
      </c>
    </row>
    <row r="4191" spans="1:13" x14ac:dyDescent="0.2">
      <c r="A4191" s="113"/>
      <c r="B4191" s="58" t="s">
        <v>10515</v>
      </c>
      <c r="C4191" s="58" t="s">
        <v>1483</v>
      </c>
      <c r="D4191" s="58" t="s">
        <v>10516</v>
      </c>
      <c r="E4191" s="60" t="b">
        <v>1</v>
      </c>
      <c r="F4191" s="80" t="s">
        <v>1046</v>
      </c>
      <c r="G4191" s="58" t="s">
        <v>10515</v>
      </c>
      <c r="H4191" s="58" t="s">
        <v>1483</v>
      </c>
      <c r="I4191" s="64" t="s">
        <v>10516</v>
      </c>
      <c r="J4191" s="66"/>
      <c r="K4191" s="66"/>
      <c r="L4191" s="68"/>
      <c r="M4191" s="63" t="str">
        <f>HYPERLINK("http://nsgreg.nga.mil/genc/view?v=866833&amp;end_month=12&amp;end_day=31&amp;end_year=2016","Correlation")</f>
        <v>Correlation</v>
      </c>
    </row>
    <row r="4192" spans="1:13" x14ac:dyDescent="0.2">
      <c r="A4192" s="113"/>
      <c r="B4192" s="58" t="s">
        <v>10517</v>
      </c>
      <c r="C4192" s="58" t="s">
        <v>1483</v>
      </c>
      <c r="D4192" s="58" t="s">
        <v>10518</v>
      </c>
      <c r="E4192" s="60" t="b">
        <v>1</v>
      </c>
      <c r="F4192" s="80" t="s">
        <v>1046</v>
      </c>
      <c r="G4192" s="58" t="s">
        <v>10517</v>
      </c>
      <c r="H4192" s="58" t="s">
        <v>1483</v>
      </c>
      <c r="I4192" s="64" t="s">
        <v>10518</v>
      </c>
      <c r="J4192" s="66"/>
      <c r="K4192" s="66"/>
      <c r="L4192" s="68"/>
      <c r="M4192" s="63" t="str">
        <f>HYPERLINK("http://nsgreg.nga.mil/genc/view?v=866834&amp;end_month=12&amp;end_day=31&amp;end_year=2016","Correlation")</f>
        <v>Correlation</v>
      </c>
    </row>
    <row r="4193" spans="1:13" x14ac:dyDescent="0.2">
      <c r="A4193" s="113"/>
      <c r="B4193" s="58" t="s">
        <v>10519</v>
      </c>
      <c r="C4193" s="58" t="s">
        <v>1483</v>
      </c>
      <c r="D4193" s="58" t="s">
        <v>10520</v>
      </c>
      <c r="E4193" s="60" t="b">
        <v>1</v>
      </c>
      <c r="F4193" s="80" t="s">
        <v>1046</v>
      </c>
      <c r="G4193" s="58" t="s">
        <v>10519</v>
      </c>
      <c r="H4193" s="58" t="s">
        <v>1483</v>
      </c>
      <c r="I4193" s="64" t="s">
        <v>10520</v>
      </c>
      <c r="J4193" s="66"/>
      <c r="K4193" s="66"/>
      <c r="L4193" s="68"/>
      <c r="M4193" s="63" t="str">
        <f>HYPERLINK("http://nsgreg.nga.mil/genc/view?v=866835&amp;end_month=12&amp;end_day=31&amp;end_year=2016","Correlation")</f>
        <v>Correlation</v>
      </c>
    </row>
    <row r="4194" spans="1:13" x14ac:dyDescent="0.2">
      <c r="A4194" s="113"/>
      <c r="B4194" s="58" t="s">
        <v>10521</v>
      </c>
      <c r="C4194" s="58" t="s">
        <v>1483</v>
      </c>
      <c r="D4194" s="58" t="s">
        <v>10522</v>
      </c>
      <c r="E4194" s="60" t="b">
        <v>1</v>
      </c>
      <c r="F4194" s="80" t="s">
        <v>1046</v>
      </c>
      <c r="G4194" s="58" t="s">
        <v>10521</v>
      </c>
      <c r="H4194" s="58" t="s">
        <v>1483</v>
      </c>
      <c r="I4194" s="64" t="s">
        <v>10522</v>
      </c>
      <c r="J4194" s="66"/>
      <c r="K4194" s="66"/>
      <c r="L4194" s="68"/>
      <c r="M4194" s="63" t="str">
        <f>HYPERLINK("http://nsgreg.nga.mil/genc/view?v=866836&amp;end_month=12&amp;end_day=31&amp;end_year=2016","Correlation")</f>
        <v>Correlation</v>
      </c>
    </row>
    <row r="4195" spans="1:13" x14ac:dyDescent="0.2">
      <c r="A4195" s="113"/>
      <c r="B4195" s="58" t="s">
        <v>10523</v>
      </c>
      <c r="C4195" s="58" t="s">
        <v>2396</v>
      </c>
      <c r="D4195" s="58" t="s">
        <v>10524</v>
      </c>
      <c r="E4195" s="60" t="b">
        <v>1</v>
      </c>
      <c r="F4195" s="80" t="s">
        <v>1046</v>
      </c>
      <c r="G4195" s="58" t="s">
        <v>10523</v>
      </c>
      <c r="H4195" s="58" t="s">
        <v>2396</v>
      </c>
      <c r="I4195" s="64" t="s">
        <v>10524</v>
      </c>
      <c r="J4195" s="66"/>
      <c r="K4195" s="66"/>
      <c r="L4195" s="68"/>
      <c r="M4195" s="63" t="str">
        <f>HYPERLINK("http://nsgreg.nga.mil/genc/view?v=866837&amp;end_month=12&amp;end_day=31&amp;end_year=2016","Correlation")</f>
        <v>Correlation</v>
      </c>
    </row>
    <row r="4196" spans="1:13" x14ac:dyDescent="0.2">
      <c r="A4196" s="113"/>
      <c r="B4196" s="58" t="s">
        <v>10525</v>
      </c>
      <c r="C4196" s="58" t="s">
        <v>1483</v>
      </c>
      <c r="D4196" s="58" t="s">
        <v>10526</v>
      </c>
      <c r="E4196" s="60" t="b">
        <v>1</v>
      </c>
      <c r="F4196" s="80" t="s">
        <v>1046</v>
      </c>
      <c r="G4196" s="58" t="s">
        <v>10525</v>
      </c>
      <c r="H4196" s="58" t="s">
        <v>1483</v>
      </c>
      <c r="I4196" s="64" t="s">
        <v>10526</v>
      </c>
      <c r="J4196" s="66"/>
      <c r="K4196" s="66"/>
      <c r="L4196" s="68"/>
      <c r="M4196" s="63" t="str">
        <f>HYPERLINK("http://nsgreg.nga.mil/genc/view?v=866838&amp;end_month=12&amp;end_day=31&amp;end_year=2016","Correlation")</f>
        <v>Correlation</v>
      </c>
    </row>
    <row r="4197" spans="1:13" x14ac:dyDescent="0.2">
      <c r="A4197" s="113"/>
      <c r="B4197" s="58" t="s">
        <v>10527</v>
      </c>
      <c r="C4197" s="58" t="s">
        <v>1483</v>
      </c>
      <c r="D4197" s="58" t="s">
        <v>10528</v>
      </c>
      <c r="E4197" s="60" t="b">
        <v>1</v>
      </c>
      <c r="F4197" s="80" t="s">
        <v>1046</v>
      </c>
      <c r="G4197" s="58" t="s">
        <v>10527</v>
      </c>
      <c r="H4197" s="58" t="s">
        <v>1483</v>
      </c>
      <c r="I4197" s="64" t="s">
        <v>10528</v>
      </c>
      <c r="J4197" s="66"/>
      <c r="K4197" s="66"/>
      <c r="L4197" s="68"/>
      <c r="M4197" s="63" t="str">
        <f>HYPERLINK("http://nsgreg.nga.mil/genc/view?v=866839&amp;end_month=12&amp;end_day=31&amp;end_year=2016","Correlation")</f>
        <v>Correlation</v>
      </c>
    </row>
    <row r="4198" spans="1:13" x14ac:dyDescent="0.2">
      <c r="A4198" s="113"/>
      <c r="B4198" s="58" t="s">
        <v>10529</v>
      </c>
      <c r="C4198" s="58" t="s">
        <v>2396</v>
      </c>
      <c r="D4198" s="58" t="s">
        <v>10530</v>
      </c>
      <c r="E4198" s="60" t="b">
        <v>1</v>
      </c>
      <c r="F4198" s="80" t="s">
        <v>1046</v>
      </c>
      <c r="G4198" s="58" t="s">
        <v>10529</v>
      </c>
      <c r="H4198" s="58" t="s">
        <v>2396</v>
      </c>
      <c r="I4198" s="64" t="s">
        <v>10530</v>
      </c>
      <c r="J4198" s="66"/>
      <c r="K4198" s="66"/>
      <c r="L4198" s="68"/>
      <c r="M4198" s="63" t="str">
        <f>HYPERLINK("http://nsgreg.nga.mil/genc/view?v=866844&amp;end_month=12&amp;end_day=31&amp;end_year=2016","Correlation")</f>
        <v>Correlation</v>
      </c>
    </row>
    <row r="4199" spans="1:13" x14ac:dyDescent="0.2">
      <c r="A4199" s="113"/>
      <c r="B4199" s="58" t="s">
        <v>10531</v>
      </c>
      <c r="C4199" s="58" t="s">
        <v>2396</v>
      </c>
      <c r="D4199" s="58" t="s">
        <v>10532</v>
      </c>
      <c r="E4199" s="60" t="b">
        <v>1</v>
      </c>
      <c r="F4199" s="80" t="s">
        <v>1046</v>
      </c>
      <c r="G4199" s="58" t="s">
        <v>10531</v>
      </c>
      <c r="H4199" s="58" t="s">
        <v>2396</v>
      </c>
      <c r="I4199" s="64" t="s">
        <v>10532</v>
      </c>
      <c r="J4199" s="66"/>
      <c r="K4199" s="66"/>
      <c r="L4199" s="68"/>
      <c r="M4199" s="63" t="str">
        <f>HYPERLINK("http://nsgreg.nga.mil/genc/view?v=866841&amp;end_month=12&amp;end_day=31&amp;end_year=2016","Correlation")</f>
        <v>Correlation</v>
      </c>
    </row>
    <row r="4200" spans="1:13" x14ac:dyDescent="0.2">
      <c r="A4200" s="113"/>
      <c r="B4200" s="58" t="s">
        <v>10533</v>
      </c>
      <c r="C4200" s="58" t="s">
        <v>2396</v>
      </c>
      <c r="D4200" s="58" t="s">
        <v>10534</v>
      </c>
      <c r="E4200" s="60" t="b">
        <v>1</v>
      </c>
      <c r="F4200" s="80" t="s">
        <v>1046</v>
      </c>
      <c r="G4200" s="58" t="s">
        <v>10533</v>
      </c>
      <c r="H4200" s="58" t="s">
        <v>2396</v>
      </c>
      <c r="I4200" s="64" t="s">
        <v>10534</v>
      </c>
      <c r="J4200" s="66"/>
      <c r="K4200" s="66"/>
      <c r="L4200" s="68"/>
      <c r="M4200" s="63" t="str">
        <f>HYPERLINK("http://nsgreg.nga.mil/genc/view?v=866842&amp;end_month=12&amp;end_day=31&amp;end_year=2016","Correlation")</f>
        <v>Correlation</v>
      </c>
    </row>
    <row r="4201" spans="1:13" x14ac:dyDescent="0.2">
      <c r="A4201" s="113"/>
      <c r="B4201" s="58" t="s">
        <v>10535</v>
      </c>
      <c r="C4201" s="58" t="s">
        <v>1483</v>
      </c>
      <c r="D4201" s="58" t="s">
        <v>10536</v>
      </c>
      <c r="E4201" s="60" t="b">
        <v>1</v>
      </c>
      <c r="F4201" s="80" t="s">
        <v>1046</v>
      </c>
      <c r="G4201" s="58" t="s">
        <v>10535</v>
      </c>
      <c r="H4201" s="58" t="s">
        <v>1483</v>
      </c>
      <c r="I4201" s="64" t="s">
        <v>10536</v>
      </c>
      <c r="J4201" s="66"/>
      <c r="K4201" s="66"/>
      <c r="L4201" s="68"/>
      <c r="M4201" s="63" t="str">
        <f>HYPERLINK("http://nsgreg.nga.mil/genc/view?v=866843&amp;end_month=12&amp;end_day=31&amp;end_year=2016","Correlation")</f>
        <v>Correlation</v>
      </c>
    </row>
    <row r="4202" spans="1:13" x14ac:dyDescent="0.2">
      <c r="A4202" s="113"/>
      <c r="B4202" s="58" t="s">
        <v>10537</v>
      </c>
      <c r="C4202" s="58" t="s">
        <v>2396</v>
      </c>
      <c r="D4202" s="58" t="s">
        <v>10538</v>
      </c>
      <c r="E4202" s="60" t="b">
        <v>1</v>
      </c>
      <c r="F4202" s="80" t="s">
        <v>1046</v>
      </c>
      <c r="G4202" s="58" t="s">
        <v>10537</v>
      </c>
      <c r="H4202" s="58" t="s">
        <v>2396</v>
      </c>
      <c r="I4202" s="64" t="s">
        <v>10538</v>
      </c>
      <c r="J4202" s="66"/>
      <c r="K4202" s="66"/>
      <c r="L4202" s="68"/>
      <c r="M4202" s="63" t="str">
        <f>HYPERLINK("http://nsgreg.nga.mil/genc/view?v=866840&amp;end_month=12&amp;end_day=31&amp;end_year=2016","Correlation")</f>
        <v>Correlation</v>
      </c>
    </row>
    <row r="4203" spans="1:13" x14ac:dyDescent="0.2">
      <c r="A4203" s="113"/>
      <c r="B4203" s="58" t="s">
        <v>10539</v>
      </c>
      <c r="C4203" s="58" t="s">
        <v>1483</v>
      </c>
      <c r="D4203" s="58" t="s">
        <v>10540</v>
      </c>
      <c r="E4203" s="60" t="b">
        <v>1</v>
      </c>
      <c r="F4203" s="80" t="s">
        <v>1046</v>
      </c>
      <c r="G4203" s="58" t="s">
        <v>10539</v>
      </c>
      <c r="H4203" s="58" t="s">
        <v>1483</v>
      </c>
      <c r="I4203" s="64" t="s">
        <v>10540</v>
      </c>
      <c r="J4203" s="66"/>
      <c r="K4203" s="66"/>
      <c r="L4203" s="68"/>
      <c r="M4203" s="63" t="str">
        <f>HYPERLINK("http://nsgreg.nga.mil/genc/view?v=866830&amp;end_month=12&amp;end_day=31&amp;end_year=2016","Correlation")</f>
        <v>Correlation</v>
      </c>
    </row>
    <row r="4204" spans="1:13" x14ac:dyDescent="0.2">
      <c r="A4204" s="114"/>
      <c r="B4204" s="71" t="s">
        <v>10541</v>
      </c>
      <c r="C4204" s="71" t="s">
        <v>1483</v>
      </c>
      <c r="D4204" s="71" t="s">
        <v>10542</v>
      </c>
      <c r="E4204" s="73" t="b">
        <v>1</v>
      </c>
      <c r="F4204" s="81" t="s">
        <v>1046</v>
      </c>
      <c r="G4204" s="71" t="s">
        <v>10541</v>
      </c>
      <c r="H4204" s="71" t="s">
        <v>1483</v>
      </c>
      <c r="I4204" s="74" t="s">
        <v>10542</v>
      </c>
      <c r="J4204" s="76"/>
      <c r="K4204" s="76"/>
      <c r="L4204" s="82"/>
      <c r="M4204" s="77" t="str">
        <f>HYPERLINK("http://nsgreg.nga.mil/genc/view?v=866845&amp;end_month=12&amp;end_day=31&amp;end_year=2016","Correlation")</f>
        <v>Correlation</v>
      </c>
    </row>
    <row r="4205" spans="1:13" x14ac:dyDescent="0.2">
      <c r="A4205" s="112" t="s">
        <v>1263</v>
      </c>
      <c r="B4205" s="50" t="s">
        <v>10543</v>
      </c>
      <c r="C4205" s="50" t="s">
        <v>10544</v>
      </c>
      <c r="D4205" s="50" t="s">
        <v>10545</v>
      </c>
      <c r="E4205" s="52" t="b">
        <v>1</v>
      </c>
      <c r="F4205" s="78" t="s">
        <v>1263</v>
      </c>
      <c r="G4205" s="50" t="s">
        <v>10543</v>
      </c>
      <c r="H4205" s="50" t="s">
        <v>7895</v>
      </c>
      <c r="I4205" s="53" t="s">
        <v>10545</v>
      </c>
      <c r="J4205" s="55"/>
      <c r="K4205" s="55"/>
      <c r="L4205" s="79"/>
      <c r="M4205" s="56" t="str">
        <f>HYPERLINK("http://nsgreg.nga.mil/genc/view?v=866667&amp;end_month=12&amp;end_day=31&amp;end_year=2016","Correlation")</f>
        <v>Correlation</v>
      </c>
    </row>
    <row r="4206" spans="1:13" x14ac:dyDescent="0.2">
      <c r="A4206" s="113"/>
      <c r="B4206" s="58" t="s">
        <v>10546</v>
      </c>
      <c r="C4206" s="58" t="s">
        <v>1413</v>
      </c>
      <c r="D4206" s="58" t="s">
        <v>10547</v>
      </c>
      <c r="E4206" s="60" t="b">
        <v>1</v>
      </c>
      <c r="F4206" s="80" t="s">
        <v>1263</v>
      </c>
      <c r="G4206" s="58" t="s">
        <v>10546</v>
      </c>
      <c r="H4206" s="58" t="s">
        <v>1728</v>
      </c>
      <c r="I4206" s="64" t="s">
        <v>10547</v>
      </c>
      <c r="J4206" s="66"/>
      <c r="K4206" s="66"/>
      <c r="L4206" s="68"/>
      <c r="M4206" s="63" t="str">
        <f>HYPERLINK("http://nsgreg.nga.mil/genc/view?v=866669&amp;end_month=12&amp;end_day=31&amp;end_year=2016","Correlation")</f>
        <v>Correlation</v>
      </c>
    </row>
    <row r="4207" spans="1:13" x14ac:dyDescent="0.2">
      <c r="A4207" s="113"/>
      <c r="B4207" s="58" t="s">
        <v>10548</v>
      </c>
      <c r="C4207" s="58" t="s">
        <v>4947</v>
      </c>
      <c r="D4207" s="58" t="s">
        <v>10549</v>
      </c>
      <c r="E4207" s="60" t="b">
        <v>1</v>
      </c>
      <c r="F4207" s="80" t="s">
        <v>1263</v>
      </c>
      <c r="G4207" s="58" t="s">
        <v>10548</v>
      </c>
      <c r="H4207" s="58" t="s">
        <v>3080</v>
      </c>
      <c r="I4207" s="64" t="s">
        <v>10549</v>
      </c>
      <c r="J4207" s="66"/>
      <c r="K4207" s="66"/>
      <c r="L4207" s="68"/>
      <c r="M4207" s="63" t="str">
        <f>HYPERLINK("http://nsgreg.nga.mil/genc/view?v=866668&amp;end_month=12&amp;end_day=31&amp;end_year=2016","Correlation")</f>
        <v>Correlation</v>
      </c>
    </row>
    <row r="4208" spans="1:13" x14ac:dyDescent="0.2">
      <c r="A4208" s="113"/>
      <c r="B4208" s="58" t="s">
        <v>10550</v>
      </c>
      <c r="C4208" s="58" t="s">
        <v>9514</v>
      </c>
      <c r="D4208" s="58" t="s">
        <v>10551</v>
      </c>
      <c r="E4208" s="60" t="b">
        <v>1</v>
      </c>
      <c r="F4208" s="80" t="s">
        <v>1263</v>
      </c>
      <c r="G4208" s="58" t="s">
        <v>10550</v>
      </c>
      <c r="H4208" s="58" t="s">
        <v>10552</v>
      </c>
      <c r="I4208" s="64" t="s">
        <v>10551</v>
      </c>
      <c r="J4208" s="66"/>
      <c r="K4208" s="66"/>
      <c r="L4208" s="68"/>
      <c r="M4208" s="63" t="str">
        <f>HYPERLINK("http://nsgreg.nga.mil/genc/view?v=866670&amp;end_month=12&amp;end_day=31&amp;end_year=2016","Correlation")</f>
        <v>Correlation</v>
      </c>
    </row>
    <row r="4209" spans="1:13" x14ac:dyDescent="0.2">
      <c r="A4209" s="114"/>
      <c r="B4209" s="71" t="s">
        <v>10553</v>
      </c>
      <c r="C4209" s="71" t="s">
        <v>1413</v>
      </c>
      <c r="D4209" s="71" t="s">
        <v>10554</v>
      </c>
      <c r="E4209" s="73" t="b">
        <v>1</v>
      </c>
      <c r="F4209" s="81" t="s">
        <v>1263</v>
      </c>
      <c r="G4209" s="71" t="s">
        <v>10553</v>
      </c>
      <c r="H4209" s="71" t="s">
        <v>1728</v>
      </c>
      <c r="I4209" s="74" t="s">
        <v>10554</v>
      </c>
      <c r="J4209" s="76"/>
      <c r="K4209" s="76"/>
      <c r="L4209" s="82"/>
      <c r="M4209" s="77" t="str">
        <f>HYPERLINK("http://nsgreg.nga.mil/genc/view?v=866671&amp;end_month=12&amp;end_day=31&amp;end_year=2016","Correlation")</f>
        <v>Correlation</v>
      </c>
    </row>
    <row r="4210" spans="1:13" x14ac:dyDescent="0.2">
      <c r="A4210" s="112" t="s">
        <v>1267</v>
      </c>
      <c r="B4210" s="50" t="s">
        <v>10555</v>
      </c>
      <c r="C4210" s="50" t="s">
        <v>1728</v>
      </c>
      <c r="D4210" s="50" t="s">
        <v>10556</v>
      </c>
      <c r="E4210" s="52" t="b">
        <v>1</v>
      </c>
      <c r="F4210" s="78" t="s">
        <v>1271</v>
      </c>
      <c r="G4210" s="50" t="s">
        <v>10555</v>
      </c>
      <c r="H4210" s="50" t="s">
        <v>1728</v>
      </c>
      <c r="I4210" s="53" t="s">
        <v>10556</v>
      </c>
      <c r="J4210" s="55"/>
      <c r="K4210" s="55"/>
      <c r="L4210" s="79"/>
      <c r="M4210" s="56" t="str">
        <f>HYPERLINK("http://nsgreg.nga.mil/genc/view?v=866846&amp;end_month=12&amp;end_day=31&amp;end_year=2016","Correlation")</f>
        <v>Correlation</v>
      </c>
    </row>
    <row r="4211" spans="1:13" x14ac:dyDescent="0.2">
      <c r="A4211" s="113"/>
      <c r="B4211" s="58" t="s">
        <v>10557</v>
      </c>
      <c r="C4211" s="58" t="s">
        <v>1728</v>
      </c>
      <c r="D4211" s="58" t="s">
        <v>10558</v>
      </c>
      <c r="E4211" s="60" t="b">
        <v>1</v>
      </c>
      <c r="F4211" s="80" t="s">
        <v>1271</v>
      </c>
      <c r="G4211" s="58" t="s">
        <v>10559</v>
      </c>
      <c r="H4211" s="58" t="s">
        <v>1728</v>
      </c>
      <c r="I4211" s="64" t="s">
        <v>10558</v>
      </c>
      <c r="J4211" s="66"/>
      <c r="K4211" s="66"/>
      <c r="L4211" s="68"/>
      <c r="M4211" s="63" t="str">
        <f>HYPERLINK("http://nsgreg.nga.mil/genc/view?v=866864&amp;end_month=12&amp;end_day=31&amp;end_year=2016","Correlation")</f>
        <v>Correlation</v>
      </c>
    </row>
    <row r="4212" spans="1:13" x14ac:dyDescent="0.2">
      <c r="A4212" s="113"/>
      <c r="B4212" s="58" t="s">
        <v>10560</v>
      </c>
      <c r="C4212" s="58" t="s">
        <v>1728</v>
      </c>
      <c r="D4212" s="58" t="s">
        <v>10561</v>
      </c>
      <c r="E4212" s="60" t="b">
        <v>1</v>
      </c>
      <c r="F4212" s="80" t="s">
        <v>1271</v>
      </c>
      <c r="G4212" s="58" t="s">
        <v>10560</v>
      </c>
      <c r="H4212" s="58" t="s">
        <v>1728</v>
      </c>
      <c r="I4212" s="64" t="s">
        <v>10561</v>
      </c>
      <c r="J4212" s="66"/>
      <c r="K4212" s="66"/>
      <c r="L4212" s="68"/>
      <c r="M4212" s="63" t="str">
        <f>HYPERLINK("http://nsgreg.nga.mil/genc/view?v=866847&amp;end_month=12&amp;end_day=31&amp;end_year=2016","Correlation")</f>
        <v>Correlation</v>
      </c>
    </row>
    <row r="4213" spans="1:13" x14ac:dyDescent="0.2">
      <c r="A4213" s="113"/>
      <c r="B4213" s="58" t="s">
        <v>10562</v>
      </c>
      <c r="C4213" s="58" t="s">
        <v>1728</v>
      </c>
      <c r="D4213" s="58" t="s">
        <v>10563</v>
      </c>
      <c r="E4213" s="60" t="b">
        <v>1</v>
      </c>
      <c r="F4213" s="80" t="s">
        <v>1271</v>
      </c>
      <c r="G4213" s="58" t="s">
        <v>10562</v>
      </c>
      <c r="H4213" s="58" t="s">
        <v>1728</v>
      </c>
      <c r="I4213" s="64" t="s">
        <v>10563</v>
      </c>
      <c r="J4213" s="66"/>
      <c r="K4213" s="66"/>
      <c r="L4213" s="68"/>
      <c r="M4213" s="63" t="str">
        <f>HYPERLINK("http://nsgreg.nga.mil/genc/view?v=866848&amp;end_month=12&amp;end_day=31&amp;end_year=2016","Correlation")</f>
        <v>Correlation</v>
      </c>
    </row>
    <row r="4214" spans="1:13" x14ac:dyDescent="0.2">
      <c r="A4214" s="113"/>
      <c r="B4214" s="58" t="s">
        <v>10564</v>
      </c>
      <c r="C4214" s="58" t="s">
        <v>1728</v>
      </c>
      <c r="D4214" s="58" t="s">
        <v>10565</v>
      </c>
      <c r="E4214" s="60" t="b">
        <v>1</v>
      </c>
      <c r="F4214" s="80" t="s">
        <v>1271</v>
      </c>
      <c r="G4214" s="58" t="s">
        <v>10564</v>
      </c>
      <c r="H4214" s="58" t="s">
        <v>1728</v>
      </c>
      <c r="I4214" s="64" t="s">
        <v>10565</v>
      </c>
      <c r="J4214" s="66"/>
      <c r="K4214" s="66"/>
      <c r="L4214" s="68"/>
      <c r="M4214" s="63" t="str">
        <f>HYPERLINK("http://nsgreg.nga.mil/genc/view?v=866872&amp;end_month=12&amp;end_day=31&amp;end_year=2016","Correlation")</f>
        <v>Correlation</v>
      </c>
    </row>
    <row r="4215" spans="1:13" x14ac:dyDescent="0.2">
      <c r="A4215" s="113"/>
      <c r="B4215" s="58" t="s">
        <v>10566</v>
      </c>
      <c r="C4215" s="58" t="s">
        <v>1728</v>
      </c>
      <c r="D4215" s="58" t="s">
        <v>10567</v>
      </c>
      <c r="E4215" s="60" t="b">
        <v>1</v>
      </c>
      <c r="F4215" s="80" t="s">
        <v>1271</v>
      </c>
      <c r="G4215" s="58" t="s">
        <v>10566</v>
      </c>
      <c r="H4215" s="58" t="s">
        <v>1728</v>
      </c>
      <c r="I4215" s="64" t="s">
        <v>10567</v>
      </c>
      <c r="J4215" s="66"/>
      <c r="K4215" s="66"/>
      <c r="L4215" s="68"/>
      <c r="M4215" s="63" t="str">
        <f>HYPERLINK("http://nsgreg.nga.mil/genc/view?v=866849&amp;end_month=12&amp;end_day=31&amp;end_year=2016","Correlation")</f>
        <v>Correlation</v>
      </c>
    </row>
    <row r="4216" spans="1:13" x14ac:dyDescent="0.2">
      <c r="A4216" s="113"/>
      <c r="B4216" s="58" t="s">
        <v>10568</v>
      </c>
      <c r="C4216" s="58" t="s">
        <v>1728</v>
      </c>
      <c r="D4216" s="58" t="s">
        <v>10569</v>
      </c>
      <c r="E4216" s="60" t="b">
        <v>1</v>
      </c>
      <c r="F4216" s="80" t="s">
        <v>1271</v>
      </c>
      <c r="G4216" s="58" t="s">
        <v>10568</v>
      </c>
      <c r="H4216" s="58" t="s">
        <v>1728</v>
      </c>
      <c r="I4216" s="64" t="s">
        <v>10569</v>
      </c>
      <c r="J4216" s="66"/>
      <c r="K4216" s="66"/>
      <c r="L4216" s="68"/>
      <c r="M4216" s="63" t="str">
        <f>HYPERLINK("http://nsgreg.nga.mil/genc/view?v=866850&amp;end_month=12&amp;end_day=31&amp;end_year=2016","Correlation")</f>
        <v>Correlation</v>
      </c>
    </row>
    <row r="4217" spans="1:13" x14ac:dyDescent="0.2">
      <c r="A4217" s="113"/>
      <c r="B4217" s="58" t="s">
        <v>10570</v>
      </c>
      <c r="C4217" s="58" t="s">
        <v>1728</v>
      </c>
      <c r="D4217" s="58" t="s">
        <v>10571</v>
      </c>
      <c r="E4217" s="60" t="b">
        <v>1</v>
      </c>
      <c r="F4217" s="80" t="s">
        <v>1271</v>
      </c>
      <c r="G4217" s="58" t="s">
        <v>10570</v>
      </c>
      <c r="H4217" s="58" t="s">
        <v>1728</v>
      </c>
      <c r="I4217" s="64" t="s">
        <v>10571</v>
      </c>
      <c r="J4217" s="66"/>
      <c r="K4217" s="66"/>
      <c r="L4217" s="68"/>
      <c r="M4217" s="63" t="str">
        <f>HYPERLINK("http://nsgreg.nga.mil/genc/view?v=866873&amp;end_month=12&amp;end_day=31&amp;end_year=2016","Correlation")</f>
        <v>Correlation</v>
      </c>
    </row>
    <row r="4218" spans="1:13" x14ac:dyDescent="0.2">
      <c r="A4218" s="113"/>
      <c r="B4218" s="58" t="s">
        <v>10572</v>
      </c>
      <c r="C4218" s="58" t="s">
        <v>1728</v>
      </c>
      <c r="D4218" s="58" t="s">
        <v>10573</v>
      </c>
      <c r="E4218" s="60" t="b">
        <v>1</v>
      </c>
      <c r="F4218" s="80" t="s">
        <v>1271</v>
      </c>
      <c r="G4218" s="58" t="s">
        <v>10572</v>
      </c>
      <c r="H4218" s="58" t="s">
        <v>1728</v>
      </c>
      <c r="I4218" s="64" t="s">
        <v>10573</v>
      </c>
      <c r="J4218" s="66"/>
      <c r="K4218" s="66"/>
      <c r="L4218" s="68"/>
      <c r="M4218" s="63" t="str">
        <f>HYPERLINK("http://nsgreg.nga.mil/genc/view?v=866853&amp;end_month=12&amp;end_day=31&amp;end_year=2016","Correlation")</f>
        <v>Correlation</v>
      </c>
    </row>
    <row r="4219" spans="1:13" x14ac:dyDescent="0.2">
      <c r="A4219" s="113"/>
      <c r="B4219" s="58" t="s">
        <v>10574</v>
      </c>
      <c r="C4219" s="58" t="s">
        <v>1728</v>
      </c>
      <c r="D4219" s="58" t="s">
        <v>10575</v>
      </c>
      <c r="E4219" s="60" t="b">
        <v>1</v>
      </c>
      <c r="F4219" s="80" t="s">
        <v>1271</v>
      </c>
      <c r="G4219" s="58" t="s">
        <v>10574</v>
      </c>
      <c r="H4219" s="58" t="s">
        <v>1728</v>
      </c>
      <c r="I4219" s="64" t="s">
        <v>10575</v>
      </c>
      <c r="J4219" s="66"/>
      <c r="K4219" s="66"/>
      <c r="L4219" s="68"/>
      <c r="M4219" s="63" t="str">
        <f>HYPERLINK("http://nsgreg.nga.mil/genc/view?v=866854&amp;end_month=12&amp;end_day=31&amp;end_year=2016","Correlation")</f>
        <v>Correlation</v>
      </c>
    </row>
    <row r="4220" spans="1:13" x14ac:dyDescent="0.2">
      <c r="A4220" s="113"/>
      <c r="B4220" s="58" t="s">
        <v>10576</v>
      </c>
      <c r="C4220" s="58" t="s">
        <v>1728</v>
      </c>
      <c r="D4220" s="58" t="s">
        <v>10577</v>
      </c>
      <c r="E4220" s="60" t="b">
        <v>1</v>
      </c>
      <c r="F4220" s="80" t="s">
        <v>1271</v>
      </c>
      <c r="G4220" s="58" t="s">
        <v>10576</v>
      </c>
      <c r="H4220" s="58" t="s">
        <v>1728</v>
      </c>
      <c r="I4220" s="64" t="s">
        <v>10577</v>
      </c>
      <c r="J4220" s="66"/>
      <c r="K4220" s="66"/>
      <c r="L4220" s="68"/>
      <c r="M4220" s="63" t="str">
        <f>HYPERLINK("http://nsgreg.nga.mil/genc/view?v=866857&amp;end_month=12&amp;end_day=31&amp;end_year=2016","Correlation")</f>
        <v>Correlation</v>
      </c>
    </row>
    <row r="4221" spans="1:13" x14ac:dyDescent="0.2">
      <c r="A4221" s="113"/>
      <c r="B4221" s="58" t="s">
        <v>10578</v>
      </c>
      <c r="C4221" s="58" t="s">
        <v>1728</v>
      </c>
      <c r="D4221" s="58" t="s">
        <v>10579</v>
      </c>
      <c r="E4221" s="60" t="b">
        <v>1</v>
      </c>
      <c r="F4221" s="80" t="s">
        <v>1271</v>
      </c>
      <c r="G4221" s="58" t="s">
        <v>10578</v>
      </c>
      <c r="H4221" s="58" t="s">
        <v>1728</v>
      </c>
      <c r="I4221" s="64" t="s">
        <v>10579</v>
      </c>
      <c r="J4221" s="66"/>
      <c r="K4221" s="66"/>
      <c r="L4221" s="68"/>
      <c r="M4221" s="63" t="str">
        <f>HYPERLINK("http://nsgreg.nga.mil/genc/view?v=866871&amp;end_month=12&amp;end_day=31&amp;end_year=2016","Correlation")</f>
        <v>Correlation</v>
      </c>
    </row>
    <row r="4222" spans="1:13" x14ac:dyDescent="0.2">
      <c r="A4222" s="113"/>
      <c r="B4222" s="58" t="s">
        <v>10580</v>
      </c>
      <c r="C4222" s="58" t="s">
        <v>1728</v>
      </c>
      <c r="D4222" s="58" t="s">
        <v>10581</v>
      </c>
      <c r="E4222" s="60" t="b">
        <v>1</v>
      </c>
      <c r="F4222" s="80" t="s">
        <v>1271</v>
      </c>
      <c r="G4222" s="58" t="s">
        <v>10580</v>
      </c>
      <c r="H4222" s="58" t="s">
        <v>1728</v>
      </c>
      <c r="I4222" s="64" t="s">
        <v>10581</v>
      </c>
      <c r="J4222" s="66"/>
      <c r="K4222" s="66"/>
      <c r="L4222" s="68"/>
      <c r="M4222" s="63" t="str">
        <f>HYPERLINK("http://nsgreg.nga.mil/genc/view?v=866858&amp;end_month=12&amp;end_day=31&amp;end_year=2016","Correlation")</f>
        <v>Correlation</v>
      </c>
    </row>
    <row r="4223" spans="1:13" x14ac:dyDescent="0.2">
      <c r="A4223" s="113"/>
      <c r="B4223" s="58" t="s">
        <v>10582</v>
      </c>
      <c r="C4223" s="58" t="s">
        <v>1728</v>
      </c>
      <c r="D4223" s="58" t="s">
        <v>10583</v>
      </c>
      <c r="E4223" s="60" t="b">
        <v>1</v>
      </c>
      <c r="F4223" s="80" t="s">
        <v>1271</v>
      </c>
      <c r="G4223" s="58" t="s">
        <v>10582</v>
      </c>
      <c r="H4223" s="58" t="s">
        <v>1728</v>
      </c>
      <c r="I4223" s="64" t="s">
        <v>10583</v>
      </c>
      <c r="J4223" s="66"/>
      <c r="K4223" s="66"/>
      <c r="L4223" s="68"/>
      <c r="M4223" s="63" t="str">
        <f>HYPERLINK("http://nsgreg.nga.mil/genc/view?v=866859&amp;end_month=12&amp;end_day=31&amp;end_year=2016","Correlation")</f>
        <v>Correlation</v>
      </c>
    </row>
    <row r="4224" spans="1:13" x14ac:dyDescent="0.2">
      <c r="A4224" s="113"/>
      <c r="B4224" s="58" t="s">
        <v>10584</v>
      </c>
      <c r="C4224" s="58" t="s">
        <v>1728</v>
      </c>
      <c r="D4224" s="58" t="s">
        <v>10585</v>
      </c>
      <c r="E4224" s="60" t="b">
        <v>1</v>
      </c>
      <c r="F4224" s="80" t="s">
        <v>1271</v>
      </c>
      <c r="G4224" s="58" t="s">
        <v>10584</v>
      </c>
      <c r="H4224" s="58" t="s">
        <v>1728</v>
      </c>
      <c r="I4224" s="64" t="s">
        <v>10585</v>
      </c>
      <c r="J4224" s="66"/>
      <c r="K4224" s="66"/>
      <c r="L4224" s="68"/>
      <c r="M4224" s="63" t="str">
        <f>HYPERLINK("http://nsgreg.nga.mil/genc/view?v=866861&amp;end_month=12&amp;end_day=31&amp;end_year=2016","Correlation")</f>
        <v>Correlation</v>
      </c>
    </row>
    <row r="4225" spans="1:13" x14ac:dyDescent="0.2">
      <c r="A4225" s="113"/>
      <c r="B4225" s="58" t="s">
        <v>10586</v>
      </c>
      <c r="C4225" s="58" t="s">
        <v>1728</v>
      </c>
      <c r="D4225" s="58" t="s">
        <v>10587</v>
      </c>
      <c r="E4225" s="60" t="b">
        <v>1</v>
      </c>
      <c r="F4225" s="80" t="s">
        <v>1271</v>
      </c>
      <c r="G4225" s="58" t="s">
        <v>10586</v>
      </c>
      <c r="H4225" s="58" t="s">
        <v>1728</v>
      </c>
      <c r="I4225" s="64" t="s">
        <v>10587</v>
      </c>
      <c r="J4225" s="66"/>
      <c r="K4225" s="66"/>
      <c r="L4225" s="68"/>
      <c r="M4225" s="63" t="str">
        <f>HYPERLINK("http://nsgreg.nga.mil/genc/view?v=866862&amp;end_month=12&amp;end_day=31&amp;end_year=2016","Correlation")</f>
        <v>Correlation</v>
      </c>
    </row>
    <row r="4226" spans="1:13" x14ac:dyDescent="0.2">
      <c r="A4226" s="113"/>
      <c r="B4226" s="58" t="s">
        <v>6870</v>
      </c>
      <c r="C4226" s="58" t="s">
        <v>1728</v>
      </c>
      <c r="D4226" s="58" t="s">
        <v>10588</v>
      </c>
      <c r="E4226" s="60" t="b">
        <v>1</v>
      </c>
      <c r="F4226" s="80" t="s">
        <v>1271</v>
      </c>
      <c r="G4226" s="58" t="s">
        <v>6870</v>
      </c>
      <c r="H4226" s="58" t="s">
        <v>1728</v>
      </c>
      <c r="I4226" s="64" t="s">
        <v>10588</v>
      </c>
      <c r="J4226" s="66"/>
      <c r="K4226" s="66"/>
      <c r="L4226" s="68"/>
      <c r="M4226" s="63" t="str">
        <f>HYPERLINK("http://nsgreg.nga.mil/genc/view?v=866863&amp;end_month=12&amp;end_day=31&amp;end_year=2016","Correlation")</f>
        <v>Correlation</v>
      </c>
    </row>
    <row r="4227" spans="1:13" x14ac:dyDescent="0.2">
      <c r="A4227" s="113"/>
      <c r="B4227" s="58" t="s">
        <v>10589</v>
      </c>
      <c r="C4227" s="58" t="s">
        <v>1728</v>
      </c>
      <c r="D4227" s="58" t="s">
        <v>10590</v>
      </c>
      <c r="E4227" s="60" t="b">
        <v>1</v>
      </c>
      <c r="F4227" s="80" t="s">
        <v>1271</v>
      </c>
      <c r="G4227" s="58" t="s">
        <v>10589</v>
      </c>
      <c r="H4227" s="58" t="s">
        <v>1728</v>
      </c>
      <c r="I4227" s="64" t="s">
        <v>10590</v>
      </c>
      <c r="J4227" s="66"/>
      <c r="K4227" s="66"/>
      <c r="L4227" s="68"/>
      <c r="M4227" s="63" t="str">
        <f>HYPERLINK("http://nsgreg.nga.mil/genc/view?v=866874&amp;end_month=12&amp;end_day=31&amp;end_year=2016","Correlation")</f>
        <v>Correlation</v>
      </c>
    </row>
    <row r="4228" spans="1:13" x14ac:dyDescent="0.2">
      <c r="A4228" s="113"/>
      <c r="B4228" s="58" t="s">
        <v>10591</v>
      </c>
      <c r="C4228" s="58" t="s">
        <v>1728</v>
      </c>
      <c r="D4228" s="58" t="s">
        <v>10592</v>
      </c>
      <c r="E4228" s="60" t="b">
        <v>1</v>
      </c>
      <c r="F4228" s="80" t="s">
        <v>1271</v>
      </c>
      <c r="G4228" s="58" t="s">
        <v>10593</v>
      </c>
      <c r="H4228" s="58" t="s">
        <v>1728</v>
      </c>
      <c r="I4228" s="64" t="s">
        <v>10592</v>
      </c>
      <c r="J4228" s="66"/>
      <c r="K4228" s="66"/>
      <c r="L4228" s="68"/>
      <c r="M4228" s="63" t="str">
        <f>HYPERLINK("http://nsgreg.nga.mil/genc/view?v=866851&amp;end_month=12&amp;end_day=31&amp;end_year=2016","Correlation")</f>
        <v>Correlation</v>
      </c>
    </row>
    <row r="4229" spans="1:13" x14ac:dyDescent="0.2">
      <c r="A4229" s="113"/>
      <c r="B4229" s="58" t="s">
        <v>10594</v>
      </c>
      <c r="C4229" s="58" t="s">
        <v>1728</v>
      </c>
      <c r="D4229" s="58" t="s">
        <v>10595</v>
      </c>
      <c r="E4229" s="60" t="b">
        <v>1</v>
      </c>
      <c r="F4229" s="80" t="s">
        <v>1271</v>
      </c>
      <c r="G4229" s="58" t="s">
        <v>10596</v>
      </c>
      <c r="H4229" s="58" t="s">
        <v>1728</v>
      </c>
      <c r="I4229" s="64" t="s">
        <v>10595</v>
      </c>
      <c r="J4229" s="66"/>
      <c r="K4229" s="66"/>
      <c r="L4229" s="68"/>
      <c r="M4229" s="63" t="str">
        <f>HYPERLINK("http://nsgreg.nga.mil/genc/view?v=866855&amp;end_month=12&amp;end_day=31&amp;end_year=2016","Correlation")</f>
        <v>Correlation</v>
      </c>
    </row>
    <row r="4230" spans="1:13" x14ac:dyDescent="0.2">
      <c r="A4230" s="113"/>
      <c r="B4230" s="58" t="s">
        <v>10597</v>
      </c>
      <c r="C4230" s="58" t="s">
        <v>1728</v>
      </c>
      <c r="D4230" s="58" t="s">
        <v>10598</v>
      </c>
      <c r="E4230" s="60" t="b">
        <v>1</v>
      </c>
      <c r="F4230" s="80" t="s">
        <v>1271</v>
      </c>
      <c r="G4230" s="58" t="s">
        <v>10597</v>
      </c>
      <c r="H4230" s="58" t="s">
        <v>1728</v>
      </c>
      <c r="I4230" s="64" t="s">
        <v>10598</v>
      </c>
      <c r="J4230" s="66"/>
      <c r="K4230" s="66"/>
      <c r="L4230" s="68"/>
      <c r="M4230" s="63" t="str">
        <f>HYPERLINK("http://nsgreg.nga.mil/genc/view?v=866865&amp;end_month=12&amp;end_day=31&amp;end_year=2016","Correlation")</f>
        <v>Correlation</v>
      </c>
    </row>
    <row r="4231" spans="1:13" x14ac:dyDescent="0.2">
      <c r="A4231" s="113"/>
      <c r="B4231" s="58" t="s">
        <v>10599</v>
      </c>
      <c r="C4231" s="58" t="s">
        <v>1728</v>
      </c>
      <c r="D4231" s="58" t="s">
        <v>10600</v>
      </c>
      <c r="E4231" s="60" t="b">
        <v>1</v>
      </c>
      <c r="F4231" s="80" t="s">
        <v>1271</v>
      </c>
      <c r="G4231" s="58" t="s">
        <v>10599</v>
      </c>
      <c r="H4231" s="58" t="s">
        <v>1728</v>
      </c>
      <c r="I4231" s="64" t="s">
        <v>10600</v>
      </c>
      <c r="J4231" s="66"/>
      <c r="K4231" s="66"/>
      <c r="L4231" s="68"/>
      <c r="M4231" s="63" t="str">
        <f>HYPERLINK("http://nsgreg.nga.mil/genc/view?v=866866&amp;end_month=12&amp;end_day=31&amp;end_year=2016","Correlation")</f>
        <v>Correlation</v>
      </c>
    </row>
    <row r="4232" spans="1:13" x14ac:dyDescent="0.2">
      <c r="A4232" s="113"/>
      <c r="B4232" s="58" t="s">
        <v>10601</v>
      </c>
      <c r="C4232" s="58" t="s">
        <v>1728</v>
      </c>
      <c r="D4232" s="58" t="s">
        <v>10602</v>
      </c>
      <c r="E4232" s="60" t="b">
        <v>1</v>
      </c>
      <c r="F4232" s="80" t="s">
        <v>1271</v>
      </c>
      <c r="G4232" s="58" t="s">
        <v>10601</v>
      </c>
      <c r="H4232" s="58" t="s">
        <v>1728</v>
      </c>
      <c r="I4232" s="64" t="s">
        <v>10602</v>
      </c>
      <c r="J4232" s="66"/>
      <c r="K4232" s="66"/>
      <c r="L4232" s="68"/>
      <c r="M4232" s="63" t="str">
        <f>HYPERLINK("http://nsgreg.nga.mil/genc/view?v=866867&amp;end_month=12&amp;end_day=31&amp;end_year=2016","Correlation")</f>
        <v>Correlation</v>
      </c>
    </row>
    <row r="4233" spans="1:13" x14ac:dyDescent="0.2">
      <c r="A4233" s="113"/>
      <c r="B4233" s="58" t="s">
        <v>10603</v>
      </c>
      <c r="C4233" s="58" t="s">
        <v>1728</v>
      </c>
      <c r="D4233" s="58" t="s">
        <v>10604</v>
      </c>
      <c r="E4233" s="60" t="b">
        <v>1</v>
      </c>
      <c r="F4233" s="80" t="s">
        <v>1271</v>
      </c>
      <c r="G4233" s="58" t="s">
        <v>10603</v>
      </c>
      <c r="H4233" s="58" t="s">
        <v>1728</v>
      </c>
      <c r="I4233" s="64" t="s">
        <v>10604</v>
      </c>
      <c r="J4233" s="66"/>
      <c r="K4233" s="66"/>
      <c r="L4233" s="68"/>
      <c r="M4233" s="63" t="str">
        <f>HYPERLINK("http://nsgreg.nga.mil/genc/view?v=866875&amp;end_month=12&amp;end_day=31&amp;end_year=2016","Correlation")</f>
        <v>Correlation</v>
      </c>
    </row>
    <row r="4234" spans="1:13" x14ac:dyDescent="0.2">
      <c r="A4234" s="113"/>
      <c r="B4234" s="58" t="s">
        <v>10605</v>
      </c>
      <c r="C4234" s="58" t="s">
        <v>1728</v>
      </c>
      <c r="D4234" s="58" t="s">
        <v>10606</v>
      </c>
      <c r="E4234" s="60" t="b">
        <v>1</v>
      </c>
      <c r="F4234" s="80" t="s">
        <v>1271</v>
      </c>
      <c r="G4234" s="58" t="s">
        <v>10605</v>
      </c>
      <c r="H4234" s="58" t="s">
        <v>1728</v>
      </c>
      <c r="I4234" s="64" t="s">
        <v>10606</v>
      </c>
      <c r="J4234" s="66"/>
      <c r="K4234" s="66"/>
      <c r="L4234" s="68"/>
      <c r="M4234" s="63" t="str">
        <f>HYPERLINK("http://nsgreg.nga.mil/genc/view?v=866868&amp;end_month=12&amp;end_day=31&amp;end_year=2016","Correlation")</f>
        <v>Correlation</v>
      </c>
    </row>
    <row r="4235" spans="1:13" x14ac:dyDescent="0.2">
      <c r="A4235" s="113"/>
      <c r="B4235" s="58" t="s">
        <v>10607</v>
      </c>
      <c r="C4235" s="58" t="s">
        <v>1728</v>
      </c>
      <c r="D4235" s="58" t="s">
        <v>10608</v>
      </c>
      <c r="E4235" s="60" t="b">
        <v>1</v>
      </c>
      <c r="F4235" s="80" t="s">
        <v>1271</v>
      </c>
      <c r="G4235" s="58" t="s">
        <v>10607</v>
      </c>
      <c r="H4235" s="58" t="s">
        <v>1728</v>
      </c>
      <c r="I4235" s="64" t="s">
        <v>10608</v>
      </c>
      <c r="J4235" s="66"/>
      <c r="K4235" s="66"/>
      <c r="L4235" s="68"/>
      <c r="M4235" s="63" t="str">
        <f>HYPERLINK("http://nsgreg.nga.mil/genc/view?v=866869&amp;end_month=12&amp;end_day=31&amp;end_year=2016","Correlation")</f>
        <v>Correlation</v>
      </c>
    </row>
    <row r="4236" spans="1:13" x14ac:dyDescent="0.2">
      <c r="A4236" s="113"/>
      <c r="B4236" s="58" t="s">
        <v>10609</v>
      </c>
      <c r="C4236" s="58" t="s">
        <v>1728</v>
      </c>
      <c r="D4236" s="58" t="s">
        <v>10610</v>
      </c>
      <c r="E4236" s="60" t="b">
        <v>1</v>
      </c>
      <c r="F4236" s="80" t="s">
        <v>1271</v>
      </c>
      <c r="G4236" s="58" t="s">
        <v>10609</v>
      </c>
      <c r="H4236" s="58" t="s">
        <v>1728</v>
      </c>
      <c r="I4236" s="64" t="s">
        <v>10610</v>
      </c>
      <c r="J4236" s="66"/>
      <c r="K4236" s="66"/>
      <c r="L4236" s="68"/>
      <c r="M4236" s="63" t="str">
        <f>HYPERLINK("http://nsgreg.nga.mil/genc/view?v=866870&amp;end_month=12&amp;end_day=31&amp;end_year=2016","Correlation")</f>
        <v>Correlation</v>
      </c>
    </row>
    <row r="4237" spans="1:13" x14ac:dyDescent="0.2">
      <c r="A4237" s="113"/>
      <c r="B4237" s="58" t="s">
        <v>10611</v>
      </c>
      <c r="C4237" s="58" t="s">
        <v>1728</v>
      </c>
      <c r="D4237" s="58" t="s">
        <v>10612</v>
      </c>
      <c r="E4237" s="60" t="b">
        <v>1</v>
      </c>
      <c r="F4237" s="80" t="s">
        <v>1271</v>
      </c>
      <c r="G4237" s="58" t="s">
        <v>10613</v>
      </c>
      <c r="H4237" s="58" t="s">
        <v>1728</v>
      </c>
      <c r="I4237" s="64" t="s">
        <v>10612</v>
      </c>
      <c r="J4237" s="66"/>
      <c r="K4237" s="66"/>
      <c r="L4237" s="68"/>
      <c r="M4237" s="63" t="str">
        <f>HYPERLINK("http://nsgreg.nga.mil/genc/view?v=866856&amp;end_month=12&amp;end_day=31&amp;end_year=2016","Correlation")</f>
        <v>Correlation</v>
      </c>
    </row>
    <row r="4238" spans="1:13" x14ac:dyDescent="0.2">
      <c r="A4238" s="113"/>
      <c r="B4238" s="58" t="s">
        <v>10614</v>
      </c>
      <c r="C4238" s="58" t="s">
        <v>1728</v>
      </c>
      <c r="D4238" s="58" t="s">
        <v>10615</v>
      </c>
      <c r="E4238" s="60" t="b">
        <v>1</v>
      </c>
      <c r="F4238" s="80" t="s">
        <v>1271</v>
      </c>
      <c r="G4238" s="58" t="s">
        <v>10616</v>
      </c>
      <c r="H4238" s="58" t="s">
        <v>1728</v>
      </c>
      <c r="I4238" s="64" t="s">
        <v>10615</v>
      </c>
      <c r="J4238" s="66"/>
      <c r="K4238" s="66"/>
      <c r="L4238" s="68"/>
      <c r="M4238" s="63" t="str">
        <f>HYPERLINK("http://nsgreg.nga.mil/genc/view?v=866852&amp;end_month=12&amp;end_day=31&amp;end_year=2016","Correlation")</f>
        <v>Correlation</v>
      </c>
    </row>
    <row r="4239" spans="1:13" x14ac:dyDescent="0.2">
      <c r="A4239" s="114"/>
      <c r="B4239" s="71" t="s">
        <v>10617</v>
      </c>
      <c r="C4239" s="71" t="s">
        <v>1728</v>
      </c>
      <c r="D4239" s="71" t="s">
        <v>10618</v>
      </c>
      <c r="E4239" s="73" t="b">
        <v>1</v>
      </c>
      <c r="F4239" s="81" t="s">
        <v>1271</v>
      </c>
      <c r="G4239" s="71" t="s">
        <v>10619</v>
      </c>
      <c r="H4239" s="71" t="s">
        <v>1728</v>
      </c>
      <c r="I4239" s="74" t="s">
        <v>10618</v>
      </c>
      <c r="J4239" s="76"/>
      <c r="K4239" s="76"/>
      <c r="L4239" s="82"/>
      <c r="M4239" s="77" t="str">
        <f>HYPERLINK("http://nsgreg.nga.mil/genc/view?v=866860&amp;end_month=12&amp;end_day=31&amp;end_year=2016","Correlation")</f>
        <v>Correlation</v>
      </c>
    </row>
    <row r="4240" spans="1:13" x14ac:dyDescent="0.2">
      <c r="A4240" s="112" t="s">
        <v>1272</v>
      </c>
      <c r="B4240" s="50" t="s">
        <v>10620</v>
      </c>
      <c r="C4240" s="50" t="s">
        <v>1413</v>
      </c>
      <c r="D4240" s="50" t="s">
        <v>10621</v>
      </c>
      <c r="E4240" s="52" t="b">
        <v>1</v>
      </c>
      <c r="F4240" s="78" t="s">
        <v>1272</v>
      </c>
      <c r="G4240" s="50" t="s">
        <v>10620</v>
      </c>
      <c r="H4240" s="50" t="s">
        <v>1413</v>
      </c>
      <c r="I4240" s="53" t="s">
        <v>10621</v>
      </c>
      <c r="J4240" s="55"/>
      <c r="K4240" s="55"/>
      <c r="L4240" s="79"/>
      <c r="M4240" s="56" t="str">
        <f>HYPERLINK("http://nsgreg.nga.mil/genc/view?v=866615&amp;end_month=12&amp;end_day=31&amp;end_year=2016","Correlation")</f>
        <v>Correlation</v>
      </c>
    </row>
    <row r="4241" spans="1:13" x14ac:dyDescent="0.2">
      <c r="A4241" s="113"/>
      <c r="B4241" s="58" t="s">
        <v>10622</v>
      </c>
      <c r="C4241" s="58" t="s">
        <v>1413</v>
      </c>
      <c r="D4241" s="58" t="s">
        <v>10623</v>
      </c>
      <c r="E4241" s="60" t="b">
        <v>1</v>
      </c>
      <c r="F4241" s="80" t="s">
        <v>1272</v>
      </c>
      <c r="G4241" s="58" t="s">
        <v>10622</v>
      </c>
      <c r="H4241" s="58" t="s">
        <v>1413</v>
      </c>
      <c r="I4241" s="64" t="s">
        <v>10623</v>
      </c>
      <c r="J4241" s="66"/>
      <c r="K4241" s="66"/>
      <c r="L4241" s="68"/>
      <c r="M4241" s="63" t="str">
        <f>HYPERLINK("http://nsgreg.nga.mil/genc/view?v=866595&amp;end_month=12&amp;end_day=31&amp;end_year=2016","Correlation")</f>
        <v>Correlation</v>
      </c>
    </row>
    <row r="4242" spans="1:13" x14ac:dyDescent="0.2">
      <c r="A4242" s="113"/>
      <c r="B4242" s="58" t="s">
        <v>10624</v>
      </c>
      <c r="C4242" s="58" t="s">
        <v>1413</v>
      </c>
      <c r="D4242" s="58" t="s">
        <v>10625</v>
      </c>
      <c r="E4242" s="60" t="b">
        <v>1</v>
      </c>
      <c r="F4242" s="80" t="s">
        <v>1272</v>
      </c>
      <c r="G4242" s="58" t="s">
        <v>10624</v>
      </c>
      <c r="H4242" s="58" t="s">
        <v>1413</v>
      </c>
      <c r="I4242" s="64" t="s">
        <v>10625</v>
      </c>
      <c r="J4242" s="66"/>
      <c r="K4242" s="66"/>
      <c r="L4242" s="68"/>
      <c r="M4242" s="63" t="str">
        <f>HYPERLINK("http://nsgreg.nga.mil/genc/view?v=866616&amp;end_month=12&amp;end_day=31&amp;end_year=2016","Correlation")</f>
        <v>Correlation</v>
      </c>
    </row>
    <row r="4243" spans="1:13" x14ac:dyDescent="0.2">
      <c r="A4243" s="113"/>
      <c r="B4243" s="58" t="s">
        <v>10626</v>
      </c>
      <c r="C4243" s="58" t="s">
        <v>1413</v>
      </c>
      <c r="D4243" s="58" t="s">
        <v>10627</v>
      </c>
      <c r="E4243" s="60" t="b">
        <v>1</v>
      </c>
      <c r="F4243" s="80" t="s">
        <v>1272</v>
      </c>
      <c r="G4243" s="58" t="s">
        <v>10628</v>
      </c>
      <c r="H4243" s="58" t="s">
        <v>1413</v>
      </c>
      <c r="I4243" s="64" t="s">
        <v>10627</v>
      </c>
      <c r="J4243" s="66"/>
      <c r="K4243" s="66"/>
      <c r="L4243" s="68"/>
      <c r="M4243" s="63" t="str">
        <f>HYPERLINK("http://nsgreg.nga.mil/genc/view?v=866609&amp;end_month=12&amp;end_day=31&amp;end_year=2016","Correlation")</f>
        <v>Correlation</v>
      </c>
    </row>
    <row r="4244" spans="1:13" x14ac:dyDescent="0.2">
      <c r="A4244" s="113"/>
      <c r="B4244" s="58" t="s">
        <v>10629</v>
      </c>
      <c r="C4244" s="58" t="s">
        <v>1413</v>
      </c>
      <c r="D4244" s="58" t="s">
        <v>10630</v>
      </c>
      <c r="E4244" s="60" t="b">
        <v>1</v>
      </c>
      <c r="F4244" s="80" t="s">
        <v>1272</v>
      </c>
      <c r="G4244" s="58" t="s">
        <v>10629</v>
      </c>
      <c r="H4244" s="58" t="s">
        <v>1413</v>
      </c>
      <c r="I4244" s="64" t="s">
        <v>10630</v>
      </c>
      <c r="J4244" s="66"/>
      <c r="K4244" s="66"/>
      <c r="L4244" s="68"/>
      <c r="M4244" s="63" t="str">
        <f>HYPERLINK("http://nsgreg.nga.mil/genc/view?v=866604&amp;end_month=12&amp;end_day=31&amp;end_year=2016","Correlation")</f>
        <v>Correlation</v>
      </c>
    </row>
    <row r="4245" spans="1:13" x14ac:dyDescent="0.2">
      <c r="A4245" s="113"/>
      <c r="B4245" s="58" t="s">
        <v>10631</v>
      </c>
      <c r="C4245" s="58" t="s">
        <v>1413</v>
      </c>
      <c r="D4245" s="58" t="s">
        <v>10632</v>
      </c>
      <c r="E4245" s="60" t="b">
        <v>1</v>
      </c>
      <c r="F4245" s="80" t="s">
        <v>1272</v>
      </c>
      <c r="G4245" s="58" t="s">
        <v>10631</v>
      </c>
      <c r="H4245" s="58" t="s">
        <v>1413</v>
      </c>
      <c r="I4245" s="64" t="s">
        <v>10632</v>
      </c>
      <c r="J4245" s="66"/>
      <c r="K4245" s="66"/>
      <c r="L4245" s="68"/>
      <c r="M4245" s="63" t="str">
        <f>HYPERLINK("http://nsgreg.nga.mil/genc/view?v=866598&amp;end_month=12&amp;end_day=31&amp;end_year=2016","Correlation")</f>
        <v>Correlation</v>
      </c>
    </row>
    <row r="4246" spans="1:13" x14ac:dyDescent="0.2">
      <c r="A4246" s="113"/>
      <c r="B4246" s="58" t="s">
        <v>10633</v>
      </c>
      <c r="C4246" s="58" t="s">
        <v>1413</v>
      </c>
      <c r="D4246" s="58" t="s">
        <v>10634</v>
      </c>
      <c r="E4246" s="60" t="b">
        <v>1</v>
      </c>
      <c r="F4246" s="80" t="s">
        <v>1272</v>
      </c>
      <c r="G4246" s="58" t="s">
        <v>10633</v>
      </c>
      <c r="H4246" s="58" t="s">
        <v>1413</v>
      </c>
      <c r="I4246" s="64" t="s">
        <v>10634</v>
      </c>
      <c r="J4246" s="66"/>
      <c r="K4246" s="66"/>
      <c r="L4246" s="68"/>
      <c r="M4246" s="63" t="str">
        <f>HYPERLINK("http://nsgreg.nga.mil/genc/view?v=866614&amp;end_month=12&amp;end_day=31&amp;end_year=2016","Correlation")</f>
        <v>Correlation</v>
      </c>
    </row>
    <row r="4247" spans="1:13" x14ac:dyDescent="0.2">
      <c r="A4247" s="113"/>
      <c r="B4247" s="58" t="s">
        <v>10635</v>
      </c>
      <c r="C4247" s="58" t="s">
        <v>1413</v>
      </c>
      <c r="D4247" s="58" t="s">
        <v>10636</v>
      </c>
      <c r="E4247" s="60" t="b">
        <v>1</v>
      </c>
      <c r="F4247" s="80" t="s">
        <v>1272</v>
      </c>
      <c r="G4247" s="58" t="s">
        <v>10635</v>
      </c>
      <c r="H4247" s="58" t="s">
        <v>1413</v>
      </c>
      <c r="I4247" s="64" t="s">
        <v>10636</v>
      </c>
      <c r="J4247" s="66"/>
      <c r="K4247" s="66"/>
      <c r="L4247" s="68"/>
      <c r="M4247" s="63" t="str">
        <f>HYPERLINK("http://nsgreg.nga.mil/genc/view?v=866602&amp;end_month=12&amp;end_day=31&amp;end_year=2016","Correlation")</f>
        <v>Correlation</v>
      </c>
    </row>
    <row r="4248" spans="1:13" x14ac:dyDescent="0.2">
      <c r="A4248" s="113"/>
      <c r="B4248" s="58" t="s">
        <v>10637</v>
      </c>
      <c r="C4248" s="58" t="s">
        <v>1413</v>
      </c>
      <c r="D4248" s="58" t="s">
        <v>10638</v>
      </c>
      <c r="E4248" s="60" t="b">
        <v>1</v>
      </c>
      <c r="F4248" s="80" t="s">
        <v>1272</v>
      </c>
      <c r="G4248" s="58" t="s">
        <v>10637</v>
      </c>
      <c r="H4248" s="58" t="s">
        <v>1413</v>
      </c>
      <c r="I4248" s="64" t="s">
        <v>10638</v>
      </c>
      <c r="J4248" s="66"/>
      <c r="K4248" s="66"/>
      <c r="L4248" s="68"/>
      <c r="M4248" s="63" t="str">
        <f>HYPERLINK("http://nsgreg.nga.mil/genc/view?v=866628&amp;end_month=12&amp;end_day=31&amp;end_year=2016","Correlation")</f>
        <v>Correlation</v>
      </c>
    </row>
    <row r="4249" spans="1:13" x14ac:dyDescent="0.2">
      <c r="A4249" s="113"/>
      <c r="B4249" s="58" t="s">
        <v>10639</v>
      </c>
      <c r="C4249" s="58" t="s">
        <v>1413</v>
      </c>
      <c r="D4249" s="58" t="s">
        <v>10640</v>
      </c>
      <c r="E4249" s="60" t="b">
        <v>1</v>
      </c>
      <c r="F4249" s="80" t="s">
        <v>1272</v>
      </c>
      <c r="G4249" s="58" t="s">
        <v>10639</v>
      </c>
      <c r="H4249" s="58" t="s">
        <v>1413</v>
      </c>
      <c r="I4249" s="64" t="s">
        <v>10640</v>
      </c>
      <c r="J4249" s="66"/>
      <c r="K4249" s="66"/>
      <c r="L4249" s="68"/>
      <c r="M4249" s="63" t="str">
        <f>HYPERLINK("http://nsgreg.nga.mil/genc/view?v=866635&amp;end_month=12&amp;end_day=31&amp;end_year=2016","Correlation")</f>
        <v>Correlation</v>
      </c>
    </row>
    <row r="4250" spans="1:13" x14ac:dyDescent="0.2">
      <c r="A4250" s="113"/>
      <c r="B4250" s="58" t="s">
        <v>10641</v>
      </c>
      <c r="C4250" s="58" t="s">
        <v>1413</v>
      </c>
      <c r="D4250" s="58" t="s">
        <v>10642</v>
      </c>
      <c r="E4250" s="60" t="b">
        <v>1</v>
      </c>
      <c r="F4250" s="80" t="s">
        <v>1272</v>
      </c>
      <c r="G4250" s="58" t="s">
        <v>10641</v>
      </c>
      <c r="H4250" s="58" t="s">
        <v>1413</v>
      </c>
      <c r="I4250" s="64" t="s">
        <v>10642</v>
      </c>
      <c r="J4250" s="66"/>
      <c r="K4250" s="66"/>
      <c r="L4250" s="68"/>
      <c r="M4250" s="63" t="str">
        <f>HYPERLINK("http://nsgreg.nga.mil/genc/view?v=866600&amp;end_month=12&amp;end_day=31&amp;end_year=2016","Correlation")</f>
        <v>Correlation</v>
      </c>
    </row>
    <row r="4251" spans="1:13" x14ac:dyDescent="0.2">
      <c r="A4251" s="113"/>
      <c r="B4251" s="58" t="s">
        <v>10643</v>
      </c>
      <c r="C4251" s="58" t="s">
        <v>1413</v>
      </c>
      <c r="D4251" s="58" t="s">
        <v>10644</v>
      </c>
      <c r="E4251" s="60" t="b">
        <v>1</v>
      </c>
      <c r="F4251" s="80" t="s">
        <v>1272</v>
      </c>
      <c r="G4251" s="58" t="s">
        <v>10643</v>
      </c>
      <c r="H4251" s="58" t="s">
        <v>1413</v>
      </c>
      <c r="I4251" s="64" t="s">
        <v>10644</v>
      </c>
      <c r="J4251" s="66"/>
      <c r="K4251" s="66"/>
      <c r="L4251" s="68"/>
      <c r="M4251" s="63" t="str">
        <f>HYPERLINK("http://nsgreg.nga.mil/genc/view?v=866659&amp;end_month=12&amp;end_day=31&amp;end_year=2016","Correlation")</f>
        <v>Correlation</v>
      </c>
    </row>
    <row r="4252" spans="1:13" x14ac:dyDescent="0.2">
      <c r="A4252" s="113"/>
      <c r="B4252" s="58" t="s">
        <v>10645</v>
      </c>
      <c r="C4252" s="58" t="s">
        <v>1413</v>
      </c>
      <c r="D4252" s="58" t="s">
        <v>10646</v>
      </c>
      <c r="E4252" s="60" t="b">
        <v>1</v>
      </c>
      <c r="F4252" s="80" t="s">
        <v>1272</v>
      </c>
      <c r="G4252" s="58" t="s">
        <v>10645</v>
      </c>
      <c r="H4252" s="58" t="s">
        <v>1413</v>
      </c>
      <c r="I4252" s="64" t="s">
        <v>10646</v>
      </c>
      <c r="J4252" s="66"/>
      <c r="K4252" s="66"/>
      <c r="L4252" s="68"/>
      <c r="M4252" s="63" t="str">
        <f>HYPERLINK("http://nsgreg.nga.mil/genc/view?v=866624&amp;end_month=12&amp;end_day=31&amp;end_year=2016","Correlation")</f>
        <v>Correlation</v>
      </c>
    </row>
    <row r="4253" spans="1:13" x14ac:dyDescent="0.2">
      <c r="A4253" s="113"/>
      <c r="B4253" s="58" t="s">
        <v>10647</v>
      </c>
      <c r="C4253" s="58" t="s">
        <v>1413</v>
      </c>
      <c r="D4253" s="58" t="s">
        <v>10648</v>
      </c>
      <c r="E4253" s="60" t="b">
        <v>1</v>
      </c>
      <c r="F4253" s="80" t="s">
        <v>1272</v>
      </c>
      <c r="G4253" s="58" t="s">
        <v>10647</v>
      </c>
      <c r="H4253" s="58" t="s">
        <v>1413</v>
      </c>
      <c r="I4253" s="64" t="s">
        <v>10648</v>
      </c>
      <c r="J4253" s="66"/>
      <c r="K4253" s="66"/>
      <c r="L4253" s="68"/>
      <c r="M4253" s="63" t="str">
        <f>HYPERLINK("http://nsgreg.nga.mil/genc/view?v=866639&amp;end_month=12&amp;end_day=31&amp;end_year=2016","Correlation")</f>
        <v>Correlation</v>
      </c>
    </row>
    <row r="4254" spans="1:13" x14ac:dyDescent="0.2">
      <c r="A4254" s="113"/>
      <c r="B4254" s="58" t="s">
        <v>10649</v>
      </c>
      <c r="C4254" s="58" t="s">
        <v>1413</v>
      </c>
      <c r="D4254" s="58" t="s">
        <v>10650</v>
      </c>
      <c r="E4254" s="60" t="b">
        <v>1</v>
      </c>
      <c r="F4254" s="80" t="s">
        <v>1272</v>
      </c>
      <c r="G4254" s="58" t="s">
        <v>10649</v>
      </c>
      <c r="H4254" s="58" t="s">
        <v>1413</v>
      </c>
      <c r="I4254" s="64" t="s">
        <v>10650</v>
      </c>
      <c r="J4254" s="66"/>
      <c r="K4254" s="66"/>
      <c r="L4254" s="68"/>
      <c r="M4254" s="63" t="str">
        <f>HYPERLINK("http://nsgreg.nga.mil/genc/view?v=866646&amp;end_month=12&amp;end_day=31&amp;end_year=2016","Correlation")</f>
        <v>Correlation</v>
      </c>
    </row>
    <row r="4255" spans="1:13" x14ac:dyDescent="0.2">
      <c r="A4255" s="113"/>
      <c r="B4255" s="58" t="s">
        <v>10651</v>
      </c>
      <c r="C4255" s="58" t="s">
        <v>1413</v>
      </c>
      <c r="D4255" s="58" t="s">
        <v>10652</v>
      </c>
      <c r="E4255" s="60" t="b">
        <v>1</v>
      </c>
      <c r="F4255" s="80" t="s">
        <v>1272</v>
      </c>
      <c r="G4255" s="58" t="s">
        <v>10651</v>
      </c>
      <c r="H4255" s="58" t="s">
        <v>1413</v>
      </c>
      <c r="I4255" s="64" t="s">
        <v>10652</v>
      </c>
      <c r="J4255" s="66"/>
      <c r="K4255" s="66"/>
      <c r="L4255" s="68"/>
      <c r="M4255" s="63" t="str">
        <f>HYPERLINK("http://nsgreg.nga.mil/genc/view?v=866618&amp;end_month=12&amp;end_day=31&amp;end_year=2016","Correlation")</f>
        <v>Correlation</v>
      </c>
    </row>
    <row r="4256" spans="1:13" x14ac:dyDescent="0.2">
      <c r="A4256" s="113"/>
      <c r="B4256" s="58" t="s">
        <v>10653</v>
      </c>
      <c r="C4256" s="58" t="s">
        <v>1413</v>
      </c>
      <c r="D4256" s="58" t="s">
        <v>10654</v>
      </c>
      <c r="E4256" s="60" t="b">
        <v>1</v>
      </c>
      <c r="F4256" s="80" t="s">
        <v>1272</v>
      </c>
      <c r="G4256" s="58" t="s">
        <v>10653</v>
      </c>
      <c r="H4256" s="58" t="s">
        <v>1413</v>
      </c>
      <c r="I4256" s="64" t="s">
        <v>10654</v>
      </c>
      <c r="J4256" s="66"/>
      <c r="K4256" s="66"/>
      <c r="L4256" s="68"/>
      <c r="M4256" s="63" t="str">
        <f>HYPERLINK("http://nsgreg.nga.mil/genc/view?v=866654&amp;end_month=12&amp;end_day=31&amp;end_year=2016","Correlation")</f>
        <v>Correlation</v>
      </c>
    </row>
    <row r="4257" spans="1:13" x14ac:dyDescent="0.2">
      <c r="A4257" s="113"/>
      <c r="B4257" s="58" t="s">
        <v>10655</v>
      </c>
      <c r="C4257" s="58" t="s">
        <v>10656</v>
      </c>
      <c r="D4257" s="58" t="s">
        <v>10657</v>
      </c>
      <c r="E4257" s="60" t="b">
        <v>1</v>
      </c>
      <c r="F4257" s="80" t="s">
        <v>1272</v>
      </c>
      <c r="G4257" s="58" t="s">
        <v>10655</v>
      </c>
      <c r="H4257" s="58" t="s">
        <v>10656</v>
      </c>
      <c r="I4257" s="64" t="s">
        <v>10657</v>
      </c>
      <c r="J4257" s="66"/>
      <c r="K4257" s="66"/>
      <c r="L4257" s="68"/>
      <c r="M4257" s="63" t="str">
        <f>HYPERLINK("http://nsgreg.nga.mil/genc/view?v=866590&amp;end_month=12&amp;end_day=31&amp;end_year=2016","Correlation")</f>
        <v>Correlation</v>
      </c>
    </row>
    <row r="4258" spans="1:13" x14ac:dyDescent="0.2">
      <c r="A4258" s="113"/>
      <c r="B4258" s="58" t="s">
        <v>10658</v>
      </c>
      <c r="C4258" s="58" t="s">
        <v>1413</v>
      </c>
      <c r="D4258" s="58" t="s">
        <v>10659</v>
      </c>
      <c r="E4258" s="60" t="b">
        <v>1</v>
      </c>
      <c r="F4258" s="80" t="s">
        <v>1272</v>
      </c>
      <c r="G4258" s="58" t="s">
        <v>10658</v>
      </c>
      <c r="H4258" s="58" t="s">
        <v>1413</v>
      </c>
      <c r="I4258" s="64" t="s">
        <v>10659</v>
      </c>
      <c r="J4258" s="66"/>
      <c r="K4258" s="66"/>
      <c r="L4258" s="68"/>
      <c r="M4258" s="63" t="str">
        <f>HYPERLINK("http://nsgreg.nga.mil/genc/view?v=866630&amp;end_month=12&amp;end_day=31&amp;end_year=2016","Correlation")</f>
        <v>Correlation</v>
      </c>
    </row>
    <row r="4259" spans="1:13" x14ac:dyDescent="0.2">
      <c r="A4259" s="113"/>
      <c r="B4259" s="58" t="s">
        <v>10660</v>
      </c>
      <c r="C4259" s="58" t="s">
        <v>1413</v>
      </c>
      <c r="D4259" s="58" t="s">
        <v>10661</v>
      </c>
      <c r="E4259" s="60" t="b">
        <v>1</v>
      </c>
      <c r="F4259" s="80" t="s">
        <v>1272</v>
      </c>
      <c r="G4259" s="58" t="s">
        <v>10660</v>
      </c>
      <c r="H4259" s="58" t="s">
        <v>1413</v>
      </c>
      <c r="I4259" s="64" t="s">
        <v>10661</v>
      </c>
      <c r="J4259" s="66"/>
      <c r="K4259" s="66"/>
      <c r="L4259" s="68"/>
      <c r="M4259" s="63" t="str">
        <f>HYPERLINK("http://nsgreg.nga.mil/genc/view?v=866629&amp;end_month=12&amp;end_day=31&amp;end_year=2016","Correlation")</f>
        <v>Correlation</v>
      </c>
    </row>
    <row r="4260" spans="1:13" x14ac:dyDescent="0.2">
      <c r="A4260" s="113"/>
      <c r="B4260" s="58" t="s">
        <v>10662</v>
      </c>
      <c r="C4260" s="58" t="s">
        <v>1413</v>
      </c>
      <c r="D4260" s="58" t="s">
        <v>10663</v>
      </c>
      <c r="E4260" s="60" t="b">
        <v>1</v>
      </c>
      <c r="F4260" s="80" t="s">
        <v>1272</v>
      </c>
      <c r="G4260" s="58" t="s">
        <v>10662</v>
      </c>
      <c r="H4260" s="58" t="s">
        <v>1413</v>
      </c>
      <c r="I4260" s="64" t="s">
        <v>10663</v>
      </c>
      <c r="J4260" s="66"/>
      <c r="K4260" s="66"/>
      <c r="L4260" s="68"/>
      <c r="M4260" s="63" t="str">
        <f>HYPERLINK("http://nsgreg.nga.mil/genc/view?v=866620&amp;end_month=12&amp;end_day=31&amp;end_year=2016","Correlation")</f>
        <v>Correlation</v>
      </c>
    </row>
    <row r="4261" spans="1:13" x14ac:dyDescent="0.2">
      <c r="A4261" s="113"/>
      <c r="B4261" s="58" t="s">
        <v>10664</v>
      </c>
      <c r="C4261" s="58" t="s">
        <v>1413</v>
      </c>
      <c r="D4261" s="58" t="s">
        <v>10665</v>
      </c>
      <c r="E4261" s="60" t="b">
        <v>1</v>
      </c>
      <c r="F4261" s="80" t="s">
        <v>1272</v>
      </c>
      <c r="G4261" s="58" t="s">
        <v>10664</v>
      </c>
      <c r="H4261" s="58" t="s">
        <v>1413</v>
      </c>
      <c r="I4261" s="64" t="s">
        <v>10665</v>
      </c>
      <c r="J4261" s="66"/>
      <c r="K4261" s="66"/>
      <c r="L4261" s="68"/>
      <c r="M4261" s="63" t="str">
        <f>HYPERLINK("http://nsgreg.nga.mil/genc/view?v=866596&amp;end_month=12&amp;end_day=31&amp;end_year=2016","Correlation")</f>
        <v>Correlation</v>
      </c>
    </row>
    <row r="4262" spans="1:13" x14ac:dyDescent="0.2">
      <c r="A4262" s="113"/>
      <c r="B4262" s="58" t="s">
        <v>10666</v>
      </c>
      <c r="C4262" s="58" t="s">
        <v>1413</v>
      </c>
      <c r="D4262" s="58" t="s">
        <v>10667</v>
      </c>
      <c r="E4262" s="60" t="b">
        <v>1</v>
      </c>
      <c r="F4262" s="80" t="s">
        <v>1272</v>
      </c>
      <c r="G4262" s="58" t="s">
        <v>10666</v>
      </c>
      <c r="H4262" s="58" t="s">
        <v>1413</v>
      </c>
      <c r="I4262" s="64" t="s">
        <v>10667</v>
      </c>
      <c r="J4262" s="66"/>
      <c r="K4262" s="66"/>
      <c r="L4262" s="68"/>
      <c r="M4262" s="63" t="str">
        <f>HYPERLINK("http://nsgreg.nga.mil/genc/view?v=866636&amp;end_month=12&amp;end_day=31&amp;end_year=2016","Correlation")</f>
        <v>Correlation</v>
      </c>
    </row>
    <row r="4263" spans="1:13" x14ac:dyDescent="0.2">
      <c r="A4263" s="113"/>
      <c r="B4263" s="58" t="s">
        <v>10668</v>
      </c>
      <c r="C4263" s="58" t="s">
        <v>1413</v>
      </c>
      <c r="D4263" s="58" t="s">
        <v>10669</v>
      </c>
      <c r="E4263" s="60" t="b">
        <v>1</v>
      </c>
      <c r="F4263" s="80" t="s">
        <v>1272</v>
      </c>
      <c r="G4263" s="58" t="s">
        <v>10668</v>
      </c>
      <c r="H4263" s="58" t="s">
        <v>1413</v>
      </c>
      <c r="I4263" s="64" t="s">
        <v>10669</v>
      </c>
      <c r="J4263" s="66"/>
      <c r="K4263" s="66"/>
      <c r="L4263" s="68"/>
      <c r="M4263" s="63" t="str">
        <f>HYPERLINK("http://nsgreg.nga.mil/genc/view?v=866622&amp;end_month=12&amp;end_day=31&amp;end_year=2016","Correlation")</f>
        <v>Correlation</v>
      </c>
    </row>
    <row r="4264" spans="1:13" x14ac:dyDescent="0.2">
      <c r="A4264" s="113"/>
      <c r="B4264" s="58" t="s">
        <v>10670</v>
      </c>
      <c r="C4264" s="58" t="s">
        <v>1413</v>
      </c>
      <c r="D4264" s="58" t="s">
        <v>10671</v>
      </c>
      <c r="E4264" s="60" t="b">
        <v>1</v>
      </c>
      <c r="F4264" s="80" t="s">
        <v>1272</v>
      </c>
      <c r="G4264" s="58" t="s">
        <v>10670</v>
      </c>
      <c r="H4264" s="58" t="s">
        <v>1413</v>
      </c>
      <c r="I4264" s="64" t="s">
        <v>10671</v>
      </c>
      <c r="J4264" s="66"/>
      <c r="K4264" s="66"/>
      <c r="L4264" s="68"/>
      <c r="M4264" s="63" t="str">
        <f>HYPERLINK("http://nsgreg.nga.mil/genc/view?v=866627&amp;end_month=12&amp;end_day=31&amp;end_year=2016","Correlation")</f>
        <v>Correlation</v>
      </c>
    </row>
    <row r="4265" spans="1:13" x14ac:dyDescent="0.2">
      <c r="A4265" s="113"/>
      <c r="B4265" s="58" t="s">
        <v>10672</v>
      </c>
      <c r="C4265" s="58" t="s">
        <v>1413</v>
      </c>
      <c r="D4265" s="58" t="s">
        <v>10673</v>
      </c>
      <c r="E4265" s="60" t="b">
        <v>1</v>
      </c>
      <c r="F4265" s="80" t="s">
        <v>1272</v>
      </c>
      <c r="G4265" s="58" t="s">
        <v>10672</v>
      </c>
      <c r="H4265" s="58" t="s">
        <v>1413</v>
      </c>
      <c r="I4265" s="64" t="s">
        <v>10673</v>
      </c>
      <c r="J4265" s="66"/>
      <c r="K4265" s="66"/>
      <c r="L4265" s="68"/>
      <c r="M4265" s="63" t="str">
        <f>HYPERLINK("http://nsgreg.nga.mil/genc/view?v=866606&amp;end_month=12&amp;end_day=31&amp;end_year=2016","Correlation")</f>
        <v>Correlation</v>
      </c>
    </row>
    <row r="4266" spans="1:13" x14ac:dyDescent="0.2">
      <c r="A4266" s="113"/>
      <c r="B4266" s="58" t="s">
        <v>10674</v>
      </c>
      <c r="C4266" s="58" t="s">
        <v>1413</v>
      </c>
      <c r="D4266" s="58" t="s">
        <v>10675</v>
      </c>
      <c r="E4266" s="60" t="b">
        <v>1</v>
      </c>
      <c r="F4266" s="80" t="s">
        <v>1272</v>
      </c>
      <c r="G4266" s="58" t="s">
        <v>10674</v>
      </c>
      <c r="H4266" s="58" t="s">
        <v>1413</v>
      </c>
      <c r="I4266" s="64" t="s">
        <v>10675</v>
      </c>
      <c r="J4266" s="66"/>
      <c r="K4266" s="66"/>
      <c r="L4266" s="68"/>
      <c r="M4266" s="63" t="str">
        <f>HYPERLINK("http://nsgreg.nga.mil/genc/view?v=866648&amp;end_month=12&amp;end_day=31&amp;end_year=2016","Correlation")</f>
        <v>Correlation</v>
      </c>
    </row>
    <row r="4267" spans="1:13" x14ac:dyDescent="0.2">
      <c r="A4267" s="113"/>
      <c r="B4267" s="58" t="s">
        <v>10676</v>
      </c>
      <c r="C4267" s="58" t="s">
        <v>1413</v>
      </c>
      <c r="D4267" s="58" t="s">
        <v>10677</v>
      </c>
      <c r="E4267" s="60" t="b">
        <v>1</v>
      </c>
      <c r="F4267" s="80" t="s">
        <v>1272</v>
      </c>
      <c r="G4267" s="58" t="s">
        <v>10676</v>
      </c>
      <c r="H4267" s="58" t="s">
        <v>1413</v>
      </c>
      <c r="I4267" s="64" t="s">
        <v>10677</v>
      </c>
      <c r="J4267" s="66"/>
      <c r="K4267" s="66"/>
      <c r="L4267" s="68"/>
      <c r="M4267" s="63" t="str">
        <f>HYPERLINK("http://nsgreg.nga.mil/genc/view?v=866626&amp;end_month=12&amp;end_day=31&amp;end_year=2016","Correlation")</f>
        <v>Correlation</v>
      </c>
    </row>
    <row r="4268" spans="1:13" x14ac:dyDescent="0.2">
      <c r="A4268" s="113"/>
      <c r="B4268" s="58" t="s">
        <v>10678</v>
      </c>
      <c r="C4268" s="58" t="s">
        <v>1413</v>
      </c>
      <c r="D4268" s="58" t="s">
        <v>10679</v>
      </c>
      <c r="E4268" s="60" t="b">
        <v>1</v>
      </c>
      <c r="F4268" s="80" t="s">
        <v>1272</v>
      </c>
      <c r="G4268" s="58" t="s">
        <v>10678</v>
      </c>
      <c r="H4268" s="58" t="s">
        <v>1413</v>
      </c>
      <c r="I4268" s="64" t="s">
        <v>10679</v>
      </c>
      <c r="J4268" s="66"/>
      <c r="K4268" s="66"/>
      <c r="L4268" s="68"/>
      <c r="M4268" s="63" t="str">
        <f>HYPERLINK("http://nsgreg.nga.mil/genc/view?v=866608&amp;end_month=12&amp;end_day=31&amp;end_year=2016","Correlation")</f>
        <v>Correlation</v>
      </c>
    </row>
    <row r="4269" spans="1:13" x14ac:dyDescent="0.2">
      <c r="A4269" s="113"/>
      <c r="B4269" s="58" t="s">
        <v>10680</v>
      </c>
      <c r="C4269" s="58" t="s">
        <v>1413</v>
      </c>
      <c r="D4269" s="58" t="s">
        <v>10681</v>
      </c>
      <c r="E4269" s="60" t="b">
        <v>1</v>
      </c>
      <c r="F4269" s="80" t="s">
        <v>1272</v>
      </c>
      <c r="G4269" s="58" t="s">
        <v>10680</v>
      </c>
      <c r="H4269" s="58" t="s">
        <v>1413</v>
      </c>
      <c r="I4269" s="64" t="s">
        <v>10681</v>
      </c>
      <c r="J4269" s="66"/>
      <c r="K4269" s="66"/>
      <c r="L4269" s="68"/>
      <c r="M4269" s="63" t="str">
        <f>HYPERLINK("http://nsgreg.nga.mil/genc/view?v=866637&amp;end_month=12&amp;end_day=31&amp;end_year=2016","Correlation")</f>
        <v>Correlation</v>
      </c>
    </row>
    <row r="4270" spans="1:13" x14ac:dyDescent="0.2">
      <c r="A4270" s="113"/>
      <c r="B4270" s="58" t="s">
        <v>10682</v>
      </c>
      <c r="C4270" s="58" t="s">
        <v>1413</v>
      </c>
      <c r="D4270" s="58" t="s">
        <v>10683</v>
      </c>
      <c r="E4270" s="60" t="b">
        <v>1</v>
      </c>
      <c r="F4270" s="80" t="s">
        <v>1272</v>
      </c>
      <c r="G4270" s="58" t="s">
        <v>10682</v>
      </c>
      <c r="H4270" s="58" t="s">
        <v>1413</v>
      </c>
      <c r="I4270" s="64" t="s">
        <v>10683</v>
      </c>
      <c r="J4270" s="66"/>
      <c r="K4270" s="66"/>
      <c r="L4270" s="68"/>
      <c r="M4270" s="63" t="str">
        <f>HYPERLINK("http://nsgreg.nga.mil/genc/view?v=866653&amp;end_month=12&amp;end_day=31&amp;end_year=2016","Correlation")</f>
        <v>Correlation</v>
      </c>
    </row>
    <row r="4271" spans="1:13" x14ac:dyDescent="0.2">
      <c r="A4271" s="113"/>
      <c r="B4271" s="58" t="s">
        <v>10684</v>
      </c>
      <c r="C4271" s="58" t="s">
        <v>1413</v>
      </c>
      <c r="D4271" s="58" t="s">
        <v>10685</v>
      </c>
      <c r="E4271" s="60" t="b">
        <v>1</v>
      </c>
      <c r="F4271" s="80" t="s">
        <v>1272</v>
      </c>
      <c r="G4271" s="58" t="s">
        <v>10684</v>
      </c>
      <c r="H4271" s="58" t="s">
        <v>1413</v>
      </c>
      <c r="I4271" s="64" t="s">
        <v>10685</v>
      </c>
      <c r="J4271" s="66"/>
      <c r="K4271" s="66"/>
      <c r="L4271" s="68"/>
      <c r="M4271" s="63" t="str">
        <f>HYPERLINK("http://nsgreg.nga.mil/genc/view?v=866633&amp;end_month=12&amp;end_day=31&amp;end_year=2016","Correlation")</f>
        <v>Correlation</v>
      </c>
    </row>
    <row r="4272" spans="1:13" x14ac:dyDescent="0.2">
      <c r="A4272" s="113"/>
      <c r="B4272" s="58" t="s">
        <v>10686</v>
      </c>
      <c r="C4272" s="58" t="s">
        <v>1413</v>
      </c>
      <c r="D4272" s="58" t="s">
        <v>10687</v>
      </c>
      <c r="E4272" s="60" t="b">
        <v>1</v>
      </c>
      <c r="F4272" s="80" t="s">
        <v>1272</v>
      </c>
      <c r="G4272" s="58" t="s">
        <v>10686</v>
      </c>
      <c r="H4272" s="58" t="s">
        <v>1413</v>
      </c>
      <c r="I4272" s="64" t="s">
        <v>10687</v>
      </c>
      <c r="J4272" s="66"/>
      <c r="K4272" s="66"/>
      <c r="L4272" s="68"/>
      <c r="M4272" s="63" t="str">
        <f>HYPERLINK("http://nsgreg.nga.mil/genc/view?v=866666&amp;end_month=12&amp;end_day=31&amp;end_year=2016","Correlation")</f>
        <v>Correlation</v>
      </c>
    </row>
    <row r="4273" spans="1:13" x14ac:dyDescent="0.2">
      <c r="A4273" s="113"/>
      <c r="B4273" s="58" t="s">
        <v>10688</v>
      </c>
      <c r="C4273" s="58" t="s">
        <v>1413</v>
      </c>
      <c r="D4273" s="58" t="s">
        <v>10689</v>
      </c>
      <c r="E4273" s="60" t="b">
        <v>1</v>
      </c>
      <c r="F4273" s="80" t="s">
        <v>1272</v>
      </c>
      <c r="G4273" s="58" t="s">
        <v>10690</v>
      </c>
      <c r="H4273" s="58" t="s">
        <v>1413</v>
      </c>
      <c r="I4273" s="64" t="s">
        <v>10689</v>
      </c>
      <c r="J4273" s="66"/>
      <c r="K4273" s="66"/>
      <c r="L4273" s="68"/>
      <c r="M4273" s="63" t="str">
        <f>HYPERLINK("http://nsgreg.nga.mil/genc/view?v=866617&amp;end_month=12&amp;end_day=31&amp;end_year=2016","Correlation")</f>
        <v>Correlation</v>
      </c>
    </row>
    <row r="4274" spans="1:13" x14ac:dyDescent="0.2">
      <c r="A4274" s="113"/>
      <c r="B4274" s="58" t="s">
        <v>10691</v>
      </c>
      <c r="C4274" s="58" t="s">
        <v>1413</v>
      </c>
      <c r="D4274" s="58" t="s">
        <v>10692</v>
      </c>
      <c r="E4274" s="60" t="b">
        <v>1</v>
      </c>
      <c r="F4274" s="80" t="s">
        <v>1272</v>
      </c>
      <c r="G4274" s="58" t="s">
        <v>10691</v>
      </c>
      <c r="H4274" s="58" t="s">
        <v>1413</v>
      </c>
      <c r="I4274" s="64" t="s">
        <v>10692</v>
      </c>
      <c r="J4274" s="66"/>
      <c r="K4274" s="66"/>
      <c r="L4274" s="68"/>
      <c r="M4274" s="63" t="str">
        <f>HYPERLINK("http://nsgreg.nga.mil/genc/view?v=866621&amp;end_month=12&amp;end_day=31&amp;end_year=2016","Correlation")</f>
        <v>Correlation</v>
      </c>
    </row>
    <row r="4275" spans="1:13" x14ac:dyDescent="0.2">
      <c r="A4275" s="113"/>
      <c r="B4275" s="58" t="s">
        <v>10693</v>
      </c>
      <c r="C4275" s="58" t="s">
        <v>1413</v>
      </c>
      <c r="D4275" s="58" t="s">
        <v>10694</v>
      </c>
      <c r="E4275" s="60" t="b">
        <v>1</v>
      </c>
      <c r="F4275" s="80" t="s">
        <v>1272</v>
      </c>
      <c r="G4275" s="58" t="s">
        <v>10693</v>
      </c>
      <c r="H4275" s="58" t="s">
        <v>1413</v>
      </c>
      <c r="I4275" s="64" t="s">
        <v>10694</v>
      </c>
      <c r="J4275" s="66"/>
      <c r="K4275" s="66"/>
      <c r="L4275" s="68"/>
      <c r="M4275" s="63" t="str">
        <f>HYPERLINK("http://nsgreg.nga.mil/genc/view?v=866592&amp;end_month=12&amp;end_day=31&amp;end_year=2016","Correlation")</f>
        <v>Correlation</v>
      </c>
    </row>
    <row r="4276" spans="1:13" x14ac:dyDescent="0.2">
      <c r="A4276" s="113"/>
      <c r="B4276" s="58" t="s">
        <v>10695</v>
      </c>
      <c r="C4276" s="58" t="s">
        <v>1413</v>
      </c>
      <c r="D4276" s="58" t="s">
        <v>10696</v>
      </c>
      <c r="E4276" s="60" t="b">
        <v>1</v>
      </c>
      <c r="F4276" s="80" t="s">
        <v>1272</v>
      </c>
      <c r="G4276" s="58" t="s">
        <v>10695</v>
      </c>
      <c r="H4276" s="58" t="s">
        <v>1413</v>
      </c>
      <c r="I4276" s="64" t="s">
        <v>10696</v>
      </c>
      <c r="J4276" s="66"/>
      <c r="K4276" s="66"/>
      <c r="L4276" s="68"/>
      <c r="M4276" s="63" t="str">
        <f>HYPERLINK("http://nsgreg.nga.mil/genc/view?v=866593&amp;end_month=12&amp;end_day=31&amp;end_year=2016","Correlation")</f>
        <v>Correlation</v>
      </c>
    </row>
    <row r="4277" spans="1:13" x14ac:dyDescent="0.2">
      <c r="A4277" s="113"/>
      <c r="B4277" s="58" t="s">
        <v>10697</v>
      </c>
      <c r="C4277" s="58" t="s">
        <v>1413</v>
      </c>
      <c r="D4277" s="58" t="s">
        <v>10698</v>
      </c>
      <c r="E4277" s="60" t="b">
        <v>1</v>
      </c>
      <c r="F4277" s="80" t="s">
        <v>1272</v>
      </c>
      <c r="G4277" s="58" t="s">
        <v>10697</v>
      </c>
      <c r="H4277" s="58" t="s">
        <v>1413</v>
      </c>
      <c r="I4277" s="64" t="s">
        <v>10698</v>
      </c>
      <c r="J4277" s="66"/>
      <c r="K4277" s="66"/>
      <c r="L4277" s="68"/>
      <c r="M4277" s="63" t="str">
        <f>HYPERLINK("http://nsgreg.nga.mil/genc/view?v=866664&amp;end_month=12&amp;end_day=31&amp;end_year=2016","Correlation")</f>
        <v>Correlation</v>
      </c>
    </row>
    <row r="4278" spans="1:13" x14ac:dyDescent="0.2">
      <c r="A4278" s="113"/>
      <c r="B4278" s="58" t="s">
        <v>10699</v>
      </c>
      <c r="C4278" s="58" t="s">
        <v>1413</v>
      </c>
      <c r="D4278" s="58" t="s">
        <v>10700</v>
      </c>
      <c r="E4278" s="60" t="b">
        <v>1</v>
      </c>
      <c r="F4278" s="80" t="s">
        <v>1272</v>
      </c>
      <c r="G4278" s="58" t="s">
        <v>10699</v>
      </c>
      <c r="H4278" s="58" t="s">
        <v>1413</v>
      </c>
      <c r="I4278" s="64" t="s">
        <v>10700</v>
      </c>
      <c r="J4278" s="66"/>
      <c r="K4278" s="66"/>
      <c r="L4278" s="68"/>
      <c r="M4278" s="63" t="str">
        <f>HYPERLINK("http://nsgreg.nga.mil/genc/view?v=866655&amp;end_month=12&amp;end_day=31&amp;end_year=2016","Correlation")</f>
        <v>Correlation</v>
      </c>
    </row>
    <row r="4279" spans="1:13" x14ac:dyDescent="0.2">
      <c r="A4279" s="113"/>
      <c r="B4279" s="58" t="s">
        <v>10701</v>
      </c>
      <c r="C4279" s="58" t="s">
        <v>1413</v>
      </c>
      <c r="D4279" s="58" t="s">
        <v>10702</v>
      </c>
      <c r="E4279" s="60" t="b">
        <v>1</v>
      </c>
      <c r="F4279" s="80" t="s">
        <v>1272</v>
      </c>
      <c r="G4279" s="58" t="s">
        <v>10701</v>
      </c>
      <c r="H4279" s="58" t="s">
        <v>1413</v>
      </c>
      <c r="I4279" s="64" t="s">
        <v>10702</v>
      </c>
      <c r="J4279" s="66"/>
      <c r="K4279" s="66"/>
      <c r="L4279" s="68"/>
      <c r="M4279" s="63" t="str">
        <f>HYPERLINK("http://nsgreg.nga.mil/genc/view?v=866663&amp;end_month=12&amp;end_day=31&amp;end_year=2016","Correlation")</f>
        <v>Correlation</v>
      </c>
    </row>
    <row r="4280" spans="1:13" x14ac:dyDescent="0.2">
      <c r="A4280" s="113"/>
      <c r="B4280" s="58" t="s">
        <v>10703</v>
      </c>
      <c r="C4280" s="58" t="s">
        <v>1413</v>
      </c>
      <c r="D4280" s="58" t="s">
        <v>10704</v>
      </c>
      <c r="E4280" s="60" t="b">
        <v>1</v>
      </c>
      <c r="F4280" s="80" t="s">
        <v>1272</v>
      </c>
      <c r="G4280" s="58" t="s">
        <v>10703</v>
      </c>
      <c r="H4280" s="58" t="s">
        <v>1413</v>
      </c>
      <c r="I4280" s="64" t="s">
        <v>10704</v>
      </c>
      <c r="J4280" s="66"/>
      <c r="K4280" s="66"/>
      <c r="L4280" s="68"/>
      <c r="M4280" s="63" t="str">
        <f>HYPERLINK("http://nsgreg.nga.mil/genc/view?v=866634&amp;end_month=12&amp;end_day=31&amp;end_year=2016","Correlation")</f>
        <v>Correlation</v>
      </c>
    </row>
    <row r="4281" spans="1:13" x14ac:dyDescent="0.2">
      <c r="A4281" s="113"/>
      <c r="B4281" s="58" t="s">
        <v>10705</v>
      </c>
      <c r="C4281" s="58" t="s">
        <v>1413</v>
      </c>
      <c r="D4281" s="58" t="s">
        <v>10706</v>
      </c>
      <c r="E4281" s="60" t="b">
        <v>1</v>
      </c>
      <c r="F4281" s="80" t="s">
        <v>1272</v>
      </c>
      <c r="G4281" s="58" t="s">
        <v>10705</v>
      </c>
      <c r="H4281" s="58" t="s">
        <v>1413</v>
      </c>
      <c r="I4281" s="64" t="s">
        <v>10706</v>
      </c>
      <c r="J4281" s="66"/>
      <c r="K4281" s="66"/>
      <c r="L4281" s="68"/>
      <c r="M4281" s="63" t="str">
        <f>HYPERLINK("http://nsgreg.nga.mil/genc/view?v=866644&amp;end_month=12&amp;end_day=31&amp;end_year=2016","Correlation")</f>
        <v>Correlation</v>
      </c>
    </row>
    <row r="4282" spans="1:13" x14ac:dyDescent="0.2">
      <c r="A4282" s="113"/>
      <c r="B4282" s="58" t="s">
        <v>10707</v>
      </c>
      <c r="C4282" s="58" t="s">
        <v>1413</v>
      </c>
      <c r="D4282" s="58" t="s">
        <v>10708</v>
      </c>
      <c r="E4282" s="60" t="b">
        <v>1</v>
      </c>
      <c r="F4282" s="80" t="s">
        <v>1272</v>
      </c>
      <c r="G4282" s="58" t="s">
        <v>10707</v>
      </c>
      <c r="H4282" s="58" t="s">
        <v>1413</v>
      </c>
      <c r="I4282" s="64" t="s">
        <v>10708</v>
      </c>
      <c r="J4282" s="66"/>
      <c r="K4282" s="66"/>
      <c r="L4282" s="68"/>
      <c r="M4282" s="63" t="str">
        <f>HYPERLINK("http://nsgreg.nga.mil/genc/view?v=866651&amp;end_month=12&amp;end_day=31&amp;end_year=2016","Correlation")</f>
        <v>Correlation</v>
      </c>
    </row>
    <row r="4283" spans="1:13" x14ac:dyDescent="0.2">
      <c r="A4283" s="113"/>
      <c r="B4283" s="58" t="s">
        <v>10709</v>
      </c>
      <c r="C4283" s="58" t="s">
        <v>1413</v>
      </c>
      <c r="D4283" s="58" t="s">
        <v>10710</v>
      </c>
      <c r="E4283" s="60" t="b">
        <v>1</v>
      </c>
      <c r="F4283" s="80" t="s">
        <v>1272</v>
      </c>
      <c r="G4283" s="58" t="s">
        <v>10709</v>
      </c>
      <c r="H4283" s="58" t="s">
        <v>1413</v>
      </c>
      <c r="I4283" s="64" t="s">
        <v>10710</v>
      </c>
      <c r="J4283" s="66"/>
      <c r="K4283" s="66"/>
      <c r="L4283" s="68"/>
      <c r="M4283" s="63" t="str">
        <f>HYPERLINK("http://nsgreg.nga.mil/genc/view?v=866643&amp;end_month=12&amp;end_day=31&amp;end_year=2016","Correlation")</f>
        <v>Correlation</v>
      </c>
    </row>
    <row r="4284" spans="1:13" x14ac:dyDescent="0.2">
      <c r="A4284" s="113"/>
      <c r="B4284" s="58" t="s">
        <v>10711</v>
      </c>
      <c r="C4284" s="58" t="s">
        <v>1413</v>
      </c>
      <c r="D4284" s="58" t="s">
        <v>10712</v>
      </c>
      <c r="E4284" s="60" t="b">
        <v>1</v>
      </c>
      <c r="F4284" s="80" t="s">
        <v>1272</v>
      </c>
      <c r="G4284" s="58" t="s">
        <v>10711</v>
      </c>
      <c r="H4284" s="58" t="s">
        <v>1413</v>
      </c>
      <c r="I4284" s="64" t="s">
        <v>10712</v>
      </c>
      <c r="J4284" s="66"/>
      <c r="K4284" s="66"/>
      <c r="L4284" s="68"/>
      <c r="M4284" s="63" t="str">
        <f>HYPERLINK("http://nsgreg.nga.mil/genc/view?v=866642&amp;end_month=12&amp;end_day=31&amp;end_year=2016","Correlation")</f>
        <v>Correlation</v>
      </c>
    </row>
    <row r="4285" spans="1:13" x14ac:dyDescent="0.2">
      <c r="A4285" s="113"/>
      <c r="B4285" s="58" t="s">
        <v>10713</v>
      </c>
      <c r="C4285" s="58" t="s">
        <v>1413</v>
      </c>
      <c r="D4285" s="58" t="s">
        <v>10714</v>
      </c>
      <c r="E4285" s="60" t="b">
        <v>1</v>
      </c>
      <c r="F4285" s="80" t="s">
        <v>1272</v>
      </c>
      <c r="G4285" s="58" t="s">
        <v>10713</v>
      </c>
      <c r="H4285" s="58" t="s">
        <v>1413</v>
      </c>
      <c r="I4285" s="64" t="s">
        <v>10714</v>
      </c>
      <c r="J4285" s="66"/>
      <c r="K4285" s="66"/>
      <c r="L4285" s="68"/>
      <c r="M4285" s="63" t="str">
        <f>HYPERLINK("http://nsgreg.nga.mil/genc/view?v=866632&amp;end_month=12&amp;end_day=31&amp;end_year=2016","Correlation")</f>
        <v>Correlation</v>
      </c>
    </row>
    <row r="4286" spans="1:13" x14ac:dyDescent="0.2">
      <c r="A4286" s="113"/>
      <c r="B4286" s="58" t="s">
        <v>10715</v>
      </c>
      <c r="C4286" s="58" t="s">
        <v>1413</v>
      </c>
      <c r="D4286" s="58" t="s">
        <v>10716</v>
      </c>
      <c r="E4286" s="60" t="b">
        <v>1</v>
      </c>
      <c r="F4286" s="80" t="s">
        <v>1272</v>
      </c>
      <c r="G4286" s="58" t="s">
        <v>10715</v>
      </c>
      <c r="H4286" s="58" t="s">
        <v>1413</v>
      </c>
      <c r="I4286" s="64" t="s">
        <v>10716</v>
      </c>
      <c r="J4286" s="66"/>
      <c r="K4286" s="66"/>
      <c r="L4286" s="68"/>
      <c r="M4286" s="63" t="str">
        <f>HYPERLINK("http://nsgreg.nga.mil/genc/view?v=866594&amp;end_month=12&amp;end_day=31&amp;end_year=2016","Correlation")</f>
        <v>Correlation</v>
      </c>
    </row>
    <row r="4287" spans="1:13" x14ac:dyDescent="0.2">
      <c r="A4287" s="113"/>
      <c r="B4287" s="58" t="s">
        <v>10717</v>
      </c>
      <c r="C4287" s="58" t="s">
        <v>1413</v>
      </c>
      <c r="D4287" s="58" t="s">
        <v>10718</v>
      </c>
      <c r="E4287" s="60" t="b">
        <v>1</v>
      </c>
      <c r="F4287" s="80" t="s">
        <v>1272</v>
      </c>
      <c r="G4287" s="58" t="s">
        <v>10717</v>
      </c>
      <c r="H4287" s="58" t="s">
        <v>1413</v>
      </c>
      <c r="I4287" s="64" t="s">
        <v>10718</v>
      </c>
      <c r="J4287" s="66"/>
      <c r="K4287" s="66"/>
      <c r="L4287" s="68"/>
      <c r="M4287" s="63" t="str">
        <f>HYPERLINK("http://nsgreg.nga.mil/genc/view?v=866656&amp;end_month=12&amp;end_day=31&amp;end_year=2016","Correlation")</f>
        <v>Correlation</v>
      </c>
    </row>
    <row r="4288" spans="1:13" x14ac:dyDescent="0.2">
      <c r="A4288" s="113"/>
      <c r="B4288" s="58" t="s">
        <v>10719</v>
      </c>
      <c r="C4288" s="58" t="s">
        <v>1413</v>
      </c>
      <c r="D4288" s="58" t="s">
        <v>10720</v>
      </c>
      <c r="E4288" s="60" t="b">
        <v>1</v>
      </c>
      <c r="F4288" s="80" t="s">
        <v>1272</v>
      </c>
      <c r="G4288" s="58" t="s">
        <v>10719</v>
      </c>
      <c r="H4288" s="58" t="s">
        <v>1413</v>
      </c>
      <c r="I4288" s="64" t="s">
        <v>10720</v>
      </c>
      <c r="J4288" s="66"/>
      <c r="K4288" s="66"/>
      <c r="L4288" s="68"/>
      <c r="M4288" s="63" t="str">
        <f>HYPERLINK("http://nsgreg.nga.mil/genc/view?v=866605&amp;end_month=12&amp;end_day=31&amp;end_year=2016","Correlation")</f>
        <v>Correlation</v>
      </c>
    </row>
    <row r="4289" spans="1:13" x14ac:dyDescent="0.2">
      <c r="A4289" s="113"/>
      <c r="B4289" s="58" t="s">
        <v>10721</v>
      </c>
      <c r="C4289" s="58" t="s">
        <v>1413</v>
      </c>
      <c r="D4289" s="58" t="s">
        <v>10722</v>
      </c>
      <c r="E4289" s="60" t="b">
        <v>1</v>
      </c>
      <c r="F4289" s="80" t="s">
        <v>1272</v>
      </c>
      <c r="G4289" s="58" t="s">
        <v>10721</v>
      </c>
      <c r="H4289" s="58" t="s">
        <v>1413</v>
      </c>
      <c r="I4289" s="64" t="s">
        <v>10722</v>
      </c>
      <c r="J4289" s="66"/>
      <c r="K4289" s="66"/>
      <c r="L4289" s="68"/>
      <c r="M4289" s="63" t="str">
        <f>HYPERLINK("http://nsgreg.nga.mil/genc/view?v=866652&amp;end_month=12&amp;end_day=31&amp;end_year=2016","Correlation")</f>
        <v>Correlation</v>
      </c>
    </row>
    <row r="4290" spans="1:13" x14ac:dyDescent="0.2">
      <c r="A4290" s="113"/>
      <c r="B4290" s="58" t="s">
        <v>10723</v>
      </c>
      <c r="C4290" s="58" t="s">
        <v>1413</v>
      </c>
      <c r="D4290" s="58" t="s">
        <v>10724</v>
      </c>
      <c r="E4290" s="60" t="b">
        <v>1</v>
      </c>
      <c r="F4290" s="80" t="s">
        <v>1272</v>
      </c>
      <c r="G4290" s="58" t="s">
        <v>10723</v>
      </c>
      <c r="H4290" s="58" t="s">
        <v>1413</v>
      </c>
      <c r="I4290" s="64" t="s">
        <v>10724</v>
      </c>
      <c r="J4290" s="66"/>
      <c r="K4290" s="66"/>
      <c r="L4290" s="68"/>
      <c r="M4290" s="63" t="str">
        <f>HYPERLINK("http://nsgreg.nga.mil/genc/view?v=866658&amp;end_month=12&amp;end_day=31&amp;end_year=2016","Correlation")</f>
        <v>Correlation</v>
      </c>
    </row>
    <row r="4291" spans="1:13" x14ac:dyDescent="0.2">
      <c r="A4291" s="113"/>
      <c r="B4291" s="58" t="s">
        <v>10725</v>
      </c>
      <c r="C4291" s="58" t="s">
        <v>1413</v>
      </c>
      <c r="D4291" s="58" t="s">
        <v>10726</v>
      </c>
      <c r="E4291" s="60" t="b">
        <v>1</v>
      </c>
      <c r="F4291" s="80" t="s">
        <v>1272</v>
      </c>
      <c r="G4291" s="58" t="s">
        <v>10725</v>
      </c>
      <c r="H4291" s="58" t="s">
        <v>1413</v>
      </c>
      <c r="I4291" s="64" t="s">
        <v>10726</v>
      </c>
      <c r="J4291" s="66"/>
      <c r="K4291" s="66"/>
      <c r="L4291" s="68"/>
      <c r="M4291" s="63" t="str">
        <f>HYPERLINK("http://nsgreg.nga.mil/genc/view?v=866645&amp;end_month=12&amp;end_day=31&amp;end_year=2016","Correlation")</f>
        <v>Correlation</v>
      </c>
    </row>
    <row r="4292" spans="1:13" x14ac:dyDescent="0.2">
      <c r="A4292" s="113"/>
      <c r="B4292" s="58" t="s">
        <v>10727</v>
      </c>
      <c r="C4292" s="58" t="s">
        <v>1413</v>
      </c>
      <c r="D4292" s="58" t="s">
        <v>10728</v>
      </c>
      <c r="E4292" s="60" t="b">
        <v>1</v>
      </c>
      <c r="F4292" s="80" t="s">
        <v>1272</v>
      </c>
      <c r="G4292" s="58" t="s">
        <v>10727</v>
      </c>
      <c r="H4292" s="58" t="s">
        <v>1413</v>
      </c>
      <c r="I4292" s="64" t="s">
        <v>10728</v>
      </c>
      <c r="J4292" s="66"/>
      <c r="K4292" s="66"/>
      <c r="L4292" s="68"/>
      <c r="M4292" s="63" t="str">
        <f>HYPERLINK("http://nsgreg.nga.mil/genc/view?v=866601&amp;end_month=12&amp;end_day=31&amp;end_year=2016","Correlation")</f>
        <v>Correlation</v>
      </c>
    </row>
    <row r="4293" spans="1:13" x14ac:dyDescent="0.2">
      <c r="A4293" s="113"/>
      <c r="B4293" s="58" t="s">
        <v>10729</v>
      </c>
      <c r="C4293" s="58" t="s">
        <v>1413</v>
      </c>
      <c r="D4293" s="58" t="s">
        <v>10730</v>
      </c>
      <c r="E4293" s="60" t="b">
        <v>1</v>
      </c>
      <c r="F4293" s="80" t="s">
        <v>1272</v>
      </c>
      <c r="G4293" s="58" t="s">
        <v>10729</v>
      </c>
      <c r="H4293" s="58" t="s">
        <v>1413</v>
      </c>
      <c r="I4293" s="64" t="s">
        <v>10730</v>
      </c>
      <c r="J4293" s="66"/>
      <c r="K4293" s="66"/>
      <c r="L4293" s="68"/>
      <c r="M4293" s="63" t="str">
        <f>HYPERLINK("http://nsgreg.nga.mil/genc/view?v=866623&amp;end_month=12&amp;end_day=31&amp;end_year=2016","Correlation")</f>
        <v>Correlation</v>
      </c>
    </row>
    <row r="4294" spans="1:13" x14ac:dyDescent="0.2">
      <c r="A4294" s="113"/>
      <c r="B4294" s="58" t="s">
        <v>10731</v>
      </c>
      <c r="C4294" s="58" t="s">
        <v>1413</v>
      </c>
      <c r="D4294" s="58" t="s">
        <v>10732</v>
      </c>
      <c r="E4294" s="60" t="b">
        <v>1</v>
      </c>
      <c r="F4294" s="80" t="s">
        <v>1272</v>
      </c>
      <c r="G4294" s="58" t="s">
        <v>10731</v>
      </c>
      <c r="H4294" s="58" t="s">
        <v>1413</v>
      </c>
      <c r="I4294" s="64" t="s">
        <v>10732</v>
      </c>
      <c r="J4294" s="66"/>
      <c r="K4294" s="66"/>
      <c r="L4294" s="68"/>
      <c r="M4294" s="63" t="str">
        <f>HYPERLINK("http://nsgreg.nga.mil/genc/view?v=866607&amp;end_month=12&amp;end_day=31&amp;end_year=2016","Correlation")</f>
        <v>Correlation</v>
      </c>
    </row>
    <row r="4295" spans="1:13" x14ac:dyDescent="0.2">
      <c r="A4295" s="113"/>
      <c r="B4295" s="58" t="s">
        <v>10733</v>
      </c>
      <c r="C4295" s="58" t="s">
        <v>1413</v>
      </c>
      <c r="D4295" s="58" t="s">
        <v>10734</v>
      </c>
      <c r="E4295" s="60" t="b">
        <v>1</v>
      </c>
      <c r="F4295" s="80" t="s">
        <v>1272</v>
      </c>
      <c r="G4295" s="58" t="s">
        <v>10733</v>
      </c>
      <c r="H4295" s="58" t="s">
        <v>1413</v>
      </c>
      <c r="I4295" s="64" t="s">
        <v>10734</v>
      </c>
      <c r="J4295" s="66"/>
      <c r="K4295" s="66"/>
      <c r="L4295" s="68"/>
      <c r="M4295" s="63" t="str">
        <f>HYPERLINK("http://nsgreg.nga.mil/genc/view?v=866625&amp;end_month=12&amp;end_day=31&amp;end_year=2016","Correlation")</f>
        <v>Correlation</v>
      </c>
    </row>
    <row r="4296" spans="1:13" x14ac:dyDescent="0.2">
      <c r="A4296" s="113"/>
      <c r="B4296" s="58" t="s">
        <v>10735</v>
      </c>
      <c r="C4296" s="58" t="s">
        <v>1413</v>
      </c>
      <c r="D4296" s="58" t="s">
        <v>10736</v>
      </c>
      <c r="E4296" s="60" t="b">
        <v>1</v>
      </c>
      <c r="F4296" s="80" t="s">
        <v>1272</v>
      </c>
      <c r="G4296" s="58" t="s">
        <v>10735</v>
      </c>
      <c r="H4296" s="58" t="s">
        <v>1413</v>
      </c>
      <c r="I4296" s="64" t="s">
        <v>10736</v>
      </c>
      <c r="J4296" s="66"/>
      <c r="K4296" s="66"/>
      <c r="L4296" s="68"/>
      <c r="M4296" s="63" t="str">
        <f>HYPERLINK("http://nsgreg.nga.mil/genc/view?v=866591&amp;end_month=12&amp;end_day=31&amp;end_year=2016","Correlation")</f>
        <v>Correlation</v>
      </c>
    </row>
    <row r="4297" spans="1:13" x14ac:dyDescent="0.2">
      <c r="A4297" s="113"/>
      <c r="B4297" s="58" t="s">
        <v>10737</v>
      </c>
      <c r="C4297" s="58" t="s">
        <v>1413</v>
      </c>
      <c r="D4297" s="58" t="s">
        <v>10738</v>
      </c>
      <c r="E4297" s="60" t="b">
        <v>1</v>
      </c>
      <c r="F4297" s="80" t="s">
        <v>1272</v>
      </c>
      <c r="G4297" s="58" t="s">
        <v>10737</v>
      </c>
      <c r="H4297" s="58" t="s">
        <v>1413</v>
      </c>
      <c r="I4297" s="64" t="s">
        <v>10738</v>
      </c>
      <c r="J4297" s="66"/>
      <c r="K4297" s="66"/>
      <c r="L4297" s="68"/>
      <c r="M4297" s="63" t="str">
        <f>HYPERLINK("http://nsgreg.nga.mil/genc/view?v=866649&amp;end_month=12&amp;end_day=31&amp;end_year=2016","Correlation")</f>
        <v>Correlation</v>
      </c>
    </row>
    <row r="4298" spans="1:13" x14ac:dyDescent="0.2">
      <c r="A4298" s="113"/>
      <c r="B4298" s="58" t="s">
        <v>10739</v>
      </c>
      <c r="C4298" s="58" t="s">
        <v>1413</v>
      </c>
      <c r="D4298" s="58" t="s">
        <v>10740</v>
      </c>
      <c r="E4298" s="60" t="b">
        <v>1</v>
      </c>
      <c r="F4298" s="80" t="s">
        <v>1272</v>
      </c>
      <c r="G4298" s="58" t="s">
        <v>10739</v>
      </c>
      <c r="H4298" s="58" t="s">
        <v>1413</v>
      </c>
      <c r="I4298" s="64" t="s">
        <v>10740</v>
      </c>
      <c r="J4298" s="66"/>
      <c r="K4298" s="66"/>
      <c r="L4298" s="68"/>
      <c r="M4298" s="63" t="str">
        <f>HYPERLINK("http://nsgreg.nga.mil/genc/view?v=866650&amp;end_month=12&amp;end_day=31&amp;end_year=2016","Correlation")</f>
        <v>Correlation</v>
      </c>
    </row>
    <row r="4299" spans="1:13" x14ac:dyDescent="0.2">
      <c r="A4299" s="113"/>
      <c r="B4299" s="58" t="s">
        <v>10741</v>
      </c>
      <c r="C4299" s="58" t="s">
        <v>1413</v>
      </c>
      <c r="D4299" s="58" t="s">
        <v>10742</v>
      </c>
      <c r="E4299" s="60" t="b">
        <v>1</v>
      </c>
      <c r="F4299" s="80" t="s">
        <v>1272</v>
      </c>
      <c r="G4299" s="58" t="s">
        <v>10743</v>
      </c>
      <c r="H4299" s="58" t="s">
        <v>1413</v>
      </c>
      <c r="I4299" s="64" t="s">
        <v>10742</v>
      </c>
      <c r="J4299" s="66"/>
      <c r="K4299" s="66"/>
      <c r="L4299" s="68"/>
      <c r="M4299" s="63" t="str">
        <f>HYPERLINK("http://nsgreg.nga.mil/genc/view?v=866599&amp;end_month=12&amp;end_day=31&amp;end_year=2016","Correlation")</f>
        <v>Correlation</v>
      </c>
    </row>
    <row r="4300" spans="1:13" x14ac:dyDescent="0.2">
      <c r="A4300" s="113"/>
      <c r="B4300" s="58" t="s">
        <v>10744</v>
      </c>
      <c r="C4300" s="58" t="s">
        <v>1413</v>
      </c>
      <c r="D4300" s="58" t="s">
        <v>10745</v>
      </c>
      <c r="E4300" s="60" t="b">
        <v>1</v>
      </c>
      <c r="F4300" s="80" t="s">
        <v>1272</v>
      </c>
      <c r="G4300" s="58" t="s">
        <v>10744</v>
      </c>
      <c r="H4300" s="58" t="s">
        <v>1413</v>
      </c>
      <c r="I4300" s="64" t="s">
        <v>10745</v>
      </c>
      <c r="J4300" s="66"/>
      <c r="K4300" s="66"/>
      <c r="L4300" s="68"/>
      <c r="M4300" s="63" t="str">
        <f>HYPERLINK("http://nsgreg.nga.mil/genc/view?v=866661&amp;end_month=12&amp;end_day=31&amp;end_year=2016","Correlation")</f>
        <v>Correlation</v>
      </c>
    </row>
    <row r="4301" spans="1:13" x14ac:dyDescent="0.2">
      <c r="A4301" s="113"/>
      <c r="B4301" s="58" t="s">
        <v>10746</v>
      </c>
      <c r="C4301" s="58" t="s">
        <v>1413</v>
      </c>
      <c r="D4301" s="58" t="s">
        <v>10747</v>
      </c>
      <c r="E4301" s="60" t="b">
        <v>1</v>
      </c>
      <c r="F4301" s="80" t="s">
        <v>1272</v>
      </c>
      <c r="G4301" s="58" t="s">
        <v>10746</v>
      </c>
      <c r="H4301" s="58" t="s">
        <v>1413</v>
      </c>
      <c r="I4301" s="64" t="s">
        <v>10747</v>
      </c>
      <c r="J4301" s="66"/>
      <c r="K4301" s="66"/>
      <c r="L4301" s="68"/>
      <c r="M4301" s="63" t="str">
        <f>HYPERLINK("http://nsgreg.nga.mil/genc/view?v=866597&amp;end_month=12&amp;end_day=31&amp;end_year=2016","Correlation")</f>
        <v>Correlation</v>
      </c>
    </row>
    <row r="4302" spans="1:13" x14ac:dyDescent="0.2">
      <c r="A4302" s="113"/>
      <c r="B4302" s="58" t="s">
        <v>10748</v>
      </c>
      <c r="C4302" s="58" t="s">
        <v>1413</v>
      </c>
      <c r="D4302" s="58" t="s">
        <v>10749</v>
      </c>
      <c r="E4302" s="60" t="b">
        <v>1</v>
      </c>
      <c r="F4302" s="80" t="s">
        <v>1272</v>
      </c>
      <c r="G4302" s="58" t="s">
        <v>10750</v>
      </c>
      <c r="H4302" s="58" t="s">
        <v>1413</v>
      </c>
      <c r="I4302" s="64" t="s">
        <v>10749</v>
      </c>
      <c r="J4302" s="66"/>
      <c r="K4302" s="66"/>
      <c r="L4302" s="68"/>
      <c r="M4302" s="63" t="str">
        <f>HYPERLINK("http://nsgreg.nga.mil/genc/view?v=866611&amp;end_month=12&amp;end_day=31&amp;end_year=2016","Correlation")</f>
        <v>Correlation</v>
      </c>
    </row>
    <row r="4303" spans="1:13" x14ac:dyDescent="0.2">
      <c r="A4303" s="113"/>
      <c r="B4303" s="58" t="s">
        <v>10751</v>
      </c>
      <c r="C4303" s="58" t="s">
        <v>1413</v>
      </c>
      <c r="D4303" s="58" t="s">
        <v>10752</v>
      </c>
      <c r="E4303" s="60" t="b">
        <v>1</v>
      </c>
      <c r="F4303" s="80" t="s">
        <v>1272</v>
      </c>
      <c r="G4303" s="58" t="s">
        <v>10751</v>
      </c>
      <c r="H4303" s="58" t="s">
        <v>1413</v>
      </c>
      <c r="I4303" s="64" t="s">
        <v>10752</v>
      </c>
      <c r="J4303" s="66"/>
      <c r="K4303" s="66"/>
      <c r="L4303" s="68"/>
      <c r="M4303" s="63" t="str">
        <f>HYPERLINK("http://nsgreg.nga.mil/genc/view?v=866660&amp;end_month=12&amp;end_day=31&amp;end_year=2016","Correlation")</f>
        <v>Correlation</v>
      </c>
    </row>
    <row r="4304" spans="1:13" x14ac:dyDescent="0.2">
      <c r="A4304" s="113"/>
      <c r="B4304" s="58" t="s">
        <v>10753</v>
      </c>
      <c r="C4304" s="58" t="s">
        <v>1413</v>
      </c>
      <c r="D4304" s="58" t="s">
        <v>10754</v>
      </c>
      <c r="E4304" s="60" t="b">
        <v>1</v>
      </c>
      <c r="F4304" s="80" t="s">
        <v>1272</v>
      </c>
      <c r="G4304" s="58" t="s">
        <v>10753</v>
      </c>
      <c r="H4304" s="58" t="s">
        <v>1413</v>
      </c>
      <c r="I4304" s="64" t="s">
        <v>10754</v>
      </c>
      <c r="J4304" s="66"/>
      <c r="K4304" s="66"/>
      <c r="L4304" s="68"/>
      <c r="M4304" s="63" t="str">
        <f>HYPERLINK("http://nsgreg.nga.mil/genc/view?v=866641&amp;end_month=12&amp;end_day=31&amp;end_year=2016","Correlation")</f>
        <v>Correlation</v>
      </c>
    </row>
    <row r="4305" spans="1:13" x14ac:dyDescent="0.2">
      <c r="A4305" s="113"/>
      <c r="B4305" s="58" t="s">
        <v>10755</v>
      </c>
      <c r="C4305" s="58" t="s">
        <v>1413</v>
      </c>
      <c r="D4305" s="58" t="s">
        <v>10756</v>
      </c>
      <c r="E4305" s="60" t="b">
        <v>1</v>
      </c>
      <c r="F4305" s="80" t="s">
        <v>1272</v>
      </c>
      <c r="G4305" s="58" t="s">
        <v>10755</v>
      </c>
      <c r="H4305" s="58" t="s">
        <v>1413</v>
      </c>
      <c r="I4305" s="64" t="s">
        <v>10756</v>
      </c>
      <c r="J4305" s="66"/>
      <c r="K4305" s="66"/>
      <c r="L4305" s="68"/>
      <c r="M4305" s="63" t="str">
        <f>HYPERLINK("http://nsgreg.nga.mil/genc/view?v=866647&amp;end_month=12&amp;end_day=31&amp;end_year=2016","Correlation")</f>
        <v>Correlation</v>
      </c>
    </row>
    <row r="4306" spans="1:13" x14ac:dyDescent="0.2">
      <c r="A4306" s="113"/>
      <c r="B4306" s="58" t="s">
        <v>10757</v>
      </c>
      <c r="C4306" s="58" t="s">
        <v>1413</v>
      </c>
      <c r="D4306" s="58" t="s">
        <v>10758</v>
      </c>
      <c r="E4306" s="60" t="b">
        <v>1</v>
      </c>
      <c r="F4306" s="80" t="s">
        <v>1272</v>
      </c>
      <c r="G4306" s="58" t="s">
        <v>10757</v>
      </c>
      <c r="H4306" s="58" t="s">
        <v>1413</v>
      </c>
      <c r="I4306" s="64" t="s">
        <v>10758</v>
      </c>
      <c r="J4306" s="66"/>
      <c r="K4306" s="66"/>
      <c r="L4306" s="68"/>
      <c r="M4306" s="63" t="str">
        <f>HYPERLINK("http://nsgreg.nga.mil/genc/view?v=866657&amp;end_month=12&amp;end_day=31&amp;end_year=2016","Correlation")</f>
        <v>Correlation</v>
      </c>
    </row>
    <row r="4307" spans="1:13" x14ac:dyDescent="0.2">
      <c r="A4307" s="113"/>
      <c r="B4307" s="58" t="s">
        <v>10759</v>
      </c>
      <c r="C4307" s="58" t="s">
        <v>1413</v>
      </c>
      <c r="D4307" s="58" t="s">
        <v>10760</v>
      </c>
      <c r="E4307" s="60" t="b">
        <v>1</v>
      </c>
      <c r="F4307" s="80" t="s">
        <v>1272</v>
      </c>
      <c r="G4307" s="58" t="s">
        <v>10759</v>
      </c>
      <c r="H4307" s="58" t="s">
        <v>1413</v>
      </c>
      <c r="I4307" s="64" t="s">
        <v>10760</v>
      </c>
      <c r="J4307" s="66"/>
      <c r="K4307" s="66"/>
      <c r="L4307" s="68"/>
      <c r="M4307" s="63" t="str">
        <f>HYPERLINK("http://nsgreg.nga.mil/genc/view?v=866610&amp;end_month=12&amp;end_day=31&amp;end_year=2016","Correlation")</f>
        <v>Correlation</v>
      </c>
    </row>
    <row r="4308" spans="1:13" x14ac:dyDescent="0.2">
      <c r="A4308" s="113"/>
      <c r="B4308" s="58" t="s">
        <v>10761</v>
      </c>
      <c r="C4308" s="58" t="s">
        <v>1413</v>
      </c>
      <c r="D4308" s="58" t="s">
        <v>10762</v>
      </c>
      <c r="E4308" s="60" t="b">
        <v>1</v>
      </c>
      <c r="F4308" s="80" t="s">
        <v>1272</v>
      </c>
      <c r="G4308" s="58" t="s">
        <v>10761</v>
      </c>
      <c r="H4308" s="58" t="s">
        <v>1413</v>
      </c>
      <c r="I4308" s="64" t="s">
        <v>10762</v>
      </c>
      <c r="J4308" s="66"/>
      <c r="K4308" s="66"/>
      <c r="L4308" s="68"/>
      <c r="M4308" s="63" t="str">
        <f>HYPERLINK("http://nsgreg.nga.mil/genc/view?v=866640&amp;end_month=12&amp;end_day=31&amp;end_year=2016","Correlation")</f>
        <v>Correlation</v>
      </c>
    </row>
    <row r="4309" spans="1:13" x14ac:dyDescent="0.2">
      <c r="A4309" s="113"/>
      <c r="B4309" s="58" t="s">
        <v>10763</v>
      </c>
      <c r="C4309" s="58" t="s">
        <v>1413</v>
      </c>
      <c r="D4309" s="58" t="s">
        <v>10764</v>
      </c>
      <c r="E4309" s="60" t="b">
        <v>1</v>
      </c>
      <c r="F4309" s="80" t="s">
        <v>1272</v>
      </c>
      <c r="G4309" s="58" t="s">
        <v>10763</v>
      </c>
      <c r="H4309" s="58" t="s">
        <v>1413</v>
      </c>
      <c r="I4309" s="64" t="s">
        <v>10764</v>
      </c>
      <c r="J4309" s="66"/>
      <c r="K4309" s="66"/>
      <c r="L4309" s="68"/>
      <c r="M4309" s="63" t="str">
        <f>HYPERLINK("http://nsgreg.nga.mil/genc/view?v=866662&amp;end_month=12&amp;end_day=31&amp;end_year=2016","Correlation")</f>
        <v>Correlation</v>
      </c>
    </row>
    <row r="4310" spans="1:13" x14ac:dyDescent="0.2">
      <c r="A4310" s="113"/>
      <c r="B4310" s="58" t="s">
        <v>10765</v>
      </c>
      <c r="C4310" s="58" t="s">
        <v>1413</v>
      </c>
      <c r="D4310" s="58" t="s">
        <v>10766</v>
      </c>
      <c r="E4310" s="60" t="b">
        <v>1</v>
      </c>
      <c r="F4310" s="80" t="s">
        <v>1272</v>
      </c>
      <c r="G4310" s="58" t="s">
        <v>10765</v>
      </c>
      <c r="H4310" s="58" t="s">
        <v>1413</v>
      </c>
      <c r="I4310" s="64" t="s">
        <v>10766</v>
      </c>
      <c r="J4310" s="66"/>
      <c r="K4310" s="66"/>
      <c r="L4310" s="68"/>
      <c r="M4310" s="63" t="str">
        <f>HYPERLINK("http://nsgreg.nga.mil/genc/view?v=866603&amp;end_month=12&amp;end_day=31&amp;end_year=2016","Correlation")</f>
        <v>Correlation</v>
      </c>
    </row>
    <row r="4311" spans="1:13" x14ac:dyDescent="0.2">
      <c r="A4311" s="113"/>
      <c r="B4311" s="58" t="s">
        <v>10767</v>
      </c>
      <c r="C4311" s="58" t="s">
        <v>1413</v>
      </c>
      <c r="D4311" s="58" t="s">
        <v>10768</v>
      </c>
      <c r="E4311" s="60" t="b">
        <v>1</v>
      </c>
      <c r="F4311" s="80" t="s">
        <v>1272</v>
      </c>
      <c r="G4311" s="58" t="s">
        <v>10767</v>
      </c>
      <c r="H4311" s="58" t="s">
        <v>1413</v>
      </c>
      <c r="I4311" s="64" t="s">
        <v>10768</v>
      </c>
      <c r="J4311" s="66"/>
      <c r="K4311" s="66"/>
      <c r="L4311" s="68"/>
      <c r="M4311" s="63" t="str">
        <f>HYPERLINK("http://nsgreg.nga.mil/genc/view?v=866612&amp;end_month=12&amp;end_day=31&amp;end_year=2016","Correlation")</f>
        <v>Correlation</v>
      </c>
    </row>
    <row r="4312" spans="1:13" x14ac:dyDescent="0.2">
      <c r="A4312" s="113"/>
      <c r="B4312" s="58" t="s">
        <v>10769</v>
      </c>
      <c r="C4312" s="58" t="s">
        <v>1413</v>
      </c>
      <c r="D4312" s="58" t="s">
        <v>10770</v>
      </c>
      <c r="E4312" s="60" t="b">
        <v>1</v>
      </c>
      <c r="F4312" s="80" t="s">
        <v>1272</v>
      </c>
      <c r="G4312" s="58" t="s">
        <v>10769</v>
      </c>
      <c r="H4312" s="58" t="s">
        <v>1413</v>
      </c>
      <c r="I4312" s="64" t="s">
        <v>10770</v>
      </c>
      <c r="J4312" s="66"/>
      <c r="K4312" s="66"/>
      <c r="L4312" s="68"/>
      <c r="M4312" s="63" t="str">
        <f>HYPERLINK("http://nsgreg.nga.mil/genc/view?v=866619&amp;end_month=12&amp;end_day=31&amp;end_year=2016","Correlation")</f>
        <v>Correlation</v>
      </c>
    </row>
    <row r="4313" spans="1:13" x14ac:dyDescent="0.2">
      <c r="A4313" s="113"/>
      <c r="B4313" s="58" t="s">
        <v>10771</v>
      </c>
      <c r="C4313" s="58" t="s">
        <v>1413</v>
      </c>
      <c r="D4313" s="58" t="s">
        <v>10772</v>
      </c>
      <c r="E4313" s="60" t="b">
        <v>1</v>
      </c>
      <c r="F4313" s="80" t="s">
        <v>1272</v>
      </c>
      <c r="G4313" s="58" t="s">
        <v>10771</v>
      </c>
      <c r="H4313" s="58" t="s">
        <v>1413</v>
      </c>
      <c r="I4313" s="64" t="s">
        <v>10772</v>
      </c>
      <c r="J4313" s="66"/>
      <c r="K4313" s="66"/>
      <c r="L4313" s="68"/>
      <c r="M4313" s="63" t="str">
        <f>HYPERLINK("http://nsgreg.nga.mil/genc/view?v=866638&amp;end_month=12&amp;end_day=31&amp;end_year=2016","Correlation")</f>
        <v>Correlation</v>
      </c>
    </row>
    <row r="4314" spans="1:13" x14ac:dyDescent="0.2">
      <c r="A4314" s="113"/>
      <c r="B4314" s="58" t="s">
        <v>10773</v>
      </c>
      <c r="C4314" s="58" t="s">
        <v>1413</v>
      </c>
      <c r="D4314" s="58" t="s">
        <v>10774</v>
      </c>
      <c r="E4314" s="60" t="b">
        <v>1</v>
      </c>
      <c r="F4314" s="80" t="s">
        <v>1272</v>
      </c>
      <c r="G4314" s="58" t="s">
        <v>10773</v>
      </c>
      <c r="H4314" s="58" t="s">
        <v>1413</v>
      </c>
      <c r="I4314" s="64" t="s">
        <v>10774</v>
      </c>
      <c r="J4314" s="66"/>
      <c r="K4314" s="66"/>
      <c r="L4314" s="68"/>
      <c r="M4314" s="63" t="str">
        <f>HYPERLINK("http://nsgreg.nga.mil/genc/view?v=866631&amp;end_month=12&amp;end_day=31&amp;end_year=2016","Correlation")</f>
        <v>Correlation</v>
      </c>
    </row>
    <row r="4315" spans="1:13" x14ac:dyDescent="0.2">
      <c r="A4315" s="113"/>
      <c r="B4315" s="58" t="s">
        <v>10775</v>
      </c>
      <c r="C4315" s="58" t="s">
        <v>1413</v>
      </c>
      <c r="D4315" s="58" t="s">
        <v>10776</v>
      </c>
      <c r="E4315" s="60" t="b">
        <v>1</v>
      </c>
      <c r="F4315" s="80" t="s">
        <v>1272</v>
      </c>
      <c r="G4315" s="58" t="s">
        <v>10775</v>
      </c>
      <c r="H4315" s="58" t="s">
        <v>1413</v>
      </c>
      <c r="I4315" s="64" t="s">
        <v>10776</v>
      </c>
      <c r="J4315" s="66"/>
      <c r="K4315" s="66"/>
      <c r="L4315" s="68"/>
      <c r="M4315" s="63" t="str">
        <f>HYPERLINK("http://nsgreg.nga.mil/genc/view?v=866665&amp;end_month=12&amp;end_day=31&amp;end_year=2016","Correlation")</f>
        <v>Correlation</v>
      </c>
    </row>
    <row r="4316" spans="1:13" x14ac:dyDescent="0.2">
      <c r="A4316" s="114"/>
      <c r="B4316" s="71" t="s">
        <v>10777</v>
      </c>
      <c r="C4316" s="71" t="s">
        <v>1413</v>
      </c>
      <c r="D4316" s="71" t="s">
        <v>10778</v>
      </c>
      <c r="E4316" s="73" t="b">
        <v>1</v>
      </c>
      <c r="F4316" s="81" t="s">
        <v>1272</v>
      </c>
      <c r="G4316" s="71" t="s">
        <v>10777</v>
      </c>
      <c r="H4316" s="71" t="s">
        <v>1413</v>
      </c>
      <c r="I4316" s="74" t="s">
        <v>10778</v>
      </c>
      <c r="J4316" s="76"/>
      <c r="K4316" s="76"/>
      <c r="L4316" s="82"/>
      <c r="M4316" s="77" t="str">
        <f>HYPERLINK("http://nsgreg.nga.mil/genc/view?v=866613&amp;end_month=12&amp;end_day=31&amp;end_year=2016","Correlation")</f>
        <v>Correlation</v>
      </c>
    </row>
    <row r="4317" spans="1:13" x14ac:dyDescent="0.2">
      <c r="A4317" s="112" t="s">
        <v>1276</v>
      </c>
      <c r="B4317" s="50" t="s">
        <v>10779</v>
      </c>
      <c r="C4317" s="50" t="s">
        <v>1796</v>
      </c>
      <c r="D4317" s="50" t="s">
        <v>10780</v>
      </c>
      <c r="E4317" s="52" t="b">
        <v>1</v>
      </c>
      <c r="F4317" s="78" t="s">
        <v>10781</v>
      </c>
      <c r="G4317" s="50" t="s">
        <v>10779</v>
      </c>
      <c r="H4317" s="50" t="s">
        <v>1796</v>
      </c>
      <c r="I4317" s="53" t="s">
        <v>10780</v>
      </c>
      <c r="J4317" s="55"/>
      <c r="K4317" s="55"/>
      <c r="L4317" s="79"/>
      <c r="M4317" s="56" t="str">
        <f>HYPERLINK("http://nsgreg.nga.mil/genc/view?v=866672&amp;end_month=12&amp;end_day=31&amp;end_year=2016","Correlation")</f>
        <v>Correlation</v>
      </c>
    </row>
    <row r="4318" spans="1:13" x14ac:dyDescent="0.2">
      <c r="A4318" s="113"/>
      <c r="B4318" s="58" t="s">
        <v>10782</v>
      </c>
      <c r="C4318" s="58" t="s">
        <v>1796</v>
      </c>
      <c r="D4318" s="58" t="s">
        <v>10783</v>
      </c>
      <c r="E4318" s="60" t="b">
        <v>1</v>
      </c>
      <c r="F4318" s="80" t="s">
        <v>10781</v>
      </c>
      <c r="G4318" s="58" t="s">
        <v>10782</v>
      </c>
      <c r="H4318" s="58" t="s">
        <v>1796</v>
      </c>
      <c r="I4318" s="64" t="s">
        <v>10783</v>
      </c>
      <c r="J4318" s="66"/>
      <c r="K4318" s="66"/>
      <c r="L4318" s="68"/>
      <c r="M4318" s="63" t="str">
        <f>HYPERLINK("http://nsgreg.nga.mil/genc/view?v=866673&amp;end_month=12&amp;end_day=31&amp;end_year=2016","Correlation")</f>
        <v>Correlation</v>
      </c>
    </row>
    <row r="4319" spans="1:13" x14ac:dyDescent="0.2">
      <c r="A4319" s="113"/>
      <c r="B4319" s="58" t="s">
        <v>10784</v>
      </c>
      <c r="C4319" s="58" t="s">
        <v>1796</v>
      </c>
      <c r="D4319" s="58" t="s">
        <v>10785</v>
      </c>
      <c r="E4319" s="60" t="b">
        <v>1</v>
      </c>
      <c r="F4319" s="80" t="s">
        <v>10781</v>
      </c>
      <c r="G4319" s="58" t="s">
        <v>10784</v>
      </c>
      <c r="H4319" s="58" t="s">
        <v>1796</v>
      </c>
      <c r="I4319" s="64" t="s">
        <v>10785</v>
      </c>
      <c r="J4319" s="66"/>
      <c r="K4319" s="66"/>
      <c r="L4319" s="68"/>
      <c r="M4319" s="63" t="str">
        <f>HYPERLINK("http://nsgreg.nga.mil/genc/view?v=866674&amp;end_month=12&amp;end_day=31&amp;end_year=2016","Correlation")</f>
        <v>Correlation</v>
      </c>
    </row>
    <row r="4320" spans="1:13" x14ac:dyDescent="0.2">
      <c r="A4320" s="113"/>
      <c r="B4320" s="58" t="s">
        <v>10786</v>
      </c>
      <c r="C4320" s="58" t="s">
        <v>1796</v>
      </c>
      <c r="D4320" s="58" t="s">
        <v>10787</v>
      </c>
      <c r="E4320" s="60" t="b">
        <v>1</v>
      </c>
      <c r="F4320" s="80" t="s">
        <v>10781</v>
      </c>
      <c r="G4320" s="58" t="s">
        <v>10786</v>
      </c>
      <c r="H4320" s="58" t="s">
        <v>1796</v>
      </c>
      <c r="I4320" s="64" t="s">
        <v>10787</v>
      </c>
      <c r="J4320" s="66"/>
      <c r="K4320" s="66"/>
      <c r="L4320" s="68"/>
      <c r="M4320" s="63" t="str">
        <f>HYPERLINK("http://nsgreg.nga.mil/genc/view?v=866675&amp;end_month=12&amp;end_day=31&amp;end_year=2016","Correlation")</f>
        <v>Correlation</v>
      </c>
    </row>
    <row r="4321" spans="1:13" x14ac:dyDescent="0.2">
      <c r="A4321" s="113"/>
      <c r="B4321" s="58" t="s">
        <v>10788</v>
      </c>
      <c r="C4321" s="58" t="s">
        <v>1796</v>
      </c>
      <c r="D4321" s="58" t="s">
        <v>10789</v>
      </c>
      <c r="E4321" s="60" t="b">
        <v>1</v>
      </c>
      <c r="F4321" s="80" t="s">
        <v>10781</v>
      </c>
      <c r="G4321" s="58" t="s">
        <v>10788</v>
      </c>
      <c r="H4321" s="58" t="s">
        <v>1796</v>
      </c>
      <c r="I4321" s="64" t="s">
        <v>10789</v>
      </c>
      <c r="J4321" s="66"/>
      <c r="K4321" s="66"/>
      <c r="L4321" s="68"/>
      <c r="M4321" s="63" t="str">
        <f>HYPERLINK("http://nsgreg.nga.mil/genc/view?v=866676&amp;end_month=12&amp;end_day=31&amp;end_year=2016","Correlation")</f>
        <v>Correlation</v>
      </c>
    </row>
    <row r="4322" spans="1:13" x14ac:dyDescent="0.2">
      <c r="A4322" s="113"/>
      <c r="B4322" s="58" t="s">
        <v>10790</v>
      </c>
      <c r="C4322" s="58" t="s">
        <v>1796</v>
      </c>
      <c r="D4322" s="58" t="s">
        <v>10791</v>
      </c>
      <c r="E4322" s="60" t="b">
        <v>1</v>
      </c>
      <c r="F4322" s="80" t="s">
        <v>10781</v>
      </c>
      <c r="G4322" s="58" t="s">
        <v>10790</v>
      </c>
      <c r="H4322" s="58" t="s">
        <v>1796</v>
      </c>
      <c r="I4322" s="64" t="s">
        <v>10791</v>
      </c>
      <c r="J4322" s="66"/>
      <c r="K4322" s="66"/>
      <c r="L4322" s="68"/>
      <c r="M4322" s="63" t="str">
        <f>HYPERLINK("http://nsgreg.nga.mil/genc/view?v=866677&amp;end_month=12&amp;end_day=31&amp;end_year=2016","Correlation")</f>
        <v>Correlation</v>
      </c>
    </row>
    <row r="4323" spans="1:13" x14ac:dyDescent="0.2">
      <c r="A4323" s="113"/>
      <c r="B4323" s="58" t="s">
        <v>10792</v>
      </c>
      <c r="C4323" s="58" t="s">
        <v>1796</v>
      </c>
      <c r="D4323" s="58" t="s">
        <v>10793</v>
      </c>
      <c r="E4323" s="60" t="b">
        <v>1</v>
      </c>
      <c r="F4323" s="80" t="s">
        <v>10781</v>
      </c>
      <c r="G4323" s="58" t="s">
        <v>10792</v>
      </c>
      <c r="H4323" s="58" t="s">
        <v>1796</v>
      </c>
      <c r="I4323" s="64" t="s">
        <v>10793</v>
      </c>
      <c r="J4323" s="66"/>
      <c r="K4323" s="66"/>
      <c r="L4323" s="68"/>
      <c r="M4323" s="63" t="str">
        <f>HYPERLINK("http://nsgreg.nga.mil/genc/view?v=866678&amp;end_month=12&amp;end_day=31&amp;end_year=2016","Correlation")</f>
        <v>Correlation</v>
      </c>
    </row>
    <row r="4324" spans="1:13" x14ac:dyDescent="0.2">
      <c r="A4324" s="113"/>
      <c r="B4324" s="58" t="s">
        <v>10794</v>
      </c>
      <c r="C4324" s="58" t="s">
        <v>1796</v>
      </c>
      <c r="D4324" s="58" t="s">
        <v>10795</v>
      </c>
      <c r="E4324" s="60" t="b">
        <v>1</v>
      </c>
      <c r="F4324" s="80" t="s">
        <v>10781</v>
      </c>
      <c r="G4324" s="58" t="s">
        <v>10796</v>
      </c>
      <c r="H4324" s="58" t="s">
        <v>1796</v>
      </c>
      <c r="I4324" s="64" t="s">
        <v>10795</v>
      </c>
      <c r="J4324" s="66"/>
      <c r="K4324" s="66"/>
      <c r="L4324" s="68"/>
      <c r="M4324" s="63" t="str">
        <f>HYPERLINK("http://nsgreg.nga.mil/genc/view?v=866679&amp;end_month=12&amp;end_day=31&amp;end_year=2016","Correlation")</f>
        <v>Correlation</v>
      </c>
    </row>
    <row r="4325" spans="1:13" x14ac:dyDescent="0.2">
      <c r="A4325" s="113"/>
      <c r="B4325" s="58" t="s">
        <v>10797</v>
      </c>
      <c r="C4325" s="58" t="s">
        <v>1796</v>
      </c>
      <c r="D4325" s="58" t="s">
        <v>10798</v>
      </c>
      <c r="E4325" s="60" t="b">
        <v>1</v>
      </c>
      <c r="F4325" s="80" t="s">
        <v>10781</v>
      </c>
      <c r="G4325" s="58" t="s">
        <v>10799</v>
      </c>
      <c r="H4325" s="58" t="s">
        <v>1796</v>
      </c>
      <c r="I4325" s="64" t="s">
        <v>10798</v>
      </c>
      <c r="J4325" s="66"/>
      <c r="K4325" s="66"/>
      <c r="L4325" s="68"/>
      <c r="M4325" s="63" t="str">
        <f>HYPERLINK("http://nsgreg.nga.mil/genc/view?v=866680&amp;end_month=12&amp;end_day=31&amp;end_year=2016","Correlation")</f>
        <v>Correlation</v>
      </c>
    </row>
    <row r="4326" spans="1:13" x14ac:dyDescent="0.2">
      <c r="A4326" s="113"/>
      <c r="B4326" s="58" t="s">
        <v>10800</v>
      </c>
      <c r="C4326" s="58" t="s">
        <v>1796</v>
      </c>
      <c r="D4326" s="58" t="s">
        <v>10801</v>
      </c>
      <c r="E4326" s="60" t="b">
        <v>1</v>
      </c>
      <c r="F4326" s="80" t="s">
        <v>10781</v>
      </c>
      <c r="G4326" s="58" t="s">
        <v>10800</v>
      </c>
      <c r="H4326" s="58" t="s">
        <v>1796</v>
      </c>
      <c r="I4326" s="64" t="s">
        <v>10801</v>
      </c>
      <c r="J4326" s="66"/>
      <c r="K4326" s="66"/>
      <c r="L4326" s="68"/>
      <c r="M4326" s="63" t="str">
        <f>HYPERLINK("http://nsgreg.nga.mil/genc/view?v=866682&amp;end_month=12&amp;end_day=31&amp;end_year=2016","Correlation")</f>
        <v>Correlation</v>
      </c>
    </row>
    <row r="4327" spans="1:13" x14ac:dyDescent="0.2">
      <c r="A4327" s="113"/>
      <c r="B4327" s="58" t="s">
        <v>10802</v>
      </c>
      <c r="C4327" s="58" t="s">
        <v>1796</v>
      </c>
      <c r="D4327" s="58" t="s">
        <v>10803</v>
      </c>
      <c r="E4327" s="60" t="b">
        <v>1</v>
      </c>
      <c r="F4327" s="80" t="s">
        <v>10781</v>
      </c>
      <c r="G4327" s="58" t="s">
        <v>10802</v>
      </c>
      <c r="H4327" s="58" t="s">
        <v>1796</v>
      </c>
      <c r="I4327" s="64" t="s">
        <v>10803</v>
      </c>
      <c r="J4327" s="66"/>
      <c r="K4327" s="66"/>
      <c r="L4327" s="68"/>
      <c r="M4327" s="63" t="str">
        <f>HYPERLINK("http://nsgreg.nga.mil/genc/view?v=866681&amp;end_month=12&amp;end_day=31&amp;end_year=2016","Correlation")</f>
        <v>Correlation</v>
      </c>
    </row>
    <row r="4328" spans="1:13" x14ac:dyDescent="0.2">
      <c r="A4328" s="113"/>
      <c r="B4328" s="58" t="s">
        <v>10804</v>
      </c>
      <c r="C4328" s="58" t="s">
        <v>1796</v>
      </c>
      <c r="D4328" s="58" t="s">
        <v>10805</v>
      </c>
      <c r="E4328" s="60" t="b">
        <v>1</v>
      </c>
      <c r="F4328" s="80" t="s">
        <v>10781</v>
      </c>
      <c r="G4328" s="58" t="s">
        <v>10806</v>
      </c>
      <c r="H4328" s="58" t="s">
        <v>1796</v>
      </c>
      <c r="I4328" s="64" t="s">
        <v>10805</v>
      </c>
      <c r="J4328" s="66"/>
      <c r="K4328" s="66"/>
      <c r="L4328" s="68"/>
      <c r="M4328" s="63" t="str">
        <f>HYPERLINK("http://nsgreg.nga.mil/genc/view?v=866683&amp;end_month=12&amp;end_day=31&amp;end_year=2016","Correlation")</f>
        <v>Correlation</v>
      </c>
    </row>
    <row r="4329" spans="1:13" x14ac:dyDescent="0.2">
      <c r="A4329" s="114"/>
      <c r="B4329" s="71" t="s">
        <v>10807</v>
      </c>
      <c r="C4329" s="71" t="s">
        <v>1796</v>
      </c>
      <c r="D4329" s="71" t="s">
        <v>10808</v>
      </c>
      <c r="E4329" s="73" t="b">
        <v>1</v>
      </c>
      <c r="F4329" s="81" t="s">
        <v>10781</v>
      </c>
      <c r="G4329" s="71" t="s">
        <v>10807</v>
      </c>
      <c r="H4329" s="71" t="s">
        <v>1796</v>
      </c>
      <c r="I4329" s="74" t="s">
        <v>10808</v>
      </c>
      <c r="J4329" s="76"/>
      <c r="K4329" s="76"/>
      <c r="L4329" s="82"/>
      <c r="M4329" s="77" t="str">
        <f>HYPERLINK("http://nsgreg.nga.mil/genc/view?v=866684&amp;end_month=12&amp;end_day=31&amp;end_year=2016","Correlation")</f>
        <v>Correlation</v>
      </c>
    </row>
    <row r="4330" spans="1:13" x14ac:dyDescent="0.2">
      <c r="A4330" s="112" t="s">
        <v>1280</v>
      </c>
      <c r="B4330" s="50" t="s">
        <v>10809</v>
      </c>
      <c r="C4330" s="50" t="s">
        <v>1728</v>
      </c>
      <c r="D4330" s="50" t="s">
        <v>10810</v>
      </c>
      <c r="E4330" s="52" t="b">
        <v>1</v>
      </c>
      <c r="F4330" s="78" t="s">
        <v>1280</v>
      </c>
      <c r="G4330" s="50" t="s">
        <v>10809</v>
      </c>
      <c r="H4330" s="50" t="s">
        <v>1728</v>
      </c>
      <c r="I4330" s="53" t="s">
        <v>10810</v>
      </c>
      <c r="J4330" s="55"/>
      <c r="K4330" s="55"/>
      <c r="L4330" s="79"/>
      <c r="M4330" s="56" t="str">
        <f>HYPERLINK("http://nsgreg.nga.mil/genc/view?v=866585&amp;end_month=12&amp;end_day=31&amp;end_year=2016","Correlation")</f>
        <v>Correlation</v>
      </c>
    </row>
    <row r="4331" spans="1:13" x14ac:dyDescent="0.2">
      <c r="A4331" s="113"/>
      <c r="B4331" s="58" t="s">
        <v>10811</v>
      </c>
      <c r="C4331" s="58" t="s">
        <v>1728</v>
      </c>
      <c r="D4331" s="58" t="s">
        <v>10812</v>
      </c>
      <c r="E4331" s="60" t="b">
        <v>1</v>
      </c>
      <c r="F4331" s="80" t="s">
        <v>1280</v>
      </c>
      <c r="G4331" s="58" t="s">
        <v>10811</v>
      </c>
      <c r="H4331" s="58" t="s">
        <v>1728</v>
      </c>
      <c r="I4331" s="64" t="s">
        <v>10812</v>
      </c>
      <c r="J4331" s="66"/>
      <c r="K4331" s="66"/>
      <c r="L4331" s="68"/>
      <c r="M4331" s="63" t="str">
        <f>HYPERLINK("http://nsgreg.nga.mil/genc/view?v=866586&amp;end_month=12&amp;end_day=31&amp;end_year=2016","Correlation")</f>
        <v>Correlation</v>
      </c>
    </row>
    <row r="4332" spans="1:13" x14ac:dyDescent="0.2">
      <c r="A4332" s="113"/>
      <c r="B4332" s="58" t="s">
        <v>10813</v>
      </c>
      <c r="C4332" s="58" t="s">
        <v>1728</v>
      </c>
      <c r="D4332" s="58" t="s">
        <v>10814</v>
      </c>
      <c r="E4332" s="60" t="b">
        <v>1</v>
      </c>
      <c r="F4332" s="80" t="s">
        <v>1280</v>
      </c>
      <c r="G4332" s="58" t="s">
        <v>10815</v>
      </c>
      <c r="H4332" s="58" t="s">
        <v>1728</v>
      </c>
      <c r="I4332" s="64" t="s">
        <v>10814</v>
      </c>
      <c r="J4332" s="66"/>
      <c r="K4332" s="66"/>
      <c r="L4332" s="68"/>
      <c r="M4332" s="63" t="str">
        <f>HYPERLINK("http://nsgreg.nga.mil/genc/view?v=866587&amp;end_month=12&amp;end_day=31&amp;end_year=2016","Correlation")</f>
        <v>Correlation</v>
      </c>
    </row>
    <row r="4333" spans="1:13" x14ac:dyDescent="0.2">
      <c r="A4333" s="113"/>
      <c r="B4333" s="58" t="s">
        <v>3226</v>
      </c>
      <c r="C4333" s="58" t="s">
        <v>1728</v>
      </c>
      <c r="D4333" s="58" t="s">
        <v>10816</v>
      </c>
      <c r="E4333" s="60" t="b">
        <v>1</v>
      </c>
      <c r="F4333" s="80" t="s">
        <v>1280</v>
      </c>
      <c r="G4333" s="58" t="s">
        <v>3226</v>
      </c>
      <c r="H4333" s="58" t="s">
        <v>1728</v>
      </c>
      <c r="I4333" s="64" t="s">
        <v>10816</v>
      </c>
      <c r="J4333" s="66"/>
      <c r="K4333" s="66"/>
      <c r="L4333" s="68"/>
      <c r="M4333" s="63" t="str">
        <f>HYPERLINK("http://nsgreg.nga.mil/genc/view?v=866588&amp;end_month=12&amp;end_day=31&amp;end_year=2016","Correlation")</f>
        <v>Correlation</v>
      </c>
    </row>
    <row r="4334" spans="1:13" x14ac:dyDescent="0.2">
      <c r="A4334" s="114"/>
      <c r="B4334" s="71" t="s">
        <v>3318</v>
      </c>
      <c r="C4334" s="71" t="s">
        <v>1728</v>
      </c>
      <c r="D4334" s="71" t="s">
        <v>10817</v>
      </c>
      <c r="E4334" s="73" t="b">
        <v>1</v>
      </c>
      <c r="F4334" s="81" t="s">
        <v>1280</v>
      </c>
      <c r="G4334" s="71" t="s">
        <v>10818</v>
      </c>
      <c r="H4334" s="71" t="s">
        <v>1728</v>
      </c>
      <c r="I4334" s="74" t="s">
        <v>10817</v>
      </c>
      <c r="J4334" s="76"/>
      <c r="K4334" s="76"/>
      <c r="L4334" s="82"/>
      <c r="M4334" s="77" t="str">
        <f>HYPERLINK("http://nsgreg.nga.mil/genc/view?v=866589&amp;end_month=12&amp;end_day=31&amp;end_year=2016","Correlation")</f>
        <v>Correlation</v>
      </c>
    </row>
    <row r="4335" spans="1:13" x14ac:dyDescent="0.2">
      <c r="A4335" s="112" t="s">
        <v>1288</v>
      </c>
      <c r="B4335" s="50" t="s">
        <v>10819</v>
      </c>
      <c r="C4335" s="50" t="s">
        <v>2048</v>
      </c>
      <c r="D4335" s="50" t="s">
        <v>10820</v>
      </c>
      <c r="E4335" s="52" t="b">
        <v>1</v>
      </c>
      <c r="F4335" s="78" t="s">
        <v>1288</v>
      </c>
      <c r="G4335" s="87" t="s">
        <v>10821</v>
      </c>
      <c r="H4335" s="50" t="s">
        <v>2048</v>
      </c>
      <c r="I4335" s="53" t="s">
        <v>10820</v>
      </c>
      <c r="J4335" s="55"/>
      <c r="K4335" s="55"/>
      <c r="L4335" s="79"/>
      <c r="M4335" s="56" t="str">
        <f>HYPERLINK("http://nsgreg.nga.mil/genc/view?v=866715&amp;end_month=12&amp;end_day=31&amp;end_year=2016","Correlation")</f>
        <v>Correlation</v>
      </c>
    </row>
    <row r="4336" spans="1:13" x14ac:dyDescent="0.2">
      <c r="A4336" s="113"/>
      <c r="B4336" s="58" t="s">
        <v>10822</v>
      </c>
      <c r="C4336" s="58" t="s">
        <v>2048</v>
      </c>
      <c r="D4336" s="58" t="s">
        <v>10823</v>
      </c>
      <c r="E4336" s="60" t="b">
        <v>1</v>
      </c>
      <c r="F4336" s="80" t="s">
        <v>1288</v>
      </c>
      <c r="G4336" s="58" t="s">
        <v>10824</v>
      </c>
      <c r="H4336" s="58" t="s">
        <v>2048</v>
      </c>
      <c r="I4336" s="64" t="s">
        <v>10823</v>
      </c>
      <c r="J4336" s="66"/>
      <c r="K4336" s="66"/>
      <c r="L4336" s="68"/>
      <c r="M4336" s="63" t="str">
        <f>HYPERLINK("http://nsgreg.nga.mil/genc/view?v=866716&amp;end_month=12&amp;end_day=31&amp;end_year=2016","Correlation")</f>
        <v>Correlation</v>
      </c>
    </row>
    <row r="4337" spans="1:13" x14ac:dyDescent="0.2">
      <c r="A4337" s="113"/>
      <c r="B4337" s="58" t="s">
        <v>10825</v>
      </c>
      <c r="C4337" s="58" t="s">
        <v>2048</v>
      </c>
      <c r="D4337" s="58" t="s">
        <v>10826</v>
      </c>
      <c r="E4337" s="60" t="b">
        <v>1</v>
      </c>
      <c r="F4337" s="80" t="s">
        <v>1288</v>
      </c>
      <c r="G4337" s="58" t="s">
        <v>10827</v>
      </c>
      <c r="H4337" s="58" t="s">
        <v>2048</v>
      </c>
      <c r="I4337" s="64" t="s">
        <v>10826</v>
      </c>
      <c r="J4337" s="66"/>
      <c r="K4337" s="66"/>
      <c r="L4337" s="68"/>
      <c r="M4337" s="63" t="str">
        <f>HYPERLINK("http://nsgreg.nga.mil/genc/view?v=866717&amp;end_month=12&amp;end_day=31&amp;end_year=2016","Correlation")</f>
        <v>Correlation</v>
      </c>
    </row>
    <row r="4338" spans="1:13" x14ac:dyDescent="0.2">
      <c r="A4338" s="113"/>
      <c r="B4338" s="58" t="s">
        <v>10828</v>
      </c>
      <c r="C4338" s="58" t="s">
        <v>2048</v>
      </c>
      <c r="D4338" s="58" t="s">
        <v>10829</v>
      </c>
      <c r="E4338" s="60" t="b">
        <v>1</v>
      </c>
      <c r="F4338" s="80" t="s">
        <v>1288</v>
      </c>
      <c r="G4338" s="58" t="s">
        <v>10828</v>
      </c>
      <c r="H4338" s="58" t="s">
        <v>2048</v>
      </c>
      <c r="I4338" s="64" t="s">
        <v>10829</v>
      </c>
      <c r="J4338" s="66"/>
      <c r="K4338" s="66"/>
      <c r="L4338" s="68"/>
      <c r="M4338" s="63" t="str">
        <f>HYPERLINK("http://nsgreg.nga.mil/genc/view?v=866718&amp;end_month=12&amp;end_day=31&amp;end_year=2016","Correlation")</f>
        <v>Correlation</v>
      </c>
    </row>
    <row r="4339" spans="1:13" x14ac:dyDescent="0.2">
      <c r="A4339" s="114"/>
      <c r="B4339" s="71" t="s">
        <v>10830</v>
      </c>
      <c r="C4339" s="71" t="s">
        <v>2048</v>
      </c>
      <c r="D4339" s="71" t="s">
        <v>10831</v>
      </c>
      <c r="E4339" s="73" t="b">
        <v>1</v>
      </c>
      <c r="F4339" s="81" t="s">
        <v>1288</v>
      </c>
      <c r="G4339" s="71" t="s">
        <v>10832</v>
      </c>
      <c r="H4339" s="71" t="s">
        <v>2048</v>
      </c>
      <c r="I4339" s="74" t="s">
        <v>10831</v>
      </c>
      <c r="J4339" s="76"/>
      <c r="K4339" s="76"/>
      <c r="L4339" s="82"/>
      <c r="M4339" s="77" t="str">
        <f>HYPERLINK("http://nsgreg.nga.mil/genc/view?v=866719&amp;end_month=12&amp;end_day=31&amp;end_year=2016","Correlation")</f>
        <v>Correlation</v>
      </c>
    </row>
    <row r="4340" spans="1:13" x14ac:dyDescent="0.2">
      <c r="A4340" s="112" t="s">
        <v>1292</v>
      </c>
      <c r="B4340" s="50" t="s">
        <v>10833</v>
      </c>
      <c r="C4340" s="50" t="s">
        <v>1816</v>
      </c>
      <c r="D4340" s="50" t="s">
        <v>10834</v>
      </c>
      <c r="E4340" s="52" t="b">
        <v>1</v>
      </c>
      <c r="F4340" s="78" t="s">
        <v>1292</v>
      </c>
      <c r="G4340" s="50" t="s">
        <v>10833</v>
      </c>
      <c r="H4340" s="50" t="s">
        <v>1816</v>
      </c>
      <c r="I4340" s="53" t="s">
        <v>10834</v>
      </c>
      <c r="J4340" s="55"/>
      <c r="K4340" s="55"/>
      <c r="L4340" s="79"/>
      <c r="M4340" s="56" t="str">
        <f>HYPERLINK("http://nsgreg.nga.mil/genc/view?v=866801&amp;end_month=12&amp;end_day=31&amp;end_year=2016","Correlation")</f>
        <v>Correlation</v>
      </c>
    </row>
    <row r="4341" spans="1:13" x14ac:dyDescent="0.2">
      <c r="A4341" s="113"/>
      <c r="B4341" s="58" t="s">
        <v>10835</v>
      </c>
      <c r="C4341" s="58" t="s">
        <v>1816</v>
      </c>
      <c r="D4341" s="58" t="s">
        <v>10836</v>
      </c>
      <c r="E4341" s="60" t="b">
        <v>1</v>
      </c>
      <c r="F4341" s="80" t="s">
        <v>1292</v>
      </c>
      <c r="G4341" s="58" t="s">
        <v>10835</v>
      </c>
      <c r="H4341" s="58" t="s">
        <v>1816</v>
      </c>
      <c r="I4341" s="64" t="s">
        <v>10836</v>
      </c>
      <c r="J4341" s="66"/>
      <c r="K4341" s="66"/>
      <c r="L4341" s="68"/>
      <c r="M4341" s="63" t="str">
        <f>HYPERLINK("http://nsgreg.nga.mil/genc/view?v=866802&amp;end_month=12&amp;end_day=31&amp;end_year=2016","Correlation")</f>
        <v>Correlation</v>
      </c>
    </row>
    <row r="4342" spans="1:13" x14ac:dyDescent="0.2">
      <c r="A4342" s="113"/>
      <c r="B4342" s="58" t="s">
        <v>10837</v>
      </c>
      <c r="C4342" s="58" t="s">
        <v>1728</v>
      </c>
      <c r="D4342" s="58" t="s">
        <v>10838</v>
      </c>
      <c r="E4342" s="60" t="b">
        <v>1</v>
      </c>
      <c r="F4342" s="80" t="s">
        <v>1292</v>
      </c>
      <c r="G4342" s="58" t="s">
        <v>10839</v>
      </c>
      <c r="H4342" s="58" t="s">
        <v>1728</v>
      </c>
      <c r="I4342" s="64" t="s">
        <v>10838</v>
      </c>
      <c r="J4342" s="66"/>
      <c r="K4342" s="66"/>
      <c r="L4342" s="68"/>
      <c r="M4342" s="63" t="str">
        <f>HYPERLINK("http://nsgreg.nga.mil/genc/view?v=866803&amp;end_month=12&amp;end_day=31&amp;end_year=2016","Correlation")</f>
        <v>Correlation</v>
      </c>
    </row>
    <row r="4343" spans="1:13" x14ac:dyDescent="0.2">
      <c r="A4343" s="113"/>
      <c r="B4343" s="58" t="s">
        <v>10840</v>
      </c>
      <c r="C4343" s="58" t="s">
        <v>1728</v>
      </c>
      <c r="D4343" s="58" t="s">
        <v>10841</v>
      </c>
      <c r="E4343" s="60" t="b">
        <v>1</v>
      </c>
      <c r="F4343" s="80" t="s">
        <v>1292</v>
      </c>
      <c r="G4343" s="58" t="s">
        <v>10840</v>
      </c>
      <c r="H4343" s="58" t="s">
        <v>1728</v>
      </c>
      <c r="I4343" s="64" t="s">
        <v>10841</v>
      </c>
      <c r="J4343" s="66"/>
      <c r="K4343" s="66"/>
      <c r="L4343" s="68"/>
      <c r="M4343" s="63" t="str">
        <f>HYPERLINK("http://nsgreg.nga.mil/genc/view?v=866804&amp;end_month=12&amp;end_day=31&amp;end_year=2016","Correlation")</f>
        <v>Correlation</v>
      </c>
    </row>
    <row r="4344" spans="1:13" x14ac:dyDescent="0.2">
      <c r="A4344" s="113"/>
      <c r="B4344" s="58" t="s">
        <v>10842</v>
      </c>
      <c r="C4344" s="58" t="s">
        <v>1728</v>
      </c>
      <c r="D4344" s="58" t="s">
        <v>10843</v>
      </c>
      <c r="E4344" s="60" t="b">
        <v>1</v>
      </c>
      <c r="F4344" s="80" t="s">
        <v>1292</v>
      </c>
      <c r="G4344" s="58" t="s">
        <v>10844</v>
      </c>
      <c r="H4344" s="58" t="s">
        <v>1728</v>
      </c>
      <c r="I4344" s="64" t="s">
        <v>10843</v>
      </c>
      <c r="J4344" s="66"/>
      <c r="K4344" s="66"/>
      <c r="L4344" s="68"/>
      <c r="M4344" s="63" t="str">
        <f>HYPERLINK("http://nsgreg.nga.mil/genc/view?v=866805&amp;end_month=12&amp;end_day=31&amp;end_year=2016","Correlation")</f>
        <v>Correlation</v>
      </c>
    </row>
    <row r="4345" spans="1:13" x14ac:dyDescent="0.2">
      <c r="A4345" s="113"/>
      <c r="B4345" s="58" t="s">
        <v>10845</v>
      </c>
      <c r="C4345" s="58" t="s">
        <v>1728</v>
      </c>
      <c r="D4345" s="58" t="s">
        <v>10846</v>
      </c>
      <c r="E4345" s="60" t="b">
        <v>1</v>
      </c>
      <c r="F4345" s="80" t="s">
        <v>1292</v>
      </c>
      <c r="G4345" s="58" t="s">
        <v>10847</v>
      </c>
      <c r="H4345" s="58" t="s">
        <v>1728</v>
      </c>
      <c r="I4345" s="64" t="s">
        <v>10846</v>
      </c>
      <c r="J4345" s="66"/>
      <c r="K4345" s="66"/>
      <c r="L4345" s="68"/>
      <c r="M4345" s="63" t="str">
        <f>HYPERLINK("http://nsgreg.nga.mil/genc/view?v=866806&amp;end_month=12&amp;end_day=31&amp;end_year=2016","Correlation")</f>
        <v>Correlation</v>
      </c>
    </row>
    <row r="4346" spans="1:13" x14ac:dyDescent="0.2">
      <c r="A4346" s="113"/>
      <c r="B4346" s="58" t="s">
        <v>10848</v>
      </c>
      <c r="C4346" s="58" t="s">
        <v>1816</v>
      </c>
      <c r="D4346" s="58" t="s">
        <v>10849</v>
      </c>
      <c r="E4346" s="60" t="b">
        <v>1</v>
      </c>
      <c r="F4346" s="80" t="s">
        <v>1292</v>
      </c>
      <c r="G4346" s="58" t="s">
        <v>10848</v>
      </c>
      <c r="H4346" s="58" t="s">
        <v>1816</v>
      </c>
      <c r="I4346" s="64" t="s">
        <v>10849</v>
      </c>
      <c r="J4346" s="66"/>
      <c r="K4346" s="66"/>
      <c r="L4346" s="68"/>
      <c r="M4346" s="63" t="str">
        <f>HYPERLINK("http://nsgreg.nga.mil/genc/view?v=866809&amp;end_month=12&amp;end_day=31&amp;end_year=2016","Correlation")</f>
        <v>Correlation</v>
      </c>
    </row>
    <row r="4347" spans="1:13" x14ac:dyDescent="0.2">
      <c r="A4347" s="113"/>
      <c r="B4347" s="58" t="s">
        <v>10850</v>
      </c>
      <c r="C4347" s="58" t="s">
        <v>1816</v>
      </c>
      <c r="D4347" s="58" t="s">
        <v>10851</v>
      </c>
      <c r="E4347" s="60" t="b">
        <v>1</v>
      </c>
      <c r="F4347" s="80" t="s">
        <v>1292</v>
      </c>
      <c r="G4347" s="58" t="s">
        <v>10850</v>
      </c>
      <c r="H4347" s="58" t="s">
        <v>1816</v>
      </c>
      <c r="I4347" s="64" t="s">
        <v>10851</v>
      </c>
      <c r="J4347" s="66"/>
      <c r="K4347" s="66"/>
      <c r="L4347" s="68"/>
      <c r="M4347" s="63" t="str">
        <f>HYPERLINK("http://nsgreg.nga.mil/genc/view?v=866807&amp;end_month=12&amp;end_day=31&amp;end_year=2016","Correlation")</f>
        <v>Correlation</v>
      </c>
    </row>
    <row r="4348" spans="1:13" x14ac:dyDescent="0.2">
      <c r="A4348" s="113"/>
      <c r="B4348" s="58" t="s">
        <v>10852</v>
      </c>
      <c r="C4348" s="58" t="s">
        <v>1728</v>
      </c>
      <c r="D4348" s="58" t="s">
        <v>10853</v>
      </c>
      <c r="E4348" s="60" t="b">
        <v>1</v>
      </c>
      <c r="F4348" s="80" t="s">
        <v>1292</v>
      </c>
      <c r="G4348" s="58" t="s">
        <v>10852</v>
      </c>
      <c r="H4348" s="58" t="s">
        <v>1728</v>
      </c>
      <c r="I4348" s="64" t="s">
        <v>10853</v>
      </c>
      <c r="J4348" s="66"/>
      <c r="K4348" s="66"/>
      <c r="L4348" s="68"/>
      <c r="M4348" s="63" t="str">
        <f>HYPERLINK("http://nsgreg.nga.mil/genc/view?v=866808&amp;end_month=12&amp;end_day=31&amp;end_year=2016","Correlation")</f>
        <v>Correlation</v>
      </c>
    </row>
    <row r="4349" spans="1:13" x14ac:dyDescent="0.2">
      <c r="A4349" s="113"/>
      <c r="B4349" s="58" t="s">
        <v>10854</v>
      </c>
      <c r="C4349" s="58" t="s">
        <v>1816</v>
      </c>
      <c r="D4349" s="58" t="s">
        <v>10855</v>
      </c>
      <c r="E4349" s="60" t="b">
        <v>1</v>
      </c>
      <c r="F4349" s="80" t="s">
        <v>1292</v>
      </c>
      <c r="G4349" s="58" t="s">
        <v>10854</v>
      </c>
      <c r="H4349" s="58" t="s">
        <v>1816</v>
      </c>
      <c r="I4349" s="64" t="s">
        <v>10855</v>
      </c>
      <c r="J4349" s="66"/>
      <c r="K4349" s="66"/>
      <c r="L4349" s="68"/>
      <c r="M4349" s="63" t="str">
        <f>HYPERLINK("http://nsgreg.nga.mil/genc/view?v=866810&amp;end_month=12&amp;end_day=31&amp;end_year=2016","Correlation")</f>
        <v>Correlation</v>
      </c>
    </row>
    <row r="4350" spans="1:13" x14ac:dyDescent="0.2">
      <c r="A4350" s="113"/>
      <c r="B4350" s="58" t="s">
        <v>10856</v>
      </c>
      <c r="C4350" s="58" t="s">
        <v>1728</v>
      </c>
      <c r="D4350" s="58" t="s">
        <v>10857</v>
      </c>
      <c r="E4350" s="60" t="b">
        <v>1</v>
      </c>
      <c r="F4350" s="80" t="s">
        <v>1292</v>
      </c>
      <c r="G4350" s="58" t="s">
        <v>10856</v>
      </c>
      <c r="H4350" s="58" t="s">
        <v>1728</v>
      </c>
      <c r="I4350" s="64" t="s">
        <v>10857</v>
      </c>
      <c r="J4350" s="66"/>
      <c r="K4350" s="66"/>
      <c r="L4350" s="68"/>
      <c r="M4350" s="63" t="str">
        <f>HYPERLINK("http://nsgreg.nga.mil/genc/view?v=866811&amp;end_month=12&amp;end_day=31&amp;end_year=2016","Correlation")</f>
        <v>Correlation</v>
      </c>
    </row>
    <row r="4351" spans="1:13" x14ac:dyDescent="0.2">
      <c r="A4351" s="113"/>
      <c r="B4351" s="58" t="s">
        <v>10858</v>
      </c>
      <c r="C4351" s="58" t="s">
        <v>1728</v>
      </c>
      <c r="D4351" s="58" t="s">
        <v>10859</v>
      </c>
      <c r="E4351" s="60" t="b">
        <v>1</v>
      </c>
      <c r="F4351" s="80" t="s">
        <v>1292</v>
      </c>
      <c r="G4351" s="58" t="s">
        <v>10860</v>
      </c>
      <c r="H4351" s="58" t="s">
        <v>1728</v>
      </c>
      <c r="I4351" s="64" t="s">
        <v>10859</v>
      </c>
      <c r="J4351" s="66"/>
      <c r="K4351" s="66"/>
      <c r="L4351" s="68"/>
      <c r="M4351" s="63" t="str">
        <f>HYPERLINK("http://nsgreg.nga.mil/genc/view?v=866813&amp;end_month=12&amp;end_day=31&amp;end_year=2016","Correlation")</f>
        <v>Correlation</v>
      </c>
    </row>
    <row r="4352" spans="1:13" x14ac:dyDescent="0.2">
      <c r="A4352" s="113"/>
      <c r="B4352" s="58" t="s">
        <v>10861</v>
      </c>
      <c r="C4352" s="58" t="s">
        <v>1728</v>
      </c>
      <c r="D4352" s="58" t="s">
        <v>10862</v>
      </c>
      <c r="E4352" s="60" t="b">
        <v>1</v>
      </c>
      <c r="F4352" s="80" t="s">
        <v>1292</v>
      </c>
      <c r="G4352" s="58" t="s">
        <v>10861</v>
      </c>
      <c r="H4352" s="58" t="s">
        <v>1728</v>
      </c>
      <c r="I4352" s="64" t="s">
        <v>10862</v>
      </c>
      <c r="J4352" s="66"/>
      <c r="K4352" s="66"/>
      <c r="L4352" s="68"/>
      <c r="M4352" s="63" t="str">
        <f>HYPERLINK("http://nsgreg.nga.mil/genc/view?v=866812&amp;end_month=12&amp;end_day=31&amp;end_year=2016","Correlation")</f>
        <v>Correlation</v>
      </c>
    </row>
    <row r="4353" spans="1:13" x14ac:dyDescent="0.2">
      <c r="A4353" s="113"/>
      <c r="B4353" s="58" t="s">
        <v>10863</v>
      </c>
      <c r="C4353" s="58" t="s">
        <v>10864</v>
      </c>
      <c r="D4353" s="58" t="s">
        <v>10865</v>
      </c>
      <c r="E4353" s="60" t="b">
        <v>1</v>
      </c>
      <c r="F4353" s="80" t="s">
        <v>1292</v>
      </c>
      <c r="G4353" s="58" t="s">
        <v>10863</v>
      </c>
      <c r="H4353" s="58" t="s">
        <v>10864</v>
      </c>
      <c r="I4353" s="64" t="s">
        <v>10865</v>
      </c>
      <c r="J4353" s="66"/>
      <c r="K4353" s="66"/>
      <c r="L4353" s="68"/>
      <c r="M4353" s="63" t="str">
        <f>HYPERLINK("http://nsgreg.nga.mil/genc/view?v=866814&amp;end_month=12&amp;end_day=31&amp;end_year=2016","Correlation")</f>
        <v>Correlation</v>
      </c>
    </row>
    <row r="4354" spans="1:13" x14ac:dyDescent="0.2">
      <c r="A4354" s="114"/>
      <c r="B4354" s="71" t="s">
        <v>10866</v>
      </c>
      <c r="C4354" s="71" t="s">
        <v>1728</v>
      </c>
      <c r="D4354" s="71" t="s">
        <v>10867</v>
      </c>
      <c r="E4354" s="73" t="b">
        <v>1</v>
      </c>
      <c r="F4354" s="81" t="s">
        <v>1292</v>
      </c>
      <c r="G4354" s="71" t="s">
        <v>10868</v>
      </c>
      <c r="H4354" s="71" t="s">
        <v>1728</v>
      </c>
      <c r="I4354" s="74" t="s">
        <v>10867</v>
      </c>
      <c r="J4354" s="76"/>
      <c r="K4354" s="76"/>
      <c r="L4354" s="82"/>
      <c r="M4354" s="77" t="str">
        <f>HYPERLINK("http://nsgreg.nga.mil/genc/view?v=866815&amp;end_month=12&amp;end_day=31&amp;end_year=2016","Correlation")</f>
        <v>Correlation</v>
      </c>
    </row>
    <row r="4355" spans="1:13" x14ac:dyDescent="0.2">
      <c r="A4355" s="112" t="s">
        <v>1300</v>
      </c>
      <c r="B4355" s="50" t="s">
        <v>10869</v>
      </c>
      <c r="C4355" s="50" t="s">
        <v>2030</v>
      </c>
      <c r="D4355" s="50" t="s">
        <v>10870</v>
      </c>
      <c r="E4355" s="52" t="b">
        <v>1</v>
      </c>
      <c r="F4355" s="78" t="s">
        <v>1300</v>
      </c>
      <c r="G4355" s="50" t="s">
        <v>10869</v>
      </c>
      <c r="H4355" s="50" t="s">
        <v>2030</v>
      </c>
      <c r="I4355" s="53" t="s">
        <v>10870</v>
      </c>
      <c r="J4355" s="55"/>
      <c r="K4355" s="55"/>
      <c r="L4355" s="79"/>
      <c r="M4355" s="56" t="str">
        <f>HYPERLINK("http://nsgreg.nga.mil/genc/view?v=866698&amp;end_month=12&amp;end_day=31&amp;end_year=2016","Correlation")</f>
        <v>Correlation</v>
      </c>
    </row>
    <row r="4356" spans="1:13" x14ac:dyDescent="0.2">
      <c r="A4356" s="113"/>
      <c r="B4356" s="58" t="s">
        <v>10871</v>
      </c>
      <c r="C4356" s="58" t="s">
        <v>2030</v>
      </c>
      <c r="D4356" s="58" t="s">
        <v>10872</v>
      </c>
      <c r="E4356" s="60" t="b">
        <v>1</v>
      </c>
      <c r="F4356" s="80" t="s">
        <v>1300</v>
      </c>
      <c r="G4356" s="58" t="s">
        <v>10871</v>
      </c>
      <c r="H4356" s="58" t="s">
        <v>2030</v>
      </c>
      <c r="I4356" s="64" t="s">
        <v>10872</v>
      </c>
      <c r="J4356" s="66"/>
      <c r="K4356" s="66"/>
      <c r="L4356" s="68"/>
      <c r="M4356" s="63" t="str">
        <f>HYPERLINK("http://nsgreg.nga.mil/genc/view?v=866693&amp;end_month=12&amp;end_day=31&amp;end_year=2016","Correlation")</f>
        <v>Correlation</v>
      </c>
    </row>
    <row r="4357" spans="1:13" x14ac:dyDescent="0.2">
      <c r="A4357" s="113"/>
      <c r="B4357" s="58" t="s">
        <v>10873</v>
      </c>
      <c r="C4357" s="58" t="s">
        <v>2030</v>
      </c>
      <c r="D4357" s="58" t="s">
        <v>10874</v>
      </c>
      <c r="E4357" s="60" t="b">
        <v>1</v>
      </c>
      <c r="F4357" s="80" t="s">
        <v>1300</v>
      </c>
      <c r="G4357" s="58" t="s">
        <v>10873</v>
      </c>
      <c r="H4357" s="58" t="s">
        <v>2030</v>
      </c>
      <c r="I4357" s="64" t="s">
        <v>10874</v>
      </c>
      <c r="J4357" s="66"/>
      <c r="K4357" s="66"/>
      <c r="L4357" s="68"/>
      <c r="M4357" s="63" t="str">
        <f>HYPERLINK("http://nsgreg.nga.mil/genc/view?v=866697&amp;end_month=12&amp;end_day=31&amp;end_year=2016","Correlation")</f>
        <v>Correlation</v>
      </c>
    </row>
    <row r="4358" spans="1:13" x14ac:dyDescent="0.2">
      <c r="A4358" s="113"/>
      <c r="B4358" s="58" t="s">
        <v>10875</v>
      </c>
      <c r="C4358" s="58" t="s">
        <v>2030</v>
      </c>
      <c r="D4358" s="58" t="s">
        <v>10876</v>
      </c>
      <c r="E4358" s="60" t="b">
        <v>1</v>
      </c>
      <c r="F4358" s="80" t="s">
        <v>1300</v>
      </c>
      <c r="G4358" s="58" t="s">
        <v>10875</v>
      </c>
      <c r="H4358" s="58" t="s">
        <v>2030</v>
      </c>
      <c r="I4358" s="64" t="s">
        <v>10876</v>
      </c>
      <c r="J4358" s="66"/>
      <c r="K4358" s="66"/>
      <c r="L4358" s="68"/>
      <c r="M4358" s="63" t="str">
        <f>HYPERLINK("http://nsgreg.nga.mil/genc/view?v=866712&amp;end_month=12&amp;end_day=31&amp;end_year=2016","Correlation")</f>
        <v>Correlation</v>
      </c>
    </row>
    <row r="4359" spans="1:13" x14ac:dyDescent="0.2">
      <c r="A4359" s="113"/>
      <c r="B4359" s="58" t="s">
        <v>10877</v>
      </c>
      <c r="C4359" s="58" t="s">
        <v>2030</v>
      </c>
      <c r="D4359" s="58" t="s">
        <v>10878</v>
      </c>
      <c r="E4359" s="60" t="b">
        <v>1</v>
      </c>
      <c r="F4359" s="80" t="s">
        <v>1300</v>
      </c>
      <c r="G4359" s="58" t="s">
        <v>10877</v>
      </c>
      <c r="H4359" s="58" t="s">
        <v>2030</v>
      </c>
      <c r="I4359" s="64" t="s">
        <v>10878</v>
      </c>
      <c r="J4359" s="66"/>
      <c r="K4359" s="66"/>
      <c r="L4359" s="68"/>
      <c r="M4359" s="63" t="str">
        <f>HYPERLINK("http://nsgreg.nga.mil/genc/view?v=866709&amp;end_month=12&amp;end_day=31&amp;end_year=2016","Correlation")</f>
        <v>Correlation</v>
      </c>
    </row>
    <row r="4360" spans="1:13" x14ac:dyDescent="0.2">
      <c r="A4360" s="113"/>
      <c r="B4360" s="58" t="s">
        <v>10879</v>
      </c>
      <c r="C4360" s="58" t="s">
        <v>2030</v>
      </c>
      <c r="D4360" s="58" t="s">
        <v>10880</v>
      </c>
      <c r="E4360" s="60" t="b">
        <v>1</v>
      </c>
      <c r="F4360" s="80" t="s">
        <v>1300</v>
      </c>
      <c r="G4360" s="58" t="s">
        <v>10879</v>
      </c>
      <c r="H4360" s="58" t="s">
        <v>2030</v>
      </c>
      <c r="I4360" s="64" t="s">
        <v>10880</v>
      </c>
      <c r="J4360" s="66"/>
      <c r="K4360" s="66"/>
      <c r="L4360" s="68"/>
      <c r="M4360" s="63" t="str">
        <f>HYPERLINK("http://nsgreg.nga.mil/genc/view?v=866699&amp;end_month=12&amp;end_day=31&amp;end_year=2016","Correlation")</f>
        <v>Correlation</v>
      </c>
    </row>
    <row r="4361" spans="1:13" x14ac:dyDescent="0.2">
      <c r="A4361" s="113"/>
      <c r="B4361" s="58" t="s">
        <v>10881</v>
      </c>
      <c r="C4361" s="58" t="s">
        <v>2030</v>
      </c>
      <c r="D4361" s="58" t="s">
        <v>10882</v>
      </c>
      <c r="E4361" s="60" t="b">
        <v>1</v>
      </c>
      <c r="F4361" s="80" t="s">
        <v>1300</v>
      </c>
      <c r="G4361" s="58" t="s">
        <v>10881</v>
      </c>
      <c r="H4361" s="58" t="s">
        <v>2030</v>
      </c>
      <c r="I4361" s="64" t="s">
        <v>10882</v>
      </c>
      <c r="J4361" s="66"/>
      <c r="K4361" s="66"/>
      <c r="L4361" s="68"/>
      <c r="M4361" s="63" t="str">
        <f>HYPERLINK("http://nsgreg.nga.mil/genc/view?v=866702&amp;end_month=12&amp;end_day=31&amp;end_year=2016","Correlation")</f>
        <v>Correlation</v>
      </c>
    </row>
    <row r="4362" spans="1:13" x14ac:dyDescent="0.2">
      <c r="A4362" s="113"/>
      <c r="B4362" s="58" t="s">
        <v>10883</v>
      </c>
      <c r="C4362" s="58" t="s">
        <v>2030</v>
      </c>
      <c r="D4362" s="58" t="s">
        <v>10884</v>
      </c>
      <c r="E4362" s="60" t="b">
        <v>1</v>
      </c>
      <c r="F4362" s="80" t="s">
        <v>1300</v>
      </c>
      <c r="G4362" s="58" t="s">
        <v>10883</v>
      </c>
      <c r="H4362" s="58" t="s">
        <v>2030</v>
      </c>
      <c r="I4362" s="64" t="s">
        <v>10884</v>
      </c>
      <c r="J4362" s="66"/>
      <c r="K4362" s="66"/>
      <c r="L4362" s="68"/>
      <c r="M4362" s="63" t="str">
        <f>HYPERLINK("http://nsgreg.nga.mil/genc/view?v=866703&amp;end_month=12&amp;end_day=31&amp;end_year=2016","Correlation")</f>
        <v>Correlation</v>
      </c>
    </row>
    <row r="4363" spans="1:13" x14ac:dyDescent="0.2">
      <c r="A4363" s="113"/>
      <c r="B4363" s="58" t="s">
        <v>10885</v>
      </c>
      <c r="C4363" s="58" t="s">
        <v>2030</v>
      </c>
      <c r="D4363" s="58" t="s">
        <v>10886</v>
      </c>
      <c r="E4363" s="60" t="b">
        <v>1</v>
      </c>
      <c r="F4363" s="80" t="s">
        <v>1300</v>
      </c>
      <c r="G4363" s="58" t="s">
        <v>10885</v>
      </c>
      <c r="H4363" s="58" t="s">
        <v>2030</v>
      </c>
      <c r="I4363" s="64" t="s">
        <v>10886</v>
      </c>
      <c r="J4363" s="66"/>
      <c r="K4363" s="66"/>
      <c r="L4363" s="68"/>
      <c r="M4363" s="63" t="str">
        <f>HYPERLINK("http://nsgreg.nga.mil/genc/view?v=866711&amp;end_month=12&amp;end_day=31&amp;end_year=2016","Correlation")</f>
        <v>Correlation</v>
      </c>
    </row>
    <row r="4364" spans="1:13" x14ac:dyDescent="0.2">
      <c r="A4364" s="113"/>
      <c r="B4364" s="58" t="s">
        <v>10887</v>
      </c>
      <c r="C4364" s="58" t="s">
        <v>2030</v>
      </c>
      <c r="D4364" s="58" t="s">
        <v>10888</v>
      </c>
      <c r="E4364" s="60" t="b">
        <v>1</v>
      </c>
      <c r="F4364" s="80" t="s">
        <v>1300</v>
      </c>
      <c r="G4364" s="58" t="s">
        <v>10889</v>
      </c>
      <c r="H4364" s="58" t="s">
        <v>2030</v>
      </c>
      <c r="I4364" s="64" t="s">
        <v>10888</v>
      </c>
      <c r="J4364" s="66"/>
      <c r="K4364" s="66"/>
      <c r="L4364" s="68"/>
      <c r="M4364" s="63" t="str">
        <f>HYPERLINK("http://nsgreg.nga.mil/genc/view?v=866700&amp;end_month=12&amp;end_day=31&amp;end_year=2016","Correlation")</f>
        <v>Correlation</v>
      </c>
    </row>
    <row r="4365" spans="1:13" x14ac:dyDescent="0.2">
      <c r="A4365" s="113"/>
      <c r="B4365" s="58" t="s">
        <v>10890</v>
      </c>
      <c r="C4365" s="58" t="s">
        <v>2030</v>
      </c>
      <c r="D4365" s="58" t="s">
        <v>10891</v>
      </c>
      <c r="E4365" s="60" t="b">
        <v>1</v>
      </c>
      <c r="F4365" s="80" t="s">
        <v>1300</v>
      </c>
      <c r="G4365" s="58" t="s">
        <v>10890</v>
      </c>
      <c r="H4365" s="58" t="s">
        <v>2030</v>
      </c>
      <c r="I4365" s="64" t="s">
        <v>10891</v>
      </c>
      <c r="J4365" s="66"/>
      <c r="K4365" s="66"/>
      <c r="L4365" s="68"/>
      <c r="M4365" s="63" t="str">
        <f>HYPERLINK("http://nsgreg.nga.mil/genc/view?v=866692&amp;end_month=12&amp;end_day=31&amp;end_year=2016","Correlation")</f>
        <v>Correlation</v>
      </c>
    </row>
    <row r="4366" spans="1:13" x14ac:dyDescent="0.2">
      <c r="A4366" s="113"/>
      <c r="B4366" s="58" t="s">
        <v>10892</v>
      </c>
      <c r="C4366" s="58" t="s">
        <v>2030</v>
      </c>
      <c r="D4366" s="58" t="s">
        <v>10893</v>
      </c>
      <c r="E4366" s="60" t="b">
        <v>1</v>
      </c>
      <c r="F4366" s="80" t="s">
        <v>1300</v>
      </c>
      <c r="G4366" s="58" t="s">
        <v>10892</v>
      </c>
      <c r="H4366" s="58" t="s">
        <v>2030</v>
      </c>
      <c r="I4366" s="64" t="s">
        <v>10893</v>
      </c>
      <c r="J4366" s="66"/>
      <c r="K4366" s="66"/>
      <c r="L4366" s="68"/>
      <c r="M4366" s="63" t="str">
        <f>HYPERLINK("http://nsgreg.nga.mil/genc/view?v=866707&amp;end_month=12&amp;end_day=31&amp;end_year=2016","Correlation")</f>
        <v>Correlation</v>
      </c>
    </row>
    <row r="4367" spans="1:13" x14ac:dyDescent="0.2">
      <c r="A4367" s="113"/>
      <c r="B4367" s="58" t="s">
        <v>10894</v>
      </c>
      <c r="C4367" s="58" t="s">
        <v>2030</v>
      </c>
      <c r="D4367" s="58" t="s">
        <v>10895</v>
      </c>
      <c r="E4367" s="60" t="b">
        <v>1</v>
      </c>
      <c r="F4367" s="80" t="s">
        <v>1300</v>
      </c>
      <c r="G4367" s="58" t="s">
        <v>10896</v>
      </c>
      <c r="H4367" s="58" t="s">
        <v>2030</v>
      </c>
      <c r="I4367" s="64" t="s">
        <v>10895</v>
      </c>
      <c r="J4367" s="66"/>
      <c r="K4367" s="66"/>
      <c r="L4367" s="68"/>
      <c r="M4367" s="63" t="str">
        <f>HYPERLINK("http://nsgreg.nga.mil/genc/view?v=866694&amp;end_month=12&amp;end_day=31&amp;end_year=2016","Correlation")</f>
        <v>Correlation</v>
      </c>
    </row>
    <row r="4368" spans="1:13" x14ac:dyDescent="0.2">
      <c r="A4368" s="113"/>
      <c r="B4368" s="58" t="s">
        <v>10897</v>
      </c>
      <c r="C4368" s="58" t="s">
        <v>2030</v>
      </c>
      <c r="D4368" s="58" t="s">
        <v>10898</v>
      </c>
      <c r="E4368" s="60" t="b">
        <v>1</v>
      </c>
      <c r="F4368" s="80" t="s">
        <v>1300</v>
      </c>
      <c r="G4368" s="58" t="s">
        <v>10897</v>
      </c>
      <c r="H4368" s="58" t="s">
        <v>2030</v>
      </c>
      <c r="I4368" s="64" t="s">
        <v>10898</v>
      </c>
      <c r="J4368" s="66"/>
      <c r="K4368" s="66"/>
      <c r="L4368" s="68"/>
      <c r="M4368" s="63" t="str">
        <f>HYPERLINK("http://nsgreg.nga.mil/genc/view?v=866713&amp;end_month=12&amp;end_day=31&amp;end_year=2016","Correlation")</f>
        <v>Correlation</v>
      </c>
    </row>
    <row r="4369" spans="1:13" x14ac:dyDescent="0.2">
      <c r="A4369" s="113"/>
      <c r="B4369" s="58" t="s">
        <v>10899</v>
      </c>
      <c r="C4369" s="58" t="s">
        <v>2030</v>
      </c>
      <c r="D4369" s="58" t="s">
        <v>10900</v>
      </c>
      <c r="E4369" s="60" t="b">
        <v>1</v>
      </c>
      <c r="F4369" s="80" t="s">
        <v>1300</v>
      </c>
      <c r="G4369" s="58" t="s">
        <v>10899</v>
      </c>
      <c r="H4369" s="58" t="s">
        <v>2030</v>
      </c>
      <c r="I4369" s="64" t="s">
        <v>10900</v>
      </c>
      <c r="J4369" s="66"/>
      <c r="K4369" s="66"/>
      <c r="L4369" s="68"/>
      <c r="M4369" s="63" t="str">
        <f>HYPERLINK("http://nsgreg.nga.mil/genc/view?v=866706&amp;end_month=12&amp;end_day=31&amp;end_year=2016","Correlation")</f>
        <v>Correlation</v>
      </c>
    </row>
    <row r="4370" spans="1:13" x14ac:dyDescent="0.2">
      <c r="A4370" s="113"/>
      <c r="B4370" s="58" t="s">
        <v>10901</v>
      </c>
      <c r="C4370" s="58" t="s">
        <v>2030</v>
      </c>
      <c r="D4370" s="58" t="s">
        <v>10902</v>
      </c>
      <c r="E4370" s="60" t="b">
        <v>1</v>
      </c>
      <c r="F4370" s="80" t="s">
        <v>1300</v>
      </c>
      <c r="G4370" s="58" t="s">
        <v>10901</v>
      </c>
      <c r="H4370" s="58" t="s">
        <v>2030</v>
      </c>
      <c r="I4370" s="64" t="s">
        <v>10902</v>
      </c>
      <c r="J4370" s="66"/>
      <c r="K4370" s="66"/>
      <c r="L4370" s="68"/>
      <c r="M4370" s="63" t="str">
        <f>HYPERLINK("http://nsgreg.nga.mil/genc/view?v=866695&amp;end_month=12&amp;end_day=31&amp;end_year=2016","Correlation")</f>
        <v>Correlation</v>
      </c>
    </row>
    <row r="4371" spans="1:13" x14ac:dyDescent="0.2">
      <c r="A4371" s="113"/>
      <c r="B4371" s="58" t="s">
        <v>10903</v>
      </c>
      <c r="C4371" s="58" t="s">
        <v>2030</v>
      </c>
      <c r="D4371" s="58" t="s">
        <v>10904</v>
      </c>
      <c r="E4371" s="60" t="b">
        <v>1</v>
      </c>
      <c r="F4371" s="80" t="s">
        <v>1300</v>
      </c>
      <c r="G4371" s="58" t="s">
        <v>10903</v>
      </c>
      <c r="H4371" s="58" t="s">
        <v>2030</v>
      </c>
      <c r="I4371" s="64" t="s">
        <v>10904</v>
      </c>
      <c r="J4371" s="66"/>
      <c r="K4371" s="66"/>
      <c r="L4371" s="68"/>
      <c r="M4371" s="63" t="str">
        <f>HYPERLINK("http://nsgreg.nga.mil/genc/view?v=866708&amp;end_month=12&amp;end_day=31&amp;end_year=2016","Correlation")</f>
        <v>Correlation</v>
      </c>
    </row>
    <row r="4372" spans="1:13" x14ac:dyDescent="0.2">
      <c r="A4372" s="113"/>
      <c r="B4372" s="58" t="s">
        <v>10905</v>
      </c>
      <c r="C4372" s="58" t="s">
        <v>2030</v>
      </c>
      <c r="D4372" s="58" t="s">
        <v>10906</v>
      </c>
      <c r="E4372" s="60" t="b">
        <v>1</v>
      </c>
      <c r="F4372" s="80" t="s">
        <v>1300</v>
      </c>
      <c r="G4372" s="58" t="s">
        <v>10905</v>
      </c>
      <c r="H4372" s="58" t="s">
        <v>2030</v>
      </c>
      <c r="I4372" s="64" t="s">
        <v>10906</v>
      </c>
      <c r="J4372" s="66"/>
      <c r="K4372" s="66"/>
      <c r="L4372" s="68"/>
      <c r="M4372" s="63" t="str">
        <f>HYPERLINK("http://nsgreg.nga.mil/genc/view?v=866704&amp;end_month=12&amp;end_day=31&amp;end_year=2016","Correlation")</f>
        <v>Correlation</v>
      </c>
    </row>
    <row r="4373" spans="1:13" x14ac:dyDescent="0.2">
      <c r="A4373" s="113"/>
      <c r="B4373" s="58" t="s">
        <v>10907</v>
      </c>
      <c r="C4373" s="58" t="s">
        <v>2030</v>
      </c>
      <c r="D4373" s="58" t="s">
        <v>10908</v>
      </c>
      <c r="E4373" s="60" t="b">
        <v>1</v>
      </c>
      <c r="F4373" s="80" t="s">
        <v>1300</v>
      </c>
      <c r="G4373" s="58" t="s">
        <v>10907</v>
      </c>
      <c r="H4373" s="58" t="s">
        <v>2030</v>
      </c>
      <c r="I4373" s="64" t="s">
        <v>10908</v>
      </c>
      <c r="J4373" s="66"/>
      <c r="K4373" s="66"/>
      <c r="L4373" s="68"/>
      <c r="M4373" s="63" t="str">
        <f>HYPERLINK("http://nsgreg.nga.mil/genc/view?v=866701&amp;end_month=12&amp;end_day=31&amp;end_year=2016","Correlation")</f>
        <v>Correlation</v>
      </c>
    </row>
    <row r="4374" spans="1:13" x14ac:dyDescent="0.2">
      <c r="A4374" s="113"/>
      <c r="B4374" s="58" t="s">
        <v>10909</v>
      </c>
      <c r="C4374" s="58" t="s">
        <v>2030</v>
      </c>
      <c r="D4374" s="58" t="s">
        <v>10910</v>
      </c>
      <c r="E4374" s="60" t="b">
        <v>1</v>
      </c>
      <c r="F4374" s="80" t="s">
        <v>1300</v>
      </c>
      <c r="G4374" s="58" t="s">
        <v>10909</v>
      </c>
      <c r="H4374" s="58" t="s">
        <v>2030</v>
      </c>
      <c r="I4374" s="64" t="s">
        <v>10910</v>
      </c>
      <c r="J4374" s="66"/>
      <c r="K4374" s="66"/>
      <c r="L4374" s="68"/>
      <c r="M4374" s="63" t="str">
        <f>HYPERLINK("http://nsgreg.nga.mil/genc/view?v=866705&amp;end_month=12&amp;end_day=31&amp;end_year=2016","Correlation")</f>
        <v>Correlation</v>
      </c>
    </row>
    <row r="4375" spans="1:13" x14ac:dyDescent="0.2">
      <c r="A4375" s="113"/>
      <c r="B4375" s="58" t="s">
        <v>10911</v>
      </c>
      <c r="C4375" s="58" t="s">
        <v>2030</v>
      </c>
      <c r="D4375" s="58" t="s">
        <v>10912</v>
      </c>
      <c r="E4375" s="60" t="b">
        <v>1</v>
      </c>
      <c r="F4375" s="80" t="s">
        <v>1300</v>
      </c>
      <c r="G4375" s="58" t="s">
        <v>10911</v>
      </c>
      <c r="H4375" s="58" t="s">
        <v>2030</v>
      </c>
      <c r="I4375" s="64" t="s">
        <v>10912</v>
      </c>
      <c r="J4375" s="66"/>
      <c r="K4375" s="66"/>
      <c r="L4375" s="68"/>
      <c r="M4375" s="63" t="str">
        <f>HYPERLINK("http://nsgreg.nga.mil/genc/view?v=866714&amp;end_month=12&amp;end_day=31&amp;end_year=2016","Correlation")</f>
        <v>Correlation</v>
      </c>
    </row>
    <row r="4376" spans="1:13" x14ac:dyDescent="0.2">
      <c r="A4376" s="113"/>
      <c r="B4376" s="58" t="s">
        <v>10913</v>
      </c>
      <c r="C4376" s="58" t="s">
        <v>2030</v>
      </c>
      <c r="D4376" s="58" t="s">
        <v>10914</v>
      </c>
      <c r="E4376" s="60" t="b">
        <v>1</v>
      </c>
      <c r="F4376" s="80" t="s">
        <v>1300</v>
      </c>
      <c r="G4376" s="58" t="s">
        <v>10913</v>
      </c>
      <c r="H4376" s="58" t="s">
        <v>2030</v>
      </c>
      <c r="I4376" s="64" t="s">
        <v>10914</v>
      </c>
      <c r="J4376" s="66"/>
      <c r="K4376" s="66"/>
      <c r="L4376" s="68"/>
      <c r="M4376" s="63" t="str">
        <f>HYPERLINK("http://nsgreg.nga.mil/genc/view?v=866710&amp;end_month=12&amp;end_day=31&amp;end_year=2016","Correlation")</f>
        <v>Correlation</v>
      </c>
    </row>
    <row r="4377" spans="1:13" x14ac:dyDescent="0.2">
      <c r="A4377" s="113"/>
      <c r="B4377" s="58" t="s">
        <v>10915</v>
      </c>
      <c r="C4377" s="58" t="s">
        <v>2030</v>
      </c>
      <c r="D4377" s="58" t="s">
        <v>10916</v>
      </c>
      <c r="E4377" s="60" t="b">
        <v>1</v>
      </c>
      <c r="F4377" s="80" t="s">
        <v>1300</v>
      </c>
      <c r="G4377" s="58" t="s">
        <v>10915</v>
      </c>
      <c r="H4377" s="58" t="s">
        <v>2030</v>
      </c>
      <c r="I4377" s="64" t="s">
        <v>10916</v>
      </c>
      <c r="J4377" s="66"/>
      <c r="K4377" s="66"/>
      <c r="L4377" s="68"/>
      <c r="M4377" s="63" t="str">
        <f>HYPERLINK("http://nsgreg.nga.mil/genc/view?v=866691&amp;end_month=12&amp;end_day=31&amp;end_year=2016","Correlation")</f>
        <v>Correlation</v>
      </c>
    </row>
    <row r="4378" spans="1:13" x14ac:dyDescent="0.2">
      <c r="A4378" s="114"/>
      <c r="B4378" s="71" t="s">
        <v>10917</v>
      </c>
      <c r="C4378" s="71" t="s">
        <v>2030</v>
      </c>
      <c r="D4378" s="71" t="s">
        <v>10918</v>
      </c>
      <c r="E4378" s="73" t="b">
        <v>1</v>
      </c>
      <c r="F4378" s="81" t="s">
        <v>1300</v>
      </c>
      <c r="G4378" s="71" t="s">
        <v>10917</v>
      </c>
      <c r="H4378" s="71" t="s">
        <v>2030</v>
      </c>
      <c r="I4378" s="74" t="s">
        <v>10918</v>
      </c>
      <c r="J4378" s="76"/>
      <c r="K4378" s="76"/>
      <c r="L4378" s="82"/>
      <c r="M4378" s="77" t="str">
        <f>HYPERLINK("http://nsgreg.nga.mil/genc/view?v=866696&amp;end_month=12&amp;end_day=31&amp;end_year=2016","Correlation")</f>
        <v>Correlation</v>
      </c>
    </row>
    <row r="4379" spans="1:13" x14ac:dyDescent="0.2">
      <c r="A4379" s="112" t="s">
        <v>1304</v>
      </c>
      <c r="B4379" s="50" t="s">
        <v>10919</v>
      </c>
      <c r="C4379" s="50" t="s">
        <v>1413</v>
      </c>
      <c r="D4379" s="50" t="s">
        <v>10920</v>
      </c>
      <c r="E4379" s="52" t="b">
        <v>1</v>
      </c>
      <c r="F4379" s="78" t="s">
        <v>1304</v>
      </c>
      <c r="G4379" s="50" t="s">
        <v>10919</v>
      </c>
      <c r="H4379" s="50" t="s">
        <v>1413</v>
      </c>
      <c r="I4379" s="53" t="s">
        <v>10920</v>
      </c>
      <c r="J4379" s="55"/>
      <c r="K4379" s="55"/>
      <c r="L4379" s="79"/>
      <c r="M4379" s="56" t="str">
        <f>HYPERLINK("http://nsgreg.nga.mil/genc/view?v=866720&amp;end_month=12&amp;end_day=31&amp;end_year=2016","Correlation")</f>
        <v>Correlation</v>
      </c>
    </row>
    <row r="4380" spans="1:13" x14ac:dyDescent="0.2">
      <c r="A4380" s="113"/>
      <c r="B4380" s="58" t="s">
        <v>10921</v>
      </c>
      <c r="C4380" s="58" t="s">
        <v>1413</v>
      </c>
      <c r="D4380" s="58" t="s">
        <v>10922</v>
      </c>
      <c r="E4380" s="60" t="b">
        <v>1</v>
      </c>
      <c r="F4380" s="80" t="s">
        <v>1304</v>
      </c>
      <c r="G4380" s="58" t="s">
        <v>10921</v>
      </c>
      <c r="H4380" s="58" t="s">
        <v>1413</v>
      </c>
      <c r="I4380" s="64" t="s">
        <v>10922</v>
      </c>
      <c r="J4380" s="66"/>
      <c r="K4380" s="66"/>
      <c r="L4380" s="68"/>
      <c r="M4380" s="63" t="str">
        <f>HYPERLINK("http://nsgreg.nga.mil/genc/view?v=866721&amp;end_month=12&amp;end_day=31&amp;end_year=2016","Correlation")</f>
        <v>Correlation</v>
      </c>
    </row>
    <row r="4381" spans="1:13" x14ac:dyDescent="0.2">
      <c r="A4381" s="113"/>
      <c r="B4381" s="58" t="s">
        <v>10923</v>
      </c>
      <c r="C4381" s="58" t="s">
        <v>1413</v>
      </c>
      <c r="D4381" s="58" t="s">
        <v>10924</v>
      </c>
      <c r="E4381" s="60" t="b">
        <v>1</v>
      </c>
      <c r="F4381" s="80" t="s">
        <v>1304</v>
      </c>
      <c r="G4381" s="58" t="s">
        <v>10923</v>
      </c>
      <c r="H4381" s="58" t="s">
        <v>1413</v>
      </c>
      <c r="I4381" s="64" t="s">
        <v>10924</v>
      </c>
      <c r="J4381" s="66"/>
      <c r="K4381" s="66"/>
      <c r="L4381" s="68"/>
      <c r="M4381" s="63" t="str">
        <f>HYPERLINK("http://nsgreg.nga.mil/genc/view?v=866722&amp;end_month=12&amp;end_day=31&amp;end_year=2016","Correlation")</f>
        <v>Correlation</v>
      </c>
    </row>
    <row r="4382" spans="1:13" x14ac:dyDescent="0.2">
      <c r="A4382" s="113"/>
      <c r="B4382" s="58" t="s">
        <v>10925</v>
      </c>
      <c r="C4382" s="58" t="s">
        <v>1413</v>
      </c>
      <c r="D4382" s="58" t="s">
        <v>10926</v>
      </c>
      <c r="E4382" s="60" t="b">
        <v>1</v>
      </c>
      <c r="F4382" s="80" t="s">
        <v>1304</v>
      </c>
      <c r="G4382" s="58" t="s">
        <v>10925</v>
      </c>
      <c r="H4382" s="58" t="s">
        <v>1413</v>
      </c>
      <c r="I4382" s="64" t="s">
        <v>10926</v>
      </c>
      <c r="J4382" s="66"/>
      <c r="K4382" s="66"/>
      <c r="L4382" s="68"/>
      <c r="M4382" s="63" t="str">
        <f>HYPERLINK("http://nsgreg.nga.mil/genc/view?v=866723&amp;end_month=12&amp;end_day=31&amp;end_year=2016","Correlation")</f>
        <v>Correlation</v>
      </c>
    </row>
    <row r="4383" spans="1:13" x14ac:dyDescent="0.2">
      <c r="A4383" s="113"/>
      <c r="B4383" s="58" t="s">
        <v>10927</v>
      </c>
      <c r="C4383" s="58" t="s">
        <v>1413</v>
      </c>
      <c r="D4383" s="58" t="s">
        <v>10928</v>
      </c>
      <c r="E4383" s="60" t="b">
        <v>1</v>
      </c>
      <c r="F4383" s="80" t="s">
        <v>1304</v>
      </c>
      <c r="G4383" s="58" t="s">
        <v>10927</v>
      </c>
      <c r="H4383" s="58" t="s">
        <v>1413</v>
      </c>
      <c r="I4383" s="64" t="s">
        <v>10928</v>
      </c>
      <c r="J4383" s="66"/>
      <c r="K4383" s="66"/>
      <c r="L4383" s="68"/>
      <c r="M4383" s="63" t="str">
        <f>HYPERLINK("http://nsgreg.nga.mil/genc/view?v=866787&amp;end_month=12&amp;end_day=31&amp;end_year=2016","Correlation")</f>
        <v>Correlation</v>
      </c>
    </row>
    <row r="4384" spans="1:13" x14ac:dyDescent="0.2">
      <c r="A4384" s="113"/>
      <c r="B4384" s="58" t="s">
        <v>10929</v>
      </c>
      <c r="C4384" s="58" t="s">
        <v>1413</v>
      </c>
      <c r="D4384" s="58" t="s">
        <v>10930</v>
      </c>
      <c r="E4384" s="60" t="b">
        <v>1</v>
      </c>
      <c r="F4384" s="80" t="s">
        <v>1304</v>
      </c>
      <c r="G4384" s="58" t="s">
        <v>10929</v>
      </c>
      <c r="H4384" s="58" t="s">
        <v>1413</v>
      </c>
      <c r="I4384" s="64" t="s">
        <v>10930</v>
      </c>
      <c r="J4384" s="66"/>
      <c r="K4384" s="66"/>
      <c r="L4384" s="68"/>
      <c r="M4384" s="63" t="str">
        <f>HYPERLINK("http://nsgreg.nga.mil/genc/view?v=866724&amp;end_month=12&amp;end_day=31&amp;end_year=2016","Correlation")</f>
        <v>Correlation</v>
      </c>
    </row>
    <row r="4385" spans="1:13" x14ac:dyDescent="0.2">
      <c r="A4385" s="113"/>
      <c r="B4385" s="58" t="s">
        <v>10931</v>
      </c>
      <c r="C4385" s="58" t="s">
        <v>1413</v>
      </c>
      <c r="D4385" s="58" t="s">
        <v>10932</v>
      </c>
      <c r="E4385" s="60" t="b">
        <v>1</v>
      </c>
      <c r="F4385" s="80" t="s">
        <v>1304</v>
      </c>
      <c r="G4385" s="58" t="s">
        <v>10931</v>
      </c>
      <c r="H4385" s="58" t="s">
        <v>1413</v>
      </c>
      <c r="I4385" s="64" t="s">
        <v>10932</v>
      </c>
      <c r="J4385" s="66"/>
      <c r="K4385" s="66"/>
      <c r="L4385" s="68"/>
      <c r="M4385" s="63" t="str">
        <f>HYPERLINK("http://nsgreg.nga.mil/genc/view?v=866725&amp;end_month=12&amp;end_day=31&amp;end_year=2016","Correlation")</f>
        <v>Correlation</v>
      </c>
    </row>
    <row r="4386" spans="1:13" x14ac:dyDescent="0.2">
      <c r="A4386" s="113"/>
      <c r="B4386" s="58" t="s">
        <v>10933</v>
      </c>
      <c r="C4386" s="58" t="s">
        <v>1413</v>
      </c>
      <c r="D4386" s="58" t="s">
        <v>10934</v>
      </c>
      <c r="E4386" s="60" t="b">
        <v>1</v>
      </c>
      <c r="F4386" s="80" t="s">
        <v>1304</v>
      </c>
      <c r="G4386" s="58" t="s">
        <v>10933</v>
      </c>
      <c r="H4386" s="58" t="s">
        <v>1413</v>
      </c>
      <c r="I4386" s="64" t="s">
        <v>10934</v>
      </c>
      <c r="J4386" s="66"/>
      <c r="K4386" s="66"/>
      <c r="L4386" s="68"/>
      <c r="M4386" s="63" t="str">
        <f>HYPERLINK("http://nsgreg.nga.mil/genc/view?v=866726&amp;end_month=12&amp;end_day=31&amp;end_year=2016","Correlation")</f>
        <v>Correlation</v>
      </c>
    </row>
    <row r="4387" spans="1:13" x14ac:dyDescent="0.2">
      <c r="A4387" s="113"/>
      <c r="B4387" s="58" t="s">
        <v>10935</v>
      </c>
      <c r="C4387" s="58" t="s">
        <v>1413</v>
      </c>
      <c r="D4387" s="58" t="s">
        <v>10936</v>
      </c>
      <c r="E4387" s="60" t="b">
        <v>1</v>
      </c>
      <c r="F4387" s="80" t="s">
        <v>1304</v>
      </c>
      <c r="G4387" s="58" t="s">
        <v>10935</v>
      </c>
      <c r="H4387" s="58" t="s">
        <v>1413</v>
      </c>
      <c r="I4387" s="64" t="s">
        <v>10936</v>
      </c>
      <c r="J4387" s="66"/>
      <c r="K4387" s="66"/>
      <c r="L4387" s="68"/>
      <c r="M4387" s="63" t="str">
        <f>HYPERLINK("http://nsgreg.nga.mil/genc/view?v=866794&amp;end_month=12&amp;end_day=31&amp;end_year=2016","Correlation")</f>
        <v>Correlation</v>
      </c>
    </row>
    <row r="4388" spans="1:13" x14ac:dyDescent="0.2">
      <c r="A4388" s="113"/>
      <c r="B4388" s="58" t="s">
        <v>10937</v>
      </c>
      <c r="C4388" s="58" t="s">
        <v>1413</v>
      </c>
      <c r="D4388" s="58" t="s">
        <v>10938</v>
      </c>
      <c r="E4388" s="60" t="b">
        <v>1</v>
      </c>
      <c r="F4388" s="80" t="s">
        <v>1304</v>
      </c>
      <c r="G4388" s="58" t="s">
        <v>10937</v>
      </c>
      <c r="H4388" s="58" t="s">
        <v>1413</v>
      </c>
      <c r="I4388" s="64" t="s">
        <v>10938</v>
      </c>
      <c r="J4388" s="66"/>
      <c r="K4388" s="66"/>
      <c r="L4388" s="68"/>
      <c r="M4388" s="63" t="str">
        <f>HYPERLINK("http://nsgreg.nga.mil/genc/view?v=866727&amp;end_month=12&amp;end_day=31&amp;end_year=2016","Correlation")</f>
        <v>Correlation</v>
      </c>
    </row>
    <row r="4389" spans="1:13" x14ac:dyDescent="0.2">
      <c r="A4389" s="113"/>
      <c r="B4389" s="58" t="s">
        <v>10939</v>
      </c>
      <c r="C4389" s="58" t="s">
        <v>1413</v>
      </c>
      <c r="D4389" s="58" t="s">
        <v>10940</v>
      </c>
      <c r="E4389" s="60" t="b">
        <v>1</v>
      </c>
      <c r="F4389" s="80" t="s">
        <v>1304</v>
      </c>
      <c r="G4389" s="58" t="s">
        <v>10939</v>
      </c>
      <c r="H4389" s="58" t="s">
        <v>1413</v>
      </c>
      <c r="I4389" s="64" t="s">
        <v>10940</v>
      </c>
      <c r="J4389" s="66"/>
      <c r="K4389" s="66"/>
      <c r="L4389" s="68"/>
      <c r="M4389" s="63" t="str">
        <f>HYPERLINK("http://nsgreg.nga.mil/genc/view?v=866728&amp;end_month=12&amp;end_day=31&amp;end_year=2016","Correlation")</f>
        <v>Correlation</v>
      </c>
    </row>
    <row r="4390" spans="1:13" x14ac:dyDescent="0.2">
      <c r="A4390" s="113"/>
      <c r="B4390" s="58" t="s">
        <v>10941</v>
      </c>
      <c r="C4390" s="58" t="s">
        <v>1413</v>
      </c>
      <c r="D4390" s="58" t="s">
        <v>10942</v>
      </c>
      <c r="E4390" s="60" t="b">
        <v>1</v>
      </c>
      <c r="F4390" s="80" t="s">
        <v>1304</v>
      </c>
      <c r="G4390" s="58" t="s">
        <v>10941</v>
      </c>
      <c r="H4390" s="58" t="s">
        <v>1413</v>
      </c>
      <c r="I4390" s="64" t="s">
        <v>10942</v>
      </c>
      <c r="J4390" s="66"/>
      <c r="K4390" s="66"/>
      <c r="L4390" s="68"/>
      <c r="M4390" s="63" t="str">
        <f>HYPERLINK("http://nsgreg.nga.mil/genc/view?v=866729&amp;end_month=12&amp;end_day=31&amp;end_year=2016","Correlation")</f>
        <v>Correlation</v>
      </c>
    </row>
    <row r="4391" spans="1:13" x14ac:dyDescent="0.2">
      <c r="A4391" s="113"/>
      <c r="B4391" s="58" t="s">
        <v>10943</v>
      </c>
      <c r="C4391" s="58" t="s">
        <v>1413</v>
      </c>
      <c r="D4391" s="58" t="s">
        <v>10944</v>
      </c>
      <c r="E4391" s="60" t="b">
        <v>1</v>
      </c>
      <c r="F4391" s="80" t="s">
        <v>1304</v>
      </c>
      <c r="G4391" s="58" t="s">
        <v>10943</v>
      </c>
      <c r="H4391" s="58" t="s">
        <v>1413</v>
      </c>
      <c r="I4391" s="64" t="s">
        <v>10944</v>
      </c>
      <c r="J4391" s="66"/>
      <c r="K4391" s="66"/>
      <c r="L4391" s="68"/>
      <c r="M4391" s="63" t="str">
        <f>HYPERLINK("http://nsgreg.nga.mil/genc/view?v=866793&amp;end_month=12&amp;end_day=31&amp;end_year=2016","Correlation")</f>
        <v>Correlation</v>
      </c>
    </row>
    <row r="4392" spans="1:13" x14ac:dyDescent="0.2">
      <c r="A4392" s="113"/>
      <c r="B4392" s="58" t="s">
        <v>10945</v>
      </c>
      <c r="C4392" s="58" t="s">
        <v>1413</v>
      </c>
      <c r="D4392" s="58" t="s">
        <v>10946</v>
      </c>
      <c r="E4392" s="60" t="b">
        <v>1</v>
      </c>
      <c r="F4392" s="80" t="s">
        <v>1304</v>
      </c>
      <c r="G4392" s="58" t="s">
        <v>10945</v>
      </c>
      <c r="H4392" s="58" t="s">
        <v>1413</v>
      </c>
      <c r="I4392" s="64" t="s">
        <v>10946</v>
      </c>
      <c r="J4392" s="66"/>
      <c r="K4392" s="66"/>
      <c r="L4392" s="68"/>
      <c r="M4392" s="63" t="str">
        <f>HYPERLINK("http://nsgreg.nga.mil/genc/view?v=866791&amp;end_month=12&amp;end_day=31&amp;end_year=2016","Correlation")</f>
        <v>Correlation</v>
      </c>
    </row>
    <row r="4393" spans="1:13" x14ac:dyDescent="0.2">
      <c r="A4393" s="113"/>
      <c r="B4393" s="58" t="s">
        <v>10947</v>
      </c>
      <c r="C4393" s="58" t="s">
        <v>1413</v>
      </c>
      <c r="D4393" s="58" t="s">
        <v>10948</v>
      </c>
      <c r="E4393" s="60" t="b">
        <v>1</v>
      </c>
      <c r="F4393" s="80" t="s">
        <v>1304</v>
      </c>
      <c r="G4393" s="58" t="s">
        <v>10947</v>
      </c>
      <c r="H4393" s="58" t="s">
        <v>1413</v>
      </c>
      <c r="I4393" s="64" t="s">
        <v>10948</v>
      </c>
      <c r="J4393" s="66"/>
      <c r="K4393" s="66"/>
      <c r="L4393" s="68"/>
      <c r="M4393" s="63" t="str">
        <f>HYPERLINK("http://nsgreg.nga.mil/genc/view?v=866788&amp;end_month=12&amp;end_day=31&amp;end_year=2016","Correlation")</f>
        <v>Correlation</v>
      </c>
    </row>
    <row r="4394" spans="1:13" x14ac:dyDescent="0.2">
      <c r="A4394" s="113"/>
      <c r="B4394" s="58" t="s">
        <v>10949</v>
      </c>
      <c r="C4394" s="58" t="s">
        <v>1413</v>
      </c>
      <c r="D4394" s="58" t="s">
        <v>10950</v>
      </c>
      <c r="E4394" s="60" t="b">
        <v>1</v>
      </c>
      <c r="F4394" s="80" t="s">
        <v>1304</v>
      </c>
      <c r="G4394" s="58" t="s">
        <v>10949</v>
      </c>
      <c r="H4394" s="58" t="s">
        <v>1413</v>
      </c>
      <c r="I4394" s="64" t="s">
        <v>10950</v>
      </c>
      <c r="J4394" s="66"/>
      <c r="K4394" s="66"/>
      <c r="L4394" s="68"/>
      <c r="M4394" s="63" t="str">
        <f>HYPERLINK("http://nsgreg.nga.mil/genc/view?v=866730&amp;end_month=12&amp;end_day=31&amp;end_year=2016","Correlation")</f>
        <v>Correlation</v>
      </c>
    </row>
    <row r="4395" spans="1:13" x14ac:dyDescent="0.2">
      <c r="A4395" s="113"/>
      <c r="B4395" s="58" t="s">
        <v>10951</v>
      </c>
      <c r="C4395" s="58" t="s">
        <v>1413</v>
      </c>
      <c r="D4395" s="58" t="s">
        <v>10952</v>
      </c>
      <c r="E4395" s="60" t="b">
        <v>1</v>
      </c>
      <c r="F4395" s="80" t="s">
        <v>1304</v>
      </c>
      <c r="G4395" s="58" t="s">
        <v>10951</v>
      </c>
      <c r="H4395" s="58" t="s">
        <v>1413</v>
      </c>
      <c r="I4395" s="64" t="s">
        <v>10952</v>
      </c>
      <c r="J4395" s="66"/>
      <c r="K4395" s="66"/>
      <c r="L4395" s="68"/>
      <c r="M4395" s="63" t="str">
        <f>HYPERLINK("http://nsgreg.nga.mil/genc/view?v=866731&amp;end_month=12&amp;end_day=31&amp;end_year=2016","Correlation")</f>
        <v>Correlation</v>
      </c>
    </row>
    <row r="4396" spans="1:13" x14ac:dyDescent="0.2">
      <c r="A4396" s="113"/>
      <c r="B4396" s="58" t="s">
        <v>10953</v>
      </c>
      <c r="C4396" s="58" t="s">
        <v>1413</v>
      </c>
      <c r="D4396" s="58" t="s">
        <v>10954</v>
      </c>
      <c r="E4396" s="60" t="b">
        <v>1</v>
      </c>
      <c r="F4396" s="80" t="s">
        <v>1304</v>
      </c>
      <c r="G4396" s="58" t="s">
        <v>10953</v>
      </c>
      <c r="H4396" s="58" t="s">
        <v>1413</v>
      </c>
      <c r="I4396" s="64" t="s">
        <v>10954</v>
      </c>
      <c r="J4396" s="66"/>
      <c r="K4396" s="66"/>
      <c r="L4396" s="68"/>
      <c r="M4396" s="63" t="str">
        <f>HYPERLINK("http://nsgreg.nga.mil/genc/view?v=866732&amp;end_month=12&amp;end_day=31&amp;end_year=2016","Correlation")</f>
        <v>Correlation</v>
      </c>
    </row>
    <row r="4397" spans="1:13" x14ac:dyDescent="0.2">
      <c r="A4397" s="113"/>
      <c r="B4397" s="58" t="s">
        <v>10955</v>
      </c>
      <c r="C4397" s="58" t="s">
        <v>1413</v>
      </c>
      <c r="D4397" s="58" t="s">
        <v>10956</v>
      </c>
      <c r="E4397" s="60" t="b">
        <v>1</v>
      </c>
      <c r="F4397" s="80" t="s">
        <v>1304</v>
      </c>
      <c r="G4397" s="58" t="s">
        <v>10955</v>
      </c>
      <c r="H4397" s="58" t="s">
        <v>1413</v>
      </c>
      <c r="I4397" s="64" t="s">
        <v>10956</v>
      </c>
      <c r="J4397" s="66"/>
      <c r="K4397" s="66"/>
      <c r="L4397" s="68"/>
      <c r="M4397" s="63" t="str">
        <f>HYPERLINK("http://nsgreg.nga.mil/genc/view?v=866733&amp;end_month=12&amp;end_day=31&amp;end_year=2016","Correlation")</f>
        <v>Correlation</v>
      </c>
    </row>
    <row r="4398" spans="1:13" x14ac:dyDescent="0.2">
      <c r="A4398" s="113"/>
      <c r="B4398" s="58" t="s">
        <v>10957</v>
      </c>
      <c r="C4398" s="58" t="s">
        <v>1413</v>
      </c>
      <c r="D4398" s="58" t="s">
        <v>10958</v>
      </c>
      <c r="E4398" s="60" t="b">
        <v>1</v>
      </c>
      <c r="F4398" s="80" t="s">
        <v>1304</v>
      </c>
      <c r="G4398" s="58" t="s">
        <v>10957</v>
      </c>
      <c r="H4398" s="58" t="s">
        <v>1413</v>
      </c>
      <c r="I4398" s="64" t="s">
        <v>10958</v>
      </c>
      <c r="J4398" s="66"/>
      <c r="K4398" s="66"/>
      <c r="L4398" s="68"/>
      <c r="M4398" s="63" t="str">
        <f>HYPERLINK("http://nsgreg.nga.mil/genc/view?v=866734&amp;end_month=12&amp;end_day=31&amp;end_year=2016","Correlation")</f>
        <v>Correlation</v>
      </c>
    </row>
    <row r="4399" spans="1:13" x14ac:dyDescent="0.2">
      <c r="A4399" s="113"/>
      <c r="B4399" s="58" t="s">
        <v>10959</v>
      </c>
      <c r="C4399" s="58" t="s">
        <v>1413</v>
      </c>
      <c r="D4399" s="58" t="s">
        <v>10960</v>
      </c>
      <c r="E4399" s="60" t="b">
        <v>1</v>
      </c>
      <c r="F4399" s="80" t="s">
        <v>1304</v>
      </c>
      <c r="G4399" s="58" t="s">
        <v>10959</v>
      </c>
      <c r="H4399" s="58" t="s">
        <v>1413</v>
      </c>
      <c r="I4399" s="64" t="s">
        <v>10960</v>
      </c>
      <c r="J4399" s="66"/>
      <c r="K4399" s="66"/>
      <c r="L4399" s="68"/>
      <c r="M4399" s="63" t="str">
        <f>HYPERLINK("http://nsgreg.nga.mil/genc/view?v=866735&amp;end_month=12&amp;end_day=31&amp;end_year=2016","Correlation")</f>
        <v>Correlation</v>
      </c>
    </row>
    <row r="4400" spans="1:13" x14ac:dyDescent="0.2">
      <c r="A4400" s="113"/>
      <c r="B4400" s="58" t="s">
        <v>10961</v>
      </c>
      <c r="C4400" s="58" t="s">
        <v>1413</v>
      </c>
      <c r="D4400" s="58" t="s">
        <v>10962</v>
      </c>
      <c r="E4400" s="60" t="b">
        <v>1</v>
      </c>
      <c r="F4400" s="80" t="s">
        <v>1304</v>
      </c>
      <c r="G4400" s="58" t="s">
        <v>10961</v>
      </c>
      <c r="H4400" s="58" t="s">
        <v>1413</v>
      </c>
      <c r="I4400" s="64" t="s">
        <v>10962</v>
      </c>
      <c r="J4400" s="66"/>
      <c r="K4400" s="66"/>
      <c r="L4400" s="68"/>
      <c r="M4400" s="63" t="str">
        <f>HYPERLINK("http://nsgreg.nga.mil/genc/view?v=866736&amp;end_month=12&amp;end_day=31&amp;end_year=2016","Correlation")</f>
        <v>Correlation</v>
      </c>
    </row>
    <row r="4401" spans="1:13" x14ac:dyDescent="0.2">
      <c r="A4401" s="113"/>
      <c r="B4401" s="58" t="s">
        <v>10963</v>
      </c>
      <c r="C4401" s="58" t="s">
        <v>1413</v>
      </c>
      <c r="D4401" s="58" t="s">
        <v>10964</v>
      </c>
      <c r="E4401" s="60" t="b">
        <v>1</v>
      </c>
      <c r="F4401" s="80" t="s">
        <v>1304</v>
      </c>
      <c r="G4401" s="58" t="s">
        <v>10963</v>
      </c>
      <c r="H4401" s="58" t="s">
        <v>1413</v>
      </c>
      <c r="I4401" s="64" t="s">
        <v>10964</v>
      </c>
      <c r="J4401" s="66"/>
      <c r="K4401" s="66"/>
      <c r="L4401" s="68"/>
      <c r="M4401" s="63" t="str">
        <f>HYPERLINK("http://nsgreg.nga.mil/genc/view?v=866737&amp;end_month=12&amp;end_day=31&amp;end_year=2016","Correlation")</f>
        <v>Correlation</v>
      </c>
    </row>
    <row r="4402" spans="1:13" x14ac:dyDescent="0.2">
      <c r="A4402" s="113"/>
      <c r="B4402" s="58" t="s">
        <v>10965</v>
      </c>
      <c r="C4402" s="58" t="s">
        <v>1413</v>
      </c>
      <c r="D4402" s="58" t="s">
        <v>10966</v>
      </c>
      <c r="E4402" s="60" t="b">
        <v>1</v>
      </c>
      <c r="F4402" s="80" t="s">
        <v>1304</v>
      </c>
      <c r="G4402" s="58" t="s">
        <v>10965</v>
      </c>
      <c r="H4402" s="58" t="s">
        <v>1413</v>
      </c>
      <c r="I4402" s="64" t="s">
        <v>10966</v>
      </c>
      <c r="J4402" s="66"/>
      <c r="K4402" s="66"/>
      <c r="L4402" s="68"/>
      <c r="M4402" s="63" t="str">
        <f>HYPERLINK("http://nsgreg.nga.mil/genc/view?v=866738&amp;end_month=12&amp;end_day=31&amp;end_year=2016","Correlation")</f>
        <v>Correlation</v>
      </c>
    </row>
    <row r="4403" spans="1:13" x14ac:dyDescent="0.2">
      <c r="A4403" s="113"/>
      <c r="B4403" s="58" t="s">
        <v>10967</v>
      </c>
      <c r="C4403" s="58" t="s">
        <v>1413</v>
      </c>
      <c r="D4403" s="58" t="s">
        <v>10968</v>
      </c>
      <c r="E4403" s="60" t="b">
        <v>1</v>
      </c>
      <c r="F4403" s="80" t="s">
        <v>1304</v>
      </c>
      <c r="G4403" s="58" t="s">
        <v>10967</v>
      </c>
      <c r="H4403" s="58" t="s">
        <v>1413</v>
      </c>
      <c r="I4403" s="64" t="s">
        <v>10968</v>
      </c>
      <c r="J4403" s="66"/>
      <c r="K4403" s="66"/>
      <c r="L4403" s="68"/>
      <c r="M4403" s="63" t="str">
        <f>HYPERLINK("http://nsgreg.nga.mil/genc/view?v=866739&amp;end_month=12&amp;end_day=31&amp;end_year=2016","Correlation")</f>
        <v>Correlation</v>
      </c>
    </row>
    <row r="4404" spans="1:13" x14ac:dyDescent="0.2">
      <c r="A4404" s="113"/>
      <c r="B4404" s="58" t="s">
        <v>10969</v>
      </c>
      <c r="C4404" s="58" t="s">
        <v>1413</v>
      </c>
      <c r="D4404" s="58" t="s">
        <v>10970</v>
      </c>
      <c r="E4404" s="60" t="b">
        <v>1</v>
      </c>
      <c r="F4404" s="80" t="s">
        <v>1304</v>
      </c>
      <c r="G4404" s="58" t="s">
        <v>10969</v>
      </c>
      <c r="H4404" s="58" t="s">
        <v>1413</v>
      </c>
      <c r="I4404" s="64" t="s">
        <v>10970</v>
      </c>
      <c r="J4404" s="66"/>
      <c r="K4404" s="66"/>
      <c r="L4404" s="68"/>
      <c r="M4404" s="63" t="str">
        <f>HYPERLINK("http://nsgreg.nga.mil/genc/view?v=866740&amp;end_month=12&amp;end_day=31&amp;end_year=2016","Correlation")</f>
        <v>Correlation</v>
      </c>
    </row>
    <row r="4405" spans="1:13" x14ac:dyDescent="0.2">
      <c r="A4405" s="113"/>
      <c r="B4405" s="58" t="s">
        <v>10971</v>
      </c>
      <c r="C4405" s="58" t="s">
        <v>1413</v>
      </c>
      <c r="D4405" s="58" t="s">
        <v>10972</v>
      </c>
      <c r="E4405" s="60" t="b">
        <v>1</v>
      </c>
      <c r="F4405" s="80" t="s">
        <v>1304</v>
      </c>
      <c r="G4405" s="58" t="s">
        <v>10971</v>
      </c>
      <c r="H4405" s="58" t="s">
        <v>1413</v>
      </c>
      <c r="I4405" s="64" t="s">
        <v>10972</v>
      </c>
      <c r="J4405" s="66"/>
      <c r="K4405" s="66"/>
      <c r="L4405" s="68"/>
      <c r="M4405" s="63" t="str">
        <f>HYPERLINK("http://nsgreg.nga.mil/genc/view?v=866800&amp;end_month=12&amp;end_day=31&amp;end_year=2016","Correlation")</f>
        <v>Correlation</v>
      </c>
    </row>
    <row r="4406" spans="1:13" x14ac:dyDescent="0.2">
      <c r="A4406" s="113"/>
      <c r="B4406" s="58" t="s">
        <v>10973</v>
      </c>
      <c r="C4406" s="58" t="s">
        <v>1413</v>
      </c>
      <c r="D4406" s="58" t="s">
        <v>10974</v>
      </c>
      <c r="E4406" s="60" t="b">
        <v>1</v>
      </c>
      <c r="F4406" s="80" t="s">
        <v>1304</v>
      </c>
      <c r="G4406" s="58" t="s">
        <v>10973</v>
      </c>
      <c r="H4406" s="58" t="s">
        <v>1413</v>
      </c>
      <c r="I4406" s="64" t="s">
        <v>10974</v>
      </c>
      <c r="J4406" s="66"/>
      <c r="K4406" s="66"/>
      <c r="L4406" s="68"/>
      <c r="M4406" s="63" t="str">
        <f>HYPERLINK("http://nsgreg.nga.mil/genc/view?v=866741&amp;end_month=12&amp;end_day=31&amp;end_year=2016","Correlation")</f>
        <v>Correlation</v>
      </c>
    </row>
    <row r="4407" spans="1:13" x14ac:dyDescent="0.2">
      <c r="A4407" s="113"/>
      <c r="B4407" s="58" t="s">
        <v>10975</v>
      </c>
      <c r="C4407" s="58" t="s">
        <v>1413</v>
      </c>
      <c r="D4407" s="58" t="s">
        <v>10976</v>
      </c>
      <c r="E4407" s="60" t="b">
        <v>1</v>
      </c>
      <c r="F4407" s="80" t="s">
        <v>1304</v>
      </c>
      <c r="G4407" s="58" t="s">
        <v>10975</v>
      </c>
      <c r="H4407" s="58" t="s">
        <v>1413</v>
      </c>
      <c r="I4407" s="64" t="s">
        <v>10976</v>
      </c>
      <c r="J4407" s="66"/>
      <c r="K4407" s="66"/>
      <c r="L4407" s="68"/>
      <c r="M4407" s="63" t="str">
        <f>HYPERLINK("http://nsgreg.nga.mil/genc/view?v=866742&amp;end_month=12&amp;end_day=31&amp;end_year=2016","Correlation")</f>
        <v>Correlation</v>
      </c>
    </row>
    <row r="4408" spans="1:13" x14ac:dyDescent="0.2">
      <c r="A4408" s="113"/>
      <c r="B4408" s="58" t="s">
        <v>10977</v>
      </c>
      <c r="C4408" s="58" t="s">
        <v>1413</v>
      </c>
      <c r="D4408" s="58" t="s">
        <v>10978</v>
      </c>
      <c r="E4408" s="60" t="b">
        <v>1</v>
      </c>
      <c r="F4408" s="80" t="s">
        <v>1304</v>
      </c>
      <c r="G4408" s="58" t="s">
        <v>10977</v>
      </c>
      <c r="H4408" s="58" t="s">
        <v>1413</v>
      </c>
      <c r="I4408" s="64" t="s">
        <v>10978</v>
      </c>
      <c r="J4408" s="66"/>
      <c r="K4408" s="66"/>
      <c r="L4408" s="68"/>
      <c r="M4408" s="63" t="str">
        <f>HYPERLINK("http://nsgreg.nga.mil/genc/view?v=866743&amp;end_month=12&amp;end_day=31&amp;end_year=2016","Correlation")</f>
        <v>Correlation</v>
      </c>
    </row>
    <row r="4409" spans="1:13" x14ac:dyDescent="0.2">
      <c r="A4409" s="113"/>
      <c r="B4409" s="58" t="s">
        <v>10979</v>
      </c>
      <c r="C4409" s="58" t="s">
        <v>1413</v>
      </c>
      <c r="D4409" s="58" t="s">
        <v>10980</v>
      </c>
      <c r="E4409" s="60" t="b">
        <v>1</v>
      </c>
      <c r="F4409" s="80" t="s">
        <v>1304</v>
      </c>
      <c r="G4409" s="58" t="s">
        <v>10979</v>
      </c>
      <c r="H4409" s="58" t="s">
        <v>1413</v>
      </c>
      <c r="I4409" s="64" t="s">
        <v>10980</v>
      </c>
      <c r="J4409" s="66"/>
      <c r="K4409" s="66"/>
      <c r="L4409" s="68"/>
      <c r="M4409" s="63" t="str">
        <f>HYPERLINK("http://nsgreg.nga.mil/genc/view?v=866744&amp;end_month=12&amp;end_day=31&amp;end_year=2016","Correlation")</f>
        <v>Correlation</v>
      </c>
    </row>
    <row r="4410" spans="1:13" x14ac:dyDescent="0.2">
      <c r="A4410" s="113"/>
      <c r="B4410" s="58" t="s">
        <v>10981</v>
      </c>
      <c r="C4410" s="58" t="s">
        <v>1413</v>
      </c>
      <c r="D4410" s="58" t="s">
        <v>10982</v>
      </c>
      <c r="E4410" s="60" t="b">
        <v>1</v>
      </c>
      <c r="F4410" s="80" t="s">
        <v>1304</v>
      </c>
      <c r="G4410" s="58" t="s">
        <v>10981</v>
      </c>
      <c r="H4410" s="58" t="s">
        <v>1413</v>
      </c>
      <c r="I4410" s="64" t="s">
        <v>10982</v>
      </c>
      <c r="J4410" s="66"/>
      <c r="K4410" s="66"/>
      <c r="L4410" s="68"/>
      <c r="M4410" s="63" t="str">
        <f>HYPERLINK("http://nsgreg.nga.mil/genc/view?v=866745&amp;end_month=12&amp;end_day=31&amp;end_year=2016","Correlation")</f>
        <v>Correlation</v>
      </c>
    </row>
    <row r="4411" spans="1:13" x14ac:dyDescent="0.2">
      <c r="A4411" s="113"/>
      <c r="B4411" s="58" t="s">
        <v>10983</v>
      </c>
      <c r="C4411" s="58" t="s">
        <v>1413</v>
      </c>
      <c r="D4411" s="58" t="s">
        <v>10984</v>
      </c>
      <c r="E4411" s="60" t="b">
        <v>1</v>
      </c>
      <c r="F4411" s="80" t="s">
        <v>1304</v>
      </c>
      <c r="G4411" s="58" t="s">
        <v>10983</v>
      </c>
      <c r="H4411" s="58" t="s">
        <v>1413</v>
      </c>
      <c r="I4411" s="64" t="s">
        <v>10984</v>
      </c>
      <c r="J4411" s="66"/>
      <c r="K4411" s="66"/>
      <c r="L4411" s="68"/>
      <c r="M4411" s="63" t="str">
        <f>HYPERLINK("http://nsgreg.nga.mil/genc/view?v=866746&amp;end_month=12&amp;end_day=31&amp;end_year=2016","Correlation")</f>
        <v>Correlation</v>
      </c>
    </row>
    <row r="4412" spans="1:13" x14ac:dyDescent="0.2">
      <c r="A4412" s="113"/>
      <c r="B4412" s="58" t="s">
        <v>10985</v>
      </c>
      <c r="C4412" s="58" t="s">
        <v>1413</v>
      </c>
      <c r="D4412" s="58" t="s">
        <v>10986</v>
      </c>
      <c r="E4412" s="60" t="b">
        <v>1</v>
      </c>
      <c r="F4412" s="80" t="s">
        <v>1304</v>
      </c>
      <c r="G4412" s="58" t="s">
        <v>10985</v>
      </c>
      <c r="H4412" s="58" t="s">
        <v>1413</v>
      </c>
      <c r="I4412" s="64" t="s">
        <v>10986</v>
      </c>
      <c r="J4412" s="66"/>
      <c r="K4412" s="66"/>
      <c r="L4412" s="68"/>
      <c r="M4412" s="63" t="str">
        <f>HYPERLINK("http://nsgreg.nga.mil/genc/view?v=866747&amp;end_month=12&amp;end_day=31&amp;end_year=2016","Correlation")</f>
        <v>Correlation</v>
      </c>
    </row>
    <row r="4413" spans="1:13" x14ac:dyDescent="0.2">
      <c r="A4413" s="113"/>
      <c r="B4413" s="58" t="s">
        <v>10987</v>
      </c>
      <c r="C4413" s="58" t="s">
        <v>1413</v>
      </c>
      <c r="D4413" s="58" t="s">
        <v>10988</v>
      </c>
      <c r="E4413" s="60" t="b">
        <v>1</v>
      </c>
      <c r="F4413" s="80" t="s">
        <v>1304</v>
      </c>
      <c r="G4413" s="58" t="s">
        <v>10987</v>
      </c>
      <c r="H4413" s="58" t="s">
        <v>1413</v>
      </c>
      <c r="I4413" s="64" t="s">
        <v>10988</v>
      </c>
      <c r="J4413" s="66"/>
      <c r="K4413" s="66"/>
      <c r="L4413" s="68"/>
      <c r="M4413" s="63" t="str">
        <f>HYPERLINK("http://nsgreg.nga.mil/genc/view?v=866748&amp;end_month=12&amp;end_day=31&amp;end_year=2016","Correlation")</f>
        <v>Correlation</v>
      </c>
    </row>
    <row r="4414" spans="1:13" x14ac:dyDescent="0.2">
      <c r="A4414" s="113"/>
      <c r="B4414" s="58" t="s">
        <v>10989</v>
      </c>
      <c r="C4414" s="58" t="s">
        <v>1413</v>
      </c>
      <c r="D4414" s="58" t="s">
        <v>10990</v>
      </c>
      <c r="E4414" s="60" t="b">
        <v>1</v>
      </c>
      <c r="F4414" s="80" t="s">
        <v>1304</v>
      </c>
      <c r="G4414" s="58" t="s">
        <v>10989</v>
      </c>
      <c r="H4414" s="58" t="s">
        <v>1413</v>
      </c>
      <c r="I4414" s="64" t="s">
        <v>10990</v>
      </c>
      <c r="J4414" s="66"/>
      <c r="K4414" s="66"/>
      <c r="L4414" s="68"/>
      <c r="M4414" s="63" t="str">
        <f>HYPERLINK("http://nsgreg.nga.mil/genc/view?v=866749&amp;end_month=12&amp;end_day=31&amp;end_year=2016","Correlation")</f>
        <v>Correlation</v>
      </c>
    </row>
    <row r="4415" spans="1:13" x14ac:dyDescent="0.2">
      <c r="A4415" s="113"/>
      <c r="B4415" s="58" t="s">
        <v>10991</v>
      </c>
      <c r="C4415" s="58" t="s">
        <v>1413</v>
      </c>
      <c r="D4415" s="58" t="s">
        <v>10992</v>
      </c>
      <c r="E4415" s="60" t="b">
        <v>1</v>
      </c>
      <c r="F4415" s="80" t="s">
        <v>1304</v>
      </c>
      <c r="G4415" s="58" t="s">
        <v>10991</v>
      </c>
      <c r="H4415" s="58" t="s">
        <v>1413</v>
      </c>
      <c r="I4415" s="64" t="s">
        <v>10992</v>
      </c>
      <c r="J4415" s="66"/>
      <c r="K4415" s="66"/>
      <c r="L4415" s="68"/>
      <c r="M4415" s="63" t="str">
        <f>HYPERLINK("http://nsgreg.nga.mil/genc/view?v=866750&amp;end_month=12&amp;end_day=31&amp;end_year=2016","Correlation")</f>
        <v>Correlation</v>
      </c>
    </row>
    <row r="4416" spans="1:13" x14ac:dyDescent="0.2">
      <c r="A4416" s="113"/>
      <c r="B4416" s="58" t="s">
        <v>10993</v>
      </c>
      <c r="C4416" s="58" t="s">
        <v>1413</v>
      </c>
      <c r="D4416" s="58" t="s">
        <v>10994</v>
      </c>
      <c r="E4416" s="60" t="b">
        <v>1</v>
      </c>
      <c r="F4416" s="80" t="s">
        <v>1304</v>
      </c>
      <c r="G4416" s="58" t="s">
        <v>10993</v>
      </c>
      <c r="H4416" s="58" t="s">
        <v>1413</v>
      </c>
      <c r="I4416" s="64" t="s">
        <v>10994</v>
      </c>
      <c r="J4416" s="66"/>
      <c r="K4416" s="66"/>
      <c r="L4416" s="68"/>
      <c r="M4416" s="63" t="str">
        <f>HYPERLINK("http://nsgreg.nga.mil/genc/view?v=866795&amp;end_month=12&amp;end_day=31&amp;end_year=2016","Correlation")</f>
        <v>Correlation</v>
      </c>
    </row>
    <row r="4417" spans="1:13" x14ac:dyDescent="0.2">
      <c r="A4417" s="113"/>
      <c r="B4417" s="58" t="s">
        <v>10995</v>
      </c>
      <c r="C4417" s="58" t="s">
        <v>1413</v>
      </c>
      <c r="D4417" s="58" t="s">
        <v>10996</v>
      </c>
      <c r="E4417" s="60" t="b">
        <v>1</v>
      </c>
      <c r="F4417" s="80" t="s">
        <v>1304</v>
      </c>
      <c r="G4417" s="58" t="s">
        <v>10995</v>
      </c>
      <c r="H4417" s="58" t="s">
        <v>1413</v>
      </c>
      <c r="I4417" s="64" t="s">
        <v>10996</v>
      </c>
      <c r="J4417" s="66"/>
      <c r="K4417" s="66"/>
      <c r="L4417" s="68"/>
      <c r="M4417" s="63" t="str">
        <f>HYPERLINK("http://nsgreg.nga.mil/genc/view?v=866751&amp;end_month=12&amp;end_day=31&amp;end_year=2016","Correlation")</f>
        <v>Correlation</v>
      </c>
    </row>
    <row r="4418" spans="1:13" x14ac:dyDescent="0.2">
      <c r="A4418" s="113"/>
      <c r="B4418" s="58" t="s">
        <v>10997</v>
      </c>
      <c r="C4418" s="58" t="s">
        <v>1413</v>
      </c>
      <c r="D4418" s="58" t="s">
        <v>10998</v>
      </c>
      <c r="E4418" s="60" t="b">
        <v>1</v>
      </c>
      <c r="F4418" s="80" t="s">
        <v>1304</v>
      </c>
      <c r="G4418" s="58" t="s">
        <v>10997</v>
      </c>
      <c r="H4418" s="58" t="s">
        <v>1413</v>
      </c>
      <c r="I4418" s="64" t="s">
        <v>10998</v>
      </c>
      <c r="J4418" s="66"/>
      <c r="K4418" s="66"/>
      <c r="L4418" s="68"/>
      <c r="M4418" s="63" t="str">
        <f>HYPERLINK("http://nsgreg.nga.mil/genc/view?v=866753&amp;end_month=12&amp;end_day=31&amp;end_year=2016","Correlation")</f>
        <v>Correlation</v>
      </c>
    </row>
    <row r="4419" spans="1:13" x14ac:dyDescent="0.2">
      <c r="A4419" s="113"/>
      <c r="B4419" s="58" t="s">
        <v>10999</v>
      </c>
      <c r="C4419" s="58" t="s">
        <v>1413</v>
      </c>
      <c r="D4419" s="58" t="s">
        <v>11000</v>
      </c>
      <c r="E4419" s="60" t="b">
        <v>1</v>
      </c>
      <c r="F4419" s="80" t="s">
        <v>1304</v>
      </c>
      <c r="G4419" s="58" t="s">
        <v>10999</v>
      </c>
      <c r="H4419" s="58" t="s">
        <v>1413</v>
      </c>
      <c r="I4419" s="64" t="s">
        <v>11000</v>
      </c>
      <c r="J4419" s="66"/>
      <c r="K4419" s="66"/>
      <c r="L4419" s="68"/>
      <c r="M4419" s="63" t="str">
        <f>HYPERLINK("http://nsgreg.nga.mil/genc/view?v=866754&amp;end_month=12&amp;end_day=31&amp;end_year=2016","Correlation")</f>
        <v>Correlation</v>
      </c>
    </row>
    <row r="4420" spans="1:13" x14ac:dyDescent="0.2">
      <c r="A4420" s="113"/>
      <c r="B4420" s="58" t="s">
        <v>11001</v>
      </c>
      <c r="C4420" s="58" t="s">
        <v>1413</v>
      </c>
      <c r="D4420" s="58" t="s">
        <v>11002</v>
      </c>
      <c r="E4420" s="60" t="b">
        <v>1</v>
      </c>
      <c r="F4420" s="80" t="s">
        <v>1304</v>
      </c>
      <c r="G4420" s="58" t="s">
        <v>11001</v>
      </c>
      <c r="H4420" s="58" t="s">
        <v>1413</v>
      </c>
      <c r="I4420" s="64" t="s">
        <v>11002</v>
      </c>
      <c r="J4420" s="66"/>
      <c r="K4420" s="66"/>
      <c r="L4420" s="68"/>
      <c r="M4420" s="63" t="str">
        <f>HYPERLINK("http://nsgreg.nga.mil/genc/view?v=866765&amp;end_month=12&amp;end_day=31&amp;end_year=2016","Correlation")</f>
        <v>Correlation</v>
      </c>
    </row>
    <row r="4421" spans="1:13" x14ac:dyDescent="0.2">
      <c r="A4421" s="113"/>
      <c r="B4421" s="58" t="s">
        <v>11003</v>
      </c>
      <c r="C4421" s="58" t="s">
        <v>1413</v>
      </c>
      <c r="D4421" s="58" t="s">
        <v>11004</v>
      </c>
      <c r="E4421" s="60" t="b">
        <v>1</v>
      </c>
      <c r="F4421" s="80" t="s">
        <v>1304</v>
      </c>
      <c r="G4421" s="58" t="s">
        <v>11003</v>
      </c>
      <c r="H4421" s="58" t="s">
        <v>1413</v>
      </c>
      <c r="I4421" s="64" t="s">
        <v>11004</v>
      </c>
      <c r="J4421" s="66"/>
      <c r="K4421" s="66"/>
      <c r="L4421" s="68"/>
      <c r="M4421" s="63" t="str">
        <f>HYPERLINK("http://nsgreg.nga.mil/genc/view?v=866797&amp;end_month=12&amp;end_day=31&amp;end_year=2016","Correlation")</f>
        <v>Correlation</v>
      </c>
    </row>
    <row r="4422" spans="1:13" x14ac:dyDescent="0.2">
      <c r="A4422" s="113"/>
      <c r="B4422" s="58" t="s">
        <v>11005</v>
      </c>
      <c r="C4422" s="58" t="s">
        <v>1413</v>
      </c>
      <c r="D4422" s="58" t="s">
        <v>11006</v>
      </c>
      <c r="E4422" s="60" t="b">
        <v>1</v>
      </c>
      <c r="F4422" s="80" t="s">
        <v>1304</v>
      </c>
      <c r="G4422" s="58" t="s">
        <v>11005</v>
      </c>
      <c r="H4422" s="58" t="s">
        <v>1413</v>
      </c>
      <c r="I4422" s="64" t="s">
        <v>11006</v>
      </c>
      <c r="J4422" s="66"/>
      <c r="K4422" s="66"/>
      <c r="L4422" s="68"/>
      <c r="M4422" s="63" t="str">
        <f>HYPERLINK("http://nsgreg.nga.mil/genc/view?v=866789&amp;end_month=12&amp;end_day=31&amp;end_year=2016","Correlation")</f>
        <v>Correlation</v>
      </c>
    </row>
    <row r="4423" spans="1:13" x14ac:dyDescent="0.2">
      <c r="A4423" s="113"/>
      <c r="B4423" s="58" t="s">
        <v>11007</v>
      </c>
      <c r="C4423" s="58" t="s">
        <v>1413</v>
      </c>
      <c r="D4423" s="58" t="s">
        <v>11008</v>
      </c>
      <c r="E4423" s="60" t="b">
        <v>1</v>
      </c>
      <c r="F4423" s="80" t="s">
        <v>1304</v>
      </c>
      <c r="G4423" s="58" t="s">
        <v>11007</v>
      </c>
      <c r="H4423" s="58" t="s">
        <v>1413</v>
      </c>
      <c r="I4423" s="64" t="s">
        <v>11008</v>
      </c>
      <c r="J4423" s="66"/>
      <c r="K4423" s="66"/>
      <c r="L4423" s="68"/>
      <c r="M4423" s="63" t="str">
        <f>HYPERLINK("http://nsgreg.nga.mil/genc/view?v=866755&amp;end_month=12&amp;end_day=31&amp;end_year=2016","Correlation")</f>
        <v>Correlation</v>
      </c>
    </row>
    <row r="4424" spans="1:13" x14ac:dyDescent="0.2">
      <c r="A4424" s="113"/>
      <c r="B4424" s="58" t="s">
        <v>11009</v>
      </c>
      <c r="C4424" s="58" t="s">
        <v>1413</v>
      </c>
      <c r="D4424" s="58" t="s">
        <v>11010</v>
      </c>
      <c r="E4424" s="60" t="b">
        <v>1</v>
      </c>
      <c r="F4424" s="80" t="s">
        <v>1304</v>
      </c>
      <c r="G4424" s="58" t="s">
        <v>11009</v>
      </c>
      <c r="H4424" s="58" t="s">
        <v>1413</v>
      </c>
      <c r="I4424" s="64" t="s">
        <v>11010</v>
      </c>
      <c r="J4424" s="66"/>
      <c r="K4424" s="66"/>
      <c r="L4424" s="68"/>
      <c r="M4424" s="63" t="str">
        <f>HYPERLINK("http://nsgreg.nga.mil/genc/view?v=866756&amp;end_month=12&amp;end_day=31&amp;end_year=2016","Correlation")</f>
        <v>Correlation</v>
      </c>
    </row>
    <row r="4425" spans="1:13" x14ac:dyDescent="0.2">
      <c r="A4425" s="113"/>
      <c r="B4425" s="58" t="s">
        <v>11011</v>
      </c>
      <c r="C4425" s="58" t="s">
        <v>1413</v>
      </c>
      <c r="D4425" s="58" t="s">
        <v>11012</v>
      </c>
      <c r="E4425" s="60" t="b">
        <v>1</v>
      </c>
      <c r="F4425" s="80" t="s">
        <v>1304</v>
      </c>
      <c r="G4425" s="58" t="s">
        <v>11011</v>
      </c>
      <c r="H4425" s="58" t="s">
        <v>1413</v>
      </c>
      <c r="I4425" s="64" t="s">
        <v>11012</v>
      </c>
      <c r="J4425" s="66"/>
      <c r="K4425" s="66"/>
      <c r="L4425" s="68"/>
      <c r="M4425" s="63" t="str">
        <f>HYPERLINK("http://nsgreg.nga.mil/genc/view?v=866757&amp;end_month=12&amp;end_day=31&amp;end_year=2016","Correlation")</f>
        <v>Correlation</v>
      </c>
    </row>
    <row r="4426" spans="1:13" x14ac:dyDescent="0.2">
      <c r="A4426" s="113"/>
      <c r="B4426" s="58" t="s">
        <v>11013</v>
      </c>
      <c r="C4426" s="58" t="s">
        <v>1413</v>
      </c>
      <c r="D4426" s="58" t="s">
        <v>11014</v>
      </c>
      <c r="E4426" s="60" t="b">
        <v>1</v>
      </c>
      <c r="F4426" s="80" t="s">
        <v>1304</v>
      </c>
      <c r="G4426" s="58" t="s">
        <v>11013</v>
      </c>
      <c r="H4426" s="58" t="s">
        <v>1413</v>
      </c>
      <c r="I4426" s="64" t="s">
        <v>11014</v>
      </c>
      <c r="J4426" s="66"/>
      <c r="K4426" s="66"/>
      <c r="L4426" s="68"/>
      <c r="M4426" s="63" t="str">
        <f>HYPERLINK("http://nsgreg.nga.mil/genc/view?v=866798&amp;end_month=12&amp;end_day=31&amp;end_year=2016","Correlation")</f>
        <v>Correlation</v>
      </c>
    </row>
    <row r="4427" spans="1:13" x14ac:dyDescent="0.2">
      <c r="A4427" s="113"/>
      <c r="B4427" s="58" t="s">
        <v>11015</v>
      </c>
      <c r="C4427" s="58" t="s">
        <v>1413</v>
      </c>
      <c r="D4427" s="58" t="s">
        <v>11016</v>
      </c>
      <c r="E4427" s="60" t="b">
        <v>1</v>
      </c>
      <c r="F4427" s="80" t="s">
        <v>1304</v>
      </c>
      <c r="G4427" s="58" t="s">
        <v>11015</v>
      </c>
      <c r="H4427" s="58" t="s">
        <v>1413</v>
      </c>
      <c r="I4427" s="64" t="s">
        <v>11016</v>
      </c>
      <c r="J4427" s="66"/>
      <c r="K4427" s="66"/>
      <c r="L4427" s="68"/>
      <c r="M4427" s="63" t="str">
        <f>HYPERLINK("http://nsgreg.nga.mil/genc/view?v=866790&amp;end_month=12&amp;end_day=31&amp;end_year=2016","Correlation")</f>
        <v>Correlation</v>
      </c>
    </row>
    <row r="4428" spans="1:13" x14ac:dyDescent="0.2">
      <c r="A4428" s="113"/>
      <c r="B4428" s="58" t="s">
        <v>11017</v>
      </c>
      <c r="C4428" s="58" t="s">
        <v>1413</v>
      </c>
      <c r="D4428" s="58" t="s">
        <v>11018</v>
      </c>
      <c r="E4428" s="60" t="b">
        <v>1</v>
      </c>
      <c r="F4428" s="80" t="s">
        <v>1304</v>
      </c>
      <c r="G4428" s="58" t="s">
        <v>11017</v>
      </c>
      <c r="H4428" s="58" t="s">
        <v>1413</v>
      </c>
      <c r="I4428" s="64" t="s">
        <v>11018</v>
      </c>
      <c r="J4428" s="66"/>
      <c r="K4428" s="66"/>
      <c r="L4428" s="68"/>
      <c r="M4428" s="63" t="str">
        <f>HYPERLINK("http://nsgreg.nga.mil/genc/view?v=866758&amp;end_month=12&amp;end_day=31&amp;end_year=2016","Correlation")</f>
        <v>Correlation</v>
      </c>
    </row>
    <row r="4429" spans="1:13" x14ac:dyDescent="0.2">
      <c r="A4429" s="113"/>
      <c r="B4429" s="58" t="s">
        <v>11019</v>
      </c>
      <c r="C4429" s="58" t="s">
        <v>1413</v>
      </c>
      <c r="D4429" s="58" t="s">
        <v>11020</v>
      </c>
      <c r="E4429" s="60" t="b">
        <v>1</v>
      </c>
      <c r="F4429" s="80" t="s">
        <v>1304</v>
      </c>
      <c r="G4429" s="58" t="s">
        <v>11019</v>
      </c>
      <c r="H4429" s="58" t="s">
        <v>1413</v>
      </c>
      <c r="I4429" s="64" t="s">
        <v>11020</v>
      </c>
      <c r="J4429" s="66"/>
      <c r="K4429" s="66"/>
      <c r="L4429" s="68"/>
      <c r="M4429" s="63" t="str">
        <f>HYPERLINK("http://nsgreg.nga.mil/genc/view?v=866759&amp;end_month=12&amp;end_day=31&amp;end_year=2016","Correlation")</f>
        <v>Correlation</v>
      </c>
    </row>
    <row r="4430" spans="1:13" x14ac:dyDescent="0.2">
      <c r="A4430" s="113"/>
      <c r="B4430" s="58" t="s">
        <v>11021</v>
      </c>
      <c r="C4430" s="58" t="s">
        <v>1413</v>
      </c>
      <c r="D4430" s="58" t="s">
        <v>11022</v>
      </c>
      <c r="E4430" s="60" t="b">
        <v>1</v>
      </c>
      <c r="F4430" s="80" t="s">
        <v>1304</v>
      </c>
      <c r="G4430" s="58" t="s">
        <v>11021</v>
      </c>
      <c r="H4430" s="58" t="s">
        <v>1413</v>
      </c>
      <c r="I4430" s="64" t="s">
        <v>11022</v>
      </c>
      <c r="J4430" s="66"/>
      <c r="K4430" s="66"/>
      <c r="L4430" s="68"/>
      <c r="M4430" s="63" t="str">
        <f>HYPERLINK("http://nsgreg.nga.mil/genc/view?v=866760&amp;end_month=12&amp;end_day=31&amp;end_year=2016","Correlation")</f>
        <v>Correlation</v>
      </c>
    </row>
    <row r="4431" spans="1:13" x14ac:dyDescent="0.2">
      <c r="A4431" s="113"/>
      <c r="B4431" s="58" t="s">
        <v>11023</v>
      </c>
      <c r="C4431" s="58" t="s">
        <v>1413</v>
      </c>
      <c r="D4431" s="58" t="s">
        <v>11024</v>
      </c>
      <c r="E4431" s="60" t="b">
        <v>1</v>
      </c>
      <c r="F4431" s="80" t="s">
        <v>1304</v>
      </c>
      <c r="G4431" s="58" t="s">
        <v>11023</v>
      </c>
      <c r="H4431" s="58" t="s">
        <v>1413</v>
      </c>
      <c r="I4431" s="64" t="s">
        <v>11024</v>
      </c>
      <c r="J4431" s="66"/>
      <c r="K4431" s="66"/>
      <c r="L4431" s="68"/>
      <c r="M4431" s="63" t="str">
        <f>HYPERLINK("http://nsgreg.nga.mil/genc/view?v=866761&amp;end_month=12&amp;end_day=31&amp;end_year=2016","Correlation")</f>
        <v>Correlation</v>
      </c>
    </row>
    <row r="4432" spans="1:13" x14ac:dyDescent="0.2">
      <c r="A4432" s="113"/>
      <c r="B4432" s="58" t="s">
        <v>11025</v>
      </c>
      <c r="C4432" s="58" t="s">
        <v>1413</v>
      </c>
      <c r="D4432" s="58" t="s">
        <v>11026</v>
      </c>
      <c r="E4432" s="60" t="b">
        <v>1</v>
      </c>
      <c r="F4432" s="80" t="s">
        <v>1304</v>
      </c>
      <c r="G4432" s="58" t="s">
        <v>11025</v>
      </c>
      <c r="H4432" s="58" t="s">
        <v>1413</v>
      </c>
      <c r="I4432" s="64" t="s">
        <v>11026</v>
      </c>
      <c r="J4432" s="66"/>
      <c r="K4432" s="66"/>
      <c r="L4432" s="68"/>
      <c r="M4432" s="63" t="str">
        <f>HYPERLINK("http://nsgreg.nga.mil/genc/view?v=866762&amp;end_month=12&amp;end_day=31&amp;end_year=2016","Correlation")</f>
        <v>Correlation</v>
      </c>
    </row>
    <row r="4433" spans="1:13" x14ac:dyDescent="0.2">
      <c r="A4433" s="113"/>
      <c r="B4433" s="58" t="s">
        <v>11027</v>
      </c>
      <c r="C4433" s="58" t="s">
        <v>1413</v>
      </c>
      <c r="D4433" s="58" t="s">
        <v>11028</v>
      </c>
      <c r="E4433" s="60" t="b">
        <v>1</v>
      </c>
      <c r="F4433" s="80" t="s">
        <v>1304</v>
      </c>
      <c r="G4433" s="58" t="s">
        <v>11027</v>
      </c>
      <c r="H4433" s="58" t="s">
        <v>1413</v>
      </c>
      <c r="I4433" s="64" t="s">
        <v>11028</v>
      </c>
      <c r="J4433" s="66"/>
      <c r="K4433" s="66"/>
      <c r="L4433" s="68"/>
      <c r="M4433" s="63" t="str">
        <f>HYPERLINK("http://nsgreg.nga.mil/genc/view?v=866763&amp;end_month=12&amp;end_day=31&amp;end_year=2016","Correlation")</f>
        <v>Correlation</v>
      </c>
    </row>
    <row r="4434" spans="1:13" x14ac:dyDescent="0.2">
      <c r="A4434" s="113"/>
      <c r="B4434" s="58" t="s">
        <v>11029</v>
      </c>
      <c r="C4434" s="58" t="s">
        <v>1413</v>
      </c>
      <c r="D4434" s="58" t="s">
        <v>11030</v>
      </c>
      <c r="E4434" s="60" t="b">
        <v>1</v>
      </c>
      <c r="F4434" s="80" t="s">
        <v>1304</v>
      </c>
      <c r="G4434" s="58" t="s">
        <v>11029</v>
      </c>
      <c r="H4434" s="58" t="s">
        <v>1413</v>
      </c>
      <c r="I4434" s="64" t="s">
        <v>11030</v>
      </c>
      <c r="J4434" s="66"/>
      <c r="K4434" s="66"/>
      <c r="L4434" s="68"/>
      <c r="M4434" s="63" t="str">
        <f>HYPERLINK("http://nsgreg.nga.mil/genc/view?v=866764&amp;end_month=12&amp;end_day=31&amp;end_year=2016","Correlation")</f>
        <v>Correlation</v>
      </c>
    </row>
    <row r="4435" spans="1:13" x14ac:dyDescent="0.2">
      <c r="A4435" s="113"/>
      <c r="B4435" s="58" t="s">
        <v>11031</v>
      </c>
      <c r="C4435" s="58" t="s">
        <v>1413</v>
      </c>
      <c r="D4435" s="58" t="s">
        <v>11032</v>
      </c>
      <c r="E4435" s="60" t="b">
        <v>1</v>
      </c>
      <c r="F4435" s="80" t="s">
        <v>1304</v>
      </c>
      <c r="G4435" s="58" t="s">
        <v>11031</v>
      </c>
      <c r="H4435" s="58" t="s">
        <v>1413</v>
      </c>
      <c r="I4435" s="64" t="s">
        <v>11032</v>
      </c>
      <c r="J4435" s="66"/>
      <c r="K4435" s="66"/>
      <c r="L4435" s="68"/>
      <c r="M4435" s="63" t="str">
        <f>HYPERLINK("http://nsgreg.nga.mil/genc/view?v=866766&amp;end_month=12&amp;end_day=31&amp;end_year=2016","Correlation")</f>
        <v>Correlation</v>
      </c>
    </row>
    <row r="4436" spans="1:13" x14ac:dyDescent="0.2">
      <c r="A4436" s="113"/>
      <c r="B4436" s="58" t="s">
        <v>11033</v>
      </c>
      <c r="C4436" s="58" t="s">
        <v>1413</v>
      </c>
      <c r="D4436" s="58" t="s">
        <v>11034</v>
      </c>
      <c r="E4436" s="60" t="b">
        <v>1</v>
      </c>
      <c r="F4436" s="80" t="s">
        <v>1304</v>
      </c>
      <c r="G4436" s="58" t="s">
        <v>11033</v>
      </c>
      <c r="H4436" s="58" t="s">
        <v>1413</v>
      </c>
      <c r="I4436" s="64" t="s">
        <v>11034</v>
      </c>
      <c r="J4436" s="66"/>
      <c r="K4436" s="66"/>
      <c r="L4436" s="68"/>
      <c r="M4436" s="63" t="str">
        <f>HYPERLINK("http://nsgreg.nga.mil/genc/view?v=866752&amp;end_month=12&amp;end_day=31&amp;end_year=2016","Correlation")</f>
        <v>Correlation</v>
      </c>
    </row>
    <row r="4437" spans="1:13" x14ac:dyDescent="0.2">
      <c r="A4437" s="113"/>
      <c r="B4437" s="58" t="s">
        <v>11035</v>
      </c>
      <c r="C4437" s="58" t="s">
        <v>1413</v>
      </c>
      <c r="D4437" s="58" t="s">
        <v>11036</v>
      </c>
      <c r="E4437" s="60" t="b">
        <v>1</v>
      </c>
      <c r="F4437" s="80" t="s">
        <v>1304</v>
      </c>
      <c r="G4437" s="58" t="s">
        <v>11035</v>
      </c>
      <c r="H4437" s="58" t="s">
        <v>1413</v>
      </c>
      <c r="I4437" s="64" t="s">
        <v>11036</v>
      </c>
      <c r="J4437" s="66"/>
      <c r="K4437" s="66"/>
      <c r="L4437" s="68"/>
      <c r="M4437" s="63" t="str">
        <f>HYPERLINK("http://nsgreg.nga.mil/genc/view?v=866767&amp;end_month=12&amp;end_day=31&amp;end_year=2016","Correlation")</f>
        <v>Correlation</v>
      </c>
    </row>
    <row r="4438" spans="1:13" x14ac:dyDescent="0.2">
      <c r="A4438" s="113"/>
      <c r="B4438" s="58" t="s">
        <v>11037</v>
      </c>
      <c r="C4438" s="58" t="s">
        <v>1413</v>
      </c>
      <c r="D4438" s="58" t="s">
        <v>11038</v>
      </c>
      <c r="E4438" s="60" t="b">
        <v>1</v>
      </c>
      <c r="F4438" s="80" t="s">
        <v>1304</v>
      </c>
      <c r="G4438" s="58" t="s">
        <v>11037</v>
      </c>
      <c r="H4438" s="58" t="s">
        <v>1413</v>
      </c>
      <c r="I4438" s="64" t="s">
        <v>11038</v>
      </c>
      <c r="J4438" s="66"/>
      <c r="K4438" s="66"/>
      <c r="L4438" s="68"/>
      <c r="M4438" s="63" t="str">
        <f>HYPERLINK("http://nsgreg.nga.mil/genc/view?v=866768&amp;end_month=12&amp;end_day=31&amp;end_year=2016","Correlation")</f>
        <v>Correlation</v>
      </c>
    </row>
    <row r="4439" spans="1:13" x14ac:dyDescent="0.2">
      <c r="A4439" s="113"/>
      <c r="B4439" s="58" t="s">
        <v>11039</v>
      </c>
      <c r="C4439" s="58" t="s">
        <v>1413</v>
      </c>
      <c r="D4439" s="58" t="s">
        <v>11040</v>
      </c>
      <c r="E4439" s="60" t="b">
        <v>1</v>
      </c>
      <c r="F4439" s="80" t="s">
        <v>1304</v>
      </c>
      <c r="G4439" s="58" t="s">
        <v>11039</v>
      </c>
      <c r="H4439" s="58" t="s">
        <v>1413</v>
      </c>
      <c r="I4439" s="64" t="s">
        <v>11040</v>
      </c>
      <c r="J4439" s="66"/>
      <c r="K4439" s="66"/>
      <c r="L4439" s="68"/>
      <c r="M4439" s="63" t="str">
        <f>HYPERLINK("http://nsgreg.nga.mil/genc/view?v=866769&amp;end_month=12&amp;end_day=31&amp;end_year=2016","Correlation")</f>
        <v>Correlation</v>
      </c>
    </row>
    <row r="4440" spans="1:13" x14ac:dyDescent="0.2">
      <c r="A4440" s="113"/>
      <c r="B4440" s="58" t="s">
        <v>11041</v>
      </c>
      <c r="C4440" s="58" t="s">
        <v>1413</v>
      </c>
      <c r="D4440" s="58" t="s">
        <v>11042</v>
      </c>
      <c r="E4440" s="60" t="b">
        <v>1</v>
      </c>
      <c r="F4440" s="80" t="s">
        <v>1304</v>
      </c>
      <c r="G4440" s="58" t="s">
        <v>11041</v>
      </c>
      <c r="H4440" s="58" t="s">
        <v>1413</v>
      </c>
      <c r="I4440" s="64" t="s">
        <v>11042</v>
      </c>
      <c r="J4440" s="66"/>
      <c r="K4440" s="66"/>
      <c r="L4440" s="68"/>
      <c r="M4440" s="63" t="str">
        <f>HYPERLINK("http://nsgreg.nga.mil/genc/view?v=866770&amp;end_month=12&amp;end_day=31&amp;end_year=2016","Correlation")</f>
        <v>Correlation</v>
      </c>
    </row>
    <row r="4441" spans="1:13" x14ac:dyDescent="0.2">
      <c r="A4441" s="113"/>
      <c r="B4441" s="58" t="s">
        <v>11043</v>
      </c>
      <c r="C4441" s="58" t="s">
        <v>1413</v>
      </c>
      <c r="D4441" s="58" t="s">
        <v>11044</v>
      </c>
      <c r="E4441" s="60" t="b">
        <v>1</v>
      </c>
      <c r="F4441" s="80" t="s">
        <v>1304</v>
      </c>
      <c r="G4441" s="58" t="s">
        <v>11043</v>
      </c>
      <c r="H4441" s="58" t="s">
        <v>1413</v>
      </c>
      <c r="I4441" s="64" t="s">
        <v>11044</v>
      </c>
      <c r="J4441" s="66"/>
      <c r="K4441" s="66"/>
      <c r="L4441" s="68"/>
      <c r="M4441" s="63" t="str">
        <f>HYPERLINK("http://nsgreg.nga.mil/genc/view?v=866771&amp;end_month=12&amp;end_day=31&amp;end_year=2016","Correlation")</f>
        <v>Correlation</v>
      </c>
    </row>
    <row r="4442" spans="1:13" x14ac:dyDescent="0.2">
      <c r="A4442" s="113"/>
      <c r="B4442" s="58" t="s">
        <v>11045</v>
      </c>
      <c r="C4442" s="58" t="s">
        <v>1413</v>
      </c>
      <c r="D4442" s="58" t="s">
        <v>11046</v>
      </c>
      <c r="E4442" s="60" t="b">
        <v>1</v>
      </c>
      <c r="F4442" s="80" t="s">
        <v>1304</v>
      </c>
      <c r="G4442" s="58" t="s">
        <v>11045</v>
      </c>
      <c r="H4442" s="58" t="s">
        <v>1413</v>
      </c>
      <c r="I4442" s="64" t="s">
        <v>11046</v>
      </c>
      <c r="J4442" s="66"/>
      <c r="K4442" s="66"/>
      <c r="L4442" s="68"/>
      <c r="M4442" s="63" t="str">
        <f>HYPERLINK("http://nsgreg.nga.mil/genc/view?v=866799&amp;end_month=12&amp;end_day=31&amp;end_year=2016","Correlation")</f>
        <v>Correlation</v>
      </c>
    </row>
    <row r="4443" spans="1:13" x14ac:dyDescent="0.2">
      <c r="A4443" s="113"/>
      <c r="B4443" s="58" t="s">
        <v>11047</v>
      </c>
      <c r="C4443" s="58" t="s">
        <v>1413</v>
      </c>
      <c r="D4443" s="58" t="s">
        <v>11048</v>
      </c>
      <c r="E4443" s="60" t="b">
        <v>1</v>
      </c>
      <c r="F4443" s="80" t="s">
        <v>1304</v>
      </c>
      <c r="G4443" s="58" t="s">
        <v>11047</v>
      </c>
      <c r="H4443" s="58" t="s">
        <v>1413</v>
      </c>
      <c r="I4443" s="64" t="s">
        <v>11048</v>
      </c>
      <c r="J4443" s="66"/>
      <c r="K4443" s="66"/>
      <c r="L4443" s="68"/>
      <c r="M4443" s="63" t="str">
        <f>HYPERLINK("http://nsgreg.nga.mil/genc/view?v=866772&amp;end_month=12&amp;end_day=31&amp;end_year=2016","Correlation")</f>
        <v>Correlation</v>
      </c>
    </row>
    <row r="4444" spans="1:13" x14ac:dyDescent="0.2">
      <c r="A4444" s="113"/>
      <c r="B4444" s="58" t="s">
        <v>11049</v>
      </c>
      <c r="C4444" s="58" t="s">
        <v>1413</v>
      </c>
      <c r="D4444" s="58" t="s">
        <v>11050</v>
      </c>
      <c r="E4444" s="60" t="b">
        <v>1</v>
      </c>
      <c r="F4444" s="80" t="s">
        <v>1304</v>
      </c>
      <c r="G4444" s="58" t="s">
        <v>11049</v>
      </c>
      <c r="H4444" s="58" t="s">
        <v>1413</v>
      </c>
      <c r="I4444" s="64" t="s">
        <v>11050</v>
      </c>
      <c r="J4444" s="66"/>
      <c r="K4444" s="66"/>
      <c r="L4444" s="68"/>
      <c r="M4444" s="63" t="str">
        <f>HYPERLINK("http://nsgreg.nga.mil/genc/view?v=866773&amp;end_month=12&amp;end_day=31&amp;end_year=2016","Correlation")</f>
        <v>Correlation</v>
      </c>
    </row>
    <row r="4445" spans="1:13" x14ac:dyDescent="0.2">
      <c r="A4445" s="113"/>
      <c r="B4445" s="58" t="s">
        <v>11051</v>
      </c>
      <c r="C4445" s="58" t="s">
        <v>1413</v>
      </c>
      <c r="D4445" s="58" t="s">
        <v>11052</v>
      </c>
      <c r="E4445" s="60" t="b">
        <v>1</v>
      </c>
      <c r="F4445" s="80" t="s">
        <v>1304</v>
      </c>
      <c r="G4445" s="58" t="s">
        <v>11051</v>
      </c>
      <c r="H4445" s="58" t="s">
        <v>1413</v>
      </c>
      <c r="I4445" s="64" t="s">
        <v>11052</v>
      </c>
      <c r="J4445" s="66"/>
      <c r="K4445" s="66"/>
      <c r="L4445" s="68"/>
      <c r="M4445" s="63" t="str">
        <f>HYPERLINK("http://nsgreg.nga.mil/genc/view?v=866774&amp;end_month=12&amp;end_day=31&amp;end_year=2016","Correlation")</f>
        <v>Correlation</v>
      </c>
    </row>
    <row r="4446" spans="1:13" x14ac:dyDescent="0.2">
      <c r="A4446" s="113"/>
      <c r="B4446" s="58" t="s">
        <v>11053</v>
      </c>
      <c r="C4446" s="58" t="s">
        <v>1413</v>
      </c>
      <c r="D4446" s="58" t="s">
        <v>11054</v>
      </c>
      <c r="E4446" s="60" t="b">
        <v>1</v>
      </c>
      <c r="F4446" s="80" t="s">
        <v>1304</v>
      </c>
      <c r="G4446" s="58" t="s">
        <v>11053</v>
      </c>
      <c r="H4446" s="58" t="s">
        <v>1413</v>
      </c>
      <c r="I4446" s="64" t="s">
        <v>11054</v>
      </c>
      <c r="J4446" s="66"/>
      <c r="K4446" s="66"/>
      <c r="L4446" s="68"/>
      <c r="M4446" s="63" t="str">
        <f>HYPERLINK("http://nsgreg.nga.mil/genc/view?v=866782&amp;end_month=12&amp;end_day=31&amp;end_year=2016","Correlation")</f>
        <v>Correlation</v>
      </c>
    </row>
    <row r="4447" spans="1:13" x14ac:dyDescent="0.2">
      <c r="A4447" s="113"/>
      <c r="B4447" s="58" t="s">
        <v>11055</v>
      </c>
      <c r="C4447" s="58" t="s">
        <v>1413</v>
      </c>
      <c r="D4447" s="58" t="s">
        <v>11056</v>
      </c>
      <c r="E4447" s="60" t="b">
        <v>1</v>
      </c>
      <c r="F4447" s="80" t="s">
        <v>1304</v>
      </c>
      <c r="G4447" s="58" t="s">
        <v>11055</v>
      </c>
      <c r="H4447" s="58" t="s">
        <v>1413</v>
      </c>
      <c r="I4447" s="64" t="s">
        <v>11056</v>
      </c>
      <c r="J4447" s="66"/>
      <c r="K4447" s="66"/>
      <c r="L4447" s="68"/>
      <c r="M4447" s="63" t="str">
        <f>HYPERLINK("http://nsgreg.nga.mil/genc/view?v=866775&amp;end_month=12&amp;end_day=31&amp;end_year=2016","Correlation")</f>
        <v>Correlation</v>
      </c>
    </row>
    <row r="4448" spans="1:13" x14ac:dyDescent="0.2">
      <c r="A4448" s="113"/>
      <c r="B4448" s="58" t="s">
        <v>11057</v>
      </c>
      <c r="C4448" s="58" t="s">
        <v>1413</v>
      </c>
      <c r="D4448" s="58" t="s">
        <v>11058</v>
      </c>
      <c r="E4448" s="60" t="b">
        <v>1</v>
      </c>
      <c r="F4448" s="80" t="s">
        <v>1304</v>
      </c>
      <c r="G4448" s="58" t="s">
        <v>11057</v>
      </c>
      <c r="H4448" s="58" t="s">
        <v>1413</v>
      </c>
      <c r="I4448" s="64" t="s">
        <v>11058</v>
      </c>
      <c r="J4448" s="66"/>
      <c r="K4448" s="66"/>
      <c r="L4448" s="68"/>
      <c r="M4448" s="63" t="str">
        <f>HYPERLINK("http://nsgreg.nga.mil/genc/view?v=866776&amp;end_month=12&amp;end_day=31&amp;end_year=2016","Correlation")</f>
        <v>Correlation</v>
      </c>
    </row>
    <row r="4449" spans="1:13" x14ac:dyDescent="0.2">
      <c r="A4449" s="113"/>
      <c r="B4449" s="58" t="s">
        <v>11059</v>
      </c>
      <c r="C4449" s="58" t="s">
        <v>1413</v>
      </c>
      <c r="D4449" s="58" t="s">
        <v>11060</v>
      </c>
      <c r="E4449" s="60" t="b">
        <v>1</v>
      </c>
      <c r="F4449" s="80" t="s">
        <v>1304</v>
      </c>
      <c r="G4449" s="58" t="s">
        <v>11059</v>
      </c>
      <c r="H4449" s="58" t="s">
        <v>1413</v>
      </c>
      <c r="I4449" s="64" t="s">
        <v>11060</v>
      </c>
      <c r="J4449" s="66"/>
      <c r="K4449" s="66"/>
      <c r="L4449" s="68"/>
      <c r="M4449" s="63" t="str">
        <f>HYPERLINK("http://nsgreg.nga.mil/genc/view?v=866792&amp;end_month=12&amp;end_day=31&amp;end_year=2016","Correlation")</f>
        <v>Correlation</v>
      </c>
    </row>
    <row r="4450" spans="1:13" x14ac:dyDescent="0.2">
      <c r="A4450" s="113"/>
      <c r="B4450" s="58" t="s">
        <v>11061</v>
      </c>
      <c r="C4450" s="58" t="s">
        <v>1413</v>
      </c>
      <c r="D4450" s="58" t="s">
        <v>11062</v>
      </c>
      <c r="E4450" s="60" t="b">
        <v>1</v>
      </c>
      <c r="F4450" s="80" t="s">
        <v>1304</v>
      </c>
      <c r="G4450" s="58" t="s">
        <v>11061</v>
      </c>
      <c r="H4450" s="58" t="s">
        <v>1413</v>
      </c>
      <c r="I4450" s="64" t="s">
        <v>11062</v>
      </c>
      <c r="J4450" s="66"/>
      <c r="K4450" s="66"/>
      <c r="L4450" s="68"/>
      <c r="M4450" s="63" t="str">
        <f>HYPERLINK("http://nsgreg.nga.mil/genc/view?v=866777&amp;end_month=12&amp;end_day=31&amp;end_year=2016","Correlation")</f>
        <v>Correlation</v>
      </c>
    </row>
    <row r="4451" spans="1:13" x14ac:dyDescent="0.2">
      <c r="A4451" s="113"/>
      <c r="B4451" s="58" t="s">
        <v>11063</v>
      </c>
      <c r="C4451" s="58" t="s">
        <v>1413</v>
      </c>
      <c r="D4451" s="58" t="s">
        <v>11064</v>
      </c>
      <c r="E4451" s="60" t="b">
        <v>1</v>
      </c>
      <c r="F4451" s="80" t="s">
        <v>1304</v>
      </c>
      <c r="G4451" s="58" t="s">
        <v>11063</v>
      </c>
      <c r="H4451" s="58" t="s">
        <v>1413</v>
      </c>
      <c r="I4451" s="64" t="s">
        <v>11064</v>
      </c>
      <c r="J4451" s="66"/>
      <c r="K4451" s="66"/>
      <c r="L4451" s="68"/>
      <c r="M4451" s="63" t="str">
        <f>HYPERLINK("http://nsgreg.nga.mil/genc/view?v=866778&amp;end_month=12&amp;end_day=31&amp;end_year=2016","Correlation")</f>
        <v>Correlation</v>
      </c>
    </row>
    <row r="4452" spans="1:13" x14ac:dyDescent="0.2">
      <c r="A4452" s="113"/>
      <c r="B4452" s="58" t="s">
        <v>11065</v>
      </c>
      <c r="C4452" s="58" t="s">
        <v>1413</v>
      </c>
      <c r="D4452" s="58" t="s">
        <v>11066</v>
      </c>
      <c r="E4452" s="60" t="b">
        <v>1</v>
      </c>
      <c r="F4452" s="80" t="s">
        <v>1304</v>
      </c>
      <c r="G4452" s="58" t="s">
        <v>11065</v>
      </c>
      <c r="H4452" s="58" t="s">
        <v>1413</v>
      </c>
      <c r="I4452" s="64" t="s">
        <v>11066</v>
      </c>
      <c r="J4452" s="66"/>
      <c r="K4452" s="66"/>
      <c r="L4452" s="68"/>
      <c r="M4452" s="63" t="str">
        <f>HYPERLINK("http://nsgreg.nga.mil/genc/view?v=866779&amp;end_month=12&amp;end_day=31&amp;end_year=2016","Correlation")</f>
        <v>Correlation</v>
      </c>
    </row>
    <row r="4453" spans="1:13" x14ac:dyDescent="0.2">
      <c r="A4453" s="113"/>
      <c r="B4453" s="58" t="s">
        <v>11067</v>
      </c>
      <c r="C4453" s="58" t="s">
        <v>1413</v>
      </c>
      <c r="D4453" s="58" t="s">
        <v>11068</v>
      </c>
      <c r="E4453" s="60" t="b">
        <v>1</v>
      </c>
      <c r="F4453" s="80" t="s">
        <v>1304</v>
      </c>
      <c r="G4453" s="58" t="s">
        <v>11067</v>
      </c>
      <c r="H4453" s="58" t="s">
        <v>1413</v>
      </c>
      <c r="I4453" s="64" t="s">
        <v>11068</v>
      </c>
      <c r="J4453" s="66"/>
      <c r="K4453" s="66"/>
      <c r="L4453" s="68"/>
      <c r="M4453" s="63" t="str">
        <f>HYPERLINK("http://nsgreg.nga.mil/genc/view?v=866780&amp;end_month=12&amp;end_day=31&amp;end_year=2016","Correlation")</f>
        <v>Correlation</v>
      </c>
    </row>
    <row r="4454" spans="1:13" x14ac:dyDescent="0.2">
      <c r="A4454" s="113"/>
      <c r="B4454" s="58" t="s">
        <v>11069</v>
      </c>
      <c r="C4454" s="58" t="s">
        <v>1413</v>
      </c>
      <c r="D4454" s="58" t="s">
        <v>11070</v>
      </c>
      <c r="E4454" s="60" t="b">
        <v>1</v>
      </c>
      <c r="F4454" s="80" t="s">
        <v>1304</v>
      </c>
      <c r="G4454" s="58" t="s">
        <v>11069</v>
      </c>
      <c r="H4454" s="58" t="s">
        <v>1413</v>
      </c>
      <c r="I4454" s="64" t="s">
        <v>11070</v>
      </c>
      <c r="J4454" s="66"/>
      <c r="K4454" s="66"/>
      <c r="L4454" s="68"/>
      <c r="M4454" s="63" t="str">
        <f>HYPERLINK("http://nsgreg.nga.mil/genc/view?v=866781&amp;end_month=12&amp;end_day=31&amp;end_year=2016","Correlation")</f>
        <v>Correlation</v>
      </c>
    </row>
    <row r="4455" spans="1:13" x14ac:dyDescent="0.2">
      <c r="A4455" s="113"/>
      <c r="B4455" s="58" t="s">
        <v>11071</v>
      </c>
      <c r="C4455" s="58" t="s">
        <v>1413</v>
      </c>
      <c r="D4455" s="58" t="s">
        <v>11072</v>
      </c>
      <c r="E4455" s="60" t="b">
        <v>1</v>
      </c>
      <c r="F4455" s="80" t="s">
        <v>1304</v>
      </c>
      <c r="G4455" s="58" t="s">
        <v>11071</v>
      </c>
      <c r="H4455" s="58" t="s">
        <v>1413</v>
      </c>
      <c r="I4455" s="64" t="s">
        <v>11072</v>
      </c>
      <c r="J4455" s="66"/>
      <c r="K4455" s="66"/>
      <c r="L4455" s="68"/>
      <c r="M4455" s="63" t="str">
        <f>HYPERLINK("http://nsgreg.nga.mil/genc/view?v=866783&amp;end_month=12&amp;end_day=31&amp;end_year=2016","Correlation")</f>
        <v>Correlation</v>
      </c>
    </row>
    <row r="4456" spans="1:13" x14ac:dyDescent="0.2">
      <c r="A4456" s="113"/>
      <c r="B4456" s="58" t="s">
        <v>11073</v>
      </c>
      <c r="C4456" s="58" t="s">
        <v>1413</v>
      </c>
      <c r="D4456" s="58" t="s">
        <v>11074</v>
      </c>
      <c r="E4456" s="60" t="b">
        <v>1</v>
      </c>
      <c r="F4456" s="80" t="s">
        <v>1304</v>
      </c>
      <c r="G4456" s="58" t="s">
        <v>11073</v>
      </c>
      <c r="H4456" s="58" t="s">
        <v>1413</v>
      </c>
      <c r="I4456" s="64" t="s">
        <v>11074</v>
      </c>
      <c r="J4456" s="66"/>
      <c r="K4456" s="66"/>
      <c r="L4456" s="68"/>
      <c r="M4456" s="63" t="str">
        <f>HYPERLINK("http://nsgreg.nga.mil/genc/view?v=866784&amp;end_month=12&amp;end_day=31&amp;end_year=2016","Correlation")</f>
        <v>Correlation</v>
      </c>
    </row>
    <row r="4457" spans="1:13" x14ac:dyDescent="0.2">
      <c r="A4457" s="113"/>
      <c r="B4457" s="58" t="s">
        <v>11075</v>
      </c>
      <c r="C4457" s="58" t="s">
        <v>1413</v>
      </c>
      <c r="D4457" s="58" t="s">
        <v>11076</v>
      </c>
      <c r="E4457" s="60" t="b">
        <v>1</v>
      </c>
      <c r="F4457" s="80" t="s">
        <v>1304</v>
      </c>
      <c r="G4457" s="58" t="s">
        <v>11075</v>
      </c>
      <c r="H4457" s="58" t="s">
        <v>1413</v>
      </c>
      <c r="I4457" s="64" t="s">
        <v>11076</v>
      </c>
      <c r="J4457" s="66"/>
      <c r="K4457" s="66"/>
      <c r="L4457" s="68"/>
      <c r="M4457" s="63" t="str">
        <f>HYPERLINK("http://nsgreg.nga.mil/genc/view?v=866796&amp;end_month=12&amp;end_day=31&amp;end_year=2016","Correlation")</f>
        <v>Correlation</v>
      </c>
    </row>
    <row r="4458" spans="1:13" x14ac:dyDescent="0.2">
      <c r="A4458" s="113"/>
      <c r="B4458" s="58" t="s">
        <v>11077</v>
      </c>
      <c r="C4458" s="58" t="s">
        <v>1413</v>
      </c>
      <c r="D4458" s="58" t="s">
        <v>11078</v>
      </c>
      <c r="E4458" s="60" t="b">
        <v>1</v>
      </c>
      <c r="F4458" s="80" t="s">
        <v>1304</v>
      </c>
      <c r="G4458" s="58" t="s">
        <v>11077</v>
      </c>
      <c r="H4458" s="58" t="s">
        <v>1413</v>
      </c>
      <c r="I4458" s="64" t="s">
        <v>11078</v>
      </c>
      <c r="J4458" s="66"/>
      <c r="K4458" s="66"/>
      <c r="L4458" s="68"/>
      <c r="M4458" s="63" t="str">
        <f>HYPERLINK("http://nsgreg.nga.mil/genc/view?v=866785&amp;end_month=12&amp;end_day=31&amp;end_year=2016","Correlation")</f>
        <v>Correlation</v>
      </c>
    </row>
    <row r="4459" spans="1:13" x14ac:dyDescent="0.2">
      <c r="A4459" s="114"/>
      <c r="B4459" s="71" t="s">
        <v>11079</v>
      </c>
      <c r="C4459" s="71" t="s">
        <v>1413</v>
      </c>
      <c r="D4459" s="71" t="s">
        <v>11080</v>
      </c>
      <c r="E4459" s="73" t="b">
        <v>1</v>
      </c>
      <c r="F4459" s="81" t="s">
        <v>1304</v>
      </c>
      <c r="G4459" s="71" t="s">
        <v>11079</v>
      </c>
      <c r="H4459" s="71" t="s">
        <v>1413</v>
      </c>
      <c r="I4459" s="74" t="s">
        <v>11080</v>
      </c>
      <c r="J4459" s="76"/>
      <c r="K4459" s="76"/>
      <c r="L4459" s="82"/>
      <c r="M4459" s="77" t="str">
        <f>HYPERLINK("http://nsgreg.nga.mil/genc/view?v=866786&amp;end_month=12&amp;end_day=31&amp;end_year=2016","Correlation")</f>
        <v>Correlation</v>
      </c>
    </row>
    <row r="4460" spans="1:13" x14ac:dyDescent="0.2">
      <c r="A4460" s="112" t="s">
        <v>1308</v>
      </c>
      <c r="B4460" s="50" t="s">
        <v>11081</v>
      </c>
      <c r="C4460" s="50" t="s">
        <v>1413</v>
      </c>
      <c r="D4460" s="50" t="s">
        <v>11082</v>
      </c>
      <c r="E4460" s="52" t="b">
        <v>1</v>
      </c>
      <c r="F4460" s="78" t="s">
        <v>1308</v>
      </c>
      <c r="G4460" s="50" t="s">
        <v>11081</v>
      </c>
      <c r="H4460" s="50" t="s">
        <v>1728</v>
      </c>
      <c r="I4460" s="53" t="s">
        <v>11082</v>
      </c>
      <c r="J4460" s="55"/>
      <c r="K4460" s="55"/>
      <c r="L4460" s="79"/>
      <c r="M4460" s="56" t="str">
        <f>HYPERLINK("http://nsgreg.nga.mil/genc/view?v=866685&amp;end_month=12&amp;end_day=31&amp;end_year=2016","Correlation")</f>
        <v>Correlation</v>
      </c>
    </row>
    <row r="4461" spans="1:13" x14ac:dyDescent="0.2">
      <c r="A4461" s="113"/>
      <c r="B4461" s="58" t="s">
        <v>11083</v>
      </c>
      <c r="C4461" s="58" t="s">
        <v>1681</v>
      </c>
      <c r="D4461" s="58" t="s">
        <v>11084</v>
      </c>
      <c r="E4461" s="60" t="b">
        <v>1</v>
      </c>
      <c r="F4461" s="80" t="s">
        <v>1308</v>
      </c>
      <c r="G4461" s="58" t="s">
        <v>11083</v>
      </c>
      <c r="H4461" s="58" t="s">
        <v>1681</v>
      </c>
      <c r="I4461" s="64" t="s">
        <v>11084</v>
      </c>
      <c r="J4461" s="66"/>
      <c r="K4461" s="66"/>
      <c r="L4461" s="68"/>
      <c r="M4461" s="63" t="str">
        <f>HYPERLINK("http://nsgreg.nga.mil/genc/view?v=866690&amp;end_month=12&amp;end_day=31&amp;end_year=2016","Correlation")</f>
        <v>Correlation</v>
      </c>
    </row>
    <row r="4462" spans="1:13" x14ac:dyDescent="0.2">
      <c r="A4462" s="113"/>
      <c r="B4462" s="58" t="s">
        <v>11085</v>
      </c>
      <c r="C4462" s="58" t="s">
        <v>1413</v>
      </c>
      <c r="D4462" s="58" t="s">
        <v>11086</v>
      </c>
      <c r="E4462" s="60" t="b">
        <v>1</v>
      </c>
      <c r="F4462" s="80" t="s">
        <v>1308</v>
      </c>
      <c r="G4462" s="58" t="s">
        <v>11085</v>
      </c>
      <c r="H4462" s="58" t="s">
        <v>1728</v>
      </c>
      <c r="I4462" s="64" t="s">
        <v>11086</v>
      </c>
      <c r="J4462" s="66"/>
      <c r="K4462" s="66"/>
      <c r="L4462" s="68"/>
      <c r="M4462" s="63" t="str">
        <f>HYPERLINK("http://nsgreg.nga.mil/genc/view?v=866686&amp;end_month=12&amp;end_day=31&amp;end_year=2016","Correlation")</f>
        <v>Correlation</v>
      </c>
    </row>
    <row r="4463" spans="1:13" x14ac:dyDescent="0.2">
      <c r="A4463" s="113"/>
      <c r="B4463" s="58" t="s">
        <v>11087</v>
      </c>
      <c r="C4463" s="58" t="s">
        <v>1413</v>
      </c>
      <c r="D4463" s="58" t="s">
        <v>11088</v>
      </c>
      <c r="E4463" s="60" t="b">
        <v>1</v>
      </c>
      <c r="F4463" s="80" t="s">
        <v>1308</v>
      </c>
      <c r="G4463" s="58" t="s">
        <v>11087</v>
      </c>
      <c r="H4463" s="58" t="s">
        <v>1728</v>
      </c>
      <c r="I4463" s="64" t="s">
        <v>11088</v>
      </c>
      <c r="J4463" s="66"/>
      <c r="K4463" s="66"/>
      <c r="L4463" s="68"/>
      <c r="M4463" s="63" t="str">
        <f>HYPERLINK("http://nsgreg.nga.mil/genc/view?v=866687&amp;end_month=12&amp;end_day=31&amp;end_year=2016","Correlation")</f>
        <v>Correlation</v>
      </c>
    </row>
    <row r="4464" spans="1:13" x14ac:dyDescent="0.2">
      <c r="A4464" s="113"/>
      <c r="B4464" s="58" t="s">
        <v>11089</v>
      </c>
      <c r="C4464" s="58" t="s">
        <v>1413</v>
      </c>
      <c r="D4464" s="58" t="s">
        <v>11090</v>
      </c>
      <c r="E4464" s="60" t="b">
        <v>1</v>
      </c>
      <c r="F4464" s="80" t="s">
        <v>1308</v>
      </c>
      <c r="G4464" s="58" t="s">
        <v>11089</v>
      </c>
      <c r="H4464" s="58" t="s">
        <v>1728</v>
      </c>
      <c r="I4464" s="64" t="s">
        <v>11090</v>
      </c>
      <c r="J4464" s="66"/>
      <c r="K4464" s="66"/>
      <c r="L4464" s="68"/>
      <c r="M4464" s="63" t="str">
        <f>HYPERLINK("http://nsgreg.nga.mil/genc/view?v=866688&amp;end_month=12&amp;end_day=31&amp;end_year=2016","Correlation")</f>
        <v>Correlation</v>
      </c>
    </row>
    <row r="4465" spans="1:13" x14ac:dyDescent="0.2">
      <c r="A4465" s="114"/>
      <c r="B4465" s="71" t="s">
        <v>11091</v>
      </c>
      <c r="C4465" s="71" t="s">
        <v>1413</v>
      </c>
      <c r="D4465" s="71" t="s">
        <v>11092</v>
      </c>
      <c r="E4465" s="73" t="b">
        <v>1</v>
      </c>
      <c r="F4465" s="81" t="s">
        <v>1308</v>
      </c>
      <c r="G4465" s="71" t="s">
        <v>11091</v>
      </c>
      <c r="H4465" s="71" t="s">
        <v>1728</v>
      </c>
      <c r="I4465" s="74" t="s">
        <v>11092</v>
      </c>
      <c r="J4465" s="76"/>
      <c r="K4465" s="76"/>
      <c r="L4465" s="82"/>
      <c r="M4465" s="77" t="str">
        <f>HYPERLINK("http://nsgreg.nga.mil/genc/view?v=866689&amp;end_month=12&amp;end_day=31&amp;end_year=2016","Correlation")</f>
        <v>Correlation</v>
      </c>
    </row>
    <row r="4466" spans="1:13" x14ac:dyDescent="0.2">
      <c r="A4466" s="112" t="s">
        <v>1316</v>
      </c>
      <c r="B4466" s="50" t="s">
        <v>11093</v>
      </c>
      <c r="C4466" s="50" t="s">
        <v>11094</v>
      </c>
      <c r="D4466" s="50" t="s">
        <v>11095</v>
      </c>
      <c r="E4466" s="52" t="b">
        <v>1</v>
      </c>
      <c r="F4466" s="78" t="s">
        <v>1316</v>
      </c>
      <c r="G4466" s="50" t="s">
        <v>11093</v>
      </c>
      <c r="H4466" s="50" t="s">
        <v>11094</v>
      </c>
      <c r="I4466" s="53" t="s">
        <v>11095</v>
      </c>
      <c r="J4466" s="55"/>
      <c r="K4466" s="55"/>
      <c r="L4466" s="79"/>
      <c r="M4466" s="56" t="str">
        <f>HYPERLINK("http://nsgreg.nga.mil/genc/view?v=866816&amp;end_month=12&amp;end_day=31&amp;end_year=2016","Correlation")</f>
        <v>Correlation</v>
      </c>
    </row>
    <row r="4467" spans="1:13" x14ac:dyDescent="0.2">
      <c r="A4467" s="113"/>
      <c r="B4467" s="58" t="s">
        <v>11096</v>
      </c>
      <c r="C4467" s="58" t="s">
        <v>11097</v>
      </c>
      <c r="D4467" s="58" t="s">
        <v>11098</v>
      </c>
      <c r="E4467" s="60" t="b">
        <v>1</v>
      </c>
      <c r="F4467" s="80" t="s">
        <v>1316</v>
      </c>
      <c r="G4467" s="58" t="s">
        <v>11096</v>
      </c>
      <c r="H4467" s="58" t="s">
        <v>11097</v>
      </c>
      <c r="I4467" s="64" t="s">
        <v>11098</v>
      </c>
      <c r="J4467" s="66"/>
      <c r="K4467" s="66"/>
      <c r="L4467" s="68"/>
      <c r="M4467" s="63" t="str">
        <f>HYPERLINK("http://nsgreg.nga.mil/genc/view?v=866821&amp;end_month=12&amp;end_day=31&amp;end_year=2016","Correlation")</f>
        <v>Correlation</v>
      </c>
    </row>
    <row r="4468" spans="1:13" x14ac:dyDescent="0.2">
      <c r="A4468" s="113"/>
      <c r="B4468" s="58" t="s">
        <v>11099</v>
      </c>
      <c r="C4468" s="58" t="s">
        <v>11097</v>
      </c>
      <c r="D4468" s="58" t="s">
        <v>11100</v>
      </c>
      <c r="E4468" s="60" t="b">
        <v>1</v>
      </c>
      <c r="F4468" s="80" t="s">
        <v>1316</v>
      </c>
      <c r="G4468" s="58" t="s">
        <v>11099</v>
      </c>
      <c r="H4468" s="58" t="s">
        <v>11097</v>
      </c>
      <c r="I4468" s="64" t="s">
        <v>11100</v>
      </c>
      <c r="J4468" s="66"/>
      <c r="K4468" s="66"/>
      <c r="L4468" s="68"/>
      <c r="M4468" s="63" t="str">
        <f>HYPERLINK("http://nsgreg.nga.mil/genc/view?v=866820&amp;end_month=12&amp;end_day=31&amp;end_year=2016","Correlation")</f>
        <v>Correlation</v>
      </c>
    </row>
    <row r="4469" spans="1:13" x14ac:dyDescent="0.2">
      <c r="A4469" s="113"/>
      <c r="B4469" s="58" t="s">
        <v>11101</v>
      </c>
      <c r="C4469" s="58" t="s">
        <v>11097</v>
      </c>
      <c r="D4469" s="58" t="s">
        <v>11102</v>
      </c>
      <c r="E4469" s="60" t="b">
        <v>1</v>
      </c>
      <c r="F4469" s="80" t="s">
        <v>1316</v>
      </c>
      <c r="G4469" s="58" t="s">
        <v>11101</v>
      </c>
      <c r="H4469" s="58" t="s">
        <v>11097</v>
      </c>
      <c r="I4469" s="64" t="s">
        <v>11102</v>
      </c>
      <c r="J4469" s="66"/>
      <c r="K4469" s="66"/>
      <c r="L4469" s="68"/>
      <c r="M4469" s="63" t="str">
        <f>HYPERLINK("http://nsgreg.nga.mil/genc/view?v=866817&amp;end_month=12&amp;end_day=31&amp;end_year=2016","Correlation")</f>
        <v>Correlation</v>
      </c>
    </row>
    <row r="4470" spans="1:13" x14ac:dyDescent="0.2">
      <c r="A4470" s="113"/>
      <c r="B4470" s="58" t="s">
        <v>11103</v>
      </c>
      <c r="C4470" s="58" t="s">
        <v>11097</v>
      </c>
      <c r="D4470" s="58" t="s">
        <v>11104</v>
      </c>
      <c r="E4470" s="60" t="b">
        <v>1</v>
      </c>
      <c r="F4470" s="80" t="s">
        <v>1316</v>
      </c>
      <c r="G4470" s="58" t="s">
        <v>11103</v>
      </c>
      <c r="H4470" s="58" t="s">
        <v>11097</v>
      </c>
      <c r="I4470" s="64" t="s">
        <v>11104</v>
      </c>
      <c r="J4470" s="66"/>
      <c r="K4470" s="66"/>
      <c r="L4470" s="68"/>
      <c r="M4470" s="63" t="str">
        <f>HYPERLINK("http://nsgreg.nga.mil/genc/view?v=866822&amp;end_month=12&amp;end_day=31&amp;end_year=2016","Correlation")</f>
        <v>Correlation</v>
      </c>
    </row>
    <row r="4471" spans="1:13" x14ac:dyDescent="0.2">
      <c r="A4471" s="113"/>
      <c r="B4471" s="58" t="s">
        <v>11105</v>
      </c>
      <c r="C4471" s="58" t="s">
        <v>11097</v>
      </c>
      <c r="D4471" s="58" t="s">
        <v>11106</v>
      </c>
      <c r="E4471" s="60" t="b">
        <v>1</v>
      </c>
      <c r="F4471" s="80" t="s">
        <v>1316</v>
      </c>
      <c r="G4471" s="58" t="s">
        <v>11105</v>
      </c>
      <c r="H4471" s="58" t="s">
        <v>11097</v>
      </c>
      <c r="I4471" s="64" t="s">
        <v>11106</v>
      </c>
      <c r="J4471" s="66"/>
      <c r="K4471" s="66"/>
      <c r="L4471" s="68"/>
      <c r="M4471" s="63" t="str">
        <f>HYPERLINK("http://nsgreg.nga.mil/genc/view?v=866818&amp;end_month=12&amp;end_day=31&amp;end_year=2016","Correlation")</f>
        <v>Correlation</v>
      </c>
    </row>
    <row r="4472" spans="1:13" x14ac:dyDescent="0.2">
      <c r="A4472" s="113"/>
      <c r="B4472" s="58" t="s">
        <v>11107</v>
      </c>
      <c r="C4472" s="58" t="s">
        <v>11097</v>
      </c>
      <c r="D4472" s="58" t="s">
        <v>11108</v>
      </c>
      <c r="E4472" s="60" t="b">
        <v>1</v>
      </c>
      <c r="F4472" s="80" t="s">
        <v>1316</v>
      </c>
      <c r="G4472" s="58" t="s">
        <v>11107</v>
      </c>
      <c r="H4472" s="58" t="s">
        <v>11097</v>
      </c>
      <c r="I4472" s="64" t="s">
        <v>11108</v>
      </c>
      <c r="J4472" s="66"/>
      <c r="K4472" s="66"/>
      <c r="L4472" s="68"/>
      <c r="M4472" s="63" t="str">
        <f>HYPERLINK("http://nsgreg.nga.mil/genc/view?v=866819&amp;end_month=12&amp;end_day=31&amp;end_year=2016","Correlation")</f>
        <v>Correlation</v>
      </c>
    </row>
    <row r="4473" spans="1:13" x14ac:dyDescent="0.2">
      <c r="A4473" s="114"/>
      <c r="B4473" s="71" t="s">
        <v>11109</v>
      </c>
      <c r="C4473" s="71" t="s">
        <v>11097</v>
      </c>
      <c r="D4473" s="71" t="s">
        <v>11110</v>
      </c>
      <c r="E4473" s="73" t="b">
        <v>1</v>
      </c>
      <c r="F4473" s="81" t="s">
        <v>1316</v>
      </c>
      <c r="G4473" s="71" t="s">
        <v>11109</v>
      </c>
      <c r="H4473" s="71" t="s">
        <v>11097</v>
      </c>
      <c r="I4473" s="74" t="s">
        <v>11110</v>
      </c>
      <c r="J4473" s="76"/>
      <c r="K4473" s="76"/>
      <c r="L4473" s="82"/>
      <c r="M4473" s="77" t="str">
        <f>HYPERLINK("http://nsgreg.nga.mil/genc/view?v=866823&amp;end_month=12&amp;end_day=31&amp;end_year=2016","Correlation")</f>
        <v>Correlation</v>
      </c>
    </row>
    <row r="4474" spans="1:13" x14ac:dyDescent="0.2">
      <c r="A4474" s="112" t="s">
        <v>1320</v>
      </c>
      <c r="B4474" s="50" t="s">
        <v>11111</v>
      </c>
      <c r="C4474" s="50" t="s">
        <v>1796</v>
      </c>
      <c r="D4474" s="50" t="s">
        <v>11112</v>
      </c>
      <c r="E4474" s="52" t="b">
        <v>1</v>
      </c>
      <c r="F4474" s="78" t="s">
        <v>1320</v>
      </c>
      <c r="G4474" s="50" t="s">
        <v>11111</v>
      </c>
      <c r="H4474" s="50" t="s">
        <v>1796</v>
      </c>
      <c r="I4474" s="53" t="s">
        <v>11112</v>
      </c>
      <c r="J4474" s="55"/>
      <c r="K4474" s="55"/>
      <c r="L4474" s="79"/>
      <c r="M4474" s="56" t="str">
        <f>HYPERLINK("http://nsgreg.nga.mil/genc/view?v=866975&amp;end_month=12&amp;end_day=31&amp;end_year=2016","Correlation")</f>
        <v>Correlation</v>
      </c>
    </row>
    <row r="4475" spans="1:13" x14ac:dyDescent="0.2">
      <c r="A4475" s="113"/>
      <c r="B4475" s="58" t="s">
        <v>11113</v>
      </c>
      <c r="C4475" s="58" t="s">
        <v>1796</v>
      </c>
      <c r="D4475" s="58" t="s">
        <v>11114</v>
      </c>
      <c r="E4475" s="60" t="b">
        <v>1</v>
      </c>
      <c r="F4475" s="80" t="s">
        <v>1320</v>
      </c>
      <c r="G4475" s="58" t="s">
        <v>11113</v>
      </c>
      <c r="H4475" s="58" t="s">
        <v>1796</v>
      </c>
      <c r="I4475" s="64" t="s">
        <v>11114</v>
      </c>
      <c r="J4475" s="66"/>
      <c r="K4475" s="66"/>
      <c r="L4475" s="68"/>
      <c r="M4475" s="63" t="str">
        <f>HYPERLINK("http://nsgreg.nga.mil/genc/view?v=866959&amp;end_month=12&amp;end_day=31&amp;end_year=2016","Correlation")</f>
        <v>Correlation</v>
      </c>
    </row>
    <row r="4476" spans="1:13" x14ac:dyDescent="0.2">
      <c r="A4476" s="113"/>
      <c r="B4476" s="58" t="s">
        <v>11115</v>
      </c>
      <c r="C4476" s="58" t="s">
        <v>1796</v>
      </c>
      <c r="D4476" s="58" t="s">
        <v>11116</v>
      </c>
      <c r="E4476" s="60" t="b">
        <v>1</v>
      </c>
      <c r="F4476" s="80" t="s">
        <v>1320</v>
      </c>
      <c r="G4476" s="58" t="s">
        <v>11115</v>
      </c>
      <c r="H4476" s="58" t="s">
        <v>1796</v>
      </c>
      <c r="I4476" s="64" t="s">
        <v>11116</v>
      </c>
      <c r="J4476" s="66"/>
      <c r="K4476" s="66"/>
      <c r="L4476" s="68"/>
      <c r="M4476" s="63" t="str">
        <f>HYPERLINK("http://nsgreg.nga.mil/genc/view?v=866980&amp;end_month=12&amp;end_day=31&amp;end_year=2016","Correlation")</f>
        <v>Correlation</v>
      </c>
    </row>
    <row r="4477" spans="1:13" x14ac:dyDescent="0.2">
      <c r="A4477" s="113"/>
      <c r="B4477" s="58" t="s">
        <v>11117</v>
      </c>
      <c r="C4477" s="58" t="s">
        <v>1796</v>
      </c>
      <c r="D4477" s="58" t="s">
        <v>11118</v>
      </c>
      <c r="E4477" s="60" t="b">
        <v>1</v>
      </c>
      <c r="F4477" s="80" t="s">
        <v>1320</v>
      </c>
      <c r="G4477" s="58" t="s">
        <v>11117</v>
      </c>
      <c r="H4477" s="58" t="s">
        <v>1796</v>
      </c>
      <c r="I4477" s="64" t="s">
        <v>11118</v>
      </c>
      <c r="J4477" s="66"/>
      <c r="K4477" s="66"/>
      <c r="L4477" s="68"/>
      <c r="M4477" s="63" t="str">
        <f>HYPERLINK("http://nsgreg.nga.mil/genc/view?v=866981&amp;end_month=12&amp;end_day=31&amp;end_year=2016","Correlation")</f>
        <v>Correlation</v>
      </c>
    </row>
    <row r="4478" spans="1:13" x14ac:dyDescent="0.2">
      <c r="A4478" s="113"/>
      <c r="B4478" s="58" t="s">
        <v>11119</v>
      </c>
      <c r="C4478" s="58" t="s">
        <v>1796</v>
      </c>
      <c r="D4478" s="58" t="s">
        <v>11120</v>
      </c>
      <c r="E4478" s="60" t="b">
        <v>1</v>
      </c>
      <c r="F4478" s="80" t="s">
        <v>1320</v>
      </c>
      <c r="G4478" s="58" t="s">
        <v>11119</v>
      </c>
      <c r="H4478" s="58" t="s">
        <v>1796</v>
      </c>
      <c r="I4478" s="64" t="s">
        <v>11120</v>
      </c>
      <c r="J4478" s="66"/>
      <c r="K4478" s="66"/>
      <c r="L4478" s="68"/>
      <c r="M4478" s="63" t="str">
        <f>HYPERLINK("http://nsgreg.nga.mil/genc/view?v=866972&amp;end_month=12&amp;end_day=31&amp;end_year=2016","Correlation")</f>
        <v>Correlation</v>
      </c>
    </row>
    <row r="4479" spans="1:13" x14ac:dyDescent="0.2">
      <c r="A4479" s="113"/>
      <c r="B4479" s="58" t="s">
        <v>11121</v>
      </c>
      <c r="C4479" s="58" t="s">
        <v>1796</v>
      </c>
      <c r="D4479" s="58" t="s">
        <v>11122</v>
      </c>
      <c r="E4479" s="60" t="b">
        <v>1</v>
      </c>
      <c r="F4479" s="80" t="s">
        <v>1320</v>
      </c>
      <c r="G4479" s="58" t="s">
        <v>11121</v>
      </c>
      <c r="H4479" s="58" t="s">
        <v>1796</v>
      </c>
      <c r="I4479" s="64" t="s">
        <v>11122</v>
      </c>
      <c r="J4479" s="66"/>
      <c r="K4479" s="66"/>
      <c r="L4479" s="68"/>
      <c r="M4479" s="63" t="str">
        <f>HYPERLINK("http://nsgreg.nga.mil/genc/view?v=866982&amp;end_month=12&amp;end_day=31&amp;end_year=2016","Correlation")</f>
        <v>Correlation</v>
      </c>
    </row>
    <row r="4480" spans="1:13" x14ac:dyDescent="0.2">
      <c r="A4480" s="113"/>
      <c r="B4480" s="58" t="s">
        <v>11123</v>
      </c>
      <c r="C4480" s="58" t="s">
        <v>1796</v>
      </c>
      <c r="D4480" s="58" t="s">
        <v>11124</v>
      </c>
      <c r="E4480" s="60" t="b">
        <v>1</v>
      </c>
      <c r="F4480" s="80" t="s">
        <v>1320</v>
      </c>
      <c r="G4480" s="58" t="s">
        <v>11123</v>
      </c>
      <c r="H4480" s="58" t="s">
        <v>1796</v>
      </c>
      <c r="I4480" s="64" t="s">
        <v>11124</v>
      </c>
      <c r="J4480" s="66"/>
      <c r="K4480" s="66"/>
      <c r="L4480" s="68"/>
      <c r="M4480" s="63" t="str">
        <f>HYPERLINK("http://nsgreg.nga.mil/genc/view?v=866942&amp;end_month=12&amp;end_day=31&amp;end_year=2016","Correlation")</f>
        <v>Correlation</v>
      </c>
    </row>
    <row r="4481" spans="1:13" x14ac:dyDescent="0.2">
      <c r="A4481" s="113"/>
      <c r="B4481" s="58" t="s">
        <v>11125</v>
      </c>
      <c r="C4481" s="58" t="s">
        <v>1796</v>
      </c>
      <c r="D4481" s="58" t="s">
        <v>11126</v>
      </c>
      <c r="E4481" s="60" t="b">
        <v>1</v>
      </c>
      <c r="F4481" s="80" t="s">
        <v>1320</v>
      </c>
      <c r="G4481" s="58" t="s">
        <v>11125</v>
      </c>
      <c r="H4481" s="58" t="s">
        <v>1796</v>
      </c>
      <c r="I4481" s="64" t="s">
        <v>11126</v>
      </c>
      <c r="J4481" s="66"/>
      <c r="K4481" s="66"/>
      <c r="L4481" s="68"/>
      <c r="M4481" s="63" t="str">
        <f>HYPERLINK("http://nsgreg.nga.mil/genc/view?v=866977&amp;end_month=12&amp;end_day=31&amp;end_year=2016","Correlation")</f>
        <v>Correlation</v>
      </c>
    </row>
    <row r="4482" spans="1:13" x14ac:dyDescent="0.2">
      <c r="A4482" s="113"/>
      <c r="B4482" s="58" t="s">
        <v>11127</v>
      </c>
      <c r="C4482" s="58" t="s">
        <v>1796</v>
      </c>
      <c r="D4482" s="58" t="s">
        <v>11128</v>
      </c>
      <c r="E4482" s="60" t="b">
        <v>1</v>
      </c>
      <c r="F4482" s="80" t="s">
        <v>1320</v>
      </c>
      <c r="G4482" s="58" t="s">
        <v>11127</v>
      </c>
      <c r="H4482" s="58" t="s">
        <v>1796</v>
      </c>
      <c r="I4482" s="64" t="s">
        <v>11128</v>
      </c>
      <c r="J4482" s="66"/>
      <c r="K4482" s="66"/>
      <c r="L4482" s="68"/>
      <c r="M4482" s="63" t="str">
        <f>HYPERLINK("http://nsgreg.nga.mil/genc/view?v=866960&amp;end_month=12&amp;end_day=31&amp;end_year=2016","Correlation")</f>
        <v>Correlation</v>
      </c>
    </row>
    <row r="4483" spans="1:13" x14ac:dyDescent="0.2">
      <c r="A4483" s="113"/>
      <c r="B4483" s="58" t="s">
        <v>11129</v>
      </c>
      <c r="C4483" s="58" t="s">
        <v>1796</v>
      </c>
      <c r="D4483" s="58" t="s">
        <v>11130</v>
      </c>
      <c r="E4483" s="60" t="b">
        <v>1</v>
      </c>
      <c r="F4483" s="80" t="s">
        <v>1320</v>
      </c>
      <c r="G4483" s="58" t="s">
        <v>11129</v>
      </c>
      <c r="H4483" s="58" t="s">
        <v>1796</v>
      </c>
      <c r="I4483" s="64" t="s">
        <v>11130</v>
      </c>
      <c r="J4483" s="66"/>
      <c r="K4483" s="66"/>
      <c r="L4483" s="68"/>
      <c r="M4483" s="63" t="str">
        <f>HYPERLINK("http://nsgreg.nga.mil/genc/view?v=866961&amp;end_month=12&amp;end_day=31&amp;end_year=2016","Correlation")</f>
        <v>Correlation</v>
      </c>
    </row>
    <row r="4484" spans="1:13" x14ac:dyDescent="0.2">
      <c r="A4484" s="113"/>
      <c r="B4484" s="58" t="s">
        <v>11131</v>
      </c>
      <c r="C4484" s="58" t="s">
        <v>1796</v>
      </c>
      <c r="D4484" s="58" t="s">
        <v>11132</v>
      </c>
      <c r="E4484" s="60" t="b">
        <v>1</v>
      </c>
      <c r="F4484" s="80" t="s">
        <v>1320</v>
      </c>
      <c r="G4484" s="58" t="s">
        <v>11131</v>
      </c>
      <c r="H4484" s="58" t="s">
        <v>1796</v>
      </c>
      <c r="I4484" s="64" t="s">
        <v>11132</v>
      </c>
      <c r="J4484" s="66"/>
      <c r="K4484" s="66"/>
      <c r="L4484" s="68"/>
      <c r="M4484" s="63" t="str">
        <f>HYPERLINK("http://nsgreg.nga.mil/genc/view?v=866943&amp;end_month=12&amp;end_day=31&amp;end_year=2016","Correlation")</f>
        <v>Correlation</v>
      </c>
    </row>
    <row r="4485" spans="1:13" x14ac:dyDescent="0.2">
      <c r="A4485" s="113"/>
      <c r="B4485" s="58" t="s">
        <v>11133</v>
      </c>
      <c r="C4485" s="58" t="s">
        <v>1796</v>
      </c>
      <c r="D4485" s="58" t="s">
        <v>11134</v>
      </c>
      <c r="E4485" s="60" t="b">
        <v>1</v>
      </c>
      <c r="F4485" s="80" t="s">
        <v>1320</v>
      </c>
      <c r="G4485" s="58" t="s">
        <v>11133</v>
      </c>
      <c r="H4485" s="58" t="s">
        <v>1796</v>
      </c>
      <c r="I4485" s="64" t="s">
        <v>11134</v>
      </c>
      <c r="J4485" s="66"/>
      <c r="K4485" s="66"/>
      <c r="L4485" s="68"/>
      <c r="M4485" s="63" t="str">
        <f>HYPERLINK("http://nsgreg.nga.mil/genc/view?v=866949&amp;end_month=12&amp;end_day=31&amp;end_year=2016","Correlation")</f>
        <v>Correlation</v>
      </c>
    </row>
    <row r="4486" spans="1:13" x14ac:dyDescent="0.2">
      <c r="A4486" s="113"/>
      <c r="B4486" s="58" t="s">
        <v>11135</v>
      </c>
      <c r="C4486" s="58" t="s">
        <v>1796</v>
      </c>
      <c r="D4486" s="58" t="s">
        <v>11136</v>
      </c>
      <c r="E4486" s="60" t="b">
        <v>1</v>
      </c>
      <c r="F4486" s="80" t="s">
        <v>1320</v>
      </c>
      <c r="G4486" s="58" t="s">
        <v>11135</v>
      </c>
      <c r="H4486" s="58" t="s">
        <v>1796</v>
      </c>
      <c r="I4486" s="64" t="s">
        <v>11136</v>
      </c>
      <c r="J4486" s="66"/>
      <c r="K4486" s="66"/>
      <c r="L4486" s="68"/>
      <c r="M4486" s="63" t="str">
        <f>HYPERLINK("http://nsgreg.nga.mil/genc/view?v=866927&amp;end_month=12&amp;end_day=31&amp;end_year=2016","Correlation")</f>
        <v>Correlation</v>
      </c>
    </row>
    <row r="4487" spans="1:13" x14ac:dyDescent="0.2">
      <c r="A4487" s="113"/>
      <c r="B4487" s="58" t="s">
        <v>11137</v>
      </c>
      <c r="C4487" s="58" t="s">
        <v>1796</v>
      </c>
      <c r="D4487" s="58" t="s">
        <v>11138</v>
      </c>
      <c r="E4487" s="60" t="b">
        <v>1</v>
      </c>
      <c r="F4487" s="80" t="s">
        <v>1320</v>
      </c>
      <c r="G4487" s="58" t="s">
        <v>11137</v>
      </c>
      <c r="H4487" s="58" t="s">
        <v>1796</v>
      </c>
      <c r="I4487" s="64" t="s">
        <v>11138</v>
      </c>
      <c r="J4487" s="66"/>
      <c r="K4487" s="66"/>
      <c r="L4487" s="68"/>
      <c r="M4487" s="63" t="str">
        <f>HYPERLINK("http://nsgreg.nga.mil/genc/view?v=866983&amp;end_month=12&amp;end_day=31&amp;end_year=2016","Correlation")</f>
        <v>Correlation</v>
      </c>
    </row>
    <row r="4488" spans="1:13" x14ac:dyDescent="0.2">
      <c r="A4488" s="113"/>
      <c r="B4488" s="58" t="s">
        <v>11139</v>
      </c>
      <c r="C4488" s="58" t="s">
        <v>1796</v>
      </c>
      <c r="D4488" s="58" t="s">
        <v>11140</v>
      </c>
      <c r="E4488" s="60" t="b">
        <v>1</v>
      </c>
      <c r="F4488" s="80" t="s">
        <v>1320</v>
      </c>
      <c r="G4488" s="58" t="s">
        <v>11139</v>
      </c>
      <c r="H4488" s="58" t="s">
        <v>1796</v>
      </c>
      <c r="I4488" s="64" t="s">
        <v>11140</v>
      </c>
      <c r="J4488" s="66"/>
      <c r="K4488" s="66"/>
      <c r="L4488" s="68"/>
      <c r="M4488" s="63" t="str">
        <f>HYPERLINK("http://nsgreg.nga.mil/genc/view?v=866919&amp;end_month=12&amp;end_day=31&amp;end_year=2016","Correlation")</f>
        <v>Correlation</v>
      </c>
    </row>
    <row r="4489" spans="1:13" x14ac:dyDescent="0.2">
      <c r="A4489" s="113"/>
      <c r="B4489" s="58" t="s">
        <v>11141</v>
      </c>
      <c r="C4489" s="58" t="s">
        <v>1796</v>
      </c>
      <c r="D4489" s="58" t="s">
        <v>11142</v>
      </c>
      <c r="E4489" s="60" t="b">
        <v>1</v>
      </c>
      <c r="F4489" s="80" t="s">
        <v>1320</v>
      </c>
      <c r="G4489" s="58" t="s">
        <v>11141</v>
      </c>
      <c r="H4489" s="58" t="s">
        <v>1796</v>
      </c>
      <c r="I4489" s="64" t="s">
        <v>11142</v>
      </c>
      <c r="J4489" s="66"/>
      <c r="K4489" s="66"/>
      <c r="L4489" s="68"/>
      <c r="M4489" s="63" t="str">
        <f>HYPERLINK("http://nsgreg.nga.mil/genc/view?v=866950&amp;end_month=12&amp;end_day=31&amp;end_year=2016","Correlation")</f>
        <v>Correlation</v>
      </c>
    </row>
    <row r="4490" spans="1:13" x14ac:dyDescent="0.2">
      <c r="A4490" s="113"/>
      <c r="B4490" s="58" t="s">
        <v>11143</v>
      </c>
      <c r="C4490" s="58" t="s">
        <v>1796</v>
      </c>
      <c r="D4490" s="58" t="s">
        <v>11144</v>
      </c>
      <c r="E4490" s="60" t="b">
        <v>1</v>
      </c>
      <c r="F4490" s="80" t="s">
        <v>1320</v>
      </c>
      <c r="G4490" s="58" t="s">
        <v>11145</v>
      </c>
      <c r="H4490" s="58" t="s">
        <v>1796</v>
      </c>
      <c r="I4490" s="64" t="s">
        <v>11144</v>
      </c>
      <c r="J4490" s="66"/>
      <c r="K4490" s="66"/>
      <c r="L4490" s="68"/>
      <c r="M4490" s="63" t="str">
        <f>HYPERLINK("http://nsgreg.nga.mil/genc/view?v=866920&amp;end_month=12&amp;end_day=31&amp;end_year=2016","Correlation")</f>
        <v>Correlation</v>
      </c>
    </row>
    <row r="4491" spans="1:13" x14ac:dyDescent="0.2">
      <c r="A4491" s="113"/>
      <c r="B4491" s="58" t="s">
        <v>11146</v>
      </c>
      <c r="C4491" s="58" t="s">
        <v>1796</v>
      </c>
      <c r="D4491" s="58" t="s">
        <v>11147</v>
      </c>
      <c r="E4491" s="60" t="b">
        <v>1</v>
      </c>
      <c r="F4491" s="80" t="s">
        <v>1320</v>
      </c>
      <c r="G4491" s="58" t="s">
        <v>11146</v>
      </c>
      <c r="H4491" s="58" t="s">
        <v>1796</v>
      </c>
      <c r="I4491" s="64" t="s">
        <v>11147</v>
      </c>
      <c r="J4491" s="66"/>
      <c r="K4491" s="66"/>
      <c r="L4491" s="68"/>
      <c r="M4491" s="63" t="str">
        <f>HYPERLINK("http://nsgreg.nga.mil/genc/view?v=866944&amp;end_month=12&amp;end_day=31&amp;end_year=2016","Correlation")</f>
        <v>Correlation</v>
      </c>
    </row>
    <row r="4492" spans="1:13" x14ac:dyDescent="0.2">
      <c r="A4492" s="113"/>
      <c r="B4492" s="58" t="s">
        <v>11148</v>
      </c>
      <c r="C4492" s="58" t="s">
        <v>1796</v>
      </c>
      <c r="D4492" s="58" t="s">
        <v>11149</v>
      </c>
      <c r="E4492" s="60" t="b">
        <v>1</v>
      </c>
      <c r="F4492" s="80" t="s">
        <v>1320</v>
      </c>
      <c r="G4492" s="58" t="s">
        <v>11148</v>
      </c>
      <c r="H4492" s="58" t="s">
        <v>1796</v>
      </c>
      <c r="I4492" s="64" t="s">
        <v>11149</v>
      </c>
      <c r="J4492" s="66"/>
      <c r="K4492" s="66"/>
      <c r="L4492" s="68"/>
      <c r="M4492" s="63" t="str">
        <f>HYPERLINK("http://nsgreg.nga.mil/genc/view?v=866951&amp;end_month=12&amp;end_day=31&amp;end_year=2016","Correlation")</f>
        <v>Correlation</v>
      </c>
    </row>
    <row r="4493" spans="1:13" x14ac:dyDescent="0.2">
      <c r="A4493" s="113"/>
      <c r="B4493" s="58" t="s">
        <v>11150</v>
      </c>
      <c r="C4493" s="58" t="s">
        <v>1796</v>
      </c>
      <c r="D4493" s="58" t="s">
        <v>11151</v>
      </c>
      <c r="E4493" s="60" t="b">
        <v>1</v>
      </c>
      <c r="F4493" s="80" t="s">
        <v>1320</v>
      </c>
      <c r="G4493" s="58" t="s">
        <v>11150</v>
      </c>
      <c r="H4493" s="58" t="s">
        <v>1796</v>
      </c>
      <c r="I4493" s="64" t="s">
        <v>11151</v>
      </c>
      <c r="J4493" s="66"/>
      <c r="K4493" s="66"/>
      <c r="L4493" s="68"/>
      <c r="M4493" s="63" t="str">
        <f>HYPERLINK("http://nsgreg.nga.mil/genc/view?v=867008&amp;end_month=12&amp;end_day=31&amp;end_year=2016","Correlation")</f>
        <v>Correlation</v>
      </c>
    </row>
    <row r="4494" spans="1:13" x14ac:dyDescent="0.2">
      <c r="A4494" s="113"/>
      <c r="B4494" s="58" t="s">
        <v>11152</v>
      </c>
      <c r="C4494" s="58" t="s">
        <v>1796</v>
      </c>
      <c r="D4494" s="58" t="s">
        <v>11153</v>
      </c>
      <c r="E4494" s="60" t="b">
        <v>1</v>
      </c>
      <c r="F4494" s="80" t="s">
        <v>1320</v>
      </c>
      <c r="G4494" s="58" t="s">
        <v>11152</v>
      </c>
      <c r="H4494" s="58" t="s">
        <v>1796</v>
      </c>
      <c r="I4494" s="64" t="s">
        <v>11153</v>
      </c>
      <c r="J4494" s="66"/>
      <c r="K4494" s="66"/>
      <c r="L4494" s="68"/>
      <c r="M4494" s="63" t="str">
        <f>HYPERLINK("http://nsgreg.nga.mil/genc/view?v=866990&amp;end_month=12&amp;end_day=31&amp;end_year=2016","Correlation")</f>
        <v>Correlation</v>
      </c>
    </row>
    <row r="4495" spans="1:13" x14ac:dyDescent="0.2">
      <c r="A4495" s="113"/>
      <c r="B4495" s="58" t="s">
        <v>11154</v>
      </c>
      <c r="C4495" s="58" t="s">
        <v>1796</v>
      </c>
      <c r="D4495" s="58" t="s">
        <v>11155</v>
      </c>
      <c r="E4495" s="60" t="b">
        <v>1</v>
      </c>
      <c r="F4495" s="80" t="s">
        <v>1320</v>
      </c>
      <c r="G4495" s="58" t="s">
        <v>11154</v>
      </c>
      <c r="H4495" s="58" t="s">
        <v>1796</v>
      </c>
      <c r="I4495" s="64" t="s">
        <v>11155</v>
      </c>
      <c r="J4495" s="66"/>
      <c r="K4495" s="66"/>
      <c r="L4495" s="68"/>
      <c r="M4495" s="63" t="str">
        <f>HYPERLINK("http://nsgreg.nga.mil/genc/view?v=866991&amp;end_month=12&amp;end_day=31&amp;end_year=2016","Correlation")</f>
        <v>Correlation</v>
      </c>
    </row>
    <row r="4496" spans="1:13" x14ac:dyDescent="0.2">
      <c r="A4496" s="113"/>
      <c r="B4496" s="58" t="s">
        <v>5697</v>
      </c>
      <c r="C4496" s="58" t="s">
        <v>1796</v>
      </c>
      <c r="D4496" s="58" t="s">
        <v>11156</v>
      </c>
      <c r="E4496" s="60" t="b">
        <v>1</v>
      </c>
      <c r="F4496" s="80" t="s">
        <v>1320</v>
      </c>
      <c r="G4496" s="58" t="s">
        <v>5697</v>
      </c>
      <c r="H4496" s="58" t="s">
        <v>1796</v>
      </c>
      <c r="I4496" s="64" t="s">
        <v>11156</v>
      </c>
      <c r="J4496" s="66"/>
      <c r="K4496" s="66"/>
      <c r="L4496" s="68"/>
      <c r="M4496" s="63" t="str">
        <f>HYPERLINK("http://nsgreg.nga.mil/genc/view?v=866928&amp;end_month=12&amp;end_day=31&amp;end_year=2016","Correlation")</f>
        <v>Correlation</v>
      </c>
    </row>
    <row r="4497" spans="1:13" x14ac:dyDescent="0.2">
      <c r="A4497" s="113"/>
      <c r="B4497" s="58" t="s">
        <v>11157</v>
      </c>
      <c r="C4497" s="58" t="s">
        <v>1796</v>
      </c>
      <c r="D4497" s="58" t="s">
        <v>11158</v>
      </c>
      <c r="E4497" s="60" t="b">
        <v>1</v>
      </c>
      <c r="F4497" s="80" t="s">
        <v>1320</v>
      </c>
      <c r="G4497" s="58" t="s">
        <v>11157</v>
      </c>
      <c r="H4497" s="58" t="s">
        <v>1796</v>
      </c>
      <c r="I4497" s="64" t="s">
        <v>11158</v>
      </c>
      <c r="J4497" s="66"/>
      <c r="K4497" s="66"/>
      <c r="L4497" s="68"/>
      <c r="M4497" s="63" t="str">
        <f>HYPERLINK("http://nsgreg.nga.mil/genc/view?v=866945&amp;end_month=12&amp;end_day=31&amp;end_year=2016","Correlation")</f>
        <v>Correlation</v>
      </c>
    </row>
    <row r="4498" spans="1:13" x14ac:dyDescent="0.2">
      <c r="A4498" s="113"/>
      <c r="B4498" s="58" t="s">
        <v>11159</v>
      </c>
      <c r="C4498" s="58" t="s">
        <v>1796</v>
      </c>
      <c r="D4498" s="58" t="s">
        <v>11160</v>
      </c>
      <c r="E4498" s="60" t="b">
        <v>1</v>
      </c>
      <c r="F4498" s="80" t="s">
        <v>1320</v>
      </c>
      <c r="G4498" s="58" t="s">
        <v>11159</v>
      </c>
      <c r="H4498" s="58" t="s">
        <v>1796</v>
      </c>
      <c r="I4498" s="64" t="s">
        <v>11160</v>
      </c>
      <c r="J4498" s="66"/>
      <c r="K4498" s="66"/>
      <c r="L4498" s="68"/>
      <c r="M4498" s="63" t="str">
        <f>HYPERLINK("http://nsgreg.nga.mil/genc/view?v=866921&amp;end_month=12&amp;end_day=31&amp;end_year=2016","Correlation")</f>
        <v>Correlation</v>
      </c>
    </row>
    <row r="4499" spans="1:13" x14ac:dyDescent="0.2">
      <c r="A4499" s="113"/>
      <c r="B4499" s="58" t="s">
        <v>11161</v>
      </c>
      <c r="C4499" s="58" t="s">
        <v>1796</v>
      </c>
      <c r="D4499" s="58" t="s">
        <v>11162</v>
      </c>
      <c r="E4499" s="60" t="b">
        <v>1</v>
      </c>
      <c r="F4499" s="80" t="s">
        <v>1320</v>
      </c>
      <c r="G4499" s="58" t="s">
        <v>11161</v>
      </c>
      <c r="H4499" s="58" t="s">
        <v>1796</v>
      </c>
      <c r="I4499" s="64" t="s">
        <v>11162</v>
      </c>
      <c r="J4499" s="66"/>
      <c r="K4499" s="66"/>
      <c r="L4499" s="68"/>
      <c r="M4499" s="63" t="str">
        <f>HYPERLINK("http://nsgreg.nga.mil/genc/view?v=866922&amp;end_month=12&amp;end_day=31&amp;end_year=2016","Correlation")</f>
        <v>Correlation</v>
      </c>
    </row>
    <row r="4500" spans="1:13" x14ac:dyDescent="0.2">
      <c r="A4500" s="113"/>
      <c r="B4500" s="58" t="s">
        <v>11163</v>
      </c>
      <c r="C4500" s="58" t="s">
        <v>1796</v>
      </c>
      <c r="D4500" s="58" t="s">
        <v>11164</v>
      </c>
      <c r="E4500" s="60" t="b">
        <v>1</v>
      </c>
      <c r="F4500" s="80" t="s">
        <v>1320</v>
      </c>
      <c r="G4500" s="58" t="s">
        <v>11163</v>
      </c>
      <c r="H4500" s="58" t="s">
        <v>1796</v>
      </c>
      <c r="I4500" s="64" t="s">
        <v>11164</v>
      </c>
      <c r="J4500" s="66"/>
      <c r="K4500" s="66"/>
      <c r="L4500" s="68"/>
      <c r="M4500" s="63" t="str">
        <f>HYPERLINK("http://nsgreg.nga.mil/genc/view?v=866952&amp;end_month=12&amp;end_day=31&amp;end_year=2016","Correlation")</f>
        <v>Correlation</v>
      </c>
    </row>
    <row r="4501" spans="1:13" x14ac:dyDescent="0.2">
      <c r="A4501" s="113"/>
      <c r="B4501" s="58" t="s">
        <v>2411</v>
      </c>
      <c r="C4501" s="58" t="s">
        <v>2763</v>
      </c>
      <c r="D4501" s="58" t="s">
        <v>11165</v>
      </c>
      <c r="E4501" s="60" t="b">
        <v>1</v>
      </c>
      <c r="F4501" s="80" t="s">
        <v>1320</v>
      </c>
      <c r="G4501" s="58" t="s">
        <v>2411</v>
      </c>
      <c r="H4501" s="58" t="s">
        <v>2763</v>
      </c>
      <c r="I4501" s="64" t="s">
        <v>11165</v>
      </c>
      <c r="J4501" s="66"/>
      <c r="K4501" s="66"/>
      <c r="L4501" s="68"/>
      <c r="M4501" s="63" t="str">
        <f>HYPERLINK("http://nsgreg.nga.mil/genc/view?v=867015&amp;end_month=12&amp;end_day=31&amp;end_year=2016","Correlation")</f>
        <v>Correlation</v>
      </c>
    </row>
    <row r="4502" spans="1:13" x14ac:dyDescent="0.2">
      <c r="A4502" s="113"/>
      <c r="B4502" s="58" t="s">
        <v>11166</v>
      </c>
      <c r="C4502" s="58" t="s">
        <v>1796</v>
      </c>
      <c r="D4502" s="58" t="s">
        <v>11167</v>
      </c>
      <c r="E4502" s="60" t="b">
        <v>1</v>
      </c>
      <c r="F4502" s="80" t="s">
        <v>1320</v>
      </c>
      <c r="G4502" s="58" t="s">
        <v>11166</v>
      </c>
      <c r="H4502" s="58" t="s">
        <v>1796</v>
      </c>
      <c r="I4502" s="64" t="s">
        <v>11167</v>
      </c>
      <c r="J4502" s="66"/>
      <c r="K4502" s="66"/>
      <c r="L4502" s="68"/>
      <c r="M4502" s="63" t="str">
        <f>HYPERLINK("http://nsgreg.nga.mil/genc/view?v=866976&amp;end_month=12&amp;end_day=31&amp;end_year=2016","Correlation")</f>
        <v>Correlation</v>
      </c>
    </row>
    <row r="4503" spans="1:13" x14ac:dyDescent="0.2">
      <c r="A4503" s="113"/>
      <c r="B4503" s="58" t="s">
        <v>4055</v>
      </c>
      <c r="C4503" s="58" t="s">
        <v>2763</v>
      </c>
      <c r="D4503" s="58" t="s">
        <v>11168</v>
      </c>
      <c r="E4503" s="60" t="b">
        <v>1</v>
      </c>
      <c r="F4503" s="80" t="s">
        <v>1320</v>
      </c>
      <c r="G4503" s="58" t="s">
        <v>4055</v>
      </c>
      <c r="H4503" s="58" t="s">
        <v>2763</v>
      </c>
      <c r="I4503" s="64" t="s">
        <v>11168</v>
      </c>
      <c r="J4503" s="66"/>
      <c r="K4503" s="66"/>
      <c r="L4503" s="68"/>
      <c r="M4503" s="63" t="str">
        <f>HYPERLINK("http://nsgreg.nga.mil/genc/view?v=867016&amp;end_month=12&amp;end_day=31&amp;end_year=2016","Correlation")</f>
        <v>Correlation</v>
      </c>
    </row>
    <row r="4504" spans="1:13" x14ac:dyDescent="0.2">
      <c r="A4504" s="113"/>
      <c r="B4504" s="58" t="s">
        <v>11169</v>
      </c>
      <c r="C4504" s="58" t="s">
        <v>1796</v>
      </c>
      <c r="D4504" s="58" t="s">
        <v>11170</v>
      </c>
      <c r="E4504" s="60" t="b">
        <v>1</v>
      </c>
      <c r="F4504" s="80" t="s">
        <v>1320</v>
      </c>
      <c r="G4504" s="58" t="s">
        <v>11169</v>
      </c>
      <c r="H4504" s="58" t="s">
        <v>1796</v>
      </c>
      <c r="I4504" s="64" t="s">
        <v>11170</v>
      </c>
      <c r="J4504" s="66"/>
      <c r="K4504" s="66"/>
      <c r="L4504" s="68"/>
      <c r="M4504" s="63" t="str">
        <f>HYPERLINK("http://nsgreg.nga.mil/genc/view?v=866923&amp;end_month=12&amp;end_day=31&amp;end_year=2016","Correlation")</f>
        <v>Correlation</v>
      </c>
    </row>
    <row r="4505" spans="1:13" x14ac:dyDescent="0.2">
      <c r="A4505" s="113"/>
      <c r="B4505" s="58" t="s">
        <v>11171</v>
      </c>
      <c r="C4505" s="58" t="s">
        <v>1796</v>
      </c>
      <c r="D4505" s="58" t="s">
        <v>11172</v>
      </c>
      <c r="E4505" s="60" t="b">
        <v>1</v>
      </c>
      <c r="F4505" s="80" t="s">
        <v>1320</v>
      </c>
      <c r="G4505" s="58" t="s">
        <v>11171</v>
      </c>
      <c r="H4505" s="58" t="s">
        <v>1796</v>
      </c>
      <c r="I4505" s="64" t="s">
        <v>11172</v>
      </c>
      <c r="J4505" s="66"/>
      <c r="K4505" s="66"/>
      <c r="L4505" s="68"/>
      <c r="M4505" s="63" t="str">
        <f>HYPERLINK("http://nsgreg.nga.mil/genc/view?v=866962&amp;end_month=12&amp;end_day=31&amp;end_year=2016","Correlation")</f>
        <v>Correlation</v>
      </c>
    </row>
    <row r="4506" spans="1:13" x14ac:dyDescent="0.2">
      <c r="A4506" s="113"/>
      <c r="B4506" s="58" t="s">
        <v>11173</v>
      </c>
      <c r="C4506" s="58" t="s">
        <v>1796</v>
      </c>
      <c r="D4506" s="58" t="s">
        <v>11174</v>
      </c>
      <c r="E4506" s="60" t="b">
        <v>1</v>
      </c>
      <c r="F4506" s="80" t="s">
        <v>1320</v>
      </c>
      <c r="G4506" s="58" t="s">
        <v>11173</v>
      </c>
      <c r="H4506" s="58" t="s">
        <v>1796</v>
      </c>
      <c r="I4506" s="64" t="s">
        <v>11174</v>
      </c>
      <c r="J4506" s="66"/>
      <c r="K4506" s="66"/>
      <c r="L4506" s="68"/>
      <c r="M4506" s="63" t="str">
        <f>HYPERLINK("http://nsgreg.nga.mil/genc/view?v=866992&amp;end_month=12&amp;end_day=31&amp;end_year=2016","Correlation")</f>
        <v>Correlation</v>
      </c>
    </row>
    <row r="4507" spans="1:13" x14ac:dyDescent="0.2">
      <c r="A4507" s="113"/>
      <c r="B4507" s="58" t="s">
        <v>11175</v>
      </c>
      <c r="C4507" s="58" t="s">
        <v>1796</v>
      </c>
      <c r="D4507" s="58" t="s">
        <v>11176</v>
      </c>
      <c r="E4507" s="60" t="b">
        <v>1</v>
      </c>
      <c r="F4507" s="80" t="s">
        <v>1320</v>
      </c>
      <c r="G4507" s="58" t="s">
        <v>11175</v>
      </c>
      <c r="H4507" s="58" t="s">
        <v>1796</v>
      </c>
      <c r="I4507" s="64" t="s">
        <v>11176</v>
      </c>
      <c r="J4507" s="66"/>
      <c r="K4507" s="66"/>
      <c r="L4507" s="68"/>
      <c r="M4507" s="63" t="str">
        <f>HYPERLINK("http://nsgreg.nga.mil/genc/view?v=867005&amp;end_month=12&amp;end_day=31&amp;end_year=2016","Correlation")</f>
        <v>Correlation</v>
      </c>
    </row>
    <row r="4508" spans="1:13" x14ac:dyDescent="0.2">
      <c r="A4508" s="113"/>
      <c r="B4508" s="58" t="s">
        <v>11177</v>
      </c>
      <c r="C4508" s="58" t="s">
        <v>1796</v>
      </c>
      <c r="D4508" s="58" t="s">
        <v>11178</v>
      </c>
      <c r="E4508" s="60" t="b">
        <v>1</v>
      </c>
      <c r="F4508" s="80" t="s">
        <v>1320</v>
      </c>
      <c r="G4508" s="58" t="s">
        <v>11177</v>
      </c>
      <c r="H4508" s="58" t="s">
        <v>1796</v>
      </c>
      <c r="I4508" s="64" t="s">
        <v>11178</v>
      </c>
      <c r="J4508" s="66"/>
      <c r="K4508" s="66"/>
      <c r="L4508" s="68"/>
      <c r="M4508" s="63" t="str">
        <f>HYPERLINK("http://nsgreg.nga.mil/genc/view?v=866929&amp;end_month=12&amp;end_day=31&amp;end_year=2016","Correlation")</f>
        <v>Correlation</v>
      </c>
    </row>
    <row r="4509" spans="1:13" x14ac:dyDescent="0.2">
      <c r="A4509" s="113"/>
      <c r="B4509" s="58" t="s">
        <v>11179</v>
      </c>
      <c r="C4509" s="58" t="s">
        <v>1796</v>
      </c>
      <c r="D4509" s="58" t="s">
        <v>11180</v>
      </c>
      <c r="E4509" s="60" t="b">
        <v>1</v>
      </c>
      <c r="F4509" s="80" t="s">
        <v>1320</v>
      </c>
      <c r="G4509" s="58" t="s">
        <v>11179</v>
      </c>
      <c r="H4509" s="58" t="s">
        <v>1796</v>
      </c>
      <c r="I4509" s="64" t="s">
        <v>11180</v>
      </c>
      <c r="J4509" s="66"/>
      <c r="K4509" s="66"/>
      <c r="L4509" s="68"/>
      <c r="M4509" s="63" t="str">
        <f>HYPERLINK("http://nsgreg.nga.mil/genc/view?v=867006&amp;end_month=12&amp;end_day=31&amp;end_year=2016","Correlation")</f>
        <v>Correlation</v>
      </c>
    </row>
    <row r="4510" spans="1:13" x14ac:dyDescent="0.2">
      <c r="A4510" s="113"/>
      <c r="B4510" s="58" t="s">
        <v>11181</v>
      </c>
      <c r="C4510" s="58" t="s">
        <v>1796</v>
      </c>
      <c r="D4510" s="58" t="s">
        <v>11182</v>
      </c>
      <c r="E4510" s="60" t="b">
        <v>1</v>
      </c>
      <c r="F4510" s="80" t="s">
        <v>1320</v>
      </c>
      <c r="G4510" s="58" t="s">
        <v>11181</v>
      </c>
      <c r="H4510" s="58" t="s">
        <v>1796</v>
      </c>
      <c r="I4510" s="64" t="s">
        <v>11182</v>
      </c>
      <c r="J4510" s="66"/>
      <c r="K4510" s="66"/>
      <c r="L4510" s="68"/>
      <c r="M4510" s="63" t="str">
        <f>HYPERLINK("http://nsgreg.nga.mil/genc/view?v=866930&amp;end_month=12&amp;end_day=31&amp;end_year=2016","Correlation")</f>
        <v>Correlation</v>
      </c>
    </row>
    <row r="4511" spans="1:13" x14ac:dyDescent="0.2">
      <c r="A4511" s="113"/>
      <c r="B4511" s="58" t="s">
        <v>11183</v>
      </c>
      <c r="C4511" s="58" t="s">
        <v>1796</v>
      </c>
      <c r="D4511" s="58" t="s">
        <v>11184</v>
      </c>
      <c r="E4511" s="60" t="b">
        <v>1</v>
      </c>
      <c r="F4511" s="80" t="s">
        <v>1320</v>
      </c>
      <c r="G4511" s="58" t="s">
        <v>11183</v>
      </c>
      <c r="H4511" s="58" t="s">
        <v>1796</v>
      </c>
      <c r="I4511" s="64" t="s">
        <v>11184</v>
      </c>
      <c r="J4511" s="66"/>
      <c r="K4511" s="66"/>
      <c r="L4511" s="68"/>
      <c r="M4511" s="63" t="str">
        <f>HYPERLINK("http://nsgreg.nga.mil/genc/view?v=866973&amp;end_month=12&amp;end_day=31&amp;end_year=2016","Correlation")</f>
        <v>Correlation</v>
      </c>
    </row>
    <row r="4512" spans="1:13" x14ac:dyDescent="0.2">
      <c r="A4512" s="113"/>
      <c r="B4512" s="58" t="s">
        <v>11185</v>
      </c>
      <c r="C4512" s="58" t="s">
        <v>1796</v>
      </c>
      <c r="D4512" s="58" t="s">
        <v>11186</v>
      </c>
      <c r="E4512" s="60" t="b">
        <v>1</v>
      </c>
      <c r="F4512" s="80" t="s">
        <v>1320</v>
      </c>
      <c r="G4512" s="58" t="s">
        <v>11185</v>
      </c>
      <c r="H4512" s="58" t="s">
        <v>1796</v>
      </c>
      <c r="I4512" s="64" t="s">
        <v>11186</v>
      </c>
      <c r="J4512" s="66"/>
      <c r="K4512" s="66"/>
      <c r="L4512" s="68"/>
      <c r="M4512" s="63" t="str">
        <f>HYPERLINK("http://nsgreg.nga.mil/genc/view?v=866993&amp;end_month=12&amp;end_day=31&amp;end_year=2016","Correlation")</f>
        <v>Correlation</v>
      </c>
    </row>
    <row r="4513" spans="1:13" x14ac:dyDescent="0.2">
      <c r="A4513" s="113"/>
      <c r="B4513" s="58" t="s">
        <v>11187</v>
      </c>
      <c r="C4513" s="58" t="s">
        <v>1796</v>
      </c>
      <c r="D4513" s="58" t="s">
        <v>11188</v>
      </c>
      <c r="E4513" s="60" t="b">
        <v>1</v>
      </c>
      <c r="F4513" s="80" t="s">
        <v>1320</v>
      </c>
      <c r="G4513" s="58" t="s">
        <v>11187</v>
      </c>
      <c r="H4513" s="58" t="s">
        <v>1796</v>
      </c>
      <c r="I4513" s="64" t="s">
        <v>11188</v>
      </c>
      <c r="J4513" s="66"/>
      <c r="K4513" s="66"/>
      <c r="L4513" s="68"/>
      <c r="M4513" s="63" t="str">
        <f>HYPERLINK("http://nsgreg.nga.mil/genc/view?v=866994&amp;end_month=12&amp;end_day=31&amp;end_year=2016","Correlation")</f>
        <v>Correlation</v>
      </c>
    </row>
    <row r="4514" spans="1:13" x14ac:dyDescent="0.2">
      <c r="A4514" s="113"/>
      <c r="B4514" s="58" t="s">
        <v>11189</v>
      </c>
      <c r="C4514" s="58" t="s">
        <v>1796</v>
      </c>
      <c r="D4514" s="58" t="s">
        <v>11190</v>
      </c>
      <c r="E4514" s="60" t="b">
        <v>1</v>
      </c>
      <c r="F4514" s="80" t="s">
        <v>1320</v>
      </c>
      <c r="G4514" s="58" t="s">
        <v>11189</v>
      </c>
      <c r="H4514" s="58" t="s">
        <v>1796</v>
      </c>
      <c r="I4514" s="64" t="s">
        <v>11190</v>
      </c>
      <c r="J4514" s="66"/>
      <c r="K4514" s="66"/>
      <c r="L4514" s="68"/>
      <c r="M4514" s="63" t="str">
        <f>HYPERLINK("http://nsgreg.nga.mil/genc/view?v=866939&amp;end_month=12&amp;end_day=31&amp;end_year=2016","Correlation")</f>
        <v>Correlation</v>
      </c>
    </row>
    <row r="4515" spans="1:13" x14ac:dyDescent="0.2">
      <c r="A4515" s="113"/>
      <c r="B4515" s="58" t="s">
        <v>11191</v>
      </c>
      <c r="C4515" s="58" t="s">
        <v>1796</v>
      </c>
      <c r="D4515" s="58" t="s">
        <v>11192</v>
      </c>
      <c r="E4515" s="60" t="b">
        <v>1</v>
      </c>
      <c r="F4515" s="80" t="s">
        <v>1320</v>
      </c>
      <c r="G4515" s="58" t="s">
        <v>11191</v>
      </c>
      <c r="H4515" s="58" t="s">
        <v>1796</v>
      </c>
      <c r="I4515" s="64" t="s">
        <v>11192</v>
      </c>
      <c r="J4515" s="66"/>
      <c r="K4515" s="66"/>
      <c r="L4515" s="68"/>
      <c r="M4515" s="63" t="str">
        <f>HYPERLINK("http://nsgreg.nga.mil/genc/view?v=866903&amp;end_month=12&amp;end_day=31&amp;end_year=2016","Correlation")</f>
        <v>Correlation</v>
      </c>
    </row>
    <row r="4516" spans="1:13" x14ac:dyDescent="0.2">
      <c r="A4516" s="113"/>
      <c r="B4516" s="58" t="s">
        <v>11193</v>
      </c>
      <c r="C4516" s="58" t="s">
        <v>1796</v>
      </c>
      <c r="D4516" s="58" t="s">
        <v>11194</v>
      </c>
      <c r="E4516" s="60" t="b">
        <v>1</v>
      </c>
      <c r="F4516" s="80" t="s">
        <v>1320</v>
      </c>
      <c r="G4516" s="58" t="s">
        <v>11193</v>
      </c>
      <c r="H4516" s="58" t="s">
        <v>1796</v>
      </c>
      <c r="I4516" s="64" t="s">
        <v>11194</v>
      </c>
      <c r="J4516" s="66"/>
      <c r="K4516" s="66"/>
      <c r="L4516" s="68"/>
      <c r="M4516" s="63" t="str">
        <f>HYPERLINK("http://nsgreg.nga.mil/genc/view?v=866946&amp;end_month=12&amp;end_day=31&amp;end_year=2016","Correlation")</f>
        <v>Correlation</v>
      </c>
    </row>
    <row r="4517" spans="1:13" x14ac:dyDescent="0.2">
      <c r="A4517" s="113"/>
      <c r="B4517" s="58" t="s">
        <v>11195</v>
      </c>
      <c r="C4517" s="58" t="s">
        <v>1796</v>
      </c>
      <c r="D4517" s="58" t="s">
        <v>11196</v>
      </c>
      <c r="E4517" s="60" t="b">
        <v>1</v>
      </c>
      <c r="F4517" s="80" t="s">
        <v>1320</v>
      </c>
      <c r="G4517" s="58" t="s">
        <v>11195</v>
      </c>
      <c r="H4517" s="58" t="s">
        <v>1796</v>
      </c>
      <c r="I4517" s="64" t="s">
        <v>11196</v>
      </c>
      <c r="J4517" s="66"/>
      <c r="K4517" s="66"/>
      <c r="L4517" s="68"/>
      <c r="M4517" s="63" t="str">
        <f>HYPERLINK("http://nsgreg.nga.mil/genc/view?v=866924&amp;end_month=12&amp;end_day=31&amp;end_year=2016","Correlation")</f>
        <v>Correlation</v>
      </c>
    </row>
    <row r="4518" spans="1:13" x14ac:dyDescent="0.2">
      <c r="A4518" s="113"/>
      <c r="B4518" s="58" t="s">
        <v>11197</v>
      </c>
      <c r="C4518" s="58" t="s">
        <v>1681</v>
      </c>
      <c r="D4518" s="58" t="s">
        <v>11198</v>
      </c>
      <c r="E4518" s="60" t="b">
        <v>1</v>
      </c>
      <c r="F4518" s="80" t="s">
        <v>1320</v>
      </c>
      <c r="G4518" s="58" t="s">
        <v>11197</v>
      </c>
      <c r="H4518" s="58" t="s">
        <v>1681</v>
      </c>
      <c r="I4518" s="64" t="s">
        <v>11198</v>
      </c>
      <c r="J4518" s="66"/>
      <c r="K4518" s="66"/>
      <c r="L4518" s="68"/>
      <c r="M4518" s="63" t="str">
        <f>HYPERLINK("http://nsgreg.nga.mil/genc/view?v=866904&amp;end_month=12&amp;end_day=31&amp;end_year=2016","Correlation")</f>
        <v>Correlation</v>
      </c>
    </row>
    <row r="4519" spans="1:13" x14ac:dyDescent="0.2">
      <c r="A4519" s="113"/>
      <c r="B4519" s="58" t="s">
        <v>11199</v>
      </c>
      <c r="C4519" s="58" t="s">
        <v>1796</v>
      </c>
      <c r="D4519" s="58" t="s">
        <v>11200</v>
      </c>
      <c r="E4519" s="60" t="b">
        <v>1</v>
      </c>
      <c r="F4519" s="80" t="s">
        <v>1320</v>
      </c>
      <c r="G4519" s="58" t="s">
        <v>11199</v>
      </c>
      <c r="H4519" s="58" t="s">
        <v>1796</v>
      </c>
      <c r="I4519" s="64" t="s">
        <v>11200</v>
      </c>
      <c r="J4519" s="66"/>
      <c r="K4519" s="66"/>
      <c r="L4519" s="68"/>
      <c r="M4519" s="63" t="str">
        <f>HYPERLINK("http://nsgreg.nga.mil/genc/view?v=866931&amp;end_month=12&amp;end_day=31&amp;end_year=2016","Correlation")</f>
        <v>Correlation</v>
      </c>
    </row>
    <row r="4520" spans="1:13" x14ac:dyDescent="0.2">
      <c r="A4520" s="113"/>
      <c r="B4520" s="58" t="s">
        <v>11201</v>
      </c>
      <c r="C4520" s="58" t="s">
        <v>1796</v>
      </c>
      <c r="D4520" s="58" t="s">
        <v>11202</v>
      </c>
      <c r="E4520" s="60" t="b">
        <v>1</v>
      </c>
      <c r="F4520" s="80" t="s">
        <v>1320</v>
      </c>
      <c r="G4520" s="58" t="s">
        <v>11201</v>
      </c>
      <c r="H4520" s="58" t="s">
        <v>1796</v>
      </c>
      <c r="I4520" s="64" t="s">
        <v>11202</v>
      </c>
      <c r="J4520" s="66"/>
      <c r="K4520" s="66"/>
      <c r="L4520" s="68"/>
      <c r="M4520" s="63" t="str">
        <f>HYPERLINK("http://nsgreg.nga.mil/genc/view?v=867002&amp;end_month=12&amp;end_day=31&amp;end_year=2016","Correlation")</f>
        <v>Correlation</v>
      </c>
    </row>
    <row r="4521" spans="1:13" x14ac:dyDescent="0.2">
      <c r="A4521" s="113"/>
      <c r="B4521" s="58" t="s">
        <v>11203</v>
      </c>
      <c r="C4521" s="58" t="s">
        <v>1796</v>
      </c>
      <c r="D4521" s="58" t="s">
        <v>11204</v>
      </c>
      <c r="E4521" s="60" t="b">
        <v>1</v>
      </c>
      <c r="F4521" s="80" t="s">
        <v>1320</v>
      </c>
      <c r="G4521" s="58" t="s">
        <v>11203</v>
      </c>
      <c r="H4521" s="58" t="s">
        <v>1796</v>
      </c>
      <c r="I4521" s="64" t="s">
        <v>11204</v>
      </c>
      <c r="J4521" s="66"/>
      <c r="K4521" s="66"/>
      <c r="L4521" s="68"/>
      <c r="M4521" s="63" t="str">
        <f>HYPERLINK("http://nsgreg.nga.mil/genc/view?v=867003&amp;end_month=12&amp;end_day=31&amp;end_year=2016","Correlation")</f>
        <v>Correlation</v>
      </c>
    </row>
    <row r="4522" spans="1:13" x14ac:dyDescent="0.2">
      <c r="A4522" s="113"/>
      <c r="B4522" s="58" t="s">
        <v>11205</v>
      </c>
      <c r="C4522" s="58" t="s">
        <v>1796</v>
      </c>
      <c r="D4522" s="58" t="s">
        <v>11206</v>
      </c>
      <c r="E4522" s="60" t="b">
        <v>1</v>
      </c>
      <c r="F4522" s="80" t="s">
        <v>1320</v>
      </c>
      <c r="G4522" s="58" t="s">
        <v>11205</v>
      </c>
      <c r="H4522" s="58" t="s">
        <v>1796</v>
      </c>
      <c r="I4522" s="64" t="s">
        <v>11206</v>
      </c>
      <c r="J4522" s="66"/>
      <c r="K4522" s="66"/>
      <c r="L4522" s="68"/>
      <c r="M4522" s="63" t="str">
        <f>HYPERLINK("http://nsgreg.nga.mil/genc/view?v=866932&amp;end_month=12&amp;end_day=31&amp;end_year=2016","Correlation")</f>
        <v>Correlation</v>
      </c>
    </row>
    <row r="4523" spans="1:13" x14ac:dyDescent="0.2">
      <c r="A4523" s="113"/>
      <c r="B4523" s="58" t="s">
        <v>11207</v>
      </c>
      <c r="C4523" s="58" t="s">
        <v>1796</v>
      </c>
      <c r="D4523" s="58" t="s">
        <v>11208</v>
      </c>
      <c r="E4523" s="60" t="b">
        <v>1</v>
      </c>
      <c r="F4523" s="80" t="s">
        <v>1320</v>
      </c>
      <c r="G4523" s="58" t="s">
        <v>11207</v>
      </c>
      <c r="H4523" s="58" t="s">
        <v>1796</v>
      </c>
      <c r="I4523" s="64" t="s">
        <v>11208</v>
      </c>
      <c r="J4523" s="66"/>
      <c r="K4523" s="66"/>
      <c r="L4523" s="68"/>
      <c r="M4523" s="63" t="str">
        <f>HYPERLINK("http://nsgreg.nga.mil/genc/view?v=866995&amp;end_month=12&amp;end_day=31&amp;end_year=2016","Correlation")</f>
        <v>Correlation</v>
      </c>
    </row>
    <row r="4524" spans="1:13" x14ac:dyDescent="0.2">
      <c r="A4524" s="113"/>
      <c r="B4524" s="58" t="s">
        <v>11209</v>
      </c>
      <c r="C4524" s="58" t="s">
        <v>1796</v>
      </c>
      <c r="D4524" s="58" t="s">
        <v>11210</v>
      </c>
      <c r="E4524" s="60" t="b">
        <v>1</v>
      </c>
      <c r="F4524" s="80" t="s">
        <v>1320</v>
      </c>
      <c r="G4524" s="58" t="s">
        <v>11209</v>
      </c>
      <c r="H4524" s="58" t="s">
        <v>1796</v>
      </c>
      <c r="I4524" s="64" t="s">
        <v>11210</v>
      </c>
      <c r="J4524" s="66"/>
      <c r="K4524" s="66"/>
      <c r="L4524" s="68"/>
      <c r="M4524" s="63" t="str">
        <f>HYPERLINK("http://nsgreg.nga.mil/genc/view?v=866933&amp;end_month=12&amp;end_day=31&amp;end_year=2016","Correlation")</f>
        <v>Correlation</v>
      </c>
    </row>
    <row r="4525" spans="1:13" x14ac:dyDescent="0.2">
      <c r="A4525" s="113"/>
      <c r="B4525" s="58" t="s">
        <v>11211</v>
      </c>
      <c r="C4525" s="58" t="s">
        <v>1796</v>
      </c>
      <c r="D4525" s="58" t="s">
        <v>11212</v>
      </c>
      <c r="E4525" s="60" t="b">
        <v>1</v>
      </c>
      <c r="F4525" s="80" t="s">
        <v>1320</v>
      </c>
      <c r="G4525" s="58" t="s">
        <v>11211</v>
      </c>
      <c r="H4525" s="58" t="s">
        <v>1796</v>
      </c>
      <c r="I4525" s="64" t="s">
        <v>11212</v>
      </c>
      <c r="J4525" s="66"/>
      <c r="K4525" s="66"/>
      <c r="L4525" s="68"/>
      <c r="M4525" s="63" t="str">
        <f>HYPERLINK("http://nsgreg.nga.mil/genc/view?v=866914&amp;end_month=12&amp;end_day=31&amp;end_year=2016","Correlation")</f>
        <v>Correlation</v>
      </c>
    </row>
    <row r="4526" spans="1:13" x14ac:dyDescent="0.2">
      <c r="A4526" s="113"/>
      <c r="B4526" s="58" t="s">
        <v>11213</v>
      </c>
      <c r="C4526" s="58" t="s">
        <v>1796</v>
      </c>
      <c r="D4526" s="58" t="s">
        <v>11214</v>
      </c>
      <c r="E4526" s="60" t="b">
        <v>1</v>
      </c>
      <c r="F4526" s="80" t="s">
        <v>1320</v>
      </c>
      <c r="G4526" s="58" t="s">
        <v>11213</v>
      </c>
      <c r="H4526" s="58" t="s">
        <v>1796</v>
      </c>
      <c r="I4526" s="64" t="s">
        <v>11214</v>
      </c>
      <c r="J4526" s="66"/>
      <c r="K4526" s="66"/>
      <c r="L4526" s="68"/>
      <c r="M4526" s="63" t="str">
        <f>HYPERLINK("http://nsgreg.nga.mil/genc/view?v=866996&amp;end_month=12&amp;end_day=31&amp;end_year=2016","Correlation")</f>
        <v>Correlation</v>
      </c>
    </row>
    <row r="4527" spans="1:13" x14ac:dyDescent="0.2">
      <c r="A4527" s="113"/>
      <c r="B4527" s="58" t="s">
        <v>11215</v>
      </c>
      <c r="C4527" s="58" t="s">
        <v>1796</v>
      </c>
      <c r="D4527" s="58" t="s">
        <v>11216</v>
      </c>
      <c r="E4527" s="60" t="b">
        <v>1</v>
      </c>
      <c r="F4527" s="80" t="s">
        <v>1320</v>
      </c>
      <c r="G4527" s="58" t="s">
        <v>11215</v>
      </c>
      <c r="H4527" s="58" t="s">
        <v>1796</v>
      </c>
      <c r="I4527" s="64" t="s">
        <v>11216</v>
      </c>
      <c r="J4527" s="66"/>
      <c r="K4527" s="66"/>
      <c r="L4527" s="68"/>
      <c r="M4527" s="63" t="str">
        <f>HYPERLINK("http://nsgreg.nga.mil/genc/view?v=866905&amp;end_month=12&amp;end_day=31&amp;end_year=2016","Correlation")</f>
        <v>Correlation</v>
      </c>
    </row>
    <row r="4528" spans="1:13" x14ac:dyDescent="0.2">
      <c r="A4528" s="113"/>
      <c r="B4528" s="58" t="s">
        <v>11217</v>
      </c>
      <c r="C4528" s="58" t="s">
        <v>1796</v>
      </c>
      <c r="D4528" s="58" t="s">
        <v>11218</v>
      </c>
      <c r="E4528" s="60" t="b">
        <v>1</v>
      </c>
      <c r="F4528" s="80" t="s">
        <v>1320</v>
      </c>
      <c r="G4528" s="58" t="s">
        <v>11217</v>
      </c>
      <c r="H4528" s="58" t="s">
        <v>1796</v>
      </c>
      <c r="I4528" s="64" t="s">
        <v>11218</v>
      </c>
      <c r="J4528" s="66"/>
      <c r="K4528" s="66"/>
      <c r="L4528" s="68"/>
      <c r="M4528" s="63" t="str">
        <f>HYPERLINK("http://nsgreg.nga.mil/genc/view?v=866953&amp;end_month=12&amp;end_day=31&amp;end_year=2016","Correlation")</f>
        <v>Correlation</v>
      </c>
    </row>
    <row r="4529" spans="1:13" x14ac:dyDescent="0.2">
      <c r="A4529" s="113"/>
      <c r="B4529" s="58" t="s">
        <v>11219</v>
      </c>
      <c r="C4529" s="58" t="s">
        <v>1796</v>
      </c>
      <c r="D4529" s="58" t="s">
        <v>11220</v>
      </c>
      <c r="E4529" s="60" t="b">
        <v>1</v>
      </c>
      <c r="F4529" s="80" t="s">
        <v>1320</v>
      </c>
      <c r="G4529" s="58" t="s">
        <v>11219</v>
      </c>
      <c r="H4529" s="58" t="s">
        <v>1796</v>
      </c>
      <c r="I4529" s="64" t="s">
        <v>11220</v>
      </c>
      <c r="J4529" s="66"/>
      <c r="K4529" s="66"/>
      <c r="L4529" s="68"/>
      <c r="M4529" s="63" t="str">
        <f>HYPERLINK("http://nsgreg.nga.mil/genc/view?v=867007&amp;end_month=12&amp;end_day=31&amp;end_year=2016","Correlation")</f>
        <v>Correlation</v>
      </c>
    </row>
    <row r="4530" spans="1:13" x14ac:dyDescent="0.2">
      <c r="A4530" s="113"/>
      <c r="B4530" s="58" t="s">
        <v>11221</v>
      </c>
      <c r="C4530" s="58" t="s">
        <v>1796</v>
      </c>
      <c r="D4530" s="58" t="s">
        <v>11222</v>
      </c>
      <c r="E4530" s="60" t="b">
        <v>1</v>
      </c>
      <c r="F4530" s="80" t="s">
        <v>1320</v>
      </c>
      <c r="G4530" s="58" t="s">
        <v>11221</v>
      </c>
      <c r="H4530" s="58" t="s">
        <v>1796</v>
      </c>
      <c r="I4530" s="64" t="s">
        <v>11222</v>
      </c>
      <c r="J4530" s="66"/>
      <c r="K4530" s="66"/>
      <c r="L4530" s="68"/>
      <c r="M4530" s="63" t="str">
        <f>HYPERLINK("http://nsgreg.nga.mil/genc/view?v=867009&amp;end_month=12&amp;end_day=31&amp;end_year=2016","Correlation")</f>
        <v>Correlation</v>
      </c>
    </row>
    <row r="4531" spans="1:13" x14ac:dyDescent="0.2">
      <c r="A4531" s="113"/>
      <c r="B4531" s="58" t="s">
        <v>11223</v>
      </c>
      <c r="C4531" s="58" t="s">
        <v>1796</v>
      </c>
      <c r="D4531" s="58" t="s">
        <v>11224</v>
      </c>
      <c r="E4531" s="60" t="b">
        <v>1</v>
      </c>
      <c r="F4531" s="80" t="s">
        <v>1320</v>
      </c>
      <c r="G4531" s="58" t="s">
        <v>11223</v>
      </c>
      <c r="H4531" s="58" t="s">
        <v>1796</v>
      </c>
      <c r="I4531" s="64" t="s">
        <v>11224</v>
      </c>
      <c r="J4531" s="66"/>
      <c r="K4531" s="66"/>
      <c r="L4531" s="68"/>
      <c r="M4531" s="63" t="str">
        <f>HYPERLINK("http://nsgreg.nga.mil/genc/view?v=866997&amp;end_month=12&amp;end_day=31&amp;end_year=2016","Correlation")</f>
        <v>Correlation</v>
      </c>
    </row>
    <row r="4532" spans="1:13" x14ac:dyDescent="0.2">
      <c r="A4532" s="113"/>
      <c r="B4532" s="58" t="s">
        <v>11225</v>
      </c>
      <c r="C4532" s="58" t="s">
        <v>1796</v>
      </c>
      <c r="D4532" s="58" t="s">
        <v>11226</v>
      </c>
      <c r="E4532" s="60" t="b">
        <v>1</v>
      </c>
      <c r="F4532" s="80" t="s">
        <v>1320</v>
      </c>
      <c r="G4532" s="58" t="s">
        <v>11225</v>
      </c>
      <c r="H4532" s="58" t="s">
        <v>1796</v>
      </c>
      <c r="I4532" s="64" t="s">
        <v>11226</v>
      </c>
      <c r="J4532" s="66"/>
      <c r="K4532" s="66"/>
      <c r="L4532" s="68"/>
      <c r="M4532" s="63" t="str">
        <f>HYPERLINK("http://nsgreg.nga.mil/genc/view?v=866963&amp;end_month=12&amp;end_day=31&amp;end_year=2016","Correlation")</f>
        <v>Correlation</v>
      </c>
    </row>
    <row r="4533" spans="1:13" x14ac:dyDescent="0.2">
      <c r="A4533" s="113"/>
      <c r="B4533" s="58" t="s">
        <v>11227</v>
      </c>
      <c r="C4533" s="58" t="s">
        <v>1796</v>
      </c>
      <c r="D4533" s="58" t="s">
        <v>11228</v>
      </c>
      <c r="E4533" s="60" t="b">
        <v>1</v>
      </c>
      <c r="F4533" s="80" t="s">
        <v>1320</v>
      </c>
      <c r="G4533" s="58" t="s">
        <v>11227</v>
      </c>
      <c r="H4533" s="58" t="s">
        <v>1796</v>
      </c>
      <c r="I4533" s="64" t="s">
        <v>11228</v>
      </c>
      <c r="J4533" s="66"/>
      <c r="K4533" s="66"/>
      <c r="L4533" s="68"/>
      <c r="M4533" s="63" t="str">
        <f>HYPERLINK("http://nsgreg.nga.mil/genc/view?v=866974&amp;end_month=12&amp;end_day=31&amp;end_year=2016","Correlation")</f>
        <v>Correlation</v>
      </c>
    </row>
    <row r="4534" spans="1:13" x14ac:dyDescent="0.2">
      <c r="A4534" s="113"/>
      <c r="B4534" s="58" t="s">
        <v>11229</v>
      </c>
      <c r="C4534" s="58" t="s">
        <v>1796</v>
      </c>
      <c r="D4534" s="58" t="s">
        <v>11230</v>
      </c>
      <c r="E4534" s="60" t="b">
        <v>1</v>
      </c>
      <c r="F4534" s="80" t="s">
        <v>1320</v>
      </c>
      <c r="G4534" s="58" t="s">
        <v>11229</v>
      </c>
      <c r="H4534" s="58" t="s">
        <v>1796</v>
      </c>
      <c r="I4534" s="64" t="s">
        <v>11230</v>
      </c>
      <c r="J4534" s="66"/>
      <c r="K4534" s="66"/>
      <c r="L4534" s="68"/>
      <c r="M4534" s="63" t="str">
        <f>HYPERLINK("http://nsgreg.nga.mil/genc/view?v=866984&amp;end_month=12&amp;end_day=31&amp;end_year=2016","Correlation")</f>
        <v>Correlation</v>
      </c>
    </row>
    <row r="4535" spans="1:13" x14ac:dyDescent="0.2">
      <c r="A4535" s="113"/>
      <c r="B4535" s="58" t="s">
        <v>11231</v>
      </c>
      <c r="C4535" s="58" t="s">
        <v>1796</v>
      </c>
      <c r="D4535" s="58" t="s">
        <v>11232</v>
      </c>
      <c r="E4535" s="60" t="b">
        <v>1</v>
      </c>
      <c r="F4535" s="80" t="s">
        <v>1320</v>
      </c>
      <c r="G4535" s="58" t="s">
        <v>11231</v>
      </c>
      <c r="H4535" s="58" t="s">
        <v>1796</v>
      </c>
      <c r="I4535" s="64" t="s">
        <v>11232</v>
      </c>
      <c r="J4535" s="66"/>
      <c r="K4535" s="66"/>
      <c r="L4535" s="68"/>
      <c r="M4535" s="63" t="str">
        <f>HYPERLINK("http://nsgreg.nga.mil/genc/view?v=866964&amp;end_month=12&amp;end_day=31&amp;end_year=2016","Correlation")</f>
        <v>Correlation</v>
      </c>
    </row>
    <row r="4536" spans="1:13" x14ac:dyDescent="0.2">
      <c r="A4536" s="113"/>
      <c r="B4536" s="58" t="s">
        <v>11233</v>
      </c>
      <c r="C4536" s="58" t="s">
        <v>1796</v>
      </c>
      <c r="D4536" s="58" t="s">
        <v>11234</v>
      </c>
      <c r="E4536" s="60" t="b">
        <v>1</v>
      </c>
      <c r="F4536" s="80" t="s">
        <v>1320</v>
      </c>
      <c r="G4536" s="58" t="s">
        <v>11233</v>
      </c>
      <c r="H4536" s="58" t="s">
        <v>1796</v>
      </c>
      <c r="I4536" s="64" t="s">
        <v>11234</v>
      </c>
      <c r="J4536" s="66"/>
      <c r="K4536" s="66"/>
      <c r="L4536" s="68"/>
      <c r="M4536" s="63" t="str">
        <f>HYPERLINK("http://nsgreg.nga.mil/genc/view?v=866934&amp;end_month=12&amp;end_day=31&amp;end_year=2016","Correlation")</f>
        <v>Correlation</v>
      </c>
    </row>
    <row r="4537" spans="1:13" x14ac:dyDescent="0.2">
      <c r="A4537" s="113"/>
      <c r="B4537" s="58" t="s">
        <v>11235</v>
      </c>
      <c r="C4537" s="58" t="s">
        <v>1796</v>
      </c>
      <c r="D4537" s="58" t="s">
        <v>11236</v>
      </c>
      <c r="E4537" s="60" t="b">
        <v>1</v>
      </c>
      <c r="F4537" s="80" t="s">
        <v>1320</v>
      </c>
      <c r="G4537" s="58" t="s">
        <v>11235</v>
      </c>
      <c r="H4537" s="58" t="s">
        <v>1796</v>
      </c>
      <c r="I4537" s="64" t="s">
        <v>11236</v>
      </c>
      <c r="J4537" s="66"/>
      <c r="K4537" s="66"/>
      <c r="L4537" s="68"/>
      <c r="M4537" s="63" t="str">
        <f>HYPERLINK("http://nsgreg.nga.mil/genc/view?v=866954&amp;end_month=12&amp;end_day=31&amp;end_year=2016","Correlation")</f>
        <v>Correlation</v>
      </c>
    </row>
    <row r="4538" spans="1:13" x14ac:dyDescent="0.2">
      <c r="A4538" s="113"/>
      <c r="B4538" s="58" t="s">
        <v>11237</v>
      </c>
      <c r="C4538" s="58" t="s">
        <v>1796</v>
      </c>
      <c r="D4538" s="58" t="s">
        <v>11238</v>
      </c>
      <c r="E4538" s="60" t="b">
        <v>1</v>
      </c>
      <c r="F4538" s="80" t="s">
        <v>1320</v>
      </c>
      <c r="G4538" s="58" t="s">
        <v>11237</v>
      </c>
      <c r="H4538" s="58" t="s">
        <v>1796</v>
      </c>
      <c r="I4538" s="64" t="s">
        <v>11238</v>
      </c>
      <c r="J4538" s="66"/>
      <c r="K4538" s="66"/>
      <c r="L4538" s="68"/>
      <c r="M4538" s="63" t="str">
        <f>HYPERLINK("http://nsgreg.nga.mil/genc/view?v=866925&amp;end_month=12&amp;end_day=31&amp;end_year=2016","Correlation")</f>
        <v>Correlation</v>
      </c>
    </row>
    <row r="4539" spans="1:13" x14ac:dyDescent="0.2">
      <c r="A4539" s="113"/>
      <c r="B4539" s="58" t="s">
        <v>11239</v>
      </c>
      <c r="C4539" s="58" t="s">
        <v>1796</v>
      </c>
      <c r="D4539" s="58" t="s">
        <v>11240</v>
      </c>
      <c r="E4539" s="60" t="b">
        <v>1</v>
      </c>
      <c r="F4539" s="80" t="s">
        <v>1320</v>
      </c>
      <c r="G4539" s="58" t="s">
        <v>11239</v>
      </c>
      <c r="H4539" s="58" t="s">
        <v>1796</v>
      </c>
      <c r="I4539" s="64" t="s">
        <v>11240</v>
      </c>
      <c r="J4539" s="66"/>
      <c r="K4539" s="66"/>
      <c r="L4539" s="68"/>
      <c r="M4539" s="63" t="str">
        <f>HYPERLINK("http://nsgreg.nga.mil/genc/view?v=867010&amp;end_month=12&amp;end_day=31&amp;end_year=2016","Correlation")</f>
        <v>Correlation</v>
      </c>
    </row>
    <row r="4540" spans="1:13" x14ac:dyDescent="0.2">
      <c r="A4540" s="113"/>
      <c r="B4540" s="58" t="s">
        <v>11241</v>
      </c>
      <c r="C4540" s="58" t="s">
        <v>1796</v>
      </c>
      <c r="D4540" s="58" t="s">
        <v>11242</v>
      </c>
      <c r="E4540" s="60" t="b">
        <v>1</v>
      </c>
      <c r="F4540" s="80" t="s">
        <v>1320</v>
      </c>
      <c r="G4540" s="58" t="s">
        <v>11241</v>
      </c>
      <c r="H4540" s="58" t="s">
        <v>1796</v>
      </c>
      <c r="I4540" s="64" t="s">
        <v>11242</v>
      </c>
      <c r="J4540" s="66"/>
      <c r="K4540" s="66"/>
      <c r="L4540" s="68"/>
      <c r="M4540" s="63" t="str">
        <f>HYPERLINK("http://nsgreg.nga.mil/genc/view?v=867004&amp;end_month=12&amp;end_day=31&amp;end_year=2016","Correlation")</f>
        <v>Correlation</v>
      </c>
    </row>
    <row r="4541" spans="1:13" x14ac:dyDescent="0.2">
      <c r="A4541" s="113"/>
      <c r="B4541" s="58" t="s">
        <v>11243</v>
      </c>
      <c r="C4541" s="58" t="s">
        <v>1796</v>
      </c>
      <c r="D4541" s="58" t="s">
        <v>11244</v>
      </c>
      <c r="E4541" s="60" t="b">
        <v>1</v>
      </c>
      <c r="F4541" s="80" t="s">
        <v>1320</v>
      </c>
      <c r="G4541" s="58" t="s">
        <v>11243</v>
      </c>
      <c r="H4541" s="58" t="s">
        <v>1796</v>
      </c>
      <c r="I4541" s="64" t="s">
        <v>11244</v>
      </c>
      <c r="J4541" s="66"/>
      <c r="K4541" s="66"/>
      <c r="L4541" s="68"/>
      <c r="M4541" s="63" t="str">
        <f>HYPERLINK("http://nsgreg.nga.mil/genc/view?v=866985&amp;end_month=12&amp;end_day=31&amp;end_year=2016","Correlation")</f>
        <v>Correlation</v>
      </c>
    </row>
    <row r="4542" spans="1:13" x14ac:dyDescent="0.2">
      <c r="A4542" s="113"/>
      <c r="B4542" s="58" t="s">
        <v>11245</v>
      </c>
      <c r="C4542" s="58" t="s">
        <v>1796</v>
      </c>
      <c r="D4542" s="58" t="s">
        <v>11246</v>
      </c>
      <c r="E4542" s="60" t="b">
        <v>1</v>
      </c>
      <c r="F4542" s="80" t="s">
        <v>1320</v>
      </c>
      <c r="G4542" s="58" t="s">
        <v>11245</v>
      </c>
      <c r="H4542" s="58" t="s">
        <v>1796</v>
      </c>
      <c r="I4542" s="64" t="s">
        <v>11246</v>
      </c>
      <c r="J4542" s="66"/>
      <c r="K4542" s="66"/>
      <c r="L4542" s="68"/>
      <c r="M4542" s="63" t="str">
        <f>HYPERLINK("http://nsgreg.nga.mil/genc/view?v=866965&amp;end_month=12&amp;end_day=31&amp;end_year=2016","Correlation")</f>
        <v>Correlation</v>
      </c>
    </row>
    <row r="4543" spans="1:13" x14ac:dyDescent="0.2">
      <c r="A4543" s="113"/>
      <c r="B4543" s="58" t="s">
        <v>11247</v>
      </c>
      <c r="C4543" s="58" t="s">
        <v>1796</v>
      </c>
      <c r="D4543" s="58" t="s">
        <v>11248</v>
      </c>
      <c r="E4543" s="60" t="b">
        <v>1</v>
      </c>
      <c r="F4543" s="80" t="s">
        <v>1320</v>
      </c>
      <c r="G4543" s="58" t="s">
        <v>11247</v>
      </c>
      <c r="H4543" s="58" t="s">
        <v>1796</v>
      </c>
      <c r="I4543" s="64" t="s">
        <v>11248</v>
      </c>
      <c r="J4543" s="66"/>
      <c r="K4543" s="66"/>
      <c r="L4543" s="68"/>
      <c r="M4543" s="63" t="str">
        <f>HYPERLINK("http://nsgreg.nga.mil/genc/view?v=866955&amp;end_month=12&amp;end_day=31&amp;end_year=2016","Correlation")</f>
        <v>Correlation</v>
      </c>
    </row>
    <row r="4544" spans="1:13" x14ac:dyDescent="0.2">
      <c r="A4544" s="113"/>
      <c r="B4544" s="58" t="s">
        <v>11249</v>
      </c>
      <c r="C4544" s="58" t="s">
        <v>1796</v>
      </c>
      <c r="D4544" s="58" t="s">
        <v>11250</v>
      </c>
      <c r="E4544" s="60" t="b">
        <v>1</v>
      </c>
      <c r="F4544" s="80" t="s">
        <v>1320</v>
      </c>
      <c r="G4544" s="58" t="s">
        <v>11249</v>
      </c>
      <c r="H4544" s="58" t="s">
        <v>1796</v>
      </c>
      <c r="I4544" s="64" t="s">
        <v>11250</v>
      </c>
      <c r="J4544" s="66"/>
      <c r="K4544" s="66"/>
      <c r="L4544" s="68"/>
      <c r="M4544" s="63" t="str">
        <f>HYPERLINK("http://nsgreg.nga.mil/genc/view?v=866906&amp;end_month=12&amp;end_day=31&amp;end_year=2016","Correlation")</f>
        <v>Correlation</v>
      </c>
    </row>
    <row r="4545" spans="1:13" x14ac:dyDescent="0.2">
      <c r="A4545" s="113"/>
      <c r="B4545" s="58" t="s">
        <v>11251</v>
      </c>
      <c r="C4545" s="58" t="s">
        <v>1796</v>
      </c>
      <c r="D4545" s="58" t="s">
        <v>11252</v>
      </c>
      <c r="E4545" s="60" t="b">
        <v>1</v>
      </c>
      <c r="F4545" s="80" t="s">
        <v>1320</v>
      </c>
      <c r="G4545" s="58" t="s">
        <v>11251</v>
      </c>
      <c r="H4545" s="58" t="s">
        <v>1796</v>
      </c>
      <c r="I4545" s="64" t="s">
        <v>11252</v>
      </c>
      <c r="J4545" s="66"/>
      <c r="K4545" s="66"/>
      <c r="L4545" s="68"/>
      <c r="M4545" s="63" t="str">
        <f>HYPERLINK("http://nsgreg.nga.mil/genc/view?v=866926&amp;end_month=12&amp;end_day=31&amp;end_year=2016","Correlation")</f>
        <v>Correlation</v>
      </c>
    </row>
    <row r="4546" spans="1:13" x14ac:dyDescent="0.2">
      <c r="A4546" s="113"/>
      <c r="B4546" s="58" t="s">
        <v>11253</v>
      </c>
      <c r="C4546" s="58" t="s">
        <v>1796</v>
      </c>
      <c r="D4546" s="58" t="s">
        <v>11254</v>
      </c>
      <c r="E4546" s="60" t="b">
        <v>1</v>
      </c>
      <c r="F4546" s="80" t="s">
        <v>1320</v>
      </c>
      <c r="G4546" s="58" t="s">
        <v>11253</v>
      </c>
      <c r="H4546" s="58" t="s">
        <v>1796</v>
      </c>
      <c r="I4546" s="64" t="s">
        <v>11254</v>
      </c>
      <c r="J4546" s="66"/>
      <c r="K4546" s="66"/>
      <c r="L4546" s="68"/>
      <c r="M4546" s="63" t="str">
        <f>HYPERLINK("http://nsgreg.nga.mil/genc/view?v=866918&amp;end_month=12&amp;end_day=31&amp;end_year=2016","Correlation")</f>
        <v>Correlation</v>
      </c>
    </row>
    <row r="4547" spans="1:13" x14ac:dyDescent="0.2">
      <c r="A4547" s="113"/>
      <c r="B4547" s="58" t="s">
        <v>11255</v>
      </c>
      <c r="C4547" s="58" t="s">
        <v>1796</v>
      </c>
      <c r="D4547" s="58" t="s">
        <v>11256</v>
      </c>
      <c r="E4547" s="60" t="b">
        <v>1</v>
      </c>
      <c r="F4547" s="80" t="s">
        <v>1320</v>
      </c>
      <c r="G4547" s="58" t="s">
        <v>11255</v>
      </c>
      <c r="H4547" s="58" t="s">
        <v>1796</v>
      </c>
      <c r="I4547" s="64" t="s">
        <v>11256</v>
      </c>
      <c r="J4547" s="66"/>
      <c r="K4547" s="66"/>
      <c r="L4547" s="68"/>
      <c r="M4547" s="63" t="str">
        <f>HYPERLINK("http://nsgreg.nga.mil/genc/view?v=866947&amp;end_month=12&amp;end_day=31&amp;end_year=2016","Correlation")</f>
        <v>Correlation</v>
      </c>
    </row>
    <row r="4548" spans="1:13" x14ac:dyDescent="0.2">
      <c r="A4548" s="113"/>
      <c r="B4548" s="58" t="s">
        <v>11257</v>
      </c>
      <c r="C4548" s="58" t="s">
        <v>1796</v>
      </c>
      <c r="D4548" s="58" t="s">
        <v>11258</v>
      </c>
      <c r="E4548" s="60" t="b">
        <v>1</v>
      </c>
      <c r="F4548" s="80" t="s">
        <v>1320</v>
      </c>
      <c r="G4548" s="58" t="s">
        <v>11257</v>
      </c>
      <c r="H4548" s="58" t="s">
        <v>1796</v>
      </c>
      <c r="I4548" s="64" t="s">
        <v>11258</v>
      </c>
      <c r="J4548" s="66"/>
      <c r="K4548" s="66"/>
      <c r="L4548" s="68"/>
      <c r="M4548" s="63" t="str">
        <f>HYPERLINK("http://nsgreg.nga.mil/genc/view?v=866978&amp;end_month=12&amp;end_day=31&amp;end_year=2016","Correlation")</f>
        <v>Correlation</v>
      </c>
    </row>
    <row r="4549" spans="1:13" x14ac:dyDescent="0.2">
      <c r="A4549" s="113"/>
      <c r="B4549" s="58" t="s">
        <v>11259</v>
      </c>
      <c r="C4549" s="58" t="s">
        <v>1796</v>
      </c>
      <c r="D4549" s="58" t="s">
        <v>11260</v>
      </c>
      <c r="E4549" s="60" t="b">
        <v>1</v>
      </c>
      <c r="F4549" s="80" t="s">
        <v>1320</v>
      </c>
      <c r="G4549" s="58" t="s">
        <v>11259</v>
      </c>
      <c r="H4549" s="58" t="s">
        <v>1796</v>
      </c>
      <c r="I4549" s="64" t="s">
        <v>11260</v>
      </c>
      <c r="J4549" s="66"/>
      <c r="K4549" s="66"/>
      <c r="L4549" s="68"/>
      <c r="M4549" s="63" t="str">
        <f>HYPERLINK("http://nsgreg.nga.mil/genc/view?v=866907&amp;end_month=12&amp;end_day=31&amp;end_year=2016","Correlation")</f>
        <v>Correlation</v>
      </c>
    </row>
    <row r="4550" spans="1:13" x14ac:dyDescent="0.2">
      <c r="A4550" s="113"/>
      <c r="B4550" s="58" t="s">
        <v>11261</v>
      </c>
      <c r="C4550" s="58" t="s">
        <v>1796</v>
      </c>
      <c r="D4550" s="58" t="s">
        <v>11262</v>
      </c>
      <c r="E4550" s="60" t="b">
        <v>1</v>
      </c>
      <c r="F4550" s="80" t="s">
        <v>1320</v>
      </c>
      <c r="G4550" s="58" t="s">
        <v>11261</v>
      </c>
      <c r="H4550" s="58" t="s">
        <v>1796</v>
      </c>
      <c r="I4550" s="64" t="s">
        <v>11262</v>
      </c>
      <c r="J4550" s="66"/>
      <c r="K4550" s="66"/>
      <c r="L4550" s="68"/>
      <c r="M4550" s="63" t="str">
        <f>HYPERLINK("http://nsgreg.nga.mil/genc/view?v=866998&amp;end_month=12&amp;end_day=31&amp;end_year=2016","Correlation")</f>
        <v>Correlation</v>
      </c>
    </row>
    <row r="4551" spans="1:13" x14ac:dyDescent="0.2">
      <c r="A4551" s="113"/>
      <c r="B4551" s="58" t="s">
        <v>11263</v>
      </c>
      <c r="C4551" s="58" t="s">
        <v>1796</v>
      </c>
      <c r="D4551" s="58" t="s">
        <v>11264</v>
      </c>
      <c r="E4551" s="60" t="b">
        <v>1</v>
      </c>
      <c r="F4551" s="80" t="s">
        <v>1320</v>
      </c>
      <c r="G4551" s="58" t="s">
        <v>11263</v>
      </c>
      <c r="H4551" s="58" t="s">
        <v>1796</v>
      </c>
      <c r="I4551" s="64" t="s">
        <v>11264</v>
      </c>
      <c r="J4551" s="66"/>
      <c r="K4551" s="66"/>
      <c r="L4551" s="68"/>
      <c r="M4551" s="63" t="str">
        <f>HYPERLINK("http://nsgreg.nga.mil/genc/view?v=866940&amp;end_month=12&amp;end_day=31&amp;end_year=2016","Correlation")</f>
        <v>Correlation</v>
      </c>
    </row>
    <row r="4552" spans="1:13" x14ac:dyDescent="0.2">
      <c r="A4552" s="113"/>
      <c r="B4552" s="58" t="s">
        <v>11265</v>
      </c>
      <c r="C4552" s="58" t="s">
        <v>1796</v>
      </c>
      <c r="D4552" s="58" t="s">
        <v>11266</v>
      </c>
      <c r="E4552" s="60" t="b">
        <v>1</v>
      </c>
      <c r="F4552" s="80" t="s">
        <v>1320</v>
      </c>
      <c r="G4552" s="58" t="s">
        <v>11265</v>
      </c>
      <c r="H4552" s="58" t="s">
        <v>1796</v>
      </c>
      <c r="I4552" s="64" t="s">
        <v>11266</v>
      </c>
      <c r="J4552" s="66"/>
      <c r="K4552" s="66"/>
      <c r="L4552" s="68"/>
      <c r="M4552" s="63" t="str">
        <f>HYPERLINK("http://nsgreg.nga.mil/genc/view?v=866935&amp;end_month=12&amp;end_day=31&amp;end_year=2016","Correlation")</f>
        <v>Correlation</v>
      </c>
    </row>
    <row r="4553" spans="1:13" x14ac:dyDescent="0.2">
      <c r="A4553" s="113"/>
      <c r="B4553" s="58" t="s">
        <v>11267</v>
      </c>
      <c r="C4553" s="58" t="s">
        <v>1796</v>
      </c>
      <c r="D4553" s="58" t="s">
        <v>11268</v>
      </c>
      <c r="E4553" s="60" t="b">
        <v>1</v>
      </c>
      <c r="F4553" s="80" t="s">
        <v>1320</v>
      </c>
      <c r="G4553" s="58" t="s">
        <v>11267</v>
      </c>
      <c r="H4553" s="58" t="s">
        <v>1796</v>
      </c>
      <c r="I4553" s="64" t="s">
        <v>11268</v>
      </c>
      <c r="J4553" s="66"/>
      <c r="K4553" s="66"/>
      <c r="L4553" s="68"/>
      <c r="M4553" s="63" t="str">
        <f>HYPERLINK("http://nsgreg.nga.mil/genc/view?v=866999&amp;end_month=12&amp;end_day=31&amp;end_year=2016","Correlation")</f>
        <v>Correlation</v>
      </c>
    </row>
    <row r="4554" spans="1:13" x14ac:dyDescent="0.2">
      <c r="A4554" s="113"/>
      <c r="B4554" s="58" t="s">
        <v>11269</v>
      </c>
      <c r="C4554" s="58" t="s">
        <v>1796</v>
      </c>
      <c r="D4554" s="58" t="s">
        <v>11270</v>
      </c>
      <c r="E4554" s="60" t="b">
        <v>1</v>
      </c>
      <c r="F4554" s="80" t="s">
        <v>1320</v>
      </c>
      <c r="G4554" s="58" t="s">
        <v>11269</v>
      </c>
      <c r="H4554" s="58" t="s">
        <v>1796</v>
      </c>
      <c r="I4554" s="64" t="s">
        <v>11270</v>
      </c>
      <c r="J4554" s="66"/>
      <c r="K4554" s="66"/>
      <c r="L4554" s="68"/>
      <c r="M4554" s="63" t="str">
        <f>HYPERLINK("http://nsgreg.nga.mil/genc/view?v=867011&amp;end_month=12&amp;end_day=31&amp;end_year=2016","Correlation")</f>
        <v>Correlation</v>
      </c>
    </row>
    <row r="4555" spans="1:13" x14ac:dyDescent="0.2">
      <c r="A4555" s="113"/>
      <c r="B4555" s="58" t="s">
        <v>11271</v>
      </c>
      <c r="C4555" s="58" t="s">
        <v>1796</v>
      </c>
      <c r="D4555" s="58" t="s">
        <v>11272</v>
      </c>
      <c r="E4555" s="60" t="b">
        <v>1</v>
      </c>
      <c r="F4555" s="80" t="s">
        <v>1320</v>
      </c>
      <c r="G4555" s="58" t="s">
        <v>11271</v>
      </c>
      <c r="H4555" s="58" t="s">
        <v>1796</v>
      </c>
      <c r="I4555" s="64" t="s">
        <v>11272</v>
      </c>
      <c r="J4555" s="66"/>
      <c r="K4555" s="66"/>
      <c r="L4555" s="68"/>
      <c r="M4555" s="63" t="str">
        <f>HYPERLINK("http://nsgreg.nga.mil/genc/view?v=866916&amp;end_month=12&amp;end_day=31&amp;end_year=2016","Correlation")</f>
        <v>Correlation</v>
      </c>
    </row>
    <row r="4556" spans="1:13" x14ac:dyDescent="0.2">
      <c r="A4556" s="113"/>
      <c r="B4556" s="58" t="s">
        <v>11273</v>
      </c>
      <c r="C4556" s="58" t="s">
        <v>1796</v>
      </c>
      <c r="D4556" s="58" t="s">
        <v>11274</v>
      </c>
      <c r="E4556" s="60" t="b">
        <v>1</v>
      </c>
      <c r="F4556" s="80" t="s">
        <v>1320</v>
      </c>
      <c r="G4556" s="58" t="s">
        <v>11273</v>
      </c>
      <c r="H4556" s="58" t="s">
        <v>1796</v>
      </c>
      <c r="I4556" s="64" t="s">
        <v>11274</v>
      </c>
      <c r="J4556" s="66"/>
      <c r="K4556" s="66"/>
      <c r="L4556" s="68"/>
      <c r="M4556" s="63" t="str">
        <f>HYPERLINK("http://nsgreg.nga.mil/genc/view?v=866966&amp;end_month=12&amp;end_day=31&amp;end_year=2016","Correlation")</f>
        <v>Correlation</v>
      </c>
    </row>
    <row r="4557" spans="1:13" x14ac:dyDescent="0.2">
      <c r="A4557" s="113"/>
      <c r="B4557" s="58" t="s">
        <v>11275</v>
      </c>
      <c r="C4557" s="58" t="s">
        <v>1796</v>
      </c>
      <c r="D4557" s="58" t="s">
        <v>11276</v>
      </c>
      <c r="E4557" s="60" t="b">
        <v>1</v>
      </c>
      <c r="F4557" s="80" t="s">
        <v>1320</v>
      </c>
      <c r="G4557" s="58" t="s">
        <v>11275</v>
      </c>
      <c r="H4557" s="58" t="s">
        <v>1796</v>
      </c>
      <c r="I4557" s="64" t="s">
        <v>11276</v>
      </c>
      <c r="J4557" s="66"/>
      <c r="K4557" s="66"/>
      <c r="L4557" s="68"/>
      <c r="M4557" s="63" t="str">
        <f>HYPERLINK("http://nsgreg.nga.mil/genc/view?v=866967&amp;end_month=12&amp;end_day=31&amp;end_year=2016","Correlation")</f>
        <v>Correlation</v>
      </c>
    </row>
    <row r="4558" spans="1:13" x14ac:dyDescent="0.2">
      <c r="A4558" s="113"/>
      <c r="B4558" s="58" t="s">
        <v>11277</v>
      </c>
      <c r="C4558" s="58" t="s">
        <v>1796</v>
      </c>
      <c r="D4558" s="58" t="s">
        <v>11278</v>
      </c>
      <c r="E4558" s="60" t="b">
        <v>1</v>
      </c>
      <c r="F4558" s="80" t="s">
        <v>1320</v>
      </c>
      <c r="G4558" s="58" t="s">
        <v>11277</v>
      </c>
      <c r="H4558" s="58" t="s">
        <v>1796</v>
      </c>
      <c r="I4558" s="64" t="s">
        <v>11278</v>
      </c>
      <c r="J4558" s="66"/>
      <c r="K4558" s="66"/>
      <c r="L4558" s="68"/>
      <c r="M4558" s="63" t="str">
        <f>HYPERLINK("http://nsgreg.nga.mil/genc/view?v=866908&amp;end_month=12&amp;end_day=31&amp;end_year=2016","Correlation")</f>
        <v>Correlation</v>
      </c>
    </row>
    <row r="4559" spans="1:13" x14ac:dyDescent="0.2">
      <c r="A4559" s="113"/>
      <c r="B4559" s="58" t="s">
        <v>11279</v>
      </c>
      <c r="C4559" s="58" t="s">
        <v>1796</v>
      </c>
      <c r="D4559" s="58" t="s">
        <v>11280</v>
      </c>
      <c r="E4559" s="60" t="b">
        <v>1</v>
      </c>
      <c r="F4559" s="80" t="s">
        <v>1320</v>
      </c>
      <c r="G4559" s="58" t="s">
        <v>11279</v>
      </c>
      <c r="H4559" s="58" t="s">
        <v>1796</v>
      </c>
      <c r="I4559" s="64" t="s">
        <v>11280</v>
      </c>
      <c r="J4559" s="66"/>
      <c r="K4559" s="66"/>
      <c r="L4559" s="68"/>
      <c r="M4559" s="63" t="str">
        <f>HYPERLINK("http://nsgreg.nga.mil/genc/view?v=866909&amp;end_month=12&amp;end_day=31&amp;end_year=2016","Correlation")</f>
        <v>Correlation</v>
      </c>
    </row>
    <row r="4560" spans="1:13" x14ac:dyDescent="0.2">
      <c r="A4560" s="113"/>
      <c r="B4560" s="58" t="s">
        <v>11281</v>
      </c>
      <c r="C4560" s="58" t="s">
        <v>1796</v>
      </c>
      <c r="D4560" s="58" t="s">
        <v>11282</v>
      </c>
      <c r="E4560" s="60" t="b">
        <v>1</v>
      </c>
      <c r="F4560" s="80" t="s">
        <v>1320</v>
      </c>
      <c r="G4560" s="58" t="s">
        <v>11281</v>
      </c>
      <c r="H4560" s="58" t="s">
        <v>1796</v>
      </c>
      <c r="I4560" s="64" t="s">
        <v>11282</v>
      </c>
      <c r="J4560" s="66"/>
      <c r="K4560" s="66"/>
      <c r="L4560" s="68"/>
      <c r="M4560" s="63" t="str">
        <f>HYPERLINK("http://nsgreg.nga.mil/genc/view?v=866910&amp;end_month=12&amp;end_day=31&amp;end_year=2016","Correlation")</f>
        <v>Correlation</v>
      </c>
    </row>
    <row r="4561" spans="1:13" x14ac:dyDescent="0.2">
      <c r="A4561" s="113"/>
      <c r="B4561" s="58" t="s">
        <v>11283</v>
      </c>
      <c r="C4561" s="58" t="s">
        <v>1796</v>
      </c>
      <c r="D4561" s="58" t="s">
        <v>11284</v>
      </c>
      <c r="E4561" s="60" t="b">
        <v>1</v>
      </c>
      <c r="F4561" s="80" t="s">
        <v>1320</v>
      </c>
      <c r="G4561" s="58" t="s">
        <v>11283</v>
      </c>
      <c r="H4561" s="58" t="s">
        <v>1796</v>
      </c>
      <c r="I4561" s="64" t="s">
        <v>11284</v>
      </c>
      <c r="J4561" s="66"/>
      <c r="K4561" s="66"/>
      <c r="L4561" s="68"/>
      <c r="M4561" s="63" t="str">
        <f>HYPERLINK("http://nsgreg.nga.mil/genc/view?v=866969&amp;end_month=12&amp;end_day=31&amp;end_year=2016","Correlation")</f>
        <v>Correlation</v>
      </c>
    </row>
    <row r="4562" spans="1:13" x14ac:dyDescent="0.2">
      <c r="A4562" s="113"/>
      <c r="B4562" s="58" t="s">
        <v>11285</v>
      </c>
      <c r="C4562" s="58" t="s">
        <v>1796</v>
      </c>
      <c r="D4562" s="58" t="s">
        <v>11286</v>
      </c>
      <c r="E4562" s="60" t="b">
        <v>1</v>
      </c>
      <c r="F4562" s="80" t="s">
        <v>1320</v>
      </c>
      <c r="G4562" s="58" t="s">
        <v>11285</v>
      </c>
      <c r="H4562" s="58" t="s">
        <v>1796</v>
      </c>
      <c r="I4562" s="64" t="s">
        <v>11286</v>
      </c>
      <c r="J4562" s="66"/>
      <c r="K4562" s="66"/>
      <c r="L4562" s="68"/>
      <c r="M4562" s="63" t="str">
        <f>HYPERLINK("http://nsgreg.nga.mil/genc/view?v=866917&amp;end_month=12&amp;end_day=31&amp;end_year=2016","Correlation")</f>
        <v>Correlation</v>
      </c>
    </row>
    <row r="4563" spans="1:13" x14ac:dyDescent="0.2">
      <c r="A4563" s="113"/>
      <c r="B4563" s="58" t="s">
        <v>11287</v>
      </c>
      <c r="C4563" s="58" t="s">
        <v>1796</v>
      </c>
      <c r="D4563" s="58" t="s">
        <v>11288</v>
      </c>
      <c r="E4563" s="60" t="b">
        <v>1</v>
      </c>
      <c r="F4563" s="80" t="s">
        <v>1320</v>
      </c>
      <c r="G4563" s="58" t="s">
        <v>11287</v>
      </c>
      <c r="H4563" s="58" t="s">
        <v>1796</v>
      </c>
      <c r="I4563" s="64" t="s">
        <v>11288</v>
      </c>
      <c r="J4563" s="66"/>
      <c r="K4563" s="66"/>
      <c r="L4563" s="68"/>
      <c r="M4563" s="63" t="str">
        <f>HYPERLINK("http://nsgreg.nga.mil/genc/view?v=866911&amp;end_month=12&amp;end_day=31&amp;end_year=2016","Correlation")</f>
        <v>Correlation</v>
      </c>
    </row>
    <row r="4564" spans="1:13" x14ac:dyDescent="0.2">
      <c r="A4564" s="113"/>
      <c r="B4564" s="58" t="s">
        <v>11289</v>
      </c>
      <c r="C4564" s="58" t="s">
        <v>1796</v>
      </c>
      <c r="D4564" s="58" t="s">
        <v>11290</v>
      </c>
      <c r="E4564" s="60" t="b">
        <v>1</v>
      </c>
      <c r="F4564" s="80" t="s">
        <v>1320</v>
      </c>
      <c r="G4564" s="58" t="s">
        <v>11289</v>
      </c>
      <c r="H4564" s="58" t="s">
        <v>1796</v>
      </c>
      <c r="I4564" s="64" t="s">
        <v>11290</v>
      </c>
      <c r="J4564" s="66"/>
      <c r="K4564" s="66"/>
      <c r="L4564" s="68"/>
      <c r="M4564" s="63" t="str">
        <f>HYPERLINK("http://nsgreg.nga.mil/genc/view?v=866956&amp;end_month=12&amp;end_day=31&amp;end_year=2016","Correlation")</f>
        <v>Correlation</v>
      </c>
    </row>
    <row r="4565" spans="1:13" x14ac:dyDescent="0.2">
      <c r="A4565" s="113"/>
      <c r="B4565" s="58" t="s">
        <v>11291</v>
      </c>
      <c r="C4565" s="58" t="s">
        <v>1796</v>
      </c>
      <c r="D4565" s="58" t="s">
        <v>11292</v>
      </c>
      <c r="E4565" s="60" t="b">
        <v>1</v>
      </c>
      <c r="F4565" s="80" t="s">
        <v>1320</v>
      </c>
      <c r="G4565" s="58" t="s">
        <v>11291</v>
      </c>
      <c r="H4565" s="58" t="s">
        <v>1796</v>
      </c>
      <c r="I4565" s="64" t="s">
        <v>11292</v>
      </c>
      <c r="J4565" s="66"/>
      <c r="K4565" s="66"/>
      <c r="L4565" s="68"/>
      <c r="M4565" s="63" t="str">
        <f>HYPERLINK("http://nsgreg.nga.mil/genc/view?v=866948&amp;end_month=12&amp;end_day=31&amp;end_year=2016","Correlation")</f>
        <v>Correlation</v>
      </c>
    </row>
    <row r="4566" spans="1:13" x14ac:dyDescent="0.2">
      <c r="A4566" s="113"/>
      <c r="B4566" s="58" t="s">
        <v>11293</v>
      </c>
      <c r="C4566" s="58" t="s">
        <v>1796</v>
      </c>
      <c r="D4566" s="58" t="s">
        <v>11294</v>
      </c>
      <c r="E4566" s="60" t="b">
        <v>1</v>
      </c>
      <c r="F4566" s="80" t="s">
        <v>1320</v>
      </c>
      <c r="G4566" s="58" t="s">
        <v>11293</v>
      </c>
      <c r="H4566" s="58" t="s">
        <v>1796</v>
      </c>
      <c r="I4566" s="64" t="s">
        <v>11294</v>
      </c>
      <c r="J4566" s="66"/>
      <c r="K4566" s="66"/>
      <c r="L4566" s="68"/>
      <c r="M4566" s="63" t="str">
        <f>HYPERLINK("http://nsgreg.nga.mil/genc/view?v=866986&amp;end_month=12&amp;end_day=31&amp;end_year=2016","Correlation")</f>
        <v>Correlation</v>
      </c>
    </row>
    <row r="4567" spans="1:13" x14ac:dyDescent="0.2">
      <c r="A4567" s="113"/>
      <c r="B4567" s="58" t="s">
        <v>11295</v>
      </c>
      <c r="C4567" s="58" t="s">
        <v>1796</v>
      </c>
      <c r="D4567" s="58" t="s">
        <v>11296</v>
      </c>
      <c r="E4567" s="60" t="b">
        <v>1</v>
      </c>
      <c r="F4567" s="80" t="s">
        <v>1320</v>
      </c>
      <c r="G4567" s="58" t="s">
        <v>11295</v>
      </c>
      <c r="H4567" s="58" t="s">
        <v>1796</v>
      </c>
      <c r="I4567" s="64" t="s">
        <v>11296</v>
      </c>
      <c r="J4567" s="66"/>
      <c r="K4567" s="66"/>
      <c r="L4567" s="68"/>
      <c r="M4567" s="63" t="str">
        <f>HYPERLINK("http://nsgreg.nga.mil/genc/view?v=866968&amp;end_month=12&amp;end_day=31&amp;end_year=2016","Correlation")</f>
        <v>Correlation</v>
      </c>
    </row>
    <row r="4568" spans="1:13" x14ac:dyDescent="0.2">
      <c r="A4568" s="113"/>
      <c r="B4568" s="58" t="s">
        <v>11297</v>
      </c>
      <c r="C4568" s="58" t="s">
        <v>1796</v>
      </c>
      <c r="D4568" s="58" t="s">
        <v>11298</v>
      </c>
      <c r="E4568" s="60" t="b">
        <v>1</v>
      </c>
      <c r="F4568" s="80" t="s">
        <v>1320</v>
      </c>
      <c r="G4568" s="58" t="s">
        <v>11297</v>
      </c>
      <c r="H4568" s="58" t="s">
        <v>1796</v>
      </c>
      <c r="I4568" s="64" t="s">
        <v>11298</v>
      </c>
      <c r="J4568" s="66"/>
      <c r="K4568" s="66"/>
      <c r="L4568" s="68"/>
      <c r="M4568" s="63" t="str">
        <f>HYPERLINK("http://nsgreg.nga.mil/genc/view?v=866957&amp;end_month=12&amp;end_day=31&amp;end_year=2016","Correlation")</f>
        <v>Correlation</v>
      </c>
    </row>
    <row r="4569" spans="1:13" x14ac:dyDescent="0.2">
      <c r="A4569" s="113"/>
      <c r="B4569" s="58" t="s">
        <v>4071</v>
      </c>
      <c r="C4569" s="58" t="s">
        <v>2763</v>
      </c>
      <c r="D4569" s="58" t="s">
        <v>11299</v>
      </c>
      <c r="E4569" s="60" t="b">
        <v>1</v>
      </c>
      <c r="F4569" s="80" t="s">
        <v>1320</v>
      </c>
      <c r="G4569" s="58" t="s">
        <v>4071</v>
      </c>
      <c r="H4569" s="58" t="s">
        <v>2763</v>
      </c>
      <c r="I4569" s="64" t="s">
        <v>11299</v>
      </c>
      <c r="J4569" s="66"/>
      <c r="K4569" s="66"/>
      <c r="L4569" s="68"/>
      <c r="M4569" s="63" t="str">
        <f>HYPERLINK("http://nsgreg.nga.mil/genc/view?v=867017&amp;end_month=12&amp;end_day=31&amp;end_year=2016","Correlation")</f>
        <v>Correlation</v>
      </c>
    </row>
    <row r="4570" spans="1:13" x14ac:dyDescent="0.2">
      <c r="A4570" s="113"/>
      <c r="B4570" s="58" t="s">
        <v>11300</v>
      </c>
      <c r="C4570" s="58" t="s">
        <v>1796</v>
      </c>
      <c r="D4570" s="58" t="s">
        <v>11301</v>
      </c>
      <c r="E4570" s="60" t="b">
        <v>1</v>
      </c>
      <c r="F4570" s="80" t="s">
        <v>1320</v>
      </c>
      <c r="G4570" s="58" t="s">
        <v>11300</v>
      </c>
      <c r="H4570" s="58" t="s">
        <v>1796</v>
      </c>
      <c r="I4570" s="64" t="s">
        <v>11301</v>
      </c>
      <c r="J4570" s="66"/>
      <c r="K4570" s="66"/>
      <c r="L4570" s="68"/>
      <c r="M4570" s="63" t="str">
        <f>HYPERLINK("http://nsgreg.nga.mil/genc/view?v=867012&amp;end_month=12&amp;end_day=31&amp;end_year=2016","Correlation")</f>
        <v>Correlation</v>
      </c>
    </row>
    <row r="4571" spans="1:13" x14ac:dyDescent="0.2">
      <c r="A4571" s="113"/>
      <c r="B4571" s="58" t="s">
        <v>11302</v>
      </c>
      <c r="C4571" s="58" t="s">
        <v>1796</v>
      </c>
      <c r="D4571" s="58" t="s">
        <v>11303</v>
      </c>
      <c r="E4571" s="60" t="b">
        <v>1</v>
      </c>
      <c r="F4571" s="80" t="s">
        <v>1320</v>
      </c>
      <c r="G4571" s="58" t="s">
        <v>11302</v>
      </c>
      <c r="H4571" s="58" t="s">
        <v>1796</v>
      </c>
      <c r="I4571" s="64" t="s">
        <v>11303</v>
      </c>
      <c r="J4571" s="66"/>
      <c r="K4571" s="66"/>
      <c r="L4571" s="68"/>
      <c r="M4571" s="63" t="str">
        <f>HYPERLINK("http://nsgreg.nga.mil/genc/view?v=867000&amp;end_month=12&amp;end_day=31&amp;end_year=2016","Correlation")</f>
        <v>Correlation</v>
      </c>
    </row>
    <row r="4572" spans="1:13" x14ac:dyDescent="0.2">
      <c r="A4572" s="113"/>
      <c r="B4572" s="58" t="s">
        <v>11304</v>
      </c>
      <c r="C4572" s="58" t="s">
        <v>1796</v>
      </c>
      <c r="D4572" s="58" t="s">
        <v>11305</v>
      </c>
      <c r="E4572" s="60" t="b">
        <v>1</v>
      </c>
      <c r="F4572" s="80" t="s">
        <v>1320</v>
      </c>
      <c r="G4572" s="58" t="s">
        <v>11304</v>
      </c>
      <c r="H4572" s="58" t="s">
        <v>1796</v>
      </c>
      <c r="I4572" s="64" t="s">
        <v>11305</v>
      </c>
      <c r="J4572" s="66"/>
      <c r="K4572" s="66"/>
      <c r="L4572" s="68"/>
      <c r="M4572" s="63" t="str">
        <f>HYPERLINK("http://nsgreg.nga.mil/genc/view?v=866987&amp;end_month=12&amp;end_day=31&amp;end_year=2016","Correlation")</f>
        <v>Correlation</v>
      </c>
    </row>
    <row r="4573" spans="1:13" x14ac:dyDescent="0.2">
      <c r="A4573" s="113"/>
      <c r="B4573" s="58" t="s">
        <v>11306</v>
      </c>
      <c r="C4573" s="58" t="s">
        <v>1796</v>
      </c>
      <c r="D4573" s="58" t="s">
        <v>11307</v>
      </c>
      <c r="E4573" s="60" t="b">
        <v>1</v>
      </c>
      <c r="F4573" s="80" t="s">
        <v>1320</v>
      </c>
      <c r="G4573" s="58" t="s">
        <v>11306</v>
      </c>
      <c r="H4573" s="58" t="s">
        <v>1796</v>
      </c>
      <c r="I4573" s="64" t="s">
        <v>11307</v>
      </c>
      <c r="J4573" s="66"/>
      <c r="K4573" s="66"/>
      <c r="L4573" s="68"/>
      <c r="M4573" s="63" t="str">
        <f>HYPERLINK("http://nsgreg.nga.mil/genc/view?v=866988&amp;end_month=12&amp;end_day=31&amp;end_year=2016","Correlation")</f>
        <v>Correlation</v>
      </c>
    </row>
    <row r="4574" spans="1:13" x14ac:dyDescent="0.2">
      <c r="A4574" s="113"/>
      <c r="B4574" s="58" t="s">
        <v>11308</v>
      </c>
      <c r="C4574" s="58" t="s">
        <v>1796</v>
      </c>
      <c r="D4574" s="58" t="s">
        <v>11309</v>
      </c>
      <c r="E4574" s="60" t="b">
        <v>1</v>
      </c>
      <c r="F4574" s="80" t="s">
        <v>1320</v>
      </c>
      <c r="G4574" s="58" t="s">
        <v>11308</v>
      </c>
      <c r="H4574" s="58" t="s">
        <v>1796</v>
      </c>
      <c r="I4574" s="64" t="s">
        <v>11309</v>
      </c>
      <c r="J4574" s="66"/>
      <c r="K4574" s="66"/>
      <c r="L4574" s="68"/>
      <c r="M4574" s="63" t="str">
        <f>HYPERLINK("http://nsgreg.nga.mil/genc/view?v=866979&amp;end_month=12&amp;end_day=31&amp;end_year=2016","Correlation")</f>
        <v>Correlation</v>
      </c>
    </row>
    <row r="4575" spans="1:13" x14ac:dyDescent="0.2">
      <c r="A4575" s="113"/>
      <c r="B4575" s="58" t="s">
        <v>11310</v>
      </c>
      <c r="C4575" s="58" t="s">
        <v>1796</v>
      </c>
      <c r="D4575" s="58" t="s">
        <v>11311</v>
      </c>
      <c r="E4575" s="60" t="b">
        <v>1</v>
      </c>
      <c r="F4575" s="80" t="s">
        <v>1320</v>
      </c>
      <c r="G4575" s="58" t="s">
        <v>11310</v>
      </c>
      <c r="H4575" s="58" t="s">
        <v>1796</v>
      </c>
      <c r="I4575" s="64" t="s">
        <v>11311</v>
      </c>
      <c r="J4575" s="66"/>
      <c r="K4575" s="66"/>
      <c r="L4575" s="68"/>
      <c r="M4575" s="63" t="str">
        <f>HYPERLINK("http://nsgreg.nga.mil/genc/view?v=866970&amp;end_month=12&amp;end_day=31&amp;end_year=2016","Correlation")</f>
        <v>Correlation</v>
      </c>
    </row>
    <row r="4576" spans="1:13" x14ac:dyDescent="0.2">
      <c r="A4576" s="113"/>
      <c r="B4576" s="58" t="s">
        <v>11312</v>
      </c>
      <c r="C4576" s="58" t="s">
        <v>1796</v>
      </c>
      <c r="D4576" s="58" t="s">
        <v>11313</v>
      </c>
      <c r="E4576" s="60" t="b">
        <v>1</v>
      </c>
      <c r="F4576" s="80" t="s">
        <v>1320</v>
      </c>
      <c r="G4576" s="58" t="s">
        <v>11312</v>
      </c>
      <c r="H4576" s="58" t="s">
        <v>1796</v>
      </c>
      <c r="I4576" s="64" t="s">
        <v>11313</v>
      </c>
      <c r="J4576" s="66"/>
      <c r="K4576" s="66"/>
      <c r="L4576" s="68"/>
      <c r="M4576" s="63" t="str">
        <f>HYPERLINK("http://nsgreg.nga.mil/genc/view?v=866936&amp;end_month=12&amp;end_day=31&amp;end_year=2016","Correlation")</f>
        <v>Correlation</v>
      </c>
    </row>
    <row r="4577" spans="1:13" x14ac:dyDescent="0.2">
      <c r="A4577" s="113"/>
      <c r="B4577" s="58" t="s">
        <v>11314</v>
      </c>
      <c r="C4577" s="58" t="s">
        <v>1796</v>
      </c>
      <c r="D4577" s="58" t="s">
        <v>11315</v>
      </c>
      <c r="E4577" s="60" t="b">
        <v>1</v>
      </c>
      <c r="F4577" s="80" t="s">
        <v>1320</v>
      </c>
      <c r="G4577" s="58" t="s">
        <v>11314</v>
      </c>
      <c r="H4577" s="58" t="s">
        <v>1796</v>
      </c>
      <c r="I4577" s="64" t="s">
        <v>11315</v>
      </c>
      <c r="J4577" s="66"/>
      <c r="K4577" s="66"/>
      <c r="L4577" s="68"/>
      <c r="M4577" s="63" t="str">
        <f>HYPERLINK("http://nsgreg.nga.mil/genc/view?v=866912&amp;end_month=12&amp;end_day=31&amp;end_year=2016","Correlation")</f>
        <v>Correlation</v>
      </c>
    </row>
    <row r="4578" spans="1:13" x14ac:dyDescent="0.2">
      <c r="A4578" s="113"/>
      <c r="B4578" s="58" t="s">
        <v>11316</v>
      </c>
      <c r="C4578" s="58" t="s">
        <v>1796</v>
      </c>
      <c r="D4578" s="58" t="s">
        <v>11317</v>
      </c>
      <c r="E4578" s="60" t="b">
        <v>1</v>
      </c>
      <c r="F4578" s="80" t="s">
        <v>1320</v>
      </c>
      <c r="G4578" s="58" t="s">
        <v>11316</v>
      </c>
      <c r="H4578" s="58" t="s">
        <v>1796</v>
      </c>
      <c r="I4578" s="64" t="s">
        <v>11317</v>
      </c>
      <c r="J4578" s="66"/>
      <c r="K4578" s="66"/>
      <c r="L4578" s="68"/>
      <c r="M4578" s="63" t="str">
        <f>HYPERLINK("http://nsgreg.nga.mil/genc/view?v=867013&amp;end_month=12&amp;end_day=31&amp;end_year=2016","Correlation")</f>
        <v>Correlation</v>
      </c>
    </row>
    <row r="4579" spans="1:13" x14ac:dyDescent="0.2">
      <c r="A4579" s="113"/>
      <c r="B4579" s="58" t="s">
        <v>11318</v>
      </c>
      <c r="C4579" s="58" t="s">
        <v>1796</v>
      </c>
      <c r="D4579" s="58" t="s">
        <v>11319</v>
      </c>
      <c r="E4579" s="60" t="b">
        <v>1</v>
      </c>
      <c r="F4579" s="80" t="s">
        <v>1320</v>
      </c>
      <c r="G4579" s="58" t="s">
        <v>11318</v>
      </c>
      <c r="H4579" s="58" t="s">
        <v>1796</v>
      </c>
      <c r="I4579" s="64" t="s">
        <v>11319</v>
      </c>
      <c r="J4579" s="66"/>
      <c r="K4579" s="66"/>
      <c r="L4579" s="68"/>
      <c r="M4579" s="63" t="str">
        <f>HYPERLINK("http://nsgreg.nga.mil/genc/view?v=867001&amp;end_month=12&amp;end_day=31&amp;end_year=2016","Correlation")</f>
        <v>Correlation</v>
      </c>
    </row>
    <row r="4580" spans="1:13" x14ac:dyDescent="0.2">
      <c r="A4580" s="113"/>
      <c r="B4580" s="58" t="s">
        <v>11320</v>
      </c>
      <c r="C4580" s="58" t="s">
        <v>1796</v>
      </c>
      <c r="D4580" s="58" t="s">
        <v>11321</v>
      </c>
      <c r="E4580" s="60" t="b">
        <v>1</v>
      </c>
      <c r="F4580" s="80" t="s">
        <v>1320</v>
      </c>
      <c r="G4580" s="58" t="s">
        <v>11320</v>
      </c>
      <c r="H4580" s="58" t="s">
        <v>1796</v>
      </c>
      <c r="I4580" s="64" t="s">
        <v>11321</v>
      </c>
      <c r="J4580" s="66"/>
      <c r="K4580" s="66"/>
      <c r="L4580" s="68"/>
      <c r="M4580" s="63" t="str">
        <f>HYPERLINK("http://nsgreg.nga.mil/genc/view?v=866913&amp;end_month=12&amp;end_day=31&amp;end_year=2016","Correlation")</f>
        <v>Correlation</v>
      </c>
    </row>
    <row r="4581" spans="1:13" x14ac:dyDescent="0.2">
      <c r="A4581" s="113"/>
      <c r="B4581" s="58" t="s">
        <v>11322</v>
      </c>
      <c r="C4581" s="58" t="s">
        <v>1796</v>
      </c>
      <c r="D4581" s="58" t="s">
        <v>11323</v>
      </c>
      <c r="E4581" s="60" t="b">
        <v>1</v>
      </c>
      <c r="F4581" s="80" t="s">
        <v>1320</v>
      </c>
      <c r="G4581" s="58" t="s">
        <v>11322</v>
      </c>
      <c r="H4581" s="58" t="s">
        <v>1796</v>
      </c>
      <c r="I4581" s="64" t="s">
        <v>11323</v>
      </c>
      <c r="J4581" s="66"/>
      <c r="K4581" s="66"/>
      <c r="L4581" s="68"/>
      <c r="M4581" s="63" t="str">
        <f>HYPERLINK("http://nsgreg.nga.mil/genc/view?v=866958&amp;end_month=12&amp;end_day=31&amp;end_year=2016","Correlation")</f>
        <v>Correlation</v>
      </c>
    </row>
    <row r="4582" spans="1:13" x14ac:dyDescent="0.2">
      <c r="A4582" s="113"/>
      <c r="B4582" s="58" t="s">
        <v>11324</v>
      </c>
      <c r="C4582" s="58" t="s">
        <v>1796</v>
      </c>
      <c r="D4582" s="58" t="s">
        <v>11325</v>
      </c>
      <c r="E4582" s="60" t="b">
        <v>1</v>
      </c>
      <c r="F4582" s="80" t="s">
        <v>1320</v>
      </c>
      <c r="G4582" s="58" t="s">
        <v>11324</v>
      </c>
      <c r="H4582" s="58" t="s">
        <v>1796</v>
      </c>
      <c r="I4582" s="64" t="s">
        <v>11325</v>
      </c>
      <c r="J4582" s="66"/>
      <c r="K4582" s="66"/>
      <c r="L4582" s="68"/>
      <c r="M4582" s="63" t="str">
        <f>HYPERLINK("http://nsgreg.nga.mil/genc/view?v=867014&amp;end_month=12&amp;end_day=31&amp;end_year=2016","Correlation")</f>
        <v>Correlation</v>
      </c>
    </row>
    <row r="4583" spans="1:13" x14ac:dyDescent="0.2">
      <c r="A4583" s="113"/>
      <c r="B4583" s="58" t="s">
        <v>11326</v>
      </c>
      <c r="C4583" s="58" t="s">
        <v>1796</v>
      </c>
      <c r="D4583" s="58" t="s">
        <v>11327</v>
      </c>
      <c r="E4583" s="60" t="b">
        <v>1</v>
      </c>
      <c r="F4583" s="80" t="s">
        <v>1320</v>
      </c>
      <c r="G4583" s="58" t="s">
        <v>11326</v>
      </c>
      <c r="H4583" s="58" t="s">
        <v>1796</v>
      </c>
      <c r="I4583" s="64" t="s">
        <v>11327</v>
      </c>
      <c r="J4583" s="66"/>
      <c r="K4583" s="66"/>
      <c r="L4583" s="68"/>
      <c r="M4583" s="63" t="str">
        <f>HYPERLINK("http://nsgreg.nga.mil/genc/view?v=866941&amp;end_month=12&amp;end_day=31&amp;end_year=2016","Correlation")</f>
        <v>Correlation</v>
      </c>
    </row>
    <row r="4584" spans="1:13" x14ac:dyDescent="0.2">
      <c r="A4584" s="113"/>
      <c r="B4584" s="58" t="s">
        <v>11328</v>
      </c>
      <c r="C4584" s="58" t="s">
        <v>1796</v>
      </c>
      <c r="D4584" s="58" t="s">
        <v>11329</v>
      </c>
      <c r="E4584" s="60" t="b">
        <v>1</v>
      </c>
      <c r="F4584" s="80" t="s">
        <v>1320</v>
      </c>
      <c r="G4584" s="58" t="s">
        <v>11328</v>
      </c>
      <c r="H4584" s="58" t="s">
        <v>1796</v>
      </c>
      <c r="I4584" s="64" t="s">
        <v>11329</v>
      </c>
      <c r="J4584" s="66"/>
      <c r="K4584" s="66"/>
      <c r="L4584" s="68"/>
      <c r="M4584" s="63" t="str">
        <f>HYPERLINK("http://nsgreg.nga.mil/genc/view?v=866937&amp;end_month=12&amp;end_day=31&amp;end_year=2016","Correlation")</f>
        <v>Correlation</v>
      </c>
    </row>
    <row r="4585" spans="1:13" x14ac:dyDescent="0.2">
      <c r="A4585" s="113"/>
      <c r="B4585" s="58" t="s">
        <v>11330</v>
      </c>
      <c r="C4585" s="58" t="s">
        <v>1796</v>
      </c>
      <c r="D4585" s="58" t="s">
        <v>11331</v>
      </c>
      <c r="E4585" s="60" t="b">
        <v>1</v>
      </c>
      <c r="F4585" s="80" t="s">
        <v>1320</v>
      </c>
      <c r="G4585" s="58" t="s">
        <v>11330</v>
      </c>
      <c r="H4585" s="58" t="s">
        <v>1796</v>
      </c>
      <c r="I4585" s="64" t="s">
        <v>11331</v>
      </c>
      <c r="J4585" s="66"/>
      <c r="K4585" s="66"/>
      <c r="L4585" s="68"/>
      <c r="M4585" s="63" t="str">
        <f>HYPERLINK("http://nsgreg.nga.mil/genc/view?v=866938&amp;end_month=12&amp;end_day=31&amp;end_year=2016","Correlation")</f>
        <v>Correlation</v>
      </c>
    </row>
    <row r="4586" spans="1:13" x14ac:dyDescent="0.2">
      <c r="A4586" s="113"/>
      <c r="B4586" s="58" t="s">
        <v>11332</v>
      </c>
      <c r="C4586" s="58" t="s">
        <v>1796</v>
      </c>
      <c r="D4586" s="58" t="s">
        <v>11333</v>
      </c>
      <c r="E4586" s="60" t="b">
        <v>1</v>
      </c>
      <c r="F4586" s="80" t="s">
        <v>1320</v>
      </c>
      <c r="G4586" s="58" t="s">
        <v>11332</v>
      </c>
      <c r="H4586" s="58" t="s">
        <v>1796</v>
      </c>
      <c r="I4586" s="64" t="s">
        <v>11333</v>
      </c>
      <c r="J4586" s="66"/>
      <c r="K4586" s="66"/>
      <c r="L4586" s="68"/>
      <c r="M4586" s="63" t="str">
        <f>HYPERLINK("http://nsgreg.nga.mil/genc/view?v=866915&amp;end_month=12&amp;end_day=31&amp;end_year=2016","Correlation")</f>
        <v>Correlation</v>
      </c>
    </row>
    <row r="4587" spans="1:13" x14ac:dyDescent="0.2">
      <c r="A4587" s="113"/>
      <c r="B4587" s="58" t="s">
        <v>4083</v>
      </c>
      <c r="C4587" s="58" t="s">
        <v>2763</v>
      </c>
      <c r="D4587" s="58" t="s">
        <v>11334</v>
      </c>
      <c r="E4587" s="60" t="b">
        <v>1</v>
      </c>
      <c r="F4587" s="80" t="s">
        <v>1320</v>
      </c>
      <c r="G4587" s="58" t="s">
        <v>4083</v>
      </c>
      <c r="H4587" s="58" t="s">
        <v>2763</v>
      </c>
      <c r="I4587" s="64" t="s">
        <v>11334</v>
      </c>
      <c r="J4587" s="66"/>
      <c r="K4587" s="66"/>
      <c r="L4587" s="68"/>
      <c r="M4587" s="63" t="str">
        <f>HYPERLINK("http://nsgreg.nga.mil/genc/view?v=867018&amp;end_month=12&amp;end_day=31&amp;end_year=2016","Correlation")</f>
        <v>Correlation</v>
      </c>
    </row>
    <row r="4588" spans="1:13" x14ac:dyDescent="0.2">
      <c r="A4588" s="113"/>
      <c r="B4588" s="58" t="s">
        <v>11335</v>
      </c>
      <c r="C4588" s="58" t="s">
        <v>1796</v>
      </c>
      <c r="D4588" s="58" t="s">
        <v>11336</v>
      </c>
      <c r="E4588" s="60" t="b">
        <v>1</v>
      </c>
      <c r="F4588" s="80" t="s">
        <v>1320</v>
      </c>
      <c r="G4588" s="58" t="s">
        <v>11335</v>
      </c>
      <c r="H4588" s="58" t="s">
        <v>1796</v>
      </c>
      <c r="I4588" s="64" t="s">
        <v>11336</v>
      </c>
      <c r="J4588" s="66"/>
      <c r="K4588" s="66"/>
      <c r="L4588" s="68"/>
      <c r="M4588" s="63" t="str">
        <f>HYPERLINK("http://nsgreg.nga.mil/genc/view?v=866971&amp;end_month=12&amp;end_day=31&amp;end_year=2016","Correlation")</f>
        <v>Correlation</v>
      </c>
    </row>
    <row r="4589" spans="1:13" x14ac:dyDescent="0.2">
      <c r="A4589" s="114"/>
      <c r="B4589" s="71" t="s">
        <v>11337</v>
      </c>
      <c r="C4589" s="71" t="s">
        <v>1796</v>
      </c>
      <c r="D4589" s="71" t="s">
        <v>11338</v>
      </c>
      <c r="E4589" s="73" t="b">
        <v>1</v>
      </c>
      <c r="F4589" s="81" t="s">
        <v>1320</v>
      </c>
      <c r="G4589" s="71" t="s">
        <v>11337</v>
      </c>
      <c r="H4589" s="71" t="s">
        <v>1796</v>
      </c>
      <c r="I4589" s="74" t="s">
        <v>11338</v>
      </c>
      <c r="J4589" s="76"/>
      <c r="K4589" s="76"/>
      <c r="L4589" s="82"/>
      <c r="M4589" s="77" t="str">
        <f>HYPERLINK("http://nsgreg.nga.mil/genc/view?v=866989&amp;end_month=12&amp;end_day=31&amp;end_year=2016","Correlation")</f>
        <v>Correlation</v>
      </c>
    </row>
    <row r="4590" spans="1:13" x14ac:dyDescent="0.2">
      <c r="A4590" s="112" t="s">
        <v>1324</v>
      </c>
      <c r="B4590" s="50" t="s">
        <v>11339</v>
      </c>
      <c r="C4590" s="50" t="s">
        <v>1413</v>
      </c>
      <c r="D4590" s="50" t="s">
        <v>11340</v>
      </c>
      <c r="E4590" s="52" t="b">
        <v>1</v>
      </c>
      <c r="F4590" s="78" t="s">
        <v>1324</v>
      </c>
      <c r="G4590" s="50" t="s">
        <v>11341</v>
      </c>
      <c r="H4590" s="50" t="s">
        <v>1728</v>
      </c>
      <c r="I4590" s="53" t="s">
        <v>11340</v>
      </c>
      <c r="J4590" s="55"/>
      <c r="K4590" s="55"/>
      <c r="L4590" s="79"/>
      <c r="M4590" s="56" t="str">
        <f>HYPERLINK("http://nsgreg.nga.mil/genc/view?v=866900&amp;end_month=12&amp;end_day=31&amp;end_year=2016","Correlation")</f>
        <v>Correlation</v>
      </c>
    </row>
    <row r="4591" spans="1:13" x14ac:dyDescent="0.2">
      <c r="A4591" s="113"/>
      <c r="B4591" s="58" t="s">
        <v>11342</v>
      </c>
      <c r="C4591" s="58" t="s">
        <v>1413</v>
      </c>
      <c r="D4591" s="58" t="s">
        <v>11343</v>
      </c>
      <c r="E4591" s="60" t="b">
        <v>1</v>
      </c>
      <c r="F4591" s="80" t="s">
        <v>1324</v>
      </c>
      <c r="G4591" s="58" t="s">
        <v>11344</v>
      </c>
      <c r="H4591" s="58" t="s">
        <v>1728</v>
      </c>
      <c r="I4591" s="64" t="s">
        <v>11343</v>
      </c>
      <c r="J4591" s="66"/>
      <c r="K4591" s="66"/>
      <c r="L4591" s="68"/>
      <c r="M4591" s="63" t="str">
        <f>HYPERLINK("http://nsgreg.nga.mil/genc/view?v=866901&amp;end_month=12&amp;end_day=31&amp;end_year=2016","Correlation")</f>
        <v>Correlation</v>
      </c>
    </row>
    <row r="4592" spans="1:13" x14ac:dyDescent="0.2">
      <c r="A4592" s="113"/>
      <c r="B4592" s="58" t="s">
        <v>11345</v>
      </c>
      <c r="C4592" s="58" t="s">
        <v>1413</v>
      </c>
      <c r="D4592" s="58" t="s">
        <v>11346</v>
      </c>
      <c r="E4592" s="60" t="b">
        <v>1</v>
      </c>
      <c r="F4592" s="80" t="s">
        <v>1324</v>
      </c>
      <c r="G4592" s="58" t="s">
        <v>11347</v>
      </c>
      <c r="H4592" s="58" t="s">
        <v>1728</v>
      </c>
      <c r="I4592" s="64" t="s">
        <v>11346</v>
      </c>
      <c r="J4592" s="66"/>
      <c r="K4592" s="66"/>
      <c r="L4592" s="68"/>
      <c r="M4592" s="63" t="str">
        <f>HYPERLINK("http://nsgreg.nga.mil/genc/view?v=866902&amp;end_month=12&amp;end_day=31&amp;end_year=2016","Correlation")</f>
        <v>Correlation</v>
      </c>
    </row>
    <row r="4593" spans="1:13" x14ac:dyDescent="0.2">
      <c r="A4593" s="113"/>
      <c r="B4593" s="58" t="s">
        <v>11348</v>
      </c>
      <c r="C4593" s="58" t="s">
        <v>1413</v>
      </c>
      <c r="D4593" s="58" t="s">
        <v>11349</v>
      </c>
      <c r="E4593" s="60" t="b">
        <v>1</v>
      </c>
      <c r="F4593" s="80" t="s">
        <v>1324</v>
      </c>
      <c r="G4593" s="58" t="s">
        <v>11350</v>
      </c>
      <c r="H4593" s="58" t="s">
        <v>1728</v>
      </c>
      <c r="I4593" s="64" t="s">
        <v>11349</v>
      </c>
      <c r="J4593" s="66"/>
      <c r="K4593" s="66"/>
      <c r="L4593" s="68"/>
      <c r="M4593" s="63" t="str">
        <f>HYPERLINK("http://nsgreg.nga.mil/genc/view?v=866879&amp;end_month=12&amp;end_day=31&amp;end_year=2016","Correlation")</f>
        <v>Correlation</v>
      </c>
    </row>
    <row r="4594" spans="1:13" x14ac:dyDescent="0.2">
      <c r="A4594" s="113"/>
      <c r="B4594" s="58" t="s">
        <v>11351</v>
      </c>
      <c r="C4594" s="58" t="s">
        <v>1413</v>
      </c>
      <c r="D4594" s="58" t="s">
        <v>11352</v>
      </c>
      <c r="E4594" s="60" t="b">
        <v>1</v>
      </c>
      <c r="F4594" s="80" t="s">
        <v>1324</v>
      </c>
      <c r="G4594" s="58" t="s">
        <v>11353</v>
      </c>
      <c r="H4594" s="58" t="s">
        <v>1728</v>
      </c>
      <c r="I4594" s="64" t="s">
        <v>11352</v>
      </c>
      <c r="J4594" s="66"/>
      <c r="K4594" s="66"/>
      <c r="L4594" s="68"/>
      <c r="M4594" s="63" t="str">
        <f>HYPERLINK("http://nsgreg.nga.mil/genc/view?v=866880&amp;end_month=12&amp;end_day=31&amp;end_year=2016","Correlation")</f>
        <v>Correlation</v>
      </c>
    </row>
    <row r="4595" spans="1:13" x14ac:dyDescent="0.2">
      <c r="A4595" s="113"/>
      <c r="B4595" s="58" t="s">
        <v>11354</v>
      </c>
      <c r="C4595" s="58" t="s">
        <v>1413</v>
      </c>
      <c r="D4595" s="58" t="s">
        <v>11355</v>
      </c>
      <c r="E4595" s="60" t="b">
        <v>1</v>
      </c>
      <c r="F4595" s="80" t="s">
        <v>1324</v>
      </c>
      <c r="G4595" s="58" t="s">
        <v>11356</v>
      </c>
      <c r="H4595" s="58" t="s">
        <v>1728</v>
      </c>
      <c r="I4595" s="64" t="s">
        <v>11355</v>
      </c>
      <c r="J4595" s="66"/>
      <c r="K4595" s="66"/>
      <c r="L4595" s="68"/>
      <c r="M4595" s="63" t="str">
        <f>HYPERLINK("http://nsgreg.nga.mil/genc/view?v=866884&amp;end_month=12&amp;end_day=31&amp;end_year=2016","Correlation")</f>
        <v>Correlation</v>
      </c>
    </row>
    <row r="4596" spans="1:13" x14ac:dyDescent="0.2">
      <c r="A4596" s="113"/>
      <c r="B4596" s="58" t="s">
        <v>11357</v>
      </c>
      <c r="C4596" s="58" t="s">
        <v>1413</v>
      </c>
      <c r="D4596" s="58" t="s">
        <v>11358</v>
      </c>
      <c r="E4596" s="60" t="b">
        <v>1</v>
      </c>
      <c r="F4596" s="80" t="s">
        <v>1324</v>
      </c>
      <c r="G4596" s="58" t="s">
        <v>11359</v>
      </c>
      <c r="H4596" s="58" t="s">
        <v>1728</v>
      </c>
      <c r="I4596" s="64" t="s">
        <v>11358</v>
      </c>
      <c r="J4596" s="66"/>
      <c r="K4596" s="66"/>
      <c r="L4596" s="68"/>
      <c r="M4596" s="63" t="str">
        <f>HYPERLINK("http://nsgreg.nga.mil/genc/view?v=866897&amp;end_month=12&amp;end_day=31&amp;end_year=2016","Correlation")</f>
        <v>Correlation</v>
      </c>
    </row>
    <row r="4597" spans="1:13" x14ac:dyDescent="0.2">
      <c r="A4597" s="113"/>
      <c r="B4597" s="58" t="s">
        <v>11360</v>
      </c>
      <c r="C4597" s="58" t="s">
        <v>1413</v>
      </c>
      <c r="D4597" s="58" t="s">
        <v>11361</v>
      </c>
      <c r="E4597" s="60" t="b">
        <v>1</v>
      </c>
      <c r="F4597" s="80" t="s">
        <v>1324</v>
      </c>
      <c r="G4597" s="58" t="s">
        <v>11362</v>
      </c>
      <c r="H4597" s="58" t="s">
        <v>1728</v>
      </c>
      <c r="I4597" s="64" t="s">
        <v>11361</v>
      </c>
      <c r="J4597" s="66"/>
      <c r="K4597" s="66"/>
      <c r="L4597" s="68"/>
      <c r="M4597" s="63" t="str">
        <f>HYPERLINK("http://nsgreg.nga.mil/genc/view?v=866898&amp;end_month=12&amp;end_day=31&amp;end_year=2016","Correlation")</f>
        <v>Correlation</v>
      </c>
    </row>
    <row r="4598" spans="1:13" x14ac:dyDescent="0.2">
      <c r="A4598" s="113"/>
      <c r="B4598" s="58" t="s">
        <v>11363</v>
      </c>
      <c r="C4598" s="58" t="s">
        <v>1413</v>
      </c>
      <c r="D4598" s="58" t="s">
        <v>11364</v>
      </c>
      <c r="E4598" s="60" t="b">
        <v>1</v>
      </c>
      <c r="F4598" s="80" t="s">
        <v>1324</v>
      </c>
      <c r="G4598" s="58" t="s">
        <v>11365</v>
      </c>
      <c r="H4598" s="58" t="s">
        <v>1728</v>
      </c>
      <c r="I4598" s="64" t="s">
        <v>11364</v>
      </c>
      <c r="J4598" s="66"/>
      <c r="K4598" s="66"/>
      <c r="L4598" s="68"/>
      <c r="M4598" s="63" t="str">
        <f>HYPERLINK("http://nsgreg.nga.mil/genc/view?v=866899&amp;end_month=12&amp;end_day=31&amp;end_year=2016","Correlation")</f>
        <v>Correlation</v>
      </c>
    </row>
    <row r="4599" spans="1:13" x14ac:dyDescent="0.2">
      <c r="A4599" s="113"/>
      <c r="B4599" s="58" t="s">
        <v>11366</v>
      </c>
      <c r="C4599" s="58" t="s">
        <v>1413</v>
      </c>
      <c r="D4599" s="58" t="s">
        <v>11367</v>
      </c>
      <c r="E4599" s="60" t="b">
        <v>1</v>
      </c>
      <c r="F4599" s="80" t="s">
        <v>1324</v>
      </c>
      <c r="G4599" s="58" t="s">
        <v>11368</v>
      </c>
      <c r="H4599" s="58" t="s">
        <v>1728</v>
      </c>
      <c r="I4599" s="64" t="s">
        <v>11367</v>
      </c>
      <c r="J4599" s="66"/>
      <c r="K4599" s="66"/>
      <c r="L4599" s="68"/>
      <c r="M4599" s="63" t="str">
        <f>HYPERLINK("http://nsgreg.nga.mil/genc/view?v=866887&amp;end_month=12&amp;end_day=31&amp;end_year=2016","Correlation")</f>
        <v>Correlation</v>
      </c>
    </row>
    <row r="4600" spans="1:13" x14ac:dyDescent="0.2">
      <c r="A4600" s="113"/>
      <c r="B4600" s="58" t="s">
        <v>11369</v>
      </c>
      <c r="C4600" s="58" t="s">
        <v>1875</v>
      </c>
      <c r="D4600" s="58" t="s">
        <v>11370</v>
      </c>
      <c r="E4600" s="60" t="b">
        <v>1</v>
      </c>
      <c r="F4600" s="80" t="s">
        <v>1324</v>
      </c>
      <c r="G4600" s="58" t="s">
        <v>11371</v>
      </c>
      <c r="H4600" s="58" t="s">
        <v>2408</v>
      </c>
      <c r="I4600" s="64" t="s">
        <v>11370</v>
      </c>
      <c r="J4600" s="66"/>
      <c r="K4600" s="66"/>
      <c r="L4600" s="68"/>
      <c r="M4600" s="63" t="str">
        <f>HYPERLINK("http://nsgreg.nga.mil/genc/view?v=866889&amp;end_month=12&amp;end_day=31&amp;end_year=2016","Correlation")</f>
        <v>Correlation</v>
      </c>
    </row>
    <row r="4601" spans="1:13" x14ac:dyDescent="0.2">
      <c r="A4601" s="113"/>
      <c r="B4601" s="58" t="s">
        <v>11372</v>
      </c>
      <c r="C4601" s="58" t="s">
        <v>1681</v>
      </c>
      <c r="D4601" s="58" t="s">
        <v>11373</v>
      </c>
      <c r="E4601" s="60" t="b">
        <v>1</v>
      </c>
      <c r="F4601" s="80" t="s">
        <v>1324</v>
      </c>
      <c r="G4601" s="58" t="s">
        <v>11374</v>
      </c>
      <c r="H4601" s="58" t="s">
        <v>1681</v>
      </c>
      <c r="I4601" s="64" t="s">
        <v>11373</v>
      </c>
      <c r="J4601" s="66"/>
      <c r="K4601" s="66"/>
      <c r="L4601" s="68"/>
      <c r="M4601" s="63" t="str">
        <f>HYPERLINK("http://nsgreg.nga.mil/genc/view?v=866885&amp;end_month=12&amp;end_day=31&amp;end_year=2016","Correlation")</f>
        <v>Correlation</v>
      </c>
    </row>
    <row r="4602" spans="1:13" x14ac:dyDescent="0.2">
      <c r="A4602" s="113"/>
      <c r="B4602" s="58" t="s">
        <v>11375</v>
      </c>
      <c r="C4602" s="58" t="s">
        <v>1413</v>
      </c>
      <c r="D4602" s="58" t="s">
        <v>11376</v>
      </c>
      <c r="E4602" s="60" t="b">
        <v>1</v>
      </c>
      <c r="F4602" s="80" t="s">
        <v>1324</v>
      </c>
      <c r="G4602" s="58" t="s">
        <v>11377</v>
      </c>
      <c r="H4602" s="58" t="s">
        <v>1728</v>
      </c>
      <c r="I4602" s="64" t="s">
        <v>11376</v>
      </c>
      <c r="J4602" s="66"/>
      <c r="K4602" s="66"/>
      <c r="L4602" s="68"/>
      <c r="M4602" s="63" t="str">
        <f>HYPERLINK("http://nsgreg.nga.mil/genc/view?v=866886&amp;end_month=12&amp;end_day=31&amp;end_year=2016","Correlation")</f>
        <v>Correlation</v>
      </c>
    </row>
    <row r="4603" spans="1:13" x14ac:dyDescent="0.2">
      <c r="A4603" s="113"/>
      <c r="B4603" s="58" t="s">
        <v>11378</v>
      </c>
      <c r="C4603" s="58" t="s">
        <v>1413</v>
      </c>
      <c r="D4603" s="58" t="s">
        <v>11379</v>
      </c>
      <c r="E4603" s="60" t="b">
        <v>1</v>
      </c>
      <c r="F4603" s="80" t="s">
        <v>1324</v>
      </c>
      <c r="G4603" s="58" t="s">
        <v>11380</v>
      </c>
      <c r="H4603" s="58" t="s">
        <v>1728</v>
      </c>
      <c r="I4603" s="64" t="s">
        <v>11379</v>
      </c>
      <c r="J4603" s="66"/>
      <c r="K4603" s="66"/>
      <c r="L4603" s="68"/>
      <c r="M4603" s="63" t="str">
        <f>HYPERLINK("http://nsgreg.nga.mil/genc/view?v=866878&amp;end_month=12&amp;end_day=31&amp;end_year=2016","Correlation")</f>
        <v>Correlation</v>
      </c>
    </row>
    <row r="4604" spans="1:13" x14ac:dyDescent="0.2">
      <c r="A4604" s="113"/>
      <c r="B4604" s="58" t="s">
        <v>11381</v>
      </c>
      <c r="C4604" s="58" t="s">
        <v>1413</v>
      </c>
      <c r="D4604" s="58" t="s">
        <v>11382</v>
      </c>
      <c r="E4604" s="60" t="b">
        <v>1</v>
      </c>
      <c r="F4604" s="80" t="s">
        <v>1324</v>
      </c>
      <c r="G4604" s="58" t="s">
        <v>11383</v>
      </c>
      <c r="H4604" s="58" t="s">
        <v>1728</v>
      </c>
      <c r="I4604" s="64" t="s">
        <v>11382</v>
      </c>
      <c r="J4604" s="66"/>
      <c r="K4604" s="66"/>
      <c r="L4604" s="68"/>
      <c r="M4604" s="63" t="str">
        <f>HYPERLINK("http://nsgreg.nga.mil/genc/view?v=866890&amp;end_month=12&amp;end_day=31&amp;end_year=2016","Correlation")</f>
        <v>Correlation</v>
      </c>
    </row>
    <row r="4605" spans="1:13" x14ac:dyDescent="0.2">
      <c r="A4605" s="113"/>
      <c r="B4605" s="58" t="s">
        <v>11384</v>
      </c>
      <c r="C4605" s="58" t="s">
        <v>1413</v>
      </c>
      <c r="D4605" s="58" t="s">
        <v>11385</v>
      </c>
      <c r="E4605" s="60" t="b">
        <v>1</v>
      </c>
      <c r="F4605" s="80" t="s">
        <v>1324</v>
      </c>
      <c r="G4605" s="58" t="s">
        <v>11386</v>
      </c>
      <c r="H4605" s="58" t="s">
        <v>1728</v>
      </c>
      <c r="I4605" s="64" t="s">
        <v>11385</v>
      </c>
      <c r="J4605" s="66"/>
      <c r="K4605" s="66"/>
      <c r="L4605" s="68"/>
      <c r="M4605" s="63" t="str">
        <f>HYPERLINK("http://nsgreg.nga.mil/genc/view?v=866891&amp;end_month=12&amp;end_day=31&amp;end_year=2016","Correlation")</f>
        <v>Correlation</v>
      </c>
    </row>
    <row r="4606" spans="1:13" x14ac:dyDescent="0.2">
      <c r="A4606" s="113"/>
      <c r="B4606" s="58" t="s">
        <v>11387</v>
      </c>
      <c r="C4606" s="58" t="s">
        <v>1413</v>
      </c>
      <c r="D4606" s="58" t="s">
        <v>11388</v>
      </c>
      <c r="E4606" s="60" t="b">
        <v>1</v>
      </c>
      <c r="F4606" s="80" t="s">
        <v>1324</v>
      </c>
      <c r="G4606" s="58" t="s">
        <v>11389</v>
      </c>
      <c r="H4606" s="58" t="s">
        <v>1728</v>
      </c>
      <c r="I4606" s="64" t="s">
        <v>11388</v>
      </c>
      <c r="J4606" s="66"/>
      <c r="K4606" s="66"/>
      <c r="L4606" s="68"/>
      <c r="M4606" s="63" t="str">
        <f>HYPERLINK("http://nsgreg.nga.mil/genc/view?v=866892&amp;end_month=12&amp;end_day=31&amp;end_year=2016","Correlation")</f>
        <v>Correlation</v>
      </c>
    </row>
    <row r="4607" spans="1:13" x14ac:dyDescent="0.2">
      <c r="A4607" s="113"/>
      <c r="B4607" s="58" t="s">
        <v>11390</v>
      </c>
      <c r="C4607" s="58" t="s">
        <v>1413</v>
      </c>
      <c r="D4607" s="58" t="s">
        <v>11391</v>
      </c>
      <c r="E4607" s="60" t="b">
        <v>1</v>
      </c>
      <c r="F4607" s="80" t="s">
        <v>1324</v>
      </c>
      <c r="G4607" s="58" t="s">
        <v>11392</v>
      </c>
      <c r="H4607" s="58" t="s">
        <v>1728</v>
      </c>
      <c r="I4607" s="64" t="s">
        <v>11391</v>
      </c>
      <c r="J4607" s="66"/>
      <c r="K4607" s="66"/>
      <c r="L4607" s="68"/>
      <c r="M4607" s="63" t="str">
        <f>HYPERLINK("http://nsgreg.nga.mil/genc/view?v=866893&amp;end_month=12&amp;end_day=31&amp;end_year=2016","Correlation")</f>
        <v>Correlation</v>
      </c>
    </row>
    <row r="4608" spans="1:13" x14ac:dyDescent="0.2">
      <c r="A4608" s="113"/>
      <c r="B4608" s="58" t="s">
        <v>11393</v>
      </c>
      <c r="C4608" s="58" t="s">
        <v>1413</v>
      </c>
      <c r="D4608" s="58" t="s">
        <v>11394</v>
      </c>
      <c r="E4608" s="60" t="b">
        <v>1</v>
      </c>
      <c r="F4608" s="80" t="s">
        <v>1324</v>
      </c>
      <c r="G4608" s="58" t="s">
        <v>11395</v>
      </c>
      <c r="H4608" s="58" t="s">
        <v>1728</v>
      </c>
      <c r="I4608" s="64" t="s">
        <v>11394</v>
      </c>
      <c r="J4608" s="66"/>
      <c r="K4608" s="66"/>
      <c r="L4608" s="68"/>
      <c r="M4608" s="63" t="str">
        <f>HYPERLINK("http://nsgreg.nga.mil/genc/view?v=866894&amp;end_month=12&amp;end_day=31&amp;end_year=2016","Correlation")</f>
        <v>Correlation</v>
      </c>
    </row>
    <row r="4609" spans="1:13" x14ac:dyDescent="0.2">
      <c r="A4609" s="113"/>
      <c r="B4609" s="58" t="s">
        <v>11396</v>
      </c>
      <c r="C4609" s="58" t="s">
        <v>1681</v>
      </c>
      <c r="D4609" s="58" t="s">
        <v>11397</v>
      </c>
      <c r="E4609" s="60" t="b">
        <v>1</v>
      </c>
      <c r="F4609" s="80" t="s">
        <v>1324</v>
      </c>
      <c r="G4609" s="58" t="s">
        <v>11398</v>
      </c>
      <c r="H4609" s="58" t="s">
        <v>1681</v>
      </c>
      <c r="I4609" s="64" t="s">
        <v>11397</v>
      </c>
      <c r="J4609" s="66"/>
      <c r="K4609" s="66"/>
      <c r="L4609" s="68"/>
      <c r="M4609" s="63" t="str">
        <f>HYPERLINK("http://nsgreg.nga.mil/genc/view?v=866888&amp;end_month=12&amp;end_day=31&amp;end_year=2016","Correlation")</f>
        <v>Correlation</v>
      </c>
    </row>
    <row r="4610" spans="1:13" x14ac:dyDescent="0.2">
      <c r="A4610" s="113"/>
      <c r="B4610" s="58" t="s">
        <v>11399</v>
      </c>
      <c r="C4610" s="58" t="s">
        <v>1413</v>
      </c>
      <c r="D4610" s="58" t="s">
        <v>11400</v>
      </c>
      <c r="E4610" s="60" t="b">
        <v>1</v>
      </c>
      <c r="F4610" s="80" t="s">
        <v>1324</v>
      </c>
      <c r="G4610" s="58" t="s">
        <v>11401</v>
      </c>
      <c r="H4610" s="58" t="s">
        <v>1728</v>
      </c>
      <c r="I4610" s="64" t="s">
        <v>11400</v>
      </c>
      <c r="J4610" s="66"/>
      <c r="K4610" s="66"/>
      <c r="L4610" s="68"/>
      <c r="M4610" s="63" t="str">
        <f>HYPERLINK("http://nsgreg.nga.mil/genc/view?v=866895&amp;end_month=12&amp;end_day=31&amp;end_year=2016","Correlation")</f>
        <v>Correlation</v>
      </c>
    </row>
    <row r="4611" spans="1:13" x14ac:dyDescent="0.2">
      <c r="A4611" s="113"/>
      <c r="B4611" s="58" t="s">
        <v>11402</v>
      </c>
      <c r="C4611" s="58" t="s">
        <v>1413</v>
      </c>
      <c r="D4611" s="58" t="s">
        <v>11403</v>
      </c>
      <c r="E4611" s="60" t="b">
        <v>1</v>
      </c>
      <c r="F4611" s="80" t="s">
        <v>1324</v>
      </c>
      <c r="G4611" s="58" t="s">
        <v>11404</v>
      </c>
      <c r="H4611" s="58" t="s">
        <v>1728</v>
      </c>
      <c r="I4611" s="64" t="s">
        <v>11403</v>
      </c>
      <c r="J4611" s="66"/>
      <c r="K4611" s="66"/>
      <c r="L4611" s="68"/>
      <c r="M4611" s="63" t="str">
        <f>HYPERLINK("http://nsgreg.nga.mil/genc/view?v=866896&amp;end_month=12&amp;end_day=31&amp;end_year=2016","Correlation")</f>
        <v>Correlation</v>
      </c>
    </row>
    <row r="4612" spans="1:13" x14ac:dyDescent="0.2">
      <c r="A4612" s="113"/>
      <c r="B4612" s="58" t="s">
        <v>11405</v>
      </c>
      <c r="C4612" s="58" t="s">
        <v>1413</v>
      </c>
      <c r="D4612" s="58" t="s">
        <v>11406</v>
      </c>
      <c r="E4612" s="60" t="b">
        <v>1</v>
      </c>
      <c r="F4612" s="80" t="s">
        <v>1324</v>
      </c>
      <c r="G4612" s="58" t="s">
        <v>11407</v>
      </c>
      <c r="H4612" s="58" t="s">
        <v>1728</v>
      </c>
      <c r="I4612" s="64" t="s">
        <v>11406</v>
      </c>
      <c r="J4612" s="66"/>
      <c r="K4612" s="66"/>
      <c r="L4612" s="68"/>
      <c r="M4612" s="63" t="str">
        <f>HYPERLINK("http://nsgreg.nga.mil/genc/view?v=866876&amp;end_month=12&amp;end_day=31&amp;end_year=2016","Correlation")</f>
        <v>Correlation</v>
      </c>
    </row>
    <row r="4613" spans="1:13" x14ac:dyDescent="0.2">
      <c r="A4613" s="113"/>
      <c r="B4613" s="58" t="s">
        <v>11408</v>
      </c>
      <c r="C4613" s="58" t="s">
        <v>1413</v>
      </c>
      <c r="D4613" s="58" t="s">
        <v>11409</v>
      </c>
      <c r="E4613" s="60" t="b">
        <v>1</v>
      </c>
      <c r="F4613" s="80" t="s">
        <v>1324</v>
      </c>
      <c r="G4613" s="58" t="s">
        <v>11410</v>
      </c>
      <c r="H4613" s="58" t="s">
        <v>1728</v>
      </c>
      <c r="I4613" s="64" t="s">
        <v>11409</v>
      </c>
      <c r="J4613" s="66"/>
      <c r="K4613" s="66"/>
      <c r="L4613" s="68"/>
      <c r="M4613" s="63" t="str">
        <f>HYPERLINK("http://nsgreg.nga.mil/genc/view?v=866877&amp;end_month=12&amp;end_day=31&amp;end_year=2016","Correlation")</f>
        <v>Correlation</v>
      </c>
    </row>
    <row r="4614" spans="1:13" x14ac:dyDescent="0.2">
      <c r="A4614" s="113"/>
      <c r="B4614" s="58" t="s">
        <v>11411</v>
      </c>
      <c r="C4614" s="58" t="s">
        <v>1413</v>
      </c>
      <c r="D4614" s="58" t="s">
        <v>11412</v>
      </c>
      <c r="E4614" s="60" t="b">
        <v>1</v>
      </c>
      <c r="F4614" s="80" t="s">
        <v>1324</v>
      </c>
      <c r="G4614" s="58" t="s">
        <v>11413</v>
      </c>
      <c r="H4614" s="58" t="s">
        <v>1728</v>
      </c>
      <c r="I4614" s="64" t="s">
        <v>11412</v>
      </c>
      <c r="J4614" s="66"/>
      <c r="K4614" s="66"/>
      <c r="L4614" s="68"/>
      <c r="M4614" s="63" t="str">
        <f>HYPERLINK("http://nsgreg.nga.mil/genc/view?v=866882&amp;end_month=12&amp;end_day=31&amp;end_year=2016","Correlation")</f>
        <v>Correlation</v>
      </c>
    </row>
    <row r="4615" spans="1:13" x14ac:dyDescent="0.2">
      <c r="A4615" s="113"/>
      <c r="B4615" s="58" t="s">
        <v>11414</v>
      </c>
      <c r="C4615" s="58" t="s">
        <v>1413</v>
      </c>
      <c r="D4615" s="58" t="s">
        <v>11415</v>
      </c>
      <c r="E4615" s="60" t="b">
        <v>1</v>
      </c>
      <c r="F4615" s="80" t="s">
        <v>1324</v>
      </c>
      <c r="G4615" s="58" t="s">
        <v>11416</v>
      </c>
      <c r="H4615" s="58" t="s">
        <v>1728</v>
      </c>
      <c r="I4615" s="64" t="s">
        <v>11415</v>
      </c>
      <c r="J4615" s="66"/>
      <c r="K4615" s="66"/>
      <c r="L4615" s="68"/>
      <c r="M4615" s="63" t="str">
        <f>HYPERLINK("http://nsgreg.nga.mil/genc/view?v=866883&amp;end_month=12&amp;end_day=31&amp;end_year=2016","Correlation")</f>
        <v>Correlation</v>
      </c>
    </row>
    <row r="4616" spans="1:13" x14ac:dyDescent="0.2">
      <c r="A4616" s="114"/>
      <c r="B4616" s="71" t="s">
        <v>11417</v>
      </c>
      <c r="C4616" s="71" t="s">
        <v>1413</v>
      </c>
      <c r="D4616" s="71" t="s">
        <v>11418</v>
      </c>
      <c r="E4616" s="73" t="b">
        <v>1</v>
      </c>
      <c r="F4616" s="81" t="s">
        <v>1324</v>
      </c>
      <c r="G4616" s="71" t="s">
        <v>11419</v>
      </c>
      <c r="H4616" s="71" t="s">
        <v>1728</v>
      </c>
      <c r="I4616" s="74" t="s">
        <v>11418</v>
      </c>
      <c r="J4616" s="76"/>
      <c r="K4616" s="76"/>
      <c r="L4616" s="82"/>
      <c r="M4616" s="77" t="str">
        <f>HYPERLINK("http://nsgreg.nga.mil/genc/view?v=866881&amp;end_month=12&amp;end_day=31&amp;end_year=2016","Correlation")</f>
        <v>Correlation</v>
      </c>
    </row>
    <row r="4617" spans="1:13" x14ac:dyDescent="0.2">
      <c r="A4617" s="112" t="s">
        <v>1328</v>
      </c>
      <c r="B4617" s="50" t="s">
        <v>11420</v>
      </c>
      <c r="C4617" s="50" t="s">
        <v>11421</v>
      </c>
      <c r="D4617" s="50" t="s">
        <v>11422</v>
      </c>
      <c r="E4617" s="52" t="b">
        <v>1</v>
      </c>
      <c r="F4617" s="78" t="s">
        <v>1328</v>
      </c>
      <c r="G4617" s="50" t="s">
        <v>11420</v>
      </c>
      <c r="H4617" s="50" t="s">
        <v>11421</v>
      </c>
      <c r="I4617" s="53" t="s">
        <v>11422</v>
      </c>
      <c r="J4617" s="55"/>
      <c r="K4617" s="55"/>
      <c r="L4617" s="79"/>
      <c r="M4617" s="56" t="str">
        <f>HYPERLINK("http://nsgreg.nga.mil/genc/view?v=862199&amp;end_month=12&amp;end_day=31&amp;end_year=2016","Correlation")</f>
        <v>Correlation</v>
      </c>
    </row>
    <row r="4618" spans="1:13" x14ac:dyDescent="0.2">
      <c r="A4618" s="113"/>
      <c r="B4618" s="58" t="s">
        <v>11423</v>
      </c>
      <c r="C4618" s="58" t="s">
        <v>11421</v>
      </c>
      <c r="D4618" s="58" t="s">
        <v>11424</v>
      </c>
      <c r="E4618" s="60" t="b">
        <v>1</v>
      </c>
      <c r="F4618" s="80" t="s">
        <v>1328</v>
      </c>
      <c r="G4618" s="58" t="s">
        <v>11423</v>
      </c>
      <c r="H4618" s="58" t="s">
        <v>11421</v>
      </c>
      <c r="I4618" s="64" t="s">
        <v>11424</v>
      </c>
      <c r="J4618" s="66"/>
      <c r="K4618" s="66"/>
      <c r="L4618" s="68"/>
      <c r="M4618" s="63" t="str">
        <f>HYPERLINK("http://nsgreg.nga.mil/genc/view?v=862198&amp;end_month=12&amp;end_day=31&amp;end_year=2016","Correlation")</f>
        <v>Correlation</v>
      </c>
    </row>
    <row r="4619" spans="1:13" x14ac:dyDescent="0.2">
      <c r="A4619" s="113"/>
      <c r="B4619" s="58" t="s">
        <v>11425</v>
      </c>
      <c r="C4619" s="58" t="s">
        <v>11421</v>
      </c>
      <c r="D4619" s="58" t="s">
        <v>11426</v>
      </c>
      <c r="E4619" s="60" t="b">
        <v>1</v>
      </c>
      <c r="F4619" s="80" t="s">
        <v>1328</v>
      </c>
      <c r="G4619" s="58" t="s">
        <v>11425</v>
      </c>
      <c r="H4619" s="58" t="s">
        <v>11421</v>
      </c>
      <c r="I4619" s="64" t="s">
        <v>11426</v>
      </c>
      <c r="J4619" s="66"/>
      <c r="K4619" s="66"/>
      <c r="L4619" s="68"/>
      <c r="M4619" s="63" t="str">
        <f>HYPERLINK("http://nsgreg.nga.mil/genc/view?v=862201&amp;end_month=12&amp;end_day=31&amp;end_year=2016","Correlation")</f>
        <v>Correlation</v>
      </c>
    </row>
    <row r="4620" spans="1:13" x14ac:dyDescent="0.2">
      <c r="A4620" s="113"/>
      <c r="B4620" s="58" t="s">
        <v>11427</v>
      </c>
      <c r="C4620" s="58" t="s">
        <v>11421</v>
      </c>
      <c r="D4620" s="58" t="s">
        <v>11428</v>
      </c>
      <c r="E4620" s="60" t="b">
        <v>1</v>
      </c>
      <c r="F4620" s="80" t="s">
        <v>1328</v>
      </c>
      <c r="G4620" s="58" t="s">
        <v>11427</v>
      </c>
      <c r="H4620" s="58" t="s">
        <v>11421</v>
      </c>
      <c r="I4620" s="64" t="s">
        <v>11428</v>
      </c>
      <c r="J4620" s="66"/>
      <c r="K4620" s="66"/>
      <c r="L4620" s="68"/>
      <c r="M4620" s="63" t="str">
        <f>HYPERLINK("http://nsgreg.nga.mil/genc/view?v=862203&amp;end_month=12&amp;end_day=31&amp;end_year=2016","Correlation")</f>
        <v>Correlation</v>
      </c>
    </row>
    <row r="4621" spans="1:13" x14ac:dyDescent="0.2">
      <c r="A4621" s="113"/>
      <c r="B4621" s="58" t="s">
        <v>11429</v>
      </c>
      <c r="C4621" s="58" t="s">
        <v>11421</v>
      </c>
      <c r="D4621" s="58" t="s">
        <v>11430</v>
      </c>
      <c r="E4621" s="60" t="b">
        <v>1</v>
      </c>
      <c r="F4621" s="80" t="s">
        <v>1328</v>
      </c>
      <c r="G4621" s="58" t="s">
        <v>11429</v>
      </c>
      <c r="H4621" s="58" t="s">
        <v>11421</v>
      </c>
      <c r="I4621" s="64" t="s">
        <v>11430</v>
      </c>
      <c r="J4621" s="66"/>
      <c r="K4621" s="66"/>
      <c r="L4621" s="68"/>
      <c r="M4621" s="63" t="str">
        <f>HYPERLINK("http://nsgreg.nga.mil/genc/view?v=862200&amp;end_month=12&amp;end_day=31&amp;end_year=2016","Correlation")</f>
        <v>Correlation</v>
      </c>
    </row>
    <row r="4622" spans="1:13" x14ac:dyDescent="0.2">
      <c r="A4622" s="113"/>
      <c r="B4622" s="58" t="s">
        <v>11431</v>
      </c>
      <c r="C4622" s="58" t="s">
        <v>11421</v>
      </c>
      <c r="D4622" s="58" t="s">
        <v>11432</v>
      </c>
      <c r="E4622" s="60" t="b">
        <v>1</v>
      </c>
      <c r="F4622" s="80" t="s">
        <v>1328</v>
      </c>
      <c r="G4622" s="58" t="s">
        <v>11431</v>
      </c>
      <c r="H4622" s="58" t="s">
        <v>11421</v>
      </c>
      <c r="I4622" s="64" t="s">
        <v>11432</v>
      </c>
      <c r="J4622" s="66"/>
      <c r="K4622" s="66"/>
      <c r="L4622" s="68"/>
      <c r="M4622" s="63" t="str">
        <f>HYPERLINK("http://nsgreg.nga.mil/genc/view?v=862202&amp;end_month=12&amp;end_day=31&amp;end_year=2016","Correlation")</f>
        <v>Correlation</v>
      </c>
    </row>
    <row r="4623" spans="1:13" x14ac:dyDescent="0.2">
      <c r="A4623" s="114"/>
      <c r="B4623" s="71" t="s">
        <v>11433</v>
      </c>
      <c r="C4623" s="71" t="s">
        <v>11421</v>
      </c>
      <c r="D4623" s="71" t="s">
        <v>11434</v>
      </c>
      <c r="E4623" s="73" t="b">
        <v>1</v>
      </c>
      <c r="F4623" s="81" t="s">
        <v>1328</v>
      </c>
      <c r="G4623" s="71" t="s">
        <v>11433</v>
      </c>
      <c r="H4623" s="71" t="s">
        <v>11421</v>
      </c>
      <c r="I4623" s="74" t="s">
        <v>11434</v>
      </c>
      <c r="J4623" s="76"/>
      <c r="K4623" s="76"/>
      <c r="L4623" s="82"/>
      <c r="M4623" s="77" t="str">
        <f>HYPERLINK("http://nsgreg.nga.mil/genc/view?v=862204&amp;end_month=12&amp;end_day=31&amp;end_year=2016","Correlation")</f>
        <v>Correlation</v>
      </c>
    </row>
    <row r="4624" spans="1:13" x14ac:dyDescent="0.2">
      <c r="A4624" s="112" t="s">
        <v>1332</v>
      </c>
      <c r="B4624" s="50" t="s">
        <v>11435</v>
      </c>
      <c r="C4624" s="50" t="s">
        <v>11436</v>
      </c>
      <c r="D4624" s="50" t="s">
        <v>11437</v>
      </c>
      <c r="E4624" s="52" t="b">
        <v>1</v>
      </c>
      <c r="F4624" s="78" t="s">
        <v>1332</v>
      </c>
      <c r="G4624" s="50" t="s">
        <v>11435</v>
      </c>
      <c r="H4624" s="50" t="s">
        <v>11436</v>
      </c>
      <c r="I4624" s="53" t="s">
        <v>11437</v>
      </c>
      <c r="J4624" s="55"/>
      <c r="K4624" s="55"/>
      <c r="L4624" s="79"/>
      <c r="M4624" s="56" t="str">
        <f>HYPERLINK("http://nsgreg.nga.mil/genc/view?v=863563&amp;end_month=12&amp;end_day=31&amp;end_year=2016","Correlation")</f>
        <v>Correlation</v>
      </c>
    </row>
    <row r="4625" spans="1:13" x14ac:dyDescent="0.2">
      <c r="A4625" s="113"/>
      <c r="B4625" s="58" t="s">
        <v>11438</v>
      </c>
      <c r="C4625" s="58" t="s">
        <v>11436</v>
      </c>
      <c r="D4625" s="58" t="s">
        <v>11439</v>
      </c>
      <c r="E4625" s="60" t="b">
        <v>1</v>
      </c>
      <c r="F4625" s="80" t="s">
        <v>1332</v>
      </c>
      <c r="G4625" s="58" t="s">
        <v>11438</v>
      </c>
      <c r="H4625" s="58" t="s">
        <v>11436</v>
      </c>
      <c r="I4625" s="64" t="s">
        <v>11439</v>
      </c>
      <c r="J4625" s="66"/>
      <c r="K4625" s="66"/>
      <c r="L4625" s="68"/>
      <c r="M4625" s="63" t="str">
        <f>HYPERLINK("http://nsgreg.nga.mil/genc/view?v=863562&amp;end_month=12&amp;end_day=31&amp;end_year=2016","Correlation")</f>
        <v>Correlation</v>
      </c>
    </row>
    <row r="4626" spans="1:13" x14ac:dyDescent="0.2">
      <c r="A4626" s="113"/>
      <c r="B4626" s="58" t="s">
        <v>11440</v>
      </c>
      <c r="C4626" s="58" t="s">
        <v>11436</v>
      </c>
      <c r="D4626" s="58" t="s">
        <v>11441</v>
      </c>
      <c r="E4626" s="60" t="b">
        <v>1</v>
      </c>
      <c r="F4626" s="80" t="s">
        <v>1332</v>
      </c>
      <c r="G4626" s="58" t="s">
        <v>11440</v>
      </c>
      <c r="H4626" s="58" t="s">
        <v>11436</v>
      </c>
      <c r="I4626" s="64" t="s">
        <v>11441</v>
      </c>
      <c r="J4626" s="66"/>
      <c r="K4626" s="66"/>
      <c r="L4626" s="68"/>
      <c r="M4626" s="63" t="str">
        <f>HYPERLINK("http://nsgreg.nga.mil/genc/view?v=863568&amp;end_month=12&amp;end_day=31&amp;end_year=2016","Correlation")</f>
        <v>Correlation</v>
      </c>
    </row>
    <row r="4627" spans="1:13" x14ac:dyDescent="0.2">
      <c r="A4627" s="113"/>
      <c r="B4627" s="58" t="s">
        <v>11442</v>
      </c>
      <c r="C4627" s="58" t="s">
        <v>1796</v>
      </c>
      <c r="D4627" s="58" t="s">
        <v>11443</v>
      </c>
      <c r="E4627" s="60" t="b">
        <v>1</v>
      </c>
      <c r="F4627" s="80" t="s">
        <v>1332</v>
      </c>
      <c r="G4627" s="58" t="s">
        <v>11442</v>
      </c>
      <c r="H4627" s="58" t="s">
        <v>1796</v>
      </c>
      <c r="I4627" s="64" t="s">
        <v>11443</v>
      </c>
      <c r="J4627" s="66"/>
      <c r="K4627" s="66"/>
      <c r="L4627" s="68"/>
      <c r="M4627" s="63" t="str">
        <f>HYPERLINK("http://nsgreg.nga.mil/genc/view?v=863567&amp;end_month=12&amp;end_day=31&amp;end_year=2016","Correlation")</f>
        <v>Correlation</v>
      </c>
    </row>
    <row r="4628" spans="1:13" x14ac:dyDescent="0.2">
      <c r="A4628" s="113"/>
      <c r="B4628" s="58" t="s">
        <v>11444</v>
      </c>
      <c r="C4628" s="58" t="s">
        <v>1796</v>
      </c>
      <c r="D4628" s="58" t="s">
        <v>11445</v>
      </c>
      <c r="E4628" s="60" t="b">
        <v>1</v>
      </c>
      <c r="F4628" s="80" t="s">
        <v>1332</v>
      </c>
      <c r="G4628" s="58" t="s">
        <v>11444</v>
      </c>
      <c r="H4628" s="58" t="s">
        <v>1796</v>
      </c>
      <c r="I4628" s="64" t="s">
        <v>11445</v>
      </c>
      <c r="J4628" s="66"/>
      <c r="K4628" s="66"/>
      <c r="L4628" s="68"/>
      <c r="M4628" s="63" t="str">
        <f>HYPERLINK("http://nsgreg.nga.mil/genc/view?v=863566&amp;end_month=12&amp;end_day=31&amp;end_year=2016","Correlation")</f>
        <v>Correlation</v>
      </c>
    </row>
    <row r="4629" spans="1:13" x14ac:dyDescent="0.2">
      <c r="A4629" s="113"/>
      <c r="B4629" s="58" t="s">
        <v>11446</v>
      </c>
      <c r="C4629" s="58" t="s">
        <v>11436</v>
      </c>
      <c r="D4629" s="58" t="s">
        <v>11447</v>
      </c>
      <c r="E4629" s="60" t="b">
        <v>1</v>
      </c>
      <c r="F4629" s="80" t="s">
        <v>1332</v>
      </c>
      <c r="G4629" s="58" t="s">
        <v>11446</v>
      </c>
      <c r="H4629" s="58" t="s">
        <v>11436</v>
      </c>
      <c r="I4629" s="64" t="s">
        <v>11447</v>
      </c>
      <c r="J4629" s="66"/>
      <c r="K4629" s="66"/>
      <c r="L4629" s="68"/>
      <c r="M4629" s="63" t="str">
        <f>HYPERLINK("http://nsgreg.nga.mil/genc/view?v=863564&amp;end_month=12&amp;end_day=31&amp;end_year=2016","Correlation")</f>
        <v>Correlation</v>
      </c>
    </row>
    <row r="4630" spans="1:13" x14ac:dyDescent="0.2">
      <c r="A4630" s="113"/>
      <c r="B4630" s="58" t="s">
        <v>11448</v>
      </c>
      <c r="C4630" s="58" t="s">
        <v>1796</v>
      </c>
      <c r="D4630" s="58" t="s">
        <v>11449</v>
      </c>
      <c r="E4630" s="60" t="b">
        <v>1</v>
      </c>
      <c r="F4630" s="80" t="s">
        <v>1332</v>
      </c>
      <c r="G4630" s="58" t="s">
        <v>11448</v>
      </c>
      <c r="H4630" s="58" t="s">
        <v>1796</v>
      </c>
      <c r="I4630" s="64" t="s">
        <v>11449</v>
      </c>
      <c r="J4630" s="66"/>
      <c r="K4630" s="66"/>
      <c r="L4630" s="68"/>
      <c r="M4630" s="63" t="str">
        <f>HYPERLINK("http://nsgreg.nga.mil/genc/view?v=863561&amp;end_month=12&amp;end_day=31&amp;end_year=2016","Correlation")</f>
        <v>Correlation</v>
      </c>
    </row>
    <row r="4631" spans="1:13" x14ac:dyDescent="0.2">
      <c r="A4631" s="113"/>
      <c r="B4631" s="58" t="s">
        <v>11450</v>
      </c>
      <c r="C4631" s="58" t="s">
        <v>11451</v>
      </c>
      <c r="D4631" s="58" t="s">
        <v>11452</v>
      </c>
      <c r="E4631" s="60" t="b">
        <v>1</v>
      </c>
      <c r="F4631" s="80" t="s">
        <v>1332</v>
      </c>
      <c r="G4631" s="58" t="s">
        <v>11450</v>
      </c>
      <c r="H4631" s="58" t="s">
        <v>11451</v>
      </c>
      <c r="I4631" s="64" t="s">
        <v>11452</v>
      </c>
      <c r="J4631" s="66"/>
      <c r="K4631" s="66"/>
      <c r="L4631" s="68"/>
      <c r="M4631" s="63" t="str">
        <f>HYPERLINK("http://nsgreg.nga.mil/genc/view?v=863572&amp;end_month=12&amp;end_day=31&amp;end_year=2016","Correlation")</f>
        <v>Correlation</v>
      </c>
    </row>
    <row r="4632" spans="1:13" x14ac:dyDescent="0.2">
      <c r="A4632" s="113"/>
      <c r="B4632" s="58" t="s">
        <v>11453</v>
      </c>
      <c r="C4632" s="58" t="s">
        <v>11451</v>
      </c>
      <c r="D4632" s="58" t="s">
        <v>11454</v>
      </c>
      <c r="E4632" s="60" t="b">
        <v>1</v>
      </c>
      <c r="F4632" s="80" t="s">
        <v>1332</v>
      </c>
      <c r="G4632" s="58" t="s">
        <v>11453</v>
      </c>
      <c r="H4632" s="58" t="s">
        <v>11451</v>
      </c>
      <c r="I4632" s="64" t="s">
        <v>11454</v>
      </c>
      <c r="J4632" s="66"/>
      <c r="K4632" s="66"/>
      <c r="L4632" s="68"/>
      <c r="M4632" s="63" t="str">
        <f>HYPERLINK("http://nsgreg.nga.mil/genc/view?v=863581&amp;end_month=12&amp;end_day=31&amp;end_year=2016","Correlation")</f>
        <v>Correlation</v>
      </c>
    </row>
    <row r="4633" spans="1:13" x14ac:dyDescent="0.2">
      <c r="A4633" s="113"/>
      <c r="B4633" s="58" t="s">
        <v>11455</v>
      </c>
      <c r="C4633" s="58" t="s">
        <v>11456</v>
      </c>
      <c r="D4633" s="58" t="s">
        <v>11457</v>
      </c>
      <c r="E4633" s="60" t="b">
        <v>1</v>
      </c>
      <c r="F4633" s="80" t="s">
        <v>1332</v>
      </c>
      <c r="G4633" s="58" t="s">
        <v>11455</v>
      </c>
      <c r="H4633" s="58" t="s">
        <v>11456</v>
      </c>
      <c r="I4633" s="64" t="s">
        <v>11457</v>
      </c>
      <c r="J4633" s="66"/>
      <c r="K4633" s="66"/>
      <c r="L4633" s="68"/>
      <c r="M4633" s="63" t="str">
        <f>HYPERLINK("http://nsgreg.nga.mil/genc/view?v=863583&amp;end_month=12&amp;end_day=31&amp;end_year=2016","Correlation")</f>
        <v>Correlation</v>
      </c>
    </row>
    <row r="4634" spans="1:13" x14ac:dyDescent="0.2">
      <c r="A4634" s="113"/>
      <c r="B4634" s="58" t="s">
        <v>11458</v>
      </c>
      <c r="C4634" s="58" t="s">
        <v>11459</v>
      </c>
      <c r="D4634" s="58" t="s">
        <v>11460</v>
      </c>
      <c r="E4634" s="60" t="b">
        <v>1</v>
      </c>
      <c r="F4634" s="80" t="s">
        <v>1332</v>
      </c>
      <c r="G4634" s="58" t="s">
        <v>11458</v>
      </c>
      <c r="H4634" s="58" t="s">
        <v>11459</v>
      </c>
      <c r="I4634" s="64" t="s">
        <v>11460</v>
      </c>
      <c r="J4634" s="66"/>
      <c r="K4634" s="66"/>
      <c r="L4634" s="68"/>
      <c r="M4634" s="63" t="str">
        <f>HYPERLINK("http://nsgreg.nga.mil/genc/view?v=863569&amp;end_month=12&amp;end_day=31&amp;end_year=2016","Correlation")</f>
        <v>Correlation</v>
      </c>
    </row>
    <row r="4635" spans="1:13" x14ac:dyDescent="0.2">
      <c r="A4635" s="113"/>
      <c r="B4635" s="58" t="s">
        <v>11461</v>
      </c>
      <c r="C4635" s="58" t="s">
        <v>11459</v>
      </c>
      <c r="D4635" s="58" t="s">
        <v>11462</v>
      </c>
      <c r="E4635" s="60" t="b">
        <v>1</v>
      </c>
      <c r="F4635" s="80" t="s">
        <v>1332</v>
      </c>
      <c r="G4635" s="58" t="s">
        <v>11461</v>
      </c>
      <c r="H4635" s="58" t="s">
        <v>11459</v>
      </c>
      <c r="I4635" s="64" t="s">
        <v>11462</v>
      </c>
      <c r="J4635" s="66"/>
      <c r="K4635" s="66"/>
      <c r="L4635" s="68"/>
      <c r="M4635" s="63" t="str">
        <f>HYPERLINK("http://nsgreg.nga.mil/genc/view?v=863571&amp;end_month=12&amp;end_day=31&amp;end_year=2016","Correlation")</f>
        <v>Correlation</v>
      </c>
    </row>
    <row r="4636" spans="1:13" x14ac:dyDescent="0.2">
      <c r="A4636" s="113"/>
      <c r="B4636" s="58" t="s">
        <v>11463</v>
      </c>
      <c r="C4636" s="58" t="s">
        <v>1796</v>
      </c>
      <c r="D4636" s="58" t="s">
        <v>11464</v>
      </c>
      <c r="E4636" s="60" t="b">
        <v>1</v>
      </c>
      <c r="F4636" s="80" t="s">
        <v>1332</v>
      </c>
      <c r="G4636" s="58" t="s">
        <v>11463</v>
      </c>
      <c r="H4636" s="58" t="s">
        <v>1796</v>
      </c>
      <c r="I4636" s="64" t="s">
        <v>11464</v>
      </c>
      <c r="J4636" s="66"/>
      <c r="K4636" s="66"/>
      <c r="L4636" s="68"/>
      <c r="M4636" s="63" t="str">
        <f>HYPERLINK("http://nsgreg.nga.mil/genc/view?v=863575&amp;end_month=12&amp;end_day=31&amp;end_year=2016","Correlation")</f>
        <v>Correlation</v>
      </c>
    </row>
    <row r="4637" spans="1:13" x14ac:dyDescent="0.2">
      <c r="A4637" s="113"/>
      <c r="B4637" s="58" t="s">
        <v>11465</v>
      </c>
      <c r="C4637" s="58" t="s">
        <v>11451</v>
      </c>
      <c r="D4637" s="58" t="s">
        <v>11466</v>
      </c>
      <c r="E4637" s="60" t="b">
        <v>1</v>
      </c>
      <c r="F4637" s="80" t="s">
        <v>1332</v>
      </c>
      <c r="G4637" s="58" t="s">
        <v>11465</v>
      </c>
      <c r="H4637" s="58" t="s">
        <v>11451</v>
      </c>
      <c r="I4637" s="64" t="s">
        <v>11466</v>
      </c>
      <c r="J4637" s="66"/>
      <c r="K4637" s="66"/>
      <c r="L4637" s="68"/>
      <c r="M4637" s="63" t="str">
        <f>HYPERLINK("http://nsgreg.nga.mil/genc/view?v=863574&amp;end_month=12&amp;end_day=31&amp;end_year=2016","Correlation")</f>
        <v>Correlation</v>
      </c>
    </row>
    <row r="4638" spans="1:13" x14ac:dyDescent="0.2">
      <c r="A4638" s="113"/>
      <c r="B4638" s="58" t="s">
        <v>11467</v>
      </c>
      <c r="C4638" s="58" t="s">
        <v>11456</v>
      </c>
      <c r="D4638" s="58" t="s">
        <v>11468</v>
      </c>
      <c r="E4638" s="60" t="b">
        <v>1</v>
      </c>
      <c r="F4638" s="80" t="s">
        <v>1332</v>
      </c>
      <c r="G4638" s="58" t="s">
        <v>11467</v>
      </c>
      <c r="H4638" s="58" t="s">
        <v>11456</v>
      </c>
      <c r="I4638" s="64" t="s">
        <v>11468</v>
      </c>
      <c r="J4638" s="66"/>
      <c r="K4638" s="66"/>
      <c r="L4638" s="68"/>
      <c r="M4638" s="63" t="str">
        <f>HYPERLINK("http://nsgreg.nga.mil/genc/view?v=863578&amp;end_month=12&amp;end_day=31&amp;end_year=2016","Correlation")</f>
        <v>Correlation</v>
      </c>
    </row>
    <row r="4639" spans="1:13" x14ac:dyDescent="0.2">
      <c r="A4639" s="113"/>
      <c r="B4639" s="58" t="s">
        <v>11469</v>
      </c>
      <c r="C4639" s="58" t="s">
        <v>11459</v>
      </c>
      <c r="D4639" s="58" t="s">
        <v>11470</v>
      </c>
      <c r="E4639" s="60" t="b">
        <v>1</v>
      </c>
      <c r="F4639" s="80" t="s">
        <v>1332</v>
      </c>
      <c r="G4639" s="58" t="s">
        <v>11469</v>
      </c>
      <c r="H4639" s="58" t="s">
        <v>11459</v>
      </c>
      <c r="I4639" s="64" t="s">
        <v>11470</v>
      </c>
      <c r="J4639" s="66"/>
      <c r="K4639" s="66"/>
      <c r="L4639" s="68"/>
      <c r="M4639" s="63" t="str">
        <f>HYPERLINK("http://nsgreg.nga.mil/genc/view?v=863570&amp;end_month=12&amp;end_day=31&amp;end_year=2016","Correlation")</f>
        <v>Correlation</v>
      </c>
    </row>
    <row r="4640" spans="1:13" x14ac:dyDescent="0.2">
      <c r="A4640" s="113"/>
      <c r="B4640" s="58" t="s">
        <v>11471</v>
      </c>
      <c r="C4640" s="58" t="s">
        <v>11459</v>
      </c>
      <c r="D4640" s="58" t="s">
        <v>11472</v>
      </c>
      <c r="E4640" s="60" t="b">
        <v>1</v>
      </c>
      <c r="F4640" s="80" t="s">
        <v>1332</v>
      </c>
      <c r="G4640" s="58" t="s">
        <v>11471</v>
      </c>
      <c r="H4640" s="58" t="s">
        <v>11459</v>
      </c>
      <c r="I4640" s="64" t="s">
        <v>11472</v>
      </c>
      <c r="J4640" s="66"/>
      <c r="K4640" s="66"/>
      <c r="L4640" s="68"/>
      <c r="M4640" s="63" t="str">
        <f>HYPERLINK("http://nsgreg.nga.mil/genc/view?v=863585&amp;end_month=12&amp;end_day=31&amp;end_year=2016","Correlation")</f>
        <v>Correlation</v>
      </c>
    </row>
    <row r="4641" spans="1:13" x14ac:dyDescent="0.2">
      <c r="A4641" s="113"/>
      <c r="B4641" s="58" t="s">
        <v>11473</v>
      </c>
      <c r="C4641" s="58" t="s">
        <v>11459</v>
      </c>
      <c r="D4641" s="58" t="s">
        <v>11474</v>
      </c>
      <c r="E4641" s="60" t="b">
        <v>1</v>
      </c>
      <c r="F4641" s="80" t="s">
        <v>1332</v>
      </c>
      <c r="G4641" s="58" t="s">
        <v>11473</v>
      </c>
      <c r="H4641" s="58" t="s">
        <v>11475</v>
      </c>
      <c r="I4641" s="64" t="s">
        <v>11474</v>
      </c>
      <c r="J4641" s="66"/>
      <c r="K4641" s="66"/>
      <c r="L4641" s="68"/>
      <c r="M4641" s="63" t="str">
        <f>HYPERLINK("http://nsgreg.nga.mil/genc/view?v=863577&amp;end_month=12&amp;end_day=31&amp;end_year=2016","Correlation")</f>
        <v>Correlation</v>
      </c>
    </row>
    <row r="4642" spans="1:13" x14ac:dyDescent="0.2">
      <c r="A4642" s="113"/>
      <c r="B4642" s="58" t="s">
        <v>11476</v>
      </c>
      <c r="C4642" s="58" t="s">
        <v>11456</v>
      </c>
      <c r="D4642" s="58" t="s">
        <v>11477</v>
      </c>
      <c r="E4642" s="60" t="b">
        <v>1</v>
      </c>
      <c r="F4642" s="80" t="s">
        <v>1332</v>
      </c>
      <c r="G4642" s="58" t="s">
        <v>11476</v>
      </c>
      <c r="H4642" s="58" t="s">
        <v>11456</v>
      </c>
      <c r="I4642" s="64" t="s">
        <v>11477</v>
      </c>
      <c r="J4642" s="66"/>
      <c r="K4642" s="66"/>
      <c r="L4642" s="68"/>
      <c r="M4642" s="63" t="str">
        <f>HYPERLINK("http://nsgreg.nga.mil/genc/view?v=863584&amp;end_month=12&amp;end_day=31&amp;end_year=2016","Correlation")</f>
        <v>Correlation</v>
      </c>
    </row>
    <row r="4643" spans="1:13" x14ac:dyDescent="0.2">
      <c r="A4643" s="113"/>
      <c r="B4643" s="58" t="s">
        <v>11478</v>
      </c>
      <c r="C4643" s="58" t="s">
        <v>11459</v>
      </c>
      <c r="D4643" s="58" t="s">
        <v>11479</v>
      </c>
      <c r="E4643" s="60" t="b">
        <v>1</v>
      </c>
      <c r="F4643" s="80" t="s">
        <v>1332</v>
      </c>
      <c r="G4643" s="58" t="s">
        <v>11478</v>
      </c>
      <c r="H4643" s="58" t="s">
        <v>11459</v>
      </c>
      <c r="I4643" s="64" t="s">
        <v>11479</v>
      </c>
      <c r="J4643" s="66"/>
      <c r="K4643" s="66"/>
      <c r="L4643" s="68"/>
      <c r="M4643" s="63" t="str">
        <f>HYPERLINK("http://nsgreg.nga.mil/genc/view?v=863580&amp;end_month=12&amp;end_day=31&amp;end_year=2016","Correlation")</f>
        <v>Correlation</v>
      </c>
    </row>
    <row r="4644" spans="1:13" x14ac:dyDescent="0.2">
      <c r="A4644" s="113"/>
      <c r="B4644" s="58" t="s">
        <v>11480</v>
      </c>
      <c r="C4644" s="58" t="s">
        <v>11459</v>
      </c>
      <c r="D4644" s="58" t="s">
        <v>11481</v>
      </c>
      <c r="E4644" s="60" t="b">
        <v>1</v>
      </c>
      <c r="F4644" s="80" t="s">
        <v>1332</v>
      </c>
      <c r="G4644" s="58" t="s">
        <v>11480</v>
      </c>
      <c r="H4644" s="58" t="s">
        <v>11459</v>
      </c>
      <c r="I4644" s="64" t="s">
        <v>11481</v>
      </c>
      <c r="J4644" s="66"/>
      <c r="K4644" s="66"/>
      <c r="L4644" s="68"/>
      <c r="M4644" s="63" t="str">
        <f>HYPERLINK("http://nsgreg.nga.mil/genc/view?v=863586&amp;end_month=12&amp;end_day=31&amp;end_year=2016","Correlation")</f>
        <v>Correlation</v>
      </c>
    </row>
    <row r="4645" spans="1:13" x14ac:dyDescent="0.2">
      <c r="A4645" s="113"/>
      <c r="B4645" s="58" t="s">
        <v>11482</v>
      </c>
      <c r="C4645" s="58" t="s">
        <v>11456</v>
      </c>
      <c r="D4645" s="58" t="s">
        <v>11483</v>
      </c>
      <c r="E4645" s="60" t="b">
        <v>1</v>
      </c>
      <c r="F4645" s="80" t="s">
        <v>1332</v>
      </c>
      <c r="G4645" s="58" t="s">
        <v>11482</v>
      </c>
      <c r="H4645" s="58" t="s">
        <v>11456</v>
      </c>
      <c r="I4645" s="64" t="s">
        <v>11483</v>
      </c>
      <c r="J4645" s="66"/>
      <c r="K4645" s="66"/>
      <c r="L4645" s="68"/>
      <c r="M4645" s="63" t="str">
        <f>HYPERLINK("http://nsgreg.nga.mil/genc/view?v=863587&amp;end_month=12&amp;end_day=31&amp;end_year=2016","Correlation")</f>
        <v>Correlation</v>
      </c>
    </row>
    <row r="4646" spans="1:13" x14ac:dyDescent="0.2">
      <c r="A4646" s="113"/>
      <c r="B4646" s="58" t="s">
        <v>11484</v>
      </c>
      <c r="C4646" s="58" t="s">
        <v>11451</v>
      </c>
      <c r="D4646" s="58" t="s">
        <v>11485</v>
      </c>
      <c r="E4646" s="60" t="b">
        <v>1</v>
      </c>
      <c r="F4646" s="80" t="s">
        <v>1332</v>
      </c>
      <c r="G4646" s="58" t="s">
        <v>11484</v>
      </c>
      <c r="H4646" s="58" t="s">
        <v>11451</v>
      </c>
      <c r="I4646" s="64" t="s">
        <v>11485</v>
      </c>
      <c r="J4646" s="66"/>
      <c r="K4646" s="66"/>
      <c r="L4646" s="68"/>
      <c r="M4646" s="63" t="str">
        <f>HYPERLINK("http://nsgreg.nga.mil/genc/view?v=863573&amp;end_month=12&amp;end_day=31&amp;end_year=2016","Correlation")</f>
        <v>Correlation</v>
      </c>
    </row>
    <row r="4647" spans="1:13" x14ac:dyDescent="0.2">
      <c r="A4647" s="113"/>
      <c r="B4647" s="58" t="s">
        <v>11486</v>
      </c>
      <c r="C4647" s="58" t="s">
        <v>11459</v>
      </c>
      <c r="D4647" s="58" t="s">
        <v>11487</v>
      </c>
      <c r="E4647" s="60" t="b">
        <v>1</v>
      </c>
      <c r="F4647" s="80" t="s">
        <v>1332</v>
      </c>
      <c r="G4647" s="58" t="s">
        <v>11486</v>
      </c>
      <c r="H4647" s="58" t="s">
        <v>11475</v>
      </c>
      <c r="I4647" s="64" t="s">
        <v>11487</v>
      </c>
      <c r="J4647" s="66"/>
      <c r="K4647" s="66"/>
      <c r="L4647" s="68"/>
      <c r="M4647" s="63" t="str">
        <f>HYPERLINK("http://nsgreg.nga.mil/genc/view?v=863576&amp;end_month=12&amp;end_day=31&amp;end_year=2016","Correlation")</f>
        <v>Correlation</v>
      </c>
    </row>
    <row r="4648" spans="1:13" x14ac:dyDescent="0.2">
      <c r="A4648" s="113"/>
      <c r="B4648" s="58" t="s">
        <v>11488</v>
      </c>
      <c r="C4648" s="58" t="s">
        <v>11459</v>
      </c>
      <c r="D4648" s="58" t="s">
        <v>11489</v>
      </c>
      <c r="E4648" s="60" t="b">
        <v>1</v>
      </c>
      <c r="F4648" s="80" t="s">
        <v>1332</v>
      </c>
      <c r="G4648" s="58" t="s">
        <v>11488</v>
      </c>
      <c r="H4648" s="58" t="s">
        <v>11459</v>
      </c>
      <c r="I4648" s="64" t="s">
        <v>11489</v>
      </c>
      <c r="J4648" s="66"/>
      <c r="K4648" s="66"/>
      <c r="L4648" s="68"/>
      <c r="M4648" s="63" t="str">
        <f>HYPERLINK("http://nsgreg.nga.mil/genc/view?v=863582&amp;end_month=12&amp;end_day=31&amp;end_year=2016","Correlation")</f>
        <v>Correlation</v>
      </c>
    </row>
    <row r="4649" spans="1:13" x14ac:dyDescent="0.2">
      <c r="A4649" s="113"/>
      <c r="B4649" s="58" t="s">
        <v>11490</v>
      </c>
      <c r="C4649" s="58" t="s">
        <v>11459</v>
      </c>
      <c r="D4649" s="58" t="s">
        <v>11491</v>
      </c>
      <c r="E4649" s="60" t="b">
        <v>1</v>
      </c>
      <c r="F4649" s="80" t="s">
        <v>1332</v>
      </c>
      <c r="G4649" s="58" t="s">
        <v>11490</v>
      </c>
      <c r="H4649" s="58" t="s">
        <v>11459</v>
      </c>
      <c r="I4649" s="64" t="s">
        <v>11491</v>
      </c>
      <c r="J4649" s="66"/>
      <c r="K4649" s="66"/>
      <c r="L4649" s="68"/>
      <c r="M4649" s="63" t="str">
        <f>HYPERLINK("http://nsgreg.nga.mil/genc/view?v=863589&amp;end_month=12&amp;end_day=31&amp;end_year=2016","Correlation")</f>
        <v>Correlation</v>
      </c>
    </row>
    <row r="4650" spans="1:13" x14ac:dyDescent="0.2">
      <c r="A4650" s="113"/>
      <c r="B4650" s="58" t="s">
        <v>11492</v>
      </c>
      <c r="C4650" s="58" t="s">
        <v>11451</v>
      </c>
      <c r="D4650" s="58" t="s">
        <v>11493</v>
      </c>
      <c r="E4650" s="60" t="b">
        <v>1</v>
      </c>
      <c r="F4650" s="80" t="s">
        <v>1332</v>
      </c>
      <c r="G4650" s="58" t="s">
        <v>11492</v>
      </c>
      <c r="H4650" s="58" t="s">
        <v>11451</v>
      </c>
      <c r="I4650" s="64" t="s">
        <v>11493</v>
      </c>
      <c r="J4650" s="66"/>
      <c r="K4650" s="66"/>
      <c r="L4650" s="68"/>
      <c r="M4650" s="63" t="str">
        <f>HYPERLINK("http://nsgreg.nga.mil/genc/view?v=863588&amp;end_month=12&amp;end_day=31&amp;end_year=2016","Correlation")</f>
        <v>Correlation</v>
      </c>
    </row>
    <row r="4651" spans="1:13" x14ac:dyDescent="0.2">
      <c r="A4651" s="113"/>
      <c r="B4651" s="58" t="s">
        <v>11494</v>
      </c>
      <c r="C4651" s="58" t="s">
        <v>1483</v>
      </c>
      <c r="D4651" s="58" t="s">
        <v>11495</v>
      </c>
      <c r="E4651" s="60" t="b">
        <v>1</v>
      </c>
      <c r="F4651" s="80" t="s">
        <v>1332</v>
      </c>
      <c r="G4651" s="58" t="s">
        <v>11494</v>
      </c>
      <c r="H4651" s="58" t="s">
        <v>11496</v>
      </c>
      <c r="I4651" s="64" t="s">
        <v>11495</v>
      </c>
      <c r="J4651" s="66"/>
      <c r="K4651" s="66"/>
      <c r="L4651" s="68"/>
      <c r="M4651" s="63" t="str">
        <f>HYPERLINK("http://nsgreg.nga.mil/genc/view?v=863579&amp;end_month=12&amp;end_day=31&amp;end_year=2016","Correlation")</f>
        <v>Correlation</v>
      </c>
    </row>
    <row r="4652" spans="1:13" x14ac:dyDescent="0.2">
      <c r="A4652" s="113"/>
      <c r="B4652" s="58" t="s">
        <v>11497</v>
      </c>
      <c r="C4652" s="58" t="s">
        <v>11456</v>
      </c>
      <c r="D4652" s="58" t="s">
        <v>11498</v>
      </c>
      <c r="E4652" s="60" t="b">
        <v>1</v>
      </c>
      <c r="F4652" s="80" t="s">
        <v>1332</v>
      </c>
      <c r="G4652" s="58" t="s">
        <v>11497</v>
      </c>
      <c r="H4652" s="58" t="s">
        <v>11456</v>
      </c>
      <c r="I4652" s="64" t="s">
        <v>11498</v>
      </c>
      <c r="J4652" s="66"/>
      <c r="K4652" s="66"/>
      <c r="L4652" s="68"/>
      <c r="M4652" s="63" t="str">
        <f>HYPERLINK("http://nsgreg.nga.mil/genc/view?v=863590&amp;end_month=12&amp;end_day=31&amp;end_year=2016","Correlation")</f>
        <v>Correlation</v>
      </c>
    </row>
    <row r="4653" spans="1:13" x14ac:dyDescent="0.2">
      <c r="A4653" s="113"/>
      <c r="B4653" s="58" t="s">
        <v>11499</v>
      </c>
      <c r="C4653" s="58" t="s">
        <v>11459</v>
      </c>
      <c r="D4653" s="58" t="s">
        <v>11500</v>
      </c>
      <c r="E4653" s="60" t="b">
        <v>1</v>
      </c>
      <c r="F4653" s="80" t="s">
        <v>1332</v>
      </c>
      <c r="G4653" s="58" t="s">
        <v>11499</v>
      </c>
      <c r="H4653" s="58" t="s">
        <v>11475</v>
      </c>
      <c r="I4653" s="64" t="s">
        <v>11500</v>
      </c>
      <c r="J4653" s="66"/>
      <c r="K4653" s="66"/>
      <c r="L4653" s="68"/>
      <c r="M4653" s="63" t="str">
        <f>HYPERLINK("http://nsgreg.nga.mil/genc/view?v=863592&amp;end_month=12&amp;end_day=31&amp;end_year=2016","Correlation")</f>
        <v>Correlation</v>
      </c>
    </row>
    <row r="4654" spans="1:13" x14ac:dyDescent="0.2">
      <c r="A4654" s="113"/>
      <c r="B4654" s="58" t="s">
        <v>11501</v>
      </c>
      <c r="C4654" s="58" t="s">
        <v>11456</v>
      </c>
      <c r="D4654" s="58" t="s">
        <v>11502</v>
      </c>
      <c r="E4654" s="60" t="b">
        <v>1</v>
      </c>
      <c r="F4654" s="80" t="s">
        <v>1332</v>
      </c>
      <c r="G4654" s="58" t="s">
        <v>11501</v>
      </c>
      <c r="H4654" s="58" t="s">
        <v>11456</v>
      </c>
      <c r="I4654" s="64" t="s">
        <v>11502</v>
      </c>
      <c r="J4654" s="66"/>
      <c r="K4654" s="66"/>
      <c r="L4654" s="68"/>
      <c r="M4654" s="63" t="str">
        <f>HYPERLINK("http://nsgreg.nga.mil/genc/view?v=863598&amp;end_month=12&amp;end_day=31&amp;end_year=2016","Correlation")</f>
        <v>Correlation</v>
      </c>
    </row>
    <row r="4655" spans="1:13" x14ac:dyDescent="0.2">
      <c r="A4655" s="113"/>
      <c r="B4655" s="58" t="s">
        <v>11503</v>
      </c>
      <c r="C4655" s="58" t="s">
        <v>1483</v>
      </c>
      <c r="D4655" s="58" t="s">
        <v>11504</v>
      </c>
      <c r="E4655" s="60" t="b">
        <v>1</v>
      </c>
      <c r="F4655" s="80" t="s">
        <v>1332</v>
      </c>
      <c r="G4655" s="58" t="s">
        <v>11503</v>
      </c>
      <c r="H4655" s="58" t="s">
        <v>11496</v>
      </c>
      <c r="I4655" s="64" t="s">
        <v>11504</v>
      </c>
      <c r="J4655" s="66"/>
      <c r="K4655" s="66"/>
      <c r="L4655" s="68"/>
      <c r="M4655" s="63" t="str">
        <f>HYPERLINK("http://nsgreg.nga.mil/genc/view?v=863591&amp;end_month=12&amp;end_day=31&amp;end_year=2016","Correlation")</f>
        <v>Correlation</v>
      </c>
    </row>
    <row r="4656" spans="1:13" x14ac:dyDescent="0.2">
      <c r="A4656" s="113"/>
      <c r="B4656" s="58" t="s">
        <v>11505</v>
      </c>
      <c r="C4656" s="58" t="s">
        <v>11451</v>
      </c>
      <c r="D4656" s="58" t="s">
        <v>11506</v>
      </c>
      <c r="E4656" s="60" t="b">
        <v>1</v>
      </c>
      <c r="F4656" s="80" t="s">
        <v>1332</v>
      </c>
      <c r="G4656" s="58" t="s">
        <v>11505</v>
      </c>
      <c r="H4656" s="58" t="s">
        <v>11451</v>
      </c>
      <c r="I4656" s="64" t="s">
        <v>11506</v>
      </c>
      <c r="J4656" s="66"/>
      <c r="K4656" s="66"/>
      <c r="L4656" s="68"/>
      <c r="M4656" s="63" t="str">
        <f>HYPERLINK("http://nsgreg.nga.mil/genc/view?v=863601&amp;end_month=12&amp;end_day=31&amp;end_year=2016","Correlation")</f>
        <v>Correlation</v>
      </c>
    </row>
    <row r="4657" spans="1:13" x14ac:dyDescent="0.2">
      <c r="A4657" s="113"/>
      <c r="B4657" s="58" t="s">
        <v>11507</v>
      </c>
      <c r="C4657" s="58" t="s">
        <v>11459</v>
      </c>
      <c r="D4657" s="58" t="s">
        <v>11508</v>
      </c>
      <c r="E4657" s="60" t="b">
        <v>1</v>
      </c>
      <c r="F4657" s="80" t="s">
        <v>1332</v>
      </c>
      <c r="G4657" s="58" t="s">
        <v>11507</v>
      </c>
      <c r="H4657" s="58" t="s">
        <v>11475</v>
      </c>
      <c r="I4657" s="64" t="s">
        <v>11508</v>
      </c>
      <c r="J4657" s="66"/>
      <c r="K4657" s="66"/>
      <c r="L4657" s="68"/>
      <c r="M4657" s="63" t="str">
        <f>HYPERLINK("http://nsgreg.nga.mil/genc/view?v=863605&amp;end_month=12&amp;end_day=31&amp;end_year=2016","Correlation")</f>
        <v>Correlation</v>
      </c>
    </row>
    <row r="4658" spans="1:13" x14ac:dyDescent="0.2">
      <c r="A4658" s="113"/>
      <c r="B4658" s="58" t="s">
        <v>11509</v>
      </c>
      <c r="C4658" s="58" t="s">
        <v>11459</v>
      </c>
      <c r="D4658" s="58" t="s">
        <v>11510</v>
      </c>
      <c r="E4658" s="60" t="b">
        <v>1</v>
      </c>
      <c r="F4658" s="80" t="s">
        <v>1332</v>
      </c>
      <c r="G4658" s="58" t="s">
        <v>11509</v>
      </c>
      <c r="H4658" s="58" t="s">
        <v>11475</v>
      </c>
      <c r="I4658" s="64" t="s">
        <v>11510</v>
      </c>
      <c r="J4658" s="66"/>
      <c r="K4658" s="66"/>
      <c r="L4658" s="68"/>
      <c r="M4658" s="63" t="str">
        <f>HYPERLINK("http://nsgreg.nga.mil/genc/view?v=863602&amp;end_month=12&amp;end_day=31&amp;end_year=2016","Correlation")</f>
        <v>Correlation</v>
      </c>
    </row>
    <row r="4659" spans="1:13" x14ac:dyDescent="0.2">
      <c r="A4659" s="113"/>
      <c r="B4659" s="58" t="s">
        <v>11511</v>
      </c>
      <c r="C4659" s="58" t="s">
        <v>1796</v>
      </c>
      <c r="D4659" s="58" t="s">
        <v>11512</v>
      </c>
      <c r="E4659" s="60" t="b">
        <v>1</v>
      </c>
      <c r="F4659" s="80" t="s">
        <v>1332</v>
      </c>
      <c r="G4659" s="58" t="s">
        <v>11511</v>
      </c>
      <c r="H4659" s="58" t="s">
        <v>1796</v>
      </c>
      <c r="I4659" s="64" t="s">
        <v>11512</v>
      </c>
      <c r="J4659" s="66"/>
      <c r="K4659" s="66"/>
      <c r="L4659" s="68"/>
      <c r="M4659" s="63" t="str">
        <f>HYPERLINK("http://nsgreg.nga.mil/genc/view?v=863594&amp;end_month=12&amp;end_day=31&amp;end_year=2016","Correlation")</f>
        <v>Correlation</v>
      </c>
    </row>
    <row r="4660" spans="1:13" x14ac:dyDescent="0.2">
      <c r="A4660" s="113"/>
      <c r="B4660" s="58" t="s">
        <v>11513</v>
      </c>
      <c r="C4660" s="58" t="s">
        <v>11459</v>
      </c>
      <c r="D4660" s="58" t="s">
        <v>11514</v>
      </c>
      <c r="E4660" s="60" t="b">
        <v>1</v>
      </c>
      <c r="F4660" s="80" t="s">
        <v>1332</v>
      </c>
      <c r="G4660" s="58" t="s">
        <v>11513</v>
      </c>
      <c r="H4660" s="58" t="s">
        <v>11459</v>
      </c>
      <c r="I4660" s="64" t="s">
        <v>11514</v>
      </c>
      <c r="J4660" s="66"/>
      <c r="K4660" s="66"/>
      <c r="L4660" s="68"/>
      <c r="M4660" s="63" t="str">
        <f>HYPERLINK("http://nsgreg.nga.mil/genc/view?v=863593&amp;end_month=12&amp;end_day=31&amp;end_year=2016","Correlation")</f>
        <v>Correlation</v>
      </c>
    </row>
    <row r="4661" spans="1:13" x14ac:dyDescent="0.2">
      <c r="A4661" s="113"/>
      <c r="B4661" s="58" t="s">
        <v>11515</v>
      </c>
      <c r="C4661" s="58" t="s">
        <v>11459</v>
      </c>
      <c r="D4661" s="58" t="s">
        <v>11516</v>
      </c>
      <c r="E4661" s="60" t="b">
        <v>1</v>
      </c>
      <c r="F4661" s="80" t="s">
        <v>1332</v>
      </c>
      <c r="G4661" s="58" t="s">
        <v>11515</v>
      </c>
      <c r="H4661" s="58" t="s">
        <v>11475</v>
      </c>
      <c r="I4661" s="64" t="s">
        <v>11516</v>
      </c>
      <c r="J4661" s="66"/>
      <c r="K4661" s="66"/>
      <c r="L4661" s="68"/>
      <c r="M4661" s="63" t="str">
        <f>HYPERLINK("http://nsgreg.nga.mil/genc/view?v=863595&amp;end_month=12&amp;end_day=31&amp;end_year=2016","Correlation")</f>
        <v>Correlation</v>
      </c>
    </row>
    <row r="4662" spans="1:13" x14ac:dyDescent="0.2">
      <c r="A4662" s="113"/>
      <c r="B4662" s="58" t="s">
        <v>11517</v>
      </c>
      <c r="C4662" s="58" t="s">
        <v>11459</v>
      </c>
      <c r="D4662" s="58" t="s">
        <v>11518</v>
      </c>
      <c r="E4662" s="60" t="b">
        <v>1</v>
      </c>
      <c r="F4662" s="80" t="s">
        <v>1332</v>
      </c>
      <c r="G4662" s="58" t="s">
        <v>11517</v>
      </c>
      <c r="H4662" s="58" t="s">
        <v>11459</v>
      </c>
      <c r="I4662" s="64" t="s">
        <v>11518</v>
      </c>
      <c r="J4662" s="66"/>
      <c r="K4662" s="66"/>
      <c r="L4662" s="68"/>
      <c r="M4662" s="63" t="str">
        <f>HYPERLINK("http://nsgreg.nga.mil/genc/view?v=863596&amp;end_month=12&amp;end_day=31&amp;end_year=2016","Correlation")</f>
        <v>Correlation</v>
      </c>
    </row>
    <row r="4663" spans="1:13" x14ac:dyDescent="0.2">
      <c r="A4663" s="113"/>
      <c r="B4663" s="58" t="s">
        <v>11519</v>
      </c>
      <c r="C4663" s="58" t="s">
        <v>11459</v>
      </c>
      <c r="D4663" s="58" t="s">
        <v>11520</v>
      </c>
      <c r="E4663" s="60" t="b">
        <v>1</v>
      </c>
      <c r="F4663" s="80" t="s">
        <v>1332</v>
      </c>
      <c r="G4663" s="58" t="s">
        <v>11519</v>
      </c>
      <c r="H4663" s="58" t="s">
        <v>11459</v>
      </c>
      <c r="I4663" s="64" t="s">
        <v>11520</v>
      </c>
      <c r="J4663" s="66"/>
      <c r="K4663" s="66"/>
      <c r="L4663" s="68"/>
      <c r="M4663" s="63" t="str">
        <f>HYPERLINK("http://nsgreg.nga.mil/genc/view?v=863597&amp;end_month=12&amp;end_day=31&amp;end_year=2016","Correlation")</f>
        <v>Correlation</v>
      </c>
    </row>
    <row r="4664" spans="1:13" x14ac:dyDescent="0.2">
      <c r="A4664" s="113"/>
      <c r="B4664" s="58" t="s">
        <v>11521</v>
      </c>
      <c r="C4664" s="58" t="s">
        <v>11436</v>
      </c>
      <c r="D4664" s="58" t="s">
        <v>11522</v>
      </c>
      <c r="E4664" s="60" t="b">
        <v>1</v>
      </c>
      <c r="F4664" s="80" t="s">
        <v>1332</v>
      </c>
      <c r="G4664" s="58" t="s">
        <v>11521</v>
      </c>
      <c r="H4664" s="58" t="s">
        <v>11436</v>
      </c>
      <c r="I4664" s="64" t="s">
        <v>11522</v>
      </c>
      <c r="J4664" s="66"/>
      <c r="K4664" s="66"/>
      <c r="L4664" s="68"/>
      <c r="M4664" s="63" t="str">
        <f>HYPERLINK("http://nsgreg.nga.mil/genc/view?v=863599&amp;end_month=12&amp;end_day=31&amp;end_year=2016","Correlation")</f>
        <v>Correlation</v>
      </c>
    </row>
    <row r="4665" spans="1:13" x14ac:dyDescent="0.2">
      <c r="A4665" s="113"/>
      <c r="B4665" s="58" t="s">
        <v>11523</v>
      </c>
      <c r="C4665" s="58" t="s">
        <v>11459</v>
      </c>
      <c r="D4665" s="58" t="s">
        <v>11524</v>
      </c>
      <c r="E4665" s="60" t="b">
        <v>1</v>
      </c>
      <c r="F4665" s="80" t="s">
        <v>1332</v>
      </c>
      <c r="G4665" s="58" t="s">
        <v>11523</v>
      </c>
      <c r="H4665" s="58" t="s">
        <v>11475</v>
      </c>
      <c r="I4665" s="64" t="s">
        <v>11524</v>
      </c>
      <c r="J4665" s="66"/>
      <c r="K4665" s="66"/>
      <c r="L4665" s="68"/>
      <c r="M4665" s="63" t="str">
        <f>HYPERLINK("http://nsgreg.nga.mil/genc/view?v=863607&amp;end_month=12&amp;end_day=31&amp;end_year=2016","Correlation")</f>
        <v>Correlation</v>
      </c>
    </row>
    <row r="4666" spans="1:13" x14ac:dyDescent="0.2">
      <c r="A4666" s="113"/>
      <c r="B4666" s="58" t="s">
        <v>11525</v>
      </c>
      <c r="C4666" s="58" t="s">
        <v>11459</v>
      </c>
      <c r="D4666" s="58" t="s">
        <v>11526</v>
      </c>
      <c r="E4666" s="60" t="b">
        <v>1</v>
      </c>
      <c r="F4666" s="80" t="s">
        <v>1332</v>
      </c>
      <c r="G4666" s="58" t="s">
        <v>11525</v>
      </c>
      <c r="H4666" s="58" t="s">
        <v>11459</v>
      </c>
      <c r="I4666" s="64" t="s">
        <v>11526</v>
      </c>
      <c r="J4666" s="66"/>
      <c r="K4666" s="66"/>
      <c r="L4666" s="68"/>
      <c r="M4666" s="63" t="str">
        <f>HYPERLINK("http://nsgreg.nga.mil/genc/view?v=863603&amp;end_month=12&amp;end_day=31&amp;end_year=2016","Correlation")</f>
        <v>Correlation</v>
      </c>
    </row>
    <row r="4667" spans="1:13" x14ac:dyDescent="0.2">
      <c r="A4667" s="113"/>
      <c r="B4667" s="58" t="s">
        <v>11527</v>
      </c>
      <c r="C4667" s="58" t="s">
        <v>11456</v>
      </c>
      <c r="D4667" s="58" t="s">
        <v>11528</v>
      </c>
      <c r="E4667" s="60" t="b">
        <v>1</v>
      </c>
      <c r="F4667" s="80" t="s">
        <v>1332</v>
      </c>
      <c r="G4667" s="58" t="s">
        <v>11527</v>
      </c>
      <c r="H4667" s="58" t="s">
        <v>11456</v>
      </c>
      <c r="I4667" s="64" t="s">
        <v>11528</v>
      </c>
      <c r="J4667" s="66"/>
      <c r="K4667" s="66"/>
      <c r="L4667" s="68"/>
      <c r="M4667" s="63" t="str">
        <f>HYPERLINK("http://nsgreg.nga.mil/genc/view?v=863604&amp;end_month=12&amp;end_day=31&amp;end_year=2016","Correlation")</f>
        <v>Correlation</v>
      </c>
    </row>
    <row r="4668" spans="1:13" x14ac:dyDescent="0.2">
      <c r="A4668" s="113"/>
      <c r="B4668" s="58" t="s">
        <v>11529</v>
      </c>
      <c r="C4668" s="58" t="s">
        <v>11451</v>
      </c>
      <c r="D4668" s="58" t="s">
        <v>11530</v>
      </c>
      <c r="E4668" s="60" t="b">
        <v>1</v>
      </c>
      <c r="F4668" s="80" t="s">
        <v>1332</v>
      </c>
      <c r="G4668" s="58" t="s">
        <v>11529</v>
      </c>
      <c r="H4668" s="58" t="s">
        <v>11451</v>
      </c>
      <c r="I4668" s="64" t="s">
        <v>11530</v>
      </c>
      <c r="J4668" s="66"/>
      <c r="K4668" s="66"/>
      <c r="L4668" s="68"/>
      <c r="M4668" s="63" t="str">
        <f>HYPERLINK("http://nsgreg.nga.mil/genc/view?v=863606&amp;end_month=12&amp;end_day=31&amp;end_year=2016","Correlation")</f>
        <v>Correlation</v>
      </c>
    </row>
    <row r="4669" spans="1:13" x14ac:dyDescent="0.2">
      <c r="A4669" s="113"/>
      <c r="B4669" s="58" t="s">
        <v>11531</v>
      </c>
      <c r="C4669" s="58" t="s">
        <v>1483</v>
      </c>
      <c r="D4669" s="58" t="s">
        <v>11532</v>
      </c>
      <c r="E4669" s="60" t="b">
        <v>1</v>
      </c>
      <c r="F4669" s="80" t="s">
        <v>1332</v>
      </c>
      <c r="G4669" s="58" t="s">
        <v>11531</v>
      </c>
      <c r="H4669" s="58" t="s">
        <v>11496</v>
      </c>
      <c r="I4669" s="64" t="s">
        <v>11532</v>
      </c>
      <c r="J4669" s="66"/>
      <c r="K4669" s="66"/>
      <c r="L4669" s="68"/>
      <c r="M4669" s="63" t="str">
        <f>HYPERLINK("http://nsgreg.nga.mil/genc/view?v=863600&amp;end_month=12&amp;end_day=31&amp;end_year=2016","Correlation")</f>
        <v>Correlation</v>
      </c>
    </row>
    <row r="4670" spans="1:13" x14ac:dyDescent="0.2">
      <c r="A4670" s="113"/>
      <c r="B4670" s="58" t="s">
        <v>11533</v>
      </c>
      <c r="C4670" s="58" t="s">
        <v>11459</v>
      </c>
      <c r="D4670" s="58" t="s">
        <v>11534</v>
      </c>
      <c r="E4670" s="60" t="b">
        <v>1</v>
      </c>
      <c r="F4670" s="80" t="s">
        <v>1332</v>
      </c>
      <c r="G4670" s="58" t="s">
        <v>11533</v>
      </c>
      <c r="H4670" s="58" t="s">
        <v>11459</v>
      </c>
      <c r="I4670" s="64" t="s">
        <v>11534</v>
      </c>
      <c r="J4670" s="66"/>
      <c r="K4670" s="66"/>
      <c r="L4670" s="68"/>
      <c r="M4670" s="63" t="str">
        <f>HYPERLINK("http://nsgreg.nga.mil/genc/view?v=863608&amp;end_month=12&amp;end_day=31&amp;end_year=2016","Correlation")</f>
        <v>Correlation</v>
      </c>
    </row>
    <row r="4671" spans="1:13" x14ac:dyDescent="0.2">
      <c r="A4671" s="113"/>
      <c r="B4671" s="58" t="s">
        <v>11535</v>
      </c>
      <c r="C4671" s="58" t="s">
        <v>11459</v>
      </c>
      <c r="D4671" s="58" t="s">
        <v>11536</v>
      </c>
      <c r="E4671" s="60" t="b">
        <v>1</v>
      </c>
      <c r="F4671" s="80" t="s">
        <v>1332</v>
      </c>
      <c r="G4671" s="58" t="s">
        <v>11535</v>
      </c>
      <c r="H4671" s="58" t="s">
        <v>11475</v>
      </c>
      <c r="I4671" s="64" t="s">
        <v>11536</v>
      </c>
      <c r="J4671" s="66"/>
      <c r="K4671" s="66"/>
      <c r="L4671" s="68"/>
      <c r="M4671" s="63" t="str">
        <f>HYPERLINK("http://nsgreg.nga.mil/genc/view?v=863610&amp;end_month=12&amp;end_day=31&amp;end_year=2016","Correlation")</f>
        <v>Correlation</v>
      </c>
    </row>
    <row r="4672" spans="1:13" x14ac:dyDescent="0.2">
      <c r="A4672" s="113"/>
      <c r="B4672" s="58" t="s">
        <v>11537</v>
      </c>
      <c r="C4672" s="58" t="s">
        <v>11459</v>
      </c>
      <c r="D4672" s="58" t="s">
        <v>11538</v>
      </c>
      <c r="E4672" s="60" t="b">
        <v>1</v>
      </c>
      <c r="F4672" s="80" t="s">
        <v>1332</v>
      </c>
      <c r="G4672" s="58" t="s">
        <v>11537</v>
      </c>
      <c r="H4672" s="58" t="s">
        <v>11459</v>
      </c>
      <c r="I4672" s="64" t="s">
        <v>11538</v>
      </c>
      <c r="J4672" s="66"/>
      <c r="K4672" s="66"/>
      <c r="L4672" s="68"/>
      <c r="M4672" s="63" t="str">
        <f>HYPERLINK("http://nsgreg.nga.mil/genc/view?v=863611&amp;end_month=12&amp;end_day=31&amp;end_year=2016","Correlation")</f>
        <v>Correlation</v>
      </c>
    </row>
    <row r="4673" spans="1:13" x14ac:dyDescent="0.2">
      <c r="A4673" s="113"/>
      <c r="B4673" s="58" t="s">
        <v>11539</v>
      </c>
      <c r="C4673" s="58" t="s">
        <v>1483</v>
      </c>
      <c r="D4673" s="58" t="s">
        <v>11540</v>
      </c>
      <c r="E4673" s="60" t="b">
        <v>1</v>
      </c>
      <c r="F4673" s="80" t="s">
        <v>1332</v>
      </c>
      <c r="G4673" s="58" t="s">
        <v>11539</v>
      </c>
      <c r="H4673" s="58" t="s">
        <v>11496</v>
      </c>
      <c r="I4673" s="64" t="s">
        <v>11540</v>
      </c>
      <c r="J4673" s="66"/>
      <c r="K4673" s="66"/>
      <c r="L4673" s="68"/>
      <c r="M4673" s="63" t="str">
        <f>HYPERLINK("http://nsgreg.nga.mil/genc/view?v=863609&amp;end_month=12&amp;end_day=31&amp;end_year=2016","Correlation")</f>
        <v>Correlation</v>
      </c>
    </row>
    <row r="4674" spans="1:13" x14ac:dyDescent="0.2">
      <c r="A4674" s="113"/>
      <c r="B4674" s="58" t="s">
        <v>11541</v>
      </c>
      <c r="C4674" s="58" t="s">
        <v>1796</v>
      </c>
      <c r="D4674" s="58" t="s">
        <v>11542</v>
      </c>
      <c r="E4674" s="60" t="b">
        <v>1</v>
      </c>
      <c r="F4674" s="80" t="s">
        <v>1332</v>
      </c>
      <c r="G4674" s="58" t="s">
        <v>11541</v>
      </c>
      <c r="H4674" s="58" t="s">
        <v>1796</v>
      </c>
      <c r="I4674" s="64" t="s">
        <v>11542</v>
      </c>
      <c r="J4674" s="66"/>
      <c r="K4674" s="66"/>
      <c r="L4674" s="68"/>
      <c r="M4674" s="63" t="str">
        <f>HYPERLINK("http://nsgreg.nga.mil/genc/view?v=863617&amp;end_month=12&amp;end_day=31&amp;end_year=2016","Correlation")</f>
        <v>Correlation</v>
      </c>
    </row>
    <row r="4675" spans="1:13" x14ac:dyDescent="0.2">
      <c r="A4675" s="113"/>
      <c r="B4675" s="58" t="s">
        <v>11543</v>
      </c>
      <c r="C4675" s="58" t="s">
        <v>1483</v>
      </c>
      <c r="D4675" s="58" t="s">
        <v>11544</v>
      </c>
      <c r="E4675" s="60" t="b">
        <v>1</v>
      </c>
      <c r="F4675" s="80" t="s">
        <v>1332</v>
      </c>
      <c r="G4675" s="58" t="s">
        <v>11543</v>
      </c>
      <c r="H4675" s="58" t="s">
        <v>11496</v>
      </c>
      <c r="I4675" s="64" t="s">
        <v>11544</v>
      </c>
      <c r="J4675" s="66"/>
      <c r="K4675" s="66"/>
      <c r="L4675" s="68"/>
      <c r="M4675" s="63" t="str">
        <f>HYPERLINK("http://nsgreg.nga.mil/genc/view?v=863612&amp;end_month=12&amp;end_day=31&amp;end_year=2016","Correlation")</f>
        <v>Correlation</v>
      </c>
    </row>
    <row r="4676" spans="1:13" x14ac:dyDescent="0.2">
      <c r="A4676" s="113"/>
      <c r="B4676" s="58" t="s">
        <v>11545</v>
      </c>
      <c r="C4676" s="58" t="s">
        <v>11456</v>
      </c>
      <c r="D4676" s="58" t="s">
        <v>11546</v>
      </c>
      <c r="E4676" s="60" t="b">
        <v>1</v>
      </c>
      <c r="F4676" s="80" t="s">
        <v>1332</v>
      </c>
      <c r="G4676" s="58" t="s">
        <v>11545</v>
      </c>
      <c r="H4676" s="58" t="s">
        <v>11456</v>
      </c>
      <c r="I4676" s="64" t="s">
        <v>11546</v>
      </c>
      <c r="J4676" s="66"/>
      <c r="K4676" s="66"/>
      <c r="L4676" s="68"/>
      <c r="M4676" s="63" t="str">
        <f>HYPERLINK("http://nsgreg.nga.mil/genc/view?v=863614&amp;end_month=12&amp;end_day=31&amp;end_year=2016","Correlation")</f>
        <v>Correlation</v>
      </c>
    </row>
    <row r="4677" spans="1:13" x14ac:dyDescent="0.2">
      <c r="A4677" s="113"/>
      <c r="B4677" s="58" t="s">
        <v>11547</v>
      </c>
      <c r="C4677" s="58" t="s">
        <v>1483</v>
      </c>
      <c r="D4677" s="58" t="s">
        <v>11548</v>
      </c>
      <c r="E4677" s="60" t="b">
        <v>1</v>
      </c>
      <c r="F4677" s="80" t="s">
        <v>1332</v>
      </c>
      <c r="G4677" s="58" t="s">
        <v>11547</v>
      </c>
      <c r="H4677" s="58" t="s">
        <v>11496</v>
      </c>
      <c r="I4677" s="64" t="s">
        <v>11548</v>
      </c>
      <c r="J4677" s="66"/>
      <c r="K4677" s="66"/>
      <c r="L4677" s="68"/>
      <c r="M4677" s="63" t="str">
        <f>HYPERLINK("http://nsgreg.nga.mil/genc/view?v=863616&amp;end_month=12&amp;end_day=31&amp;end_year=2016","Correlation")</f>
        <v>Correlation</v>
      </c>
    </row>
    <row r="4678" spans="1:13" x14ac:dyDescent="0.2">
      <c r="A4678" s="113"/>
      <c r="B4678" s="58" t="s">
        <v>11549</v>
      </c>
      <c r="C4678" s="58" t="s">
        <v>11456</v>
      </c>
      <c r="D4678" s="58" t="s">
        <v>11550</v>
      </c>
      <c r="E4678" s="60" t="b">
        <v>1</v>
      </c>
      <c r="F4678" s="80" t="s">
        <v>1332</v>
      </c>
      <c r="G4678" s="58" t="s">
        <v>11549</v>
      </c>
      <c r="H4678" s="58" t="s">
        <v>11456</v>
      </c>
      <c r="I4678" s="64" t="s">
        <v>11550</v>
      </c>
      <c r="J4678" s="66"/>
      <c r="K4678" s="66"/>
      <c r="L4678" s="68"/>
      <c r="M4678" s="63" t="str">
        <f>HYPERLINK("http://nsgreg.nga.mil/genc/view?v=863618&amp;end_month=12&amp;end_day=31&amp;end_year=2016","Correlation")</f>
        <v>Correlation</v>
      </c>
    </row>
    <row r="4679" spans="1:13" x14ac:dyDescent="0.2">
      <c r="A4679" s="113"/>
      <c r="B4679" s="58" t="s">
        <v>11551</v>
      </c>
      <c r="C4679" s="58" t="s">
        <v>11436</v>
      </c>
      <c r="D4679" s="58" t="s">
        <v>11552</v>
      </c>
      <c r="E4679" s="60" t="b">
        <v>1</v>
      </c>
      <c r="F4679" s="80" t="s">
        <v>1332</v>
      </c>
      <c r="G4679" s="58" t="s">
        <v>11551</v>
      </c>
      <c r="H4679" s="58" t="s">
        <v>11436</v>
      </c>
      <c r="I4679" s="64" t="s">
        <v>11552</v>
      </c>
      <c r="J4679" s="66"/>
      <c r="K4679" s="66"/>
      <c r="L4679" s="68"/>
      <c r="M4679" s="63" t="str">
        <f>HYPERLINK("http://nsgreg.nga.mil/genc/view?v=863613&amp;end_month=12&amp;end_day=31&amp;end_year=2016","Correlation")</f>
        <v>Correlation</v>
      </c>
    </row>
    <row r="4680" spans="1:13" x14ac:dyDescent="0.2">
      <c r="A4680" s="113"/>
      <c r="B4680" s="58" t="s">
        <v>11553</v>
      </c>
      <c r="C4680" s="58" t="s">
        <v>11436</v>
      </c>
      <c r="D4680" s="58" t="s">
        <v>11554</v>
      </c>
      <c r="E4680" s="60" t="b">
        <v>1</v>
      </c>
      <c r="F4680" s="80" t="s">
        <v>1332</v>
      </c>
      <c r="G4680" s="58" t="s">
        <v>11553</v>
      </c>
      <c r="H4680" s="58" t="s">
        <v>11436</v>
      </c>
      <c r="I4680" s="64" t="s">
        <v>11554</v>
      </c>
      <c r="J4680" s="66"/>
      <c r="K4680" s="66"/>
      <c r="L4680" s="68"/>
      <c r="M4680" s="63" t="str">
        <f>HYPERLINK("http://nsgreg.nga.mil/genc/view?v=863615&amp;end_month=12&amp;end_day=31&amp;end_year=2016","Correlation")</f>
        <v>Correlation</v>
      </c>
    </row>
    <row r="4681" spans="1:13" x14ac:dyDescent="0.2">
      <c r="A4681" s="113"/>
      <c r="B4681" s="58" t="s">
        <v>11555</v>
      </c>
      <c r="C4681" s="58" t="s">
        <v>11459</v>
      </c>
      <c r="D4681" s="58" t="s">
        <v>11556</v>
      </c>
      <c r="E4681" s="60" t="b">
        <v>1</v>
      </c>
      <c r="F4681" s="80" t="s">
        <v>1332</v>
      </c>
      <c r="G4681" s="58" t="s">
        <v>11557</v>
      </c>
      <c r="H4681" s="58" t="s">
        <v>11459</v>
      </c>
      <c r="I4681" s="64" t="s">
        <v>11556</v>
      </c>
      <c r="J4681" s="66"/>
      <c r="K4681" s="66"/>
      <c r="L4681" s="68"/>
      <c r="M4681" s="63" t="str">
        <f>HYPERLINK("http://nsgreg.nga.mil/genc/view?v=863619&amp;end_month=12&amp;end_day=31&amp;end_year=2016","Correlation")</f>
        <v>Correlation</v>
      </c>
    </row>
    <row r="4682" spans="1:13" x14ac:dyDescent="0.2">
      <c r="A4682" s="113"/>
      <c r="B4682" s="58" t="s">
        <v>11558</v>
      </c>
      <c r="C4682" s="58" t="s">
        <v>11451</v>
      </c>
      <c r="D4682" s="58" t="s">
        <v>11559</v>
      </c>
      <c r="E4682" s="60" t="b">
        <v>1</v>
      </c>
      <c r="F4682" s="80" t="s">
        <v>1332</v>
      </c>
      <c r="G4682" s="58" t="s">
        <v>11558</v>
      </c>
      <c r="H4682" s="58" t="s">
        <v>11451</v>
      </c>
      <c r="I4682" s="64" t="s">
        <v>11559</v>
      </c>
      <c r="J4682" s="66"/>
      <c r="K4682" s="66"/>
      <c r="L4682" s="68"/>
      <c r="M4682" s="63" t="str">
        <f>HYPERLINK("http://nsgreg.nga.mil/genc/view?v=863620&amp;end_month=12&amp;end_day=31&amp;end_year=2016","Correlation")</f>
        <v>Correlation</v>
      </c>
    </row>
    <row r="4683" spans="1:13" x14ac:dyDescent="0.2">
      <c r="A4683" s="113"/>
      <c r="B4683" s="58" t="s">
        <v>11560</v>
      </c>
      <c r="C4683" s="58" t="s">
        <v>11436</v>
      </c>
      <c r="D4683" s="58" t="s">
        <v>11561</v>
      </c>
      <c r="E4683" s="60" t="b">
        <v>1</v>
      </c>
      <c r="F4683" s="80" t="s">
        <v>1332</v>
      </c>
      <c r="G4683" s="58" t="s">
        <v>11560</v>
      </c>
      <c r="H4683" s="58" t="s">
        <v>11436</v>
      </c>
      <c r="I4683" s="64" t="s">
        <v>11561</v>
      </c>
      <c r="J4683" s="66"/>
      <c r="K4683" s="66"/>
      <c r="L4683" s="68"/>
      <c r="M4683" s="63" t="str">
        <f>HYPERLINK("http://nsgreg.nga.mil/genc/view?v=863621&amp;end_month=12&amp;end_day=31&amp;end_year=2016","Correlation")</f>
        <v>Correlation</v>
      </c>
    </row>
    <row r="4684" spans="1:13" x14ac:dyDescent="0.2">
      <c r="A4684" s="113"/>
      <c r="B4684" s="58" t="s">
        <v>11562</v>
      </c>
      <c r="C4684" s="58" t="s">
        <v>11436</v>
      </c>
      <c r="D4684" s="58" t="s">
        <v>11563</v>
      </c>
      <c r="E4684" s="60" t="b">
        <v>1</v>
      </c>
      <c r="F4684" s="80" t="s">
        <v>1332</v>
      </c>
      <c r="G4684" s="58" t="s">
        <v>11562</v>
      </c>
      <c r="H4684" s="58" t="s">
        <v>11436</v>
      </c>
      <c r="I4684" s="64" t="s">
        <v>11563</v>
      </c>
      <c r="J4684" s="66"/>
      <c r="K4684" s="66"/>
      <c r="L4684" s="68"/>
      <c r="M4684" s="63" t="str">
        <f>HYPERLINK("http://nsgreg.nga.mil/genc/view?v=863623&amp;end_month=12&amp;end_day=31&amp;end_year=2016","Correlation")</f>
        <v>Correlation</v>
      </c>
    </row>
    <row r="4685" spans="1:13" x14ac:dyDescent="0.2">
      <c r="A4685" s="113"/>
      <c r="B4685" s="58" t="s">
        <v>11564</v>
      </c>
      <c r="C4685" s="58" t="s">
        <v>11436</v>
      </c>
      <c r="D4685" s="58" t="s">
        <v>11565</v>
      </c>
      <c r="E4685" s="60" t="b">
        <v>1</v>
      </c>
      <c r="F4685" s="80" t="s">
        <v>1332</v>
      </c>
      <c r="G4685" s="58" t="s">
        <v>11564</v>
      </c>
      <c r="H4685" s="58" t="s">
        <v>11436</v>
      </c>
      <c r="I4685" s="64" t="s">
        <v>11565</v>
      </c>
      <c r="J4685" s="66"/>
      <c r="K4685" s="66"/>
      <c r="L4685" s="68"/>
      <c r="M4685" s="63" t="str">
        <f>HYPERLINK("http://nsgreg.nga.mil/genc/view?v=863624&amp;end_month=12&amp;end_day=31&amp;end_year=2016","Correlation")</f>
        <v>Correlation</v>
      </c>
    </row>
    <row r="4686" spans="1:13" x14ac:dyDescent="0.2">
      <c r="A4686" s="113"/>
      <c r="B4686" s="58" t="s">
        <v>11566</v>
      </c>
      <c r="C4686" s="58" t="s">
        <v>11436</v>
      </c>
      <c r="D4686" s="58" t="s">
        <v>11567</v>
      </c>
      <c r="E4686" s="60" t="b">
        <v>1</v>
      </c>
      <c r="F4686" s="80" t="s">
        <v>1332</v>
      </c>
      <c r="G4686" s="58" t="s">
        <v>11566</v>
      </c>
      <c r="H4686" s="58" t="s">
        <v>11436</v>
      </c>
      <c r="I4686" s="64" t="s">
        <v>11567</v>
      </c>
      <c r="J4686" s="66"/>
      <c r="K4686" s="66"/>
      <c r="L4686" s="68"/>
      <c r="M4686" s="63" t="str">
        <f>HYPERLINK("http://nsgreg.nga.mil/genc/view?v=863628&amp;end_month=12&amp;end_day=31&amp;end_year=2016","Correlation")</f>
        <v>Correlation</v>
      </c>
    </row>
    <row r="4687" spans="1:13" x14ac:dyDescent="0.2">
      <c r="A4687" s="113"/>
      <c r="B4687" s="58" t="s">
        <v>11568</v>
      </c>
      <c r="C4687" s="58" t="s">
        <v>11459</v>
      </c>
      <c r="D4687" s="58" t="s">
        <v>11569</v>
      </c>
      <c r="E4687" s="60" t="b">
        <v>1</v>
      </c>
      <c r="F4687" s="80" t="s">
        <v>1332</v>
      </c>
      <c r="G4687" s="58" t="s">
        <v>11568</v>
      </c>
      <c r="H4687" s="58" t="s">
        <v>11459</v>
      </c>
      <c r="I4687" s="64" t="s">
        <v>11569</v>
      </c>
      <c r="J4687" s="66"/>
      <c r="K4687" s="66"/>
      <c r="L4687" s="68"/>
      <c r="M4687" s="63" t="str">
        <f>HYPERLINK("http://nsgreg.nga.mil/genc/view?v=863629&amp;end_month=12&amp;end_day=31&amp;end_year=2016","Correlation")</f>
        <v>Correlation</v>
      </c>
    </row>
    <row r="4688" spans="1:13" x14ac:dyDescent="0.2">
      <c r="A4688" s="113"/>
      <c r="B4688" s="58" t="s">
        <v>11570</v>
      </c>
      <c r="C4688" s="58" t="s">
        <v>1483</v>
      </c>
      <c r="D4688" s="58" t="s">
        <v>11571</v>
      </c>
      <c r="E4688" s="60" t="b">
        <v>1</v>
      </c>
      <c r="F4688" s="80" t="s">
        <v>1332</v>
      </c>
      <c r="G4688" s="58" t="s">
        <v>11570</v>
      </c>
      <c r="H4688" s="58" t="s">
        <v>11496</v>
      </c>
      <c r="I4688" s="64" t="s">
        <v>11571</v>
      </c>
      <c r="J4688" s="66"/>
      <c r="K4688" s="66"/>
      <c r="L4688" s="68"/>
      <c r="M4688" s="63" t="str">
        <f>HYPERLINK("http://nsgreg.nga.mil/genc/view?v=863631&amp;end_month=12&amp;end_day=31&amp;end_year=2016","Correlation")</f>
        <v>Correlation</v>
      </c>
    </row>
    <row r="4689" spans="1:13" x14ac:dyDescent="0.2">
      <c r="A4689" s="113"/>
      <c r="B4689" s="58" t="s">
        <v>11572</v>
      </c>
      <c r="C4689" s="58" t="s">
        <v>11436</v>
      </c>
      <c r="D4689" s="58" t="s">
        <v>11573</v>
      </c>
      <c r="E4689" s="60" t="b">
        <v>1</v>
      </c>
      <c r="F4689" s="80" t="s">
        <v>1332</v>
      </c>
      <c r="G4689" s="58" t="s">
        <v>11572</v>
      </c>
      <c r="H4689" s="58" t="s">
        <v>11436</v>
      </c>
      <c r="I4689" s="64" t="s">
        <v>11573</v>
      </c>
      <c r="J4689" s="66"/>
      <c r="K4689" s="66"/>
      <c r="L4689" s="68"/>
      <c r="M4689" s="63" t="str">
        <f>HYPERLINK("http://nsgreg.nga.mil/genc/view?v=863622&amp;end_month=12&amp;end_day=31&amp;end_year=2016","Correlation")</f>
        <v>Correlation</v>
      </c>
    </row>
    <row r="4690" spans="1:13" x14ac:dyDescent="0.2">
      <c r="A4690" s="113"/>
      <c r="B4690" s="58" t="s">
        <v>11574</v>
      </c>
      <c r="C4690" s="58" t="s">
        <v>11436</v>
      </c>
      <c r="D4690" s="58" t="s">
        <v>11575</v>
      </c>
      <c r="E4690" s="60" t="b">
        <v>1</v>
      </c>
      <c r="F4690" s="80" t="s">
        <v>1332</v>
      </c>
      <c r="G4690" s="58" t="s">
        <v>11574</v>
      </c>
      <c r="H4690" s="58" t="s">
        <v>11436</v>
      </c>
      <c r="I4690" s="64" t="s">
        <v>11575</v>
      </c>
      <c r="J4690" s="66"/>
      <c r="K4690" s="66"/>
      <c r="L4690" s="68"/>
      <c r="M4690" s="63" t="str">
        <f>HYPERLINK("http://nsgreg.nga.mil/genc/view?v=863625&amp;end_month=12&amp;end_day=31&amp;end_year=2016","Correlation")</f>
        <v>Correlation</v>
      </c>
    </row>
    <row r="4691" spans="1:13" x14ac:dyDescent="0.2">
      <c r="A4691" s="113"/>
      <c r="B4691" s="58" t="s">
        <v>11576</v>
      </c>
      <c r="C4691" s="58" t="s">
        <v>11451</v>
      </c>
      <c r="D4691" s="58" t="s">
        <v>11577</v>
      </c>
      <c r="E4691" s="60" t="b">
        <v>1</v>
      </c>
      <c r="F4691" s="80" t="s">
        <v>1332</v>
      </c>
      <c r="G4691" s="58" t="s">
        <v>11576</v>
      </c>
      <c r="H4691" s="58" t="s">
        <v>11451</v>
      </c>
      <c r="I4691" s="64" t="s">
        <v>11577</v>
      </c>
      <c r="J4691" s="66"/>
      <c r="K4691" s="66"/>
      <c r="L4691" s="68"/>
      <c r="M4691" s="63" t="str">
        <f>HYPERLINK("http://nsgreg.nga.mil/genc/view?v=863626&amp;end_month=12&amp;end_day=31&amp;end_year=2016","Correlation")</f>
        <v>Correlation</v>
      </c>
    </row>
    <row r="4692" spans="1:13" x14ac:dyDescent="0.2">
      <c r="A4692" s="113"/>
      <c r="B4692" s="58" t="s">
        <v>11578</v>
      </c>
      <c r="C4692" s="58" t="s">
        <v>11579</v>
      </c>
      <c r="D4692" s="58" t="s">
        <v>11580</v>
      </c>
      <c r="E4692" s="60" t="b">
        <v>1</v>
      </c>
      <c r="F4692" s="80" t="s">
        <v>1332</v>
      </c>
      <c r="G4692" s="58" t="s">
        <v>11578</v>
      </c>
      <c r="H4692" s="58" t="s">
        <v>11579</v>
      </c>
      <c r="I4692" s="64" t="s">
        <v>11580</v>
      </c>
      <c r="J4692" s="66"/>
      <c r="K4692" s="66"/>
      <c r="L4692" s="68"/>
      <c r="M4692" s="63" t="str">
        <f>HYPERLINK("http://nsgreg.nga.mil/genc/view?v=863627&amp;end_month=12&amp;end_day=31&amp;end_year=2016","Correlation")</f>
        <v>Correlation</v>
      </c>
    </row>
    <row r="4693" spans="1:13" x14ac:dyDescent="0.2">
      <c r="A4693" s="113"/>
      <c r="B4693" s="58" t="s">
        <v>11581</v>
      </c>
      <c r="C4693" s="58" t="s">
        <v>1483</v>
      </c>
      <c r="D4693" s="58" t="s">
        <v>11582</v>
      </c>
      <c r="E4693" s="60" t="b">
        <v>1</v>
      </c>
      <c r="F4693" s="80" t="s">
        <v>1332</v>
      </c>
      <c r="G4693" s="58" t="s">
        <v>11581</v>
      </c>
      <c r="H4693" s="58" t="s">
        <v>11496</v>
      </c>
      <c r="I4693" s="64" t="s">
        <v>11582</v>
      </c>
      <c r="J4693" s="66"/>
      <c r="K4693" s="66"/>
      <c r="L4693" s="68"/>
      <c r="M4693" s="63" t="str">
        <f>HYPERLINK("http://nsgreg.nga.mil/genc/view?v=863630&amp;end_month=12&amp;end_day=31&amp;end_year=2016","Correlation")</f>
        <v>Correlation</v>
      </c>
    </row>
    <row r="4694" spans="1:13" x14ac:dyDescent="0.2">
      <c r="A4694" s="113"/>
      <c r="B4694" s="58" t="s">
        <v>11583</v>
      </c>
      <c r="C4694" s="58" t="s">
        <v>11436</v>
      </c>
      <c r="D4694" s="58" t="s">
        <v>11584</v>
      </c>
      <c r="E4694" s="60" t="b">
        <v>1</v>
      </c>
      <c r="F4694" s="80" t="s">
        <v>1332</v>
      </c>
      <c r="G4694" s="58" t="s">
        <v>11583</v>
      </c>
      <c r="H4694" s="58" t="s">
        <v>11436</v>
      </c>
      <c r="I4694" s="64" t="s">
        <v>11584</v>
      </c>
      <c r="J4694" s="66"/>
      <c r="K4694" s="66"/>
      <c r="L4694" s="68"/>
      <c r="M4694" s="63" t="str">
        <f>HYPERLINK("http://nsgreg.nga.mil/genc/view?v=863632&amp;end_month=12&amp;end_day=31&amp;end_year=2016","Correlation")</f>
        <v>Correlation</v>
      </c>
    </row>
    <row r="4695" spans="1:13" x14ac:dyDescent="0.2">
      <c r="A4695" s="113"/>
      <c r="B4695" s="58" t="s">
        <v>11585</v>
      </c>
      <c r="C4695" s="58" t="s">
        <v>1796</v>
      </c>
      <c r="D4695" s="58" t="s">
        <v>11586</v>
      </c>
      <c r="E4695" s="60" t="b">
        <v>1</v>
      </c>
      <c r="F4695" s="80" t="s">
        <v>1332</v>
      </c>
      <c r="G4695" s="58" t="s">
        <v>11585</v>
      </c>
      <c r="H4695" s="58" t="s">
        <v>1796</v>
      </c>
      <c r="I4695" s="64" t="s">
        <v>11586</v>
      </c>
      <c r="J4695" s="66"/>
      <c r="K4695" s="66"/>
      <c r="L4695" s="68"/>
      <c r="M4695" s="63" t="str">
        <f>HYPERLINK("http://nsgreg.nga.mil/genc/view?v=863635&amp;end_month=12&amp;end_day=31&amp;end_year=2016","Correlation")</f>
        <v>Correlation</v>
      </c>
    </row>
    <row r="4696" spans="1:13" x14ac:dyDescent="0.2">
      <c r="A4696" s="113"/>
      <c r="B4696" s="58" t="s">
        <v>11587</v>
      </c>
      <c r="C4696" s="58" t="s">
        <v>11436</v>
      </c>
      <c r="D4696" s="58" t="s">
        <v>11588</v>
      </c>
      <c r="E4696" s="60" t="b">
        <v>1</v>
      </c>
      <c r="F4696" s="80" t="s">
        <v>1332</v>
      </c>
      <c r="G4696" s="58" t="s">
        <v>11587</v>
      </c>
      <c r="H4696" s="58" t="s">
        <v>11436</v>
      </c>
      <c r="I4696" s="64" t="s">
        <v>11588</v>
      </c>
      <c r="J4696" s="66"/>
      <c r="K4696" s="66"/>
      <c r="L4696" s="68"/>
      <c r="M4696" s="63" t="str">
        <f>HYPERLINK("http://nsgreg.nga.mil/genc/view?v=863633&amp;end_month=12&amp;end_day=31&amp;end_year=2016","Correlation")</f>
        <v>Correlation</v>
      </c>
    </row>
    <row r="4697" spans="1:13" x14ac:dyDescent="0.2">
      <c r="A4697" s="113"/>
      <c r="B4697" s="58" t="s">
        <v>11589</v>
      </c>
      <c r="C4697" s="58" t="s">
        <v>11459</v>
      </c>
      <c r="D4697" s="58" t="s">
        <v>11590</v>
      </c>
      <c r="E4697" s="60" t="b">
        <v>1</v>
      </c>
      <c r="F4697" s="80" t="s">
        <v>1332</v>
      </c>
      <c r="G4697" s="58" t="s">
        <v>11589</v>
      </c>
      <c r="H4697" s="58" t="s">
        <v>11475</v>
      </c>
      <c r="I4697" s="64" t="s">
        <v>11590</v>
      </c>
      <c r="J4697" s="66"/>
      <c r="K4697" s="66"/>
      <c r="L4697" s="68"/>
      <c r="M4697" s="63" t="str">
        <f>HYPERLINK("http://nsgreg.nga.mil/genc/view?v=863634&amp;end_month=12&amp;end_day=31&amp;end_year=2016","Correlation")</f>
        <v>Correlation</v>
      </c>
    </row>
    <row r="4698" spans="1:13" x14ac:dyDescent="0.2">
      <c r="A4698" s="113"/>
      <c r="B4698" s="58" t="s">
        <v>11591</v>
      </c>
      <c r="C4698" s="58" t="s">
        <v>11456</v>
      </c>
      <c r="D4698" s="58" t="s">
        <v>11592</v>
      </c>
      <c r="E4698" s="60" t="b">
        <v>1</v>
      </c>
      <c r="F4698" s="80" t="s">
        <v>1332</v>
      </c>
      <c r="G4698" s="58" t="s">
        <v>11591</v>
      </c>
      <c r="H4698" s="58" t="s">
        <v>11456</v>
      </c>
      <c r="I4698" s="64" t="s">
        <v>11592</v>
      </c>
      <c r="J4698" s="66"/>
      <c r="K4698" s="66"/>
      <c r="L4698" s="68"/>
      <c r="M4698" s="63" t="str">
        <f>HYPERLINK("http://nsgreg.nga.mil/genc/view?v=863636&amp;end_month=12&amp;end_day=31&amp;end_year=2016","Correlation")</f>
        <v>Correlation</v>
      </c>
    </row>
    <row r="4699" spans="1:13" x14ac:dyDescent="0.2">
      <c r="A4699" s="113"/>
      <c r="B4699" s="58" t="s">
        <v>11593</v>
      </c>
      <c r="C4699" s="58" t="s">
        <v>11436</v>
      </c>
      <c r="D4699" s="58" t="s">
        <v>11594</v>
      </c>
      <c r="E4699" s="60" t="b">
        <v>1</v>
      </c>
      <c r="F4699" s="80" t="s">
        <v>1332</v>
      </c>
      <c r="G4699" s="58" t="s">
        <v>11593</v>
      </c>
      <c r="H4699" s="58" t="s">
        <v>11436</v>
      </c>
      <c r="I4699" s="64" t="s">
        <v>11594</v>
      </c>
      <c r="J4699" s="66"/>
      <c r="K4699" s="66"/>
      <c r="L4699" s="68"/>
      <c r="M4699" s="63" t="str">
        <f>HYPERLINK("http://nsgreg.nga.mil/genc/view?v=863637&amp;end_month=12&amp;end_day=31&amp;end_year=2016","Correlation")</f>
        <v>Correlation</v>
      </c>
    </row>
    <row r="4700" spans="1:13" x14ac:dyDescent="0.2">
      <c r="A4700" s="113"/>
      <c r="B4700" s="58" t="s">
        <v>11595</v>
      </c>
      <c r="C4700" s="58" t="s">
        <v>1483</v>
      </c>
      <c r="D4700" s="58" t="s">
        <v>11596</v>
      </c>
      <c r="E4700" s="60" t="b">
        <v>1</v>
      </c>
      <c r="F4700" s="80" t="s">
        <v>1332</v>
      </c>
      <c r="G4700" s="58" t="s">
        <v>11595</v>
      </c>
      <c r="H4700" s="58" t="s">
        <v>11496</v>
      </c>
      <c r="I4700" s="64" t="s">
        <v>11596</v>
      </c>
      <c r="J4700" s="66"/>
      <c r="K4700" s="66"/>
      <c r="L4700" s="68"/>
      <c r="M4700" s="63" t="str">
        <f>HYPERLINK("http://nsgreg.nga.mil/genc/view?v=863638&amp;end_month=12&amp;end_day=31&amp;end_year=2016","Correlation")</f>
        <v>Correlation</v>
      </c>
    </row>
    <row r="4701" spans="1:13" x14ac:dyDescent="0.2">
      <c r="A4701" s="113"/>
      <c r="B4701" s="58" t="s">
        <v>11597</v>
      </c>
      <c r="C4701" s="58" t="s">
        <v>11451</v>
      </c>
      <c r="D4701" s="58" t="s">
        <v>11598</v>
      </c>
      <c r="E4701" s="60" t="b">
        <v>1</v>
      </c>
      <c r="F4701" s="80" t="s">
        <v>1332</v>
      </c>
      <c r="G4701" s="58" t="s">
        <v>11597</v>
      </c>
      <c r="H4701" s="58" t="s">
        <v>11451</v>
      </c>
      <c r="I4701" s="64" t="s">
        <v>11598</v>
      </c>
      <c r="J4701" s="66"/>
      <c r="K4701" s="66"/>
      <c r="L4701" s="68"/>
      <c r="M4701" s="63" t="str">
        <f>HYPERLINK("http://nsgreg.nga.mil/genc/view?v=863639&amp;end_month=12&amp;end_day=31&amp;end_year=2016","Correlation")</f>
        <v>Correlation</v>
      </c>
    </row>
    <row r="4702" spans="1:13" x14ac:dyDescent="0.2">
      <c r="A4702" s="113"/>
      <c r="B4702" s="58" t="s">
        <v>11599</v>
      </c>
      <c r="C4702" s="58" t="s">
        <v>11459</v>
      </c>
      <c r="D4702" s="58" t="s">
        <v>11600</v>
      </c>
      <c r="E4702" s="60" t="b">
        <v>1</v>
      </c>
      <c r="F4702" s="80" t="s">
        <v>1332</v>
      </c>
      <c r="G4702" s="58" t="s">
        <v>11599</v>
      </c>
      <c r="H4702" s="58" t="s">
        <v>11475</v>
      </c>
      <c r="I4702" s="64" t="s">
        <v>11600</v>
      </c>
      <c r="J4702" s="66"/>
      <c r="K4702" s="66"/>
      <c r="L4702" s="68"/>
      <c r="M4702" s="63" t="str">
        <f>HYPERLINK("http://nsgreg.nga.mil/genc/view?v=863640&amp;end_month=12&amp;end_day=31&amp;end_year=2016","Correlation")</f>
        <v>Correlation</v>
      </c>
    </row>
    <row r="4703" spans="1:13" x14ac:dyDescent="0.2">
      <c r="A4703" s="113"/>
      <c r="B4703" s="58" t="s">
        <v>11601</v>
      </c>
      <c r="C4703" s="58" t="s">
        <v>11451</v>
      </c>
      <c r="D4703" s="58" t="s">
        <v>11602</v>
      </c>
      <c r="E4703" s="60" t="b">
        <v>1</v>
      </c>
      <c r="F4703" s="80" t="s">
        <v>1332</v>
      </c>
      <c r="G4703" s="58" t="s">
        <v>11601</v>
      </c>
      <c r="H4703" s="58" t="s">
        <v>11451</v>
      </c>
      <c r="I4703" s="64" t="s">
        <v>11602</v>
      </c>
      <c r="J4703" s="66"/>
      <c r="K4703" s="66"/>
      <c r="L4703" s="68"/>
      <c r="M4703" s="63" t="str">
        <f>HYPERLINK("http://nsgreg.nga.mil/genc/view?v=863644&amp;end_month=12&amp;end_day=31&amp;end_year=2016","Correlation")</f>
        <v>Correlation</v>
      </c>
    </row>
    <row r="4704" spans="1:13" x14ac:dyDescent="0.2">
      <c r="A4704" s="113"/>
      <c r="B4704" s="58" t="s">
        <v>11603</v>
      </c>
      <c r="C4704" s="58" t="s">
        <v>11459</v>
      </c>
      <c r="D4704" s="58" t="s">
        <v>11604</v>
      </c>
      <c r="E4704" s="60" t="b">
        <v>1</v>
      </c>
      <c r="F4704" s="80" t="s">
        <v>1332</v>
      </c>
      <c r="G4704" s="58" t="s">
        <v>11603</v>
      </c>
      <c r="H4704" s="58" t="s">
        <v>11459</v>
      </c>
      <c r="I4704" s="64" t="s">
        <v>11604</v>
      </c>
      <c r="J4704" s="66"/>
      <c r="K4704" s="66"/>
      <c r="L4704" s="68"/>
      <c r="M4704" s="63" t="str">
        <f>HYPERLINK("http://nsgreg.nga.mil/genc/view?v=863641&amp;end_month=12&amp;end_day=31&amp;end_year=2016","Correlation")</f>
        <v>Correlation</v>
      </c>
    </row>
    <row r="4705" spans="1:13" x14ac:dyDescent="0.2">
      <c r="A4705" s="113"/>
      <c r="B4705" s="58" t="s">
        <v>11605</v>
      </c>
      <c r="C4705" s="58" t="s">
        <v>11451</v>
      </c>
      <c r="D4705" s="58" t="s">
        <v>11606</v>
      </c>
      <c r="E4705" s="60" t="b">
        <v>1</v>
      </c>
      <c r="F4705" s="80" t="s">
        <v>1332</v>
      </c>
      <c r="G4705" s="58" t="s">
        <v>11605</v>
      </c>
      <c r="H4705" s="58" t="s">
        <v>11451</v>
      </c>
      <c r="I4705" s="64" t="s">
        <v>11606</v>
      </c>
      <c r="J4705" s="66"/>
      <c r="K4705" s="66"/>
      <c r="L4705" s="68"/>
      <c r="M4705" s="63" t="str">
        <f>HYPERLINK("http://nsgreg.nga.mil/genc/view?v=863648&amp;end_month=12&amp;end_day=31&amp;end_year=2016","Correlation")</f>
        <v>Correlation</v>
      </c>
    </row>
    <row r="4706" spans="1:13" x14ac:dyDescent="0.2">
      <c r="A4706" s="113"/>
      <c r="B4706" s="58" t="s">
        <v>11607</v>
      </c>
      <c r="C4706" s="58" t="s">
        <v>1483</v>
      </c>
      <c r="D4706" s="58" t="s">
        <v>11608</v>
      </c>
      <c r="E4706" s="60" t="b">
        <v>1</v>
      </c>
      <c r="F4706" s="80" t="s">
        <v>1332</v>
      </c>
      <c r="G4706" s="58" t="s">
        <v>11607</v>
      </c>
      <c r="H4706" s="58" t="s">
        <v>11496</v>
      </c>
      <c r="I4706" s="64" t="s">
        <v>11608</v>
      </c>
      <c r="J4706" s="66"/>
      <c r="K4706" s="66"/>
      <c r="L4706" s="68"/>
      <c r="M4706" s="63" t="str">
        <f>HYPERLINK("http://nsgreg.nga.mil/genc/view?v=863642&amp;end_month=12&amp;end_day=31&amp;end_year=2016","Correlation")</f>
        <v>Correlation</v>
      </c>
    </row>
    <row r="4707" spans="1:13" x14ac:dyDescent="0.2">
      <c r="A4707" s="113"/>
      <c r="B4707" s="58" t="s">
        <v>11609</v>
      </c>
      <c r="C4707" s="58" t="s">
        <v>11451</v>
      </c>
      <c r="D4707" s="58" t="s">
        <v>11610</v>
      </c>
      <c r="E4707" s="60" t="b">
        <v>1</v>
      </c>
      <c r="F4707" s="80" t="s">
        <v>1332</v>
      </c>
      <c r="G4707" s="58" t="s">
        <v>11609</v>
      </c>
      <c r="H4707" s="58" t="s">
        <v>11451</v>
      </c>
      <c r="I4707" s="64" t="s">
        <v>11610</v>
      </c>
      <c r="J4707" s="66"/>
      <c r="K4707" s="66"/>
      <c r="L4707" s="68"/>
      <c r="M4707" s="63" t="str">
        <f>HYPERLINK("http://nsgreg.nga.mil/genc/view?v=863653&amp;end_month=12&amp;end_day=31&amp;end_year=2016","Correlation")</f>
        <v>Correlation</v>
      </c>
    </row>
    <row r="4708" spans="1:13" x14ac:dyDescent="0.2">
      <c r="A4708" s="113"/>
      <c r="B4708" s="58" t="s">
        <v>11611</v>
      </c>
      <c r="C4708" s="58" t="s">
        <v>11451</v>
      </c>
      <c r="D4708" s="58" t="s">
        <v>11612</v>
      </c>
      <c r="E4708" s="60" t="b">
        <v>1</v>
      </c>
      <c r="F4708" s="80" t="s">
        <v>1332</v>
      </c>
      <c r="G4708" s="58" t="s">
        <v>11611</v>
      </c>
      <c r="H4708" s="58" t="s">
        <v>11451</v>
      </c>
      <c r="I4708" s="64" t="s">
        <v>11612</v>
      </c>
      <c r="J4708" s="66"/>
      <c r="K4708" s="66"/>
      <c r="L4708" s="68"/>
      <c r="M4708" s="63" t="str">
        <f>HYPERLINK("http://nsgreg.nga.mil/genc/view?v=863652&amp;end_month=12&amp;end_day=31&amp;end_year=2016","Correlation")</f>
        <v>Correlation</v>
      </c>
    </row>
    <row r="4709" spans="1:13" x14ac:dyDescent="0.2">
      <c r="A4709" s="113"/>
      <c r="B4709" s="58" t="s">
        <v>11613</v>
      </c>
      <c r="C4709" s="58" t="s">
        <v>11459</v>
      </c>
      <c r="D4709" s="58" t="s">
        <v>11614</v>
      </c>
      <c r="E4709" s="60" t="b">
        <v>1</v>
      </c>
      <c r="F4709" s="80" t="s">
        <v>1332</v>
      </c>
      <c r="G4709" s="58" t="s">
        <v>11613</v>
      </c>
      <c r="H4709" s="58" t="s">
        <v>11459</v>
      </c>
      <c r="I4709" s="64" t="s">
        <v>11614</v>
      </c>
      <c r="J4709" s="66"/>
      <c r="K4709" s="66"/>
      <c r="L4709" s="68"/>
      <c r="M4709" s="63" t="str">
        <f>HYPERLINK("http://nsgreg.nga.mil/genc/view?v=863650&amp;end_month=12&amp;end_day=31&amp;end_year=2016","Correlation")</f>
        <v>Correlation</v>
      </c>
    </row>
    <row r="4710" spans="1:13" x14ac:dyDescent="0.2">
      <c r="A4710" s="113"/>
      <c r="B4710" s="58" t="s">
        <v>11615</v>
      </c>
      <c r="C4710" s="58" t="s">
        <v>11451</v>
      </c>
      <c r="D4710" s="58" t="s">
        <v>11616</v>
      </c>
      <c r="E4710" s="60" t="b">
        <v>1</v>
      </c>
      <c r="F4710" s="80" t="s">
        <v>1332</v>
      </c>
      <c r="G4710" s="58" t="s">
        <v>11615</v>
      </c>
      <c r="H4710" s="58" t="s">
        <v>11451</v>
      </c>
      <c r="I4710" s="64" t="s">
        <v>11616</v>
      </c>
      <c r="J4710" s="66"/>
      <c r="K4710" s="66"/>
      <c r="L4710" s="68"/>
      <c r="M4710" s="63" t="str">
        <f>HYPERLINK("http://nsgreg.nga.mil/genc/view?v=863643&amp;end_month=12&amp;end_day=31&amp;end_year=2016","Correlation")</f>
        <v>Correlation</v>
      </c>
    </row>
    <row r="4711" spans="1:13" x14ac:dyDescent="0.2">
      <c r="A4711" s="113"/>
      <c r="B4711" s="58" t="s">
        <v>11617</v>
      </c>
      <c r="C4711" s="58" t="s">
        <v>11459</v>
      </c>
      <c r="D4711" s="58" t="s">
        <v>11618</v>
      </c>
      <c r="E4711" s="60" t="b">
        <v>1</v>
      </c>
      <c r="F4711" s="80" t="s">
        <v>1332</v>
      </c>
      <c r="G4711" s="58" t="s">
        <v>11617</v>
      </c>
      <c r="H4711" s="58" t="s">
        <v>11459</v>
      </c>
      <c r="I4711" s="64" t="s">
        <v>11618</v>
      </c>
      <c r="J4711" s="66"/>
      <c r="K4711" s="66"/>
      <c r="L4711" s="68"/>
      <c r="M4711" s="63" t="str">
        <f>HYPERLINK("http://nsgreg.nga.mil/genc/view?v=863645&amp;end_month=12&amp;end_day=31&amp;end_year=2016","Correlation")</f>
        <v>Correlation</v>
      </c>
    </row>
    <row r="4712" spans="1:13" x14ac:dyDescent="0.2">
      <c r="A4712" s="113"/>
      <c r="B4712" s="58" t="s">
        <v>11619</v>
      </c>
      <c r="C4712" s="58" t="s">
        <v>1483</v>
      </c>
      <c r="D4712" s="58" t="s">
        <v>11620</v>
      </c>
      <c r="E4712" s="60" t="b">
        <v>1</v>
      </c>
      <c r="F4712" s="80" t="s">
        <v>1332</v>
      </c>
      <c r="G4712" s="58" t="s">
        <v>11619</v>
      </c>
      <c r="H4712" s="58" t="s">
        <v>11496</v>
      </c>
      <c r="I4712" s="64" t="s">
        <v>11620</v>
      </c>
      <c r="J4712" s="66"/>
      <c r="K4712" s="66"/>
      <c r="L4712" s="68"/>
      <c r="M4712" s="63" t="str">
        <f>HYPERLINK("http://nsgreg.nga.mil/genc/view?v=863651&amp;end_month=12&amp;end_day=31&amp;end_year=2016","Correlation")</f>
        <v>Correlation</v>
      </c>
    </row>
    <row r="4713" spans="1:13" x14ac:dyDescent="0.2">
      <c r="A4713" s="113"/>
      <c r="B4713" s="58" t="s">
        <v>11621</v>
      </c>
      <c r="C4713" s="58" t="s">
        <v>11436</v>
      </c>
      <c r="D4713" s="58" t="s">
        <v>11622</v>
      </c>
      <c r="E4713" s="60" t="b">
        <v>1</v>
      </c>
      <c r="F4713" s="80" t="s">
        <v>1332</v>
      </c>
      <c r="G4713" s="58" t="s">
        <v>11621</v>
      </c>
      <c r="H4713" s="58" t="s">
        <v>11436</v>
      </c>
      <c r="I4713" s="64" t="s">
        <v>11622</v>
      </c>
      <c r="J4713" s="66"/>
      <c r="K4713" s="66"/>
      <c r="L4713" s="68"/>
      <c r="M4713" s="63" t="str">
        <f>HYPERLINK("http://nsgreg.nga.mil/genc/view?v=863647&amp;end_month=12&amp;end_day=31&amp;end_year=2016","Correlation")</f>
        <v>Correlation</v>
      </c>
    </row>
    <row r="4714" spans="1:13" x14ac:dyDescent="0.2">
      <c r="A4714" s="113"/>
      <c r="B4714" s="58" t="s">
        <v>11623</v>
      </c>
      <c r="C4714" s="58" t="s">
        <v>11451</v>
      </c>
      <c r="D4714" s="58" t="s">
        <v>11624</v>
      </c>
      <c r="E4714" s="60" t="b">
        <v>1</v>
      </c>
      <c r="F4714" s="80" t="s">
        <v>1332</v>
      </c>
      <c r="G4714" s="58" t="s">
        <v>11623</v>
      </c>
      <c r="H4714" s="58" t="s">
        <v>11451</v>
      </c>
      <c r="I4714" s="64" t="s">
        <v>11624</v>
      </c>
      <c r="J4714" s="66"/>
      <c r="K4714" s="66"/>
      <c r="L4714" s="68"/>
      <c r="M4714" s="63" t="str">
        <f>HYPERLINK("http://nsgreg.nga.mil/genc/view?v=863646&amp;end_month=12&amp;end_day=31&amp;end_year=2016","Correlation")</f>
        <v>Correlation</v>
      </c>
    </row>
    <row r="4715" spans="1:13" x14ac:dyDescent="0.2">
      <c r="A4715" s="113"/>
      <c r="B4715" s="58" t="s">
        <v>11625</v>
      </c>
      <c r="C4715" s="58" t="s">
        <v>11451</v>
      </c>
      <c r="D4715" s="58" t="s">
        <v>11626</v>
      </c>
      <c r="E4715" s="60" t="b">
        <v>1</v>
      </c>
      <c r="F4715" s="80" t="s">
        <v>1332</v>
      </c>
      <c r="G4715" s="58" t="s">
        <v>11625</v>
      </c>
      <c r="H4715" s="58" t="s">
        <v>11451</v>
      </c>
      <c r="I4715" s="64" t="s">
        <v>11626</v>
      </c>
      <c r="J4715" s="66"/>
      <c r="K4715" s="66"/>
      <c r="L4715" s="68"/>
      <c r="M4715" s="63" t="str">
        <f>HYPERLINK("http://nsgreg.nga.mil/genc/view?v=863649&amp;end_month=12&amp;end_day=31&amp;end_year=2016","Correlation")</f>
        <v>Correlation</v>
      </c>
    </row>
    <row r="4716" spans="1:13" x14ac:dyDescent="0.2">
      <c r="A4716" s="113"/>
      <c r="B4716" s="58" t="s">
        <v>11627</v>
      </c>
      <c r="C4716" s="58" t="s">
        <v>11436</v>
      </c>
      <c r="D4716" s="58" t="s">
        <v>11628</v>
      </c>
      <c r="E4716" s="60" t="b">
        <v>1</v>
      </c>
      <c r="F4716" s="80" t="s">
        <v>1332</v>
      </c>
      <c r="G4716" s="58" t="s">
        <v>11627</v>
      </c>
      <c r="H4716" s="58" t="s">
        <v>11436</v>
      </c>
      <c r="I4716" s="64" t="s">
        <v>11628</v>
      </c>
      <c r="J4716" s="66"/>
      <c r="K4716" s="66"/>
      <c r="L4716" s="68"/>
      <c r="M4716" s="63" t="str">
        <f>HYPERLINK("http://nsgreg.nga.mil/genc/view?v=863657&amp;end_month=12&amp;end_day=31&amp;end_year=2016","Correlation")</f>
        <v>Correlation</v>
      </c>
    </row>
    <row r="4717" spans="1:13" x14ac:dyDescent="0.2">
      <c r="A4717" s="113"/>
      <c r="B4717" s="58" t="s">
        <v>11629</v>
      </c>
      <c r="C4717" s="58" t="s">
        <v>11459</v>
      </c>
      <c r="D4717" s="58" t="s">
        <v>11630</v>
      </c>
      <c r="E4717" s="60" t="b">
        <v>1</v>
      </c>
      <c r="F4717" s="80" t="s">
        <v>1332</v>
      </c>
      <c r="G4717" s="58" t="s">
        <v>11629</v>
      </c>
      <c r="H4717" s="58" t="s">
        <v>11475</v>
      </c>
      <c r="I4717" s="64" t="s">
        <v>11630</v>
      </c>
      <c r="J4717" s="66"/>
      <c r="K4717" s="66"/>
      <c r="L4717" s="68"/>
      <c r="M4717" s="63" t="str">
        <f>HYPERLINK("http://nsgreg.nga.mil/genc/view?v=863565&amp;end_month=12&amp;end_day=31&amp;end_year=2016","Correlation")</f>
        <v>Correlation</v>
      </c>
    </row>
    <row r="4718" spans="1:13" x14ac:dyDescent="0.2">
      <c r="A4718" s="113"/>
      <c r="B4718" s="58" t="s">
        <v>11631</v>
      </c>
      <c r="C4718" s="58" t="s">
        <v>11459</v>
      </c>
      <c r="D4718" s="58" t="s">
        <v>11632</v>
      </c>
      <c r="E4718" s="60" t="b">
        <v>1</v>
      </c>
      <c r="F4718" s="80" t="s">
        <v>1332</v>
      </c>
      <c r="G4718" s="58" t="s">
        <v>11631</v>
      </c>
      <c r="H4718" s="58" t="s">
        <v>11459</v>
      </c>
      <c r="I4718" s="64" t="s">
        <v>11632</v>
      </c>
      <c r="J4718" s="66"/>
      <c r="K4718" s="66"/>
      <c r="L4718" s="68"/>
      <c r="M4718" s="63" t="str">
        <f>HYPERLINK("http://nsgreg.nga.mil/genc/view?v=863655&amp;end_month=12&amp;end_day=31&amp;end_year=2016","Correlation")</f>
        <v>Correlation</v>
      </c>
    </row>
    <row r="4719" spans="1:13" x14ac:dyDescent="0.2">
      <c r="A4719" s="113"/>
      <c r="B4719" s="58" t="s">
        <v>11633</v>
      </c>
      <c r="C4719" s="58" t="s">
        <v>11459</v>
      </c>
      <c r="D4719" s="58" t="s">
        <v>11634</v>
      </c>
      <c r="E4719" s="60" t="b">
        <v>1</v>
      </c>
      <c r="F4719" s="80" t="s">
        <v>1332</v>
      </c>
      <c r="G4719" s="58" t="s">
        <v>11633</v>
      </c>
      <c r="H4719" s="58" t="s">
        <v>11459</v>
      </c>
      <c r="I4719" s="64" t="s">
        <v>11634</v>
      </c>
      <c r="J4719" s="66"/>
      <c r="K4719" s="66"/>
      <c r="L4719" s="68"/>
      <c r="M4719" s="63" t="str">
        <f>HYPERLINK("http://nsgreg.nga.mil/genc/view?v=863654&amp;end_month=12&amp;end_day=31&amp;end_year=2016","Correlation")</f>
        <v>Correlation</v>
      </c>
    </row>
    <row r="4720" spans="1:13" x14ac:dyDescent="0.2">
      <c r="A4720" s="113"/>
      <c r="B4720" s="58" t="s">
        <v>11635</v>
      </c>
      <c r="C4720" s="58" t="s">
        <v>11451</v>
      </c>
      <c r="D4720" s="58" t="s">
        <v>11636</v>
      </c>
      <c r="E4720" s="60" t="b">
        <v>1</v>
      </c>
      <c r="F4720" s="80" t="s">
        <v>1332</v>
      </c>
      <c r="G4720" s="58" t="s">
        <v>11635</v>
      </c>
      <c r="H4720" s="58" t="s">
        <v>11451</v>
      </c>
      <c r="I4720" s="64" t="s">
        <v>11636</v>
      </c>
      <c r="J4720" s="66"/>
      <c r="K4720" s="66"/>
      <c r="L4720" s="68"/>
      <c r="M4720" s="63" t="str">
        <f>HYPERLINK("http://nsgreg.nga.mil/genc/view?v=863656&amp;end_month=12&amp;end_day=31&amp;end_year=2016","Correlation")</f>
        <v>Correlation</v>
      </c>
    </row>
    <row r="4721" spans="1:13" x14ac:dyDescent="0.2">
      <c r="A4721" s="113"/>
      <c r="B4721" s="58" t="s">
        <v>11637</v>
      </c>
      <c r="C4721" s="58" t="s">
        <v>11451</v>
      </c>
      <c r="D4721" s="58" t="s">
        <v>11638</v>
      </c>
      <c r="E4721" s="60" t="b">
        <v>1</v>
      </c>
      <c r="F4721" s="80" t="s">
        <v>1332</v>
      </c>
      <c r="G4721" s="58" t="s">
        <v>11637</v>
      </c>
      <c r="H4721" s="58" t="s">
        <v>11451</v>
      </c>
      <c r="I4721" s="64" t="s">
        <v>11638</v>
      </c>
      <c r="J4721" s="66"/>
      <c r="K4721" s="66"/>
      <c r="L4721" s="68"/>
      <c r="M4721" s="63" t="str">
        <f>HYPERLINK("http://nsgreg.nga.mil/genc/view?v=863658&amp;end_month=12&amp;end_day=31&amp;end_year=2016","Correlation")</f>
        <v>Correlation</v>
      </c>
    </row>
    <row r="4722" spans="1:13" x14ac:dyDescent="0.2">
      <c r="A4722" s="113"/>
      <c r="B4722" s="58" t="s">
        <v>11639</v>
      </c>
      <c r="C4722" s="58" t="s">
        <v>1483</v>
      </c>
      <c r="D4722" s="58" t="s">
        <v>11640</v>
      </c>
      <c r="E4722" s="60" t="b">
        <v>1</v>
      </c>
      <c r="F4722" s="80" t="s">
        <v>1332</v>
      </c>
      <c r="G4722" s="58" t="s">
        <v>11639</v>
      </c>
      <c r="H4722" s="58" t="s">
        <v>11496</v>
      </c>
      <c r="I4722" s="64" t="s">
        <v>11640</v>
      </c>
      <c r="J4722" s="66"/>
      <c r="K4722" s="66"/>
      <c r="L4722" s="68"/>
      <c r="M4722" s="63" t="str">
        <f>HYPERLINK("http://nsgreg.nga.mil/genc/view?v=863659&amp;end_month=12&amp;end_day=31&amp;end_year=2016","Correlation")</f>
        <v>Correlation</v>
      </c>
    </row>
    <row r="4723" spans="1:13" x14ac:dyDescent="0.2">
      <c r="A4723" s="113"/>
      <c r="B4723" s="58" t="s">
        <v>11641</v>
      </c>
      <c r="C4723" s="58" t="s">
        <v>11459</v>
      </c>
      <c r="D4723" s="58" t="s">
        <v>11642</v>
      </c>
      <c r="E4723" s="60" t="b">
        <v>1</v>
      </c>
      <c r="F4723" s="80" t="s">
        <v>1332</v>
      </c>
      <c r="G4723" s="58" t="s">
        <v>11643</v>
      </c>
      <c r="H4723" s="58" t="s">
        <v>11459</v>
      </c>
      <c r="I4723" s="64" t="s">
        <v>11642</v>
      </c>
      <c r="J4723" s="66"/>
      <c r="K4723" s="66"/>
      <c r="L4723" s="68"/>
      <c r="M4723" s="63" t="str">
        <f>HYPERLINK("http://nsgreg.nga.mil/genc/view?v=863660&amp;end_month=12&amp;end_day=31&amp;end_year=2016","Correlation")</f>
        <v>Correlation</v>
      </c>
    </row>
    <row r="4724" spans="1:13" x14ac:dyDescent="0.2">
      <c r="A4724" s="113"/>
      <c r="B4724" s="58" t="s">
        <v>11644</v>
      </c>
      <c r="C4724" s="58" t="s">
        <v>11451</v>
      </c>
      <c r="D4724" s="58" t="s">
        <v>11645</v>
      </c>
      <c r="E4724" s="60" t="b">
        <v>1</v>
      </c>
      <c r="F4724" s="80" t="s">
        <v>1332</v>
      </c>
      <c r="G4724" s="58" t="s">
        <v>11644</v>
      </c>
      <c r="H4724" s="58" t="s">
        <v>11451</v>
      </c>
      <c r="I4724" s="64" t="s">
        <v>11645</v>
      </c>
      <c r="J4724" s="66"/>
      <c r="K4724" s="66"/>
      <c r="L4724" s="68"/>
      <c r="M4724" s="63" t="str">
        <f>HYPERLINK("http://nsgreg.nga.mil/genc/view?v=863662&amp;end_month=12&amp;end_day=31&amp;end_year=2016","Correlation")</f>
        <v>Correlation</v>
      </c>
    </row>
    <row r="4725" spans="1:13" x14ac:dyDescent="0.2">
      <c r="A4725" s="113"/>
      <c r="B4725" s="58" t="s">
        <v>11646</v>
      </c>
      <c r="C4725" s="58" t="s">
        <v>11456</v>
      </c>
      <c r="D4725" s="58" t="s">
        <v>11647</v>
      </c>
      <c r="E4725" s="60" t="b">
        <v>1</v>
      </c>
      <c r="F4725" s="80" t="s">
        <v>1332</v>
      </c>
      <c r="G4725" s="58" t="s">
        <v>11646</v>
      </c>
      <c r="H4725" s="58" t="s">
        <v>11456</v>
      </c>
      <c r="I4725" s="64" t="s">
        <v>11647</v>
      </c>
      <c r="J4725" s="66"/>
      <c r="K4725" s="66"/>
      <c r="L4725" s="68"/>
      <c r="M4725" s="63" t="str">
        <f>HYPERLINK("http://nsgreg.nga.mil/genc/view?v=863661&amp;end_month=12&amp;end_day=31&amp;end_year=2016","Correlation")</f>
        <v>Correlation</v>
      </c>
    </row>
    <row r="4726" spans="1:13" x14ac:dyDescent="0.2">
      <c r="A4726" s="113"/>
      <c r="B4726" s="58" t="s">
        <v>11648</v>
      </c>
      <c r="C4726" s="58" t="s">
        <v>11456</v>
      </c>
      <c r="D4726" s="58" t="s">
        <v>11649</v>
      </c>
      <c r="E4726" s="60" t="b">
        <v>1</v>
      </c>
      <c r="F4726" s="80" t="s">
        <v>1332</v>
      </c>
      <c r="G4726" s="58" t="s">
        <v>11648</v>
      </c>
      <c r="H4726" s="58" t="s">
        <v>11456</v>
      </c>
      <c r="I4726" s="64" t="s">
        <v>11649</v>
      </c>
      <c r="J4726" s="66"/>
      <c r="K4726" s="66"/>
      <c r="L4726" s="68"/>
      <c r="M4726" s="63" t="str">
        <f>HYPERLINK("http://nsgreg.nga.mil/genc/view?v=863663&amp;end_month=12&amp;end_day=31&amp;end_year=2016","Correlation")</f>
        <v>Correlation</v>
      </c>
    </row>
    <row r="4727" spans="1:13" x14ac:dyDescent="0.2">
      <c r="A4727" s="113"/>
      <c r="B4727" s="58" t="s">
        <v>11650</v>
      </c>
      <c r="C4727" s="58" t="s">
        <v>11451</v>
      </c>
      <c r="D4727" s="58" t="s">
        <v>11651</v>
      </c>
      <c r="E4727" s="60" t="b">
        <v>1</v>
      </c>
      <c r="F4727" s="80" t="s">
        <v>1332</v>
      </c>
      <c r="G4727" s="58" t="s">
        <v>11650</v>
      </c>
      <c r="H4727" s="58" t="s">
        <v>11451</v>
      </c>
      <c r="I4727" s="64" t="s">
        <v>11651</v>
      </c>
      <c r="J4727" s="66"/>
      <c r="K4727" s="66"/>
      <c r="L4727" s="68"/>
      <c r="M4727" s="63" t="str">
        <f>HYPERLINK("http://nsgreg.nga.mil/genc/view?v=863666&amp;end_month=12&amp;end_day=31&amp;end_year=2016","Correlation")</f>
        <v>Correlation</v>
      </c>
    </row>
    <row r="4728" spans="1:13" x14ac:dyDescent="0.2">
      <c r="A4728" s="113"/>
      <c r="B4728" s="58" t="s">
        <v>11652</v>
      </c>
      <c r="C4728" s="58" t="s">
        <v>1483</v>
      </c>
      <c r="D4728" s="58" t="s">
        <v>11653</v>
      </c>
      <c r="E4728" s="60" t="b">
        <v>1</v>
      </c>
      <c r="F4728" s="80" t="s">
        <v>1332</v>
      </c>
      <c r="G4728" s="58" t="s">
        <v>11652</v>
      </c>
      <c r="H4728" s="58" t="s">
        <v>11496</v>
      </c>
      <c r="I4728" s="64" t="s">
        <v>11653</v>
      </c>
      <c r="J4728" s="66"/>
      <c r="K4728" s="66"/>
      <c r="L4728" s="68"/>
      <c r="M4728" s="63" t="str">
        <f>HYPERLINK("http://nsgreg.nga.mil/genc/view?v=863664&amp;end_month=12&amp;end_day=31&amp;end_year=2016","Correlation")</f>
        <v>Correlation</v>
      </c>
    </row>
    <row r="4729" spans="1:13" x14ac:dyDescent="0.2">
      <c r="A4729" s="113"/>
      <c r="B4729" s="58" t="s">
        <v>11654</v>
      </c>
      <c r="C4729" s="58" t="s">
        <v>11456</v>
      </c>
      <c r="D4729" s="58" t="s">
        <v>11655</v>
      </c>
      <c r="E4729" s="60" t="b">
        <v>1</v>
      </c>
      <c r="F4729" s="80" t="s">
        <v>1332</v>
      </c>
      <c r="G4729" s="58" t="s">
        <v>11654</v>
      </c>
      <c r="H4729" s="58" t="s">
        <v>11456</v>
      </c>
      <c r="I4729" s="64" t="s">
        <v>11655</v>
      </c>
      <c r="J4729" s="66"/>
      <c r="K4729" s="66"/>
      <c r="L4729" s="68"/>
      <c r="M4729" s="63" t="str">
        <f>HYPERLINK("http://nsgreg.nga.mil/genc/view?v=863668&amp;end_month=12&amp;end_day=31&amp;end_year=2016","Correlation")</f>
        <v>Correlation</v>
      </c>
    </row>
    <row r="4730" spans="1:13" x14ac:dyDescent="0.2">
      <c r="A4730" s="113"/>
      <c r="B4730" s="58" t="s">
        <v>11656</v>
      </c>
      <c r="C4730" s="58" t="s">
        <v>11459</v>
      </c>
      <c r="D4730" s="58" t="s">
        <v>11657</v>
      </c>
      <c r="E4730" s="60" t="b">
        <v>1</v>
      </c>
      <c r="F4730" s="80" t="s">
        <v>1332</v>
      </c>
      <c r="G4730" s="58" t="s">
        <v>11656</v>
      </c>
      <c r="H4730" s="58" t="s">
        <v>11459</v>
      </c>
      <c r="I4730" s="64" t="s">
        <v>11657</v>
      </c>
      <c r="J4730" s="66"/>
      <c r="K4730" s="66"/>
      <c r="L4730" s="68"/>
      <c r="M4730" s="63" t="str">
        <f>HYPERLINK("http://nsgreg.nga.mil/genc/view?v=863667&amp;end_month=12&amp;end_day=31&amp;end_year=2016","Correlation")</f>
        <v>Correlation</v>
      </c>
    </row>
    <row r="4731" spans="1:13" x14ac:dyDescent="0.2">
      <c r="A4731" s="113"/>
      <c r="B4731" s="58" t="s">
        <v>11658</v>
      </c>
      <c r="C4731" s="58" t="s">
        <v>1483</v>
      </c>
      <c r="D4731" s="58" t="s">
        <v>11659</v>
      </c>
      <c r="E4731" s="60" t="b">
        <v>1</v>
      </c>
      <c r="F4731" s="80" t="s">
        <v>1332</v>
      </c>
      <c r="G4731" s="58" t="s">
        <v>11658</v>
      </c>
      <c r="H4731" s="58" t="s">
        <v>11496</v>
      </c>
      <c r="I4731" s="64" t="s">
        <v>11659</v>
      </c>
      <c r="J4731" s="66"/>
      <c r="K4731" s="66"/>
      <c r="L4731" s="68"/>
      <c r="M4731" s="63" t="str">
        <f>HYPERLINK("http://nsgreg.nga.mil/genc/view?v=863669&amp;end_month=12&amp;end_day=31&amp;end_year=2016","Correlation")</f>
        <v>Correlation</v>
      </c>
    </row>
    <row r="4732" spans="1:13" x14ac:dyDescent="0.2">
      <c r="A4732" s="113"/>
      <c r="B4732" s="58" t="s">
        <v>11660</v>
      </c>
      <c r="C4732" s="58" t="s">
        <v>11451</v>
      </c>
      <c r="D4732" s="58" t="s">
        <v>11661</v>
      </c>
      <c r="E4732" s="60" t="b">
        <v>1</v>
      </c>
      <c r="F4732" s="80" t="s">
        <v>1332</v>
      </c>
      <c r="G4732" s="58" t="s">
        <v>11660</v>
      </c>
      <c r="H4732" s="58" t="s">
        <v>11451</v>
      </c>
      <c r="I4732" s="64" t="s">
        <v>11661</v>
      </c>
      <c r="J4732" s="66"/>
      <c r="K4732" s="66"/>
      <c r="L4732" s="68"/>
      <c r="M4732" s="63" t="str">
        <f>HYPERLINK("http://nsgreg.nga.mil/genc/view?v=863670&amp;end_month=12&amp;end_day=31&amp;end_year=2016","Correlation")</f>
        <v>Correlation</v>
      </c>
    </row>
    <row r="4733" spans="1:13" x14ac:dyDescent="0.2">
      <c r="A4733" s="113"/>
      <c r="B4733" s="58" t="s">
        <v>11662</v>
      </c>
      <c r="C4733" s="58" t="s">
        <v>1483</v>
      </c>
      <c r="D4733" s="58" t="s">
        <v>11663</v>
      </c>
      <c r="E4733" s="60" t="b">
        <v>1</v>
      </c>
      <c r="F4733" s="80" t="s">
        <v>1332</v>
      </c>
      <c r="G4733" s="58" t="s">
        <v>11662</v>
      </c>
      <c r="H4733" s="58" t="s">
        <v>11496</v>
      </c>
      <c r="I4733" s="64" t="s">
        <v>11663</v>
      </c>
      <c r="J4733" s="66"/>
      <c r="K4733" s="66"/>
      <c r="L4733" s="68"/>
      <c r="M4733" s="63" t="str">
        <f>HYPERLINK("http://nsgreg.nga.mil/genc/view?v=863671&amp;end_month=12&amp;end_day=31&amp;end_year=2016","Correlation")</f>
        <v>Correlation</v>
      </c>
    </row>
    <row r="4734" spans="1:13" x14ac:dyDescent="0.2">
      <c r="A4734" s="113"/>
      <c r="B4734" s="58" t="s">
        <v>11664</v>
      </c>
      <c r="C4734" s="58" t="s">
        <v>1796</v>
      </c>
      <c r="D4734" s="58" t="s">
        <v>11665</v>
      </c>
      <c r="E4734" s="60" t="b">
        <v>1</v>
      </c>
      <c r="F4734" s="80" t="s">
        <v>1332</v>
      </c>
      <c r="G4734" s="58" t="s">
        <v>11664</v>
      </c>
      <c r="H4734" s="58" t="s">
        <v>1796</v>
      </c>
      <c r="I4734" s="64" t="s">
        <v>11665</v>
      </c>
      <c r="J4734" s="66"/>
      <c r="K4734" s="66"/>
      <c r="L4734" s="68"/>
      <c r="M4734" s="63" t="str">
        <f>HYPERLINK("http://nsgreg.nga.mil/genc/view?v=863665&amp;end_month=12&amp;end_day=31&amp;end_year=2016","Correlation")</f>
        <v>Correlation</v>
      </c>
    </row>
    <row r="4735" spans="1:13" x14ac:dyDescent="0.2">
      <c r="A4735" s="113"/>
      <c r="B4735" s="58" t="s">
        <v>11666</v>
      </c>
      <c r="C4735" s="58" t="s">
        <v>11456</v>
      </c>
      <c r="D4735" s="58" t="s">
        <v>11667</v>
      </c>
      <c r="E4735" s="60" t="b">
        <v>1</v>
      </c>
      <c r="F4735" s="80" t="s">
        <v>1332</v>
      </c>
      <c r="G4735" s="58" t="s">
        <v>11666</v>
      </c>
      <c r="H4735" s="58" t="s">
        <v>11456</v>
      </c>
      <c r="I4735" s="64" t="s">
        <v>11667</v>
      </c>
      <c r="J4735" s="66"/>
      <c r="K4735" s="66"/>
      <c r="L4735" s="68"/>
      <c r="M4735" s="63" t="str">
        <f>HYPERLINK("http://nsgreg.nga.mil/genc/view?v=863672&amp;end_month=12&amp;end_day=31&amp;end_year=2016","Correlation")</f>
        <v>Correlation</v>
      </c>
    </row>
    <row r="4736" spans="1:13" x14ac:dyDescent="0.2">
      <c r="A4736" s="113"/>
      <c r="B4736" s="58" t="s">
        <v>11668</v>
      </c>
      <c r="C4736" s="58" t="s">
        <v>11669</v>
      </c>
      <c r="D4736" s="58" t="s">
        <v>11670</v>
      </c>
      <c r="E4736" s="60" t="b">
        <v>1</v>
      </c>
      <c r="F4736" s="80" t="s">
        <v>1332</v>
      </c>
      <c r="G4736" s="58" t="s">
        <v>11668</v>
      </c>
      <c r="H4736" s="58" t="s">
        <v>11669</v>
      </c>
      <c r="I4736" s="64" t="s">
        <v>11670</v>
      </c>
      <c r="J4736" s="66"/>
      <c r="K4736" s="66"/>
      <c r="L4736" s="68"/>
      <c r="M4736" s="63" t="str">
        <f>HYPERLINK("http://nsgreg.nga.mil/genc/view?v=863673&amp;end_month=12&amp;end_day=31&amp;end_year=2016","Correlation")</f>
        <v>Correlation</v>
      </c>
    </row>
    <row r="4737" spans="1:13" x14ac:dyDescent="0.2">
      <c r="A4737" s="113"/>
      <c r="B4737" s="58" t="s">
        <v>11671</v>
      </c>
      <c r="C4737" s="58" t="s">
        <v>11459</v>
      </c>
      <c r="D4737" s="58" t="s">
        <v>11672</v>
      </c>
      <c r="E4737" s="60" t="b">
        <v>1</v>
      </c>
      <c r="F4737" s="80" t="s">
        <v>1332</v>
      </c>
      <c r="G4737" s="58" t="s">
        <v>11671</v>
      </c>
      <c r="H4737" s="58" t="s">
        <v>11459</v>
      </c>
      <c r="I4737" s="64" t="s">
        <v>11672</v>
      </c>
      <c r="J4737" s="66"/>
      <c r="K4737" s="66"/>
      <c r="L4737" s="68"/>
      <c r="M4737" s="63" t="str">
        <f>HYPERLINK("http://nsgreg.nga.mil/genc/view?v=863674&amp;end_month=12&amp;end_day=31&amp;end_year=2016","Correlation")</f>
        <v>Correlation</v>
      </c>
    </row>
    <row r="4738" spans="1:13" x14ac:dyDescent="0.2">
      <c r="A4738" s="113"/>
      <c r="B4738" s="58" t="s">
        <v>5484</v>
      </c>
      <c r="C4738" s="58" t="s">
        <v>11456</v>
      </c>
      <c r="D4738" s="58" t="s">
        <v>11673</v>
      </c>
      <c r="E4738" s="60" t="b">
        <v>1</v>
      </c>
      <c r="F4738" s="80" t="s">
        <v>1332</v>
      </c>
      <c r="G4738" s="58" t="s">
        <v>5484</v>
      </c>
      <c r="H4738" s="58" t="s">
        <v>11456</v>
      </c>
      <c r="I4738" s="64" t="s">
        <v>11673</v>
      </c>
      <c r="J4738" s="66"/>
      <c r="K4738" s="66"/>
      <c r="L4738" s="68"/>
      <c r="M4738" s="63" t="str">
        <f>HYPERLINK("http://nsgreg.nga.mil/genc/view?v=863675&amp;end_month=12&amp;end_day=31&amp;end_year=2016","Correlation")</f>
        <v>Correlation</v>
      </c>
    </row>
    <row r="4739" spans="1:13" x14ac:dyDescent="0.2">
      <c r="A4739" s="113"/>
      <c r="B4739" s="58" t="s">
        <v>11674</v>
      </c>
      <c r="C4739" s="58" t="s">
        <v>11459</v>
      </c>
      <c r="D4739" s="58" t="s">
        <v>11675</v>
      </c>
      <c r="E4739" s="60" t="b">
        <v>1</v>
      </c>
      <c r="F4739" s="80" t="s">
        <v>1332</v>
      </c>
      <c r="G4739" s="58" t="s">
        <v>11674</v>
      </c>
      <c r="H4739" s="58" t="s">
        <v>11459</v>
      </c>
      <c r="I4739" s="64" t="s">
        <v>11675</v>
      </c>
      <c r="J4739" s="66"/>
      <c r="K4739" s="66"/>
      <c r="L4739" s="68"/>
      <c r="M4739" s="63" t="str">
        <f>HYPERLINK("http://nsgreg.nga.mil/genc/view?v=863677&amp;end_month=12&amp;end_day=31&amp;end_year=2016","Correlation")</f>
        <v>Correlation</v>
      </c>
    </row>
    <row r="4740" spans="1:13" x14ac:dyDescent="0.2">
      <c r="A4740" s="113"/>
      <c r="B4740" s="58" t="s">
        <v>11676</v>
      </c>
      <c r="C4740" s="58" t="s">
        <v>11459</v>
      </c>
      <c r="D4740" s="58" t="s">
        <v>11677</v>
      </c>
      <c r="E4740" s="60" t="b">
        <v>1</v>
      </c>
      <c r="F4740" s="80" t="s">
        <v>1332</v>
      </c>
      <c r="G4740" s="58" t="s">
        <v>11676</v>
      </c>
      <c r="H4740" s="58" t="s">
        <v>11475</v>
      </c>
      <c r="I4740" s="64" t="s">
        <v>11677</v>
      </c>
      <c r="J4740" s="66"/>
      <c r="K4740" s="66"/>
      <c r="L4740" s="68"/>
      <c r="M4740" s="63" t="str">
        <f>HYPERLINK("http://nsgreg.nga.mil/genc/view?v=863684&amp;end_month=12&amp;end_day=31&amp;end_year=2016","Correlation")</f>
        <v>Correlation</v>
      </c>
    </row>
    <row r="4741" spans="1:13" x14ac:dyDescent="0.2">
      <c r="A4741" s="113"/>
      <c r="B4741" s="58" t="s">
        <v>11678</v>
      </c>
      <c r="C4741" s="58" t="s">
        <v>11451</v>
      </c>
      <c r="D4741" s="58" t="s">
        <v>11679</v>
      </c>
      <c r="E4741" s="60" t="b">
        <v>1</v>
      </c>
      <c r="F4741" s="80" t="s">
        <v>1332</v>
      </c>
      <c r="G4741" s="58" t="s">
        <v>11678</v>
      </c>
      <c r="H4741" s="58" t="s">
        <v>11451</v>
      </c>
      <c r="I4741" s="64" t="s">
        <v>11679</v>
      </c>
      <c r="J4741" s="66"/>
      <c r="K4741" s="66"/>
      <c r="L4741" s="68"/>
      <c r="M4741" s="63" t="str">
        <f>HYPERLINK("http://nsgreg.nga.mil/genc/view?v=863682&amp;end_month=12&amp;end_day=31&amp;end_year=2016","Correlation")</f>
        <v>Correlation</v>
      </c>
    </row>
    <row r="4742" spans="1:13" x14ac:dyDescent="0.2">
      <c r="A4742" s="113"/>
      <c r="B4742" s="58" t="s">
        <v>11680</v>
      </c>
      <c r="C4742" s="58" t="s">
        <v>1796</v>
      </c>
      <c r="D4742" s="58" t="s">
        <v>11681</v>
      </c>
      <c r="E4742" s="60" t="b">
        <v>1</v>
      </c>
      <c r="F4742" s="80" t="s">
        <v>1332</v>
      </c>
      <c r="G4742" s="58" t="s">
        <v>11680</v>
      </c>
      <c r="H4742" s="58" t="s">
        <v>1796</v>
      </c>
      <c r="I4742" s="64" t="s">
        <v>11681</v>
      </c>
      <c r="J4742" s="66"/>
      <c r="K4742" s="66"/>
      <c r="L4742" s="68"/>
      <c r="M4742" s="63" t="str">
        <f>HYPERLINK("http://nsgreg.nga.mil/genc/view?v=863678&amp;end_month=12&amp;end_day=31&amp;end_year=2016","Correlation")</f>
        <v>Correlation</v>
      </c>
    </row>
    <row r="4743" spans="1:13" x14ac:dyDescent="0.2">
      <c r="A4743" s="113"/>
      <c r="B4743" s="58" t="s">
        <v>11682</v>
      </c>
      <c r="C4743" s="58" t="s">
        <v>11459</v>
      </c>
      <c r="D4743" s="58" t="s">
        <v>11683</v>
      </c>
      <c r="E4743" s="60" t="b">
        <v>1</v>
      </c>
      <c r="F4743" s="80" t="s">
        <v>1332</v>
      </c>
      <c r="G4743" s="58" t="s">
        <v>11682</v>
      </c>
      <c r="H4743" s="58" t="s">
        <v>11459</v>
      </c>
      <c r="I4743" s="64" t="s">
        <v>11683</v>
      </c>
      <c r="J4743" s="66"/>
      <c r="K4743" s="66"/>
      <c r="L4743" s="68"/>
      <c r="M4743" s="63" t="str">
        <f>HYPERLINK("http://nsgreg.nga.mil/genc/view?v=863676&amp;end_month=12&amp;end_day=31&amp;end_year=2016","Correlation")</f>
        <v>Correlation</v>
      </c>
    </row>
    <row r="4744" spans="1:13" x14ac:dyDescent="0.2">
      <c r="A4744" s="113"/>
      <c r="B4744" s="58" t="s">
        <v>11684</v>
      </c>
      <c r="C4744" s="58" t="s">
        <v>11436</v>
      </c>
      <c r="D4744" s="58" t="s">
        <v>11685</v>
      </c>
      <c r="E4744" s="60" t="b">
        <v>1</v>
      </c>
      <c r="F4744" s="80" t="s">
        <v>1332</v>
      </c>
      <c r="G4744" s="58" t="s">
        <v>11684</v>
      </c>
      <c r="H4744" s="58" t="s">
        <v>11436</v>
      </c>
      <c r="I4744" s="64" t="s">
        <v>11685</v>
      </c>
      <c r="J4744" s="66"/>
      <c r="K4744" s="66"/>
      <c r="L4744" s="68"/>
      <c r="M4744" s="63" t="str">
        <f>HYPERLINK("http://nsgreg.nga.mil/genc/view?v=863680&amp;end_month=12&amp;end_day=31&amp;end_year=2016","Correlation")</f>
        <v>Correlation</v>
      </c>
    </row>
    <row r="4745" spans="1:13" x14ac:dyDescent="0.2">
      <c r="A4745" s="113"/>
      <c r="B4745" s="58" t="s">
        <v>11686</v>
      </c>
      <c r="C4745" s="58" t="s">
        <v>1796</v>
      </c>
      <c r="D4745" s="58" t="s">
        <v>11687</v>
      </c>
      <c r="E4745" s="60" t="b">
        <v>1</v>
      </c>
      <c r="F4745" s="80" t="s">
        <v>1332</v>
      </c>
      <c r="G4745" s="58" t="s">
        <v>11686</v>
      </c>
      <c r="H4745" s="58" t="s">
        <v>1796</v>
      </c>
      <c r="I4745" s="64" t="s">
        <v>11687</v>
      </c>
      <c r="J4745" s="66"/>
      <c r="K4745" s="66"/>
      <c r="L4745" s="68"/>
      <c r="M4745" s="63" t="str">
        <f>HYPERLINK("http://nsgreg.nga.mil/genc/view?v=863685&amp;end_month=12&amp;end_day=31&amp;end_year=2016","Correlation")</f>
        <v>Correlation</v>
      </c>
    </row>
    <row r="4746" spans="1:13" x14ac:dyDescent="0.2">
      <c r="A4746" s="113"/>
      <c r="B4746" s="58" t="s">
        <v>11688</v>
      </c>
      <c r="C4746" s="58" t="s">
        <v>11459</v>
      </c>
      <c r="D4746" s="58" t="s">
        <v>11689</v>
      </c>
      <c r="E4746" s="60" t="b">
        <v>1</v>
      </c>
      <c r="F4746" s="80" t="s">
        <v>1332</v>
      </c>
      <c r="G4746" s="58" t="s">
        <v>11688</v>
      </c>
      <c r="H4746" s="58" t="s">
        <v>11459</v>
      </c>
      <c r="I4746" s="64" t="s">
        <v>11689</v>
      </c>
      <c r="J4746" s="66"/>
      <c r="K4746" s="66"/>
      <c r="L4746" s="68"/>
      <c r="M4746" s="63" t="str">
        <f>HYPERLINK("http://nsgreg.nga.mil/genc/view?v=863679&amp;end_month=12&amp;end_day=31&amp;end_year=2016","Correlation")</f>
        <v>Correlation</v>
      </c>
    </row>
    <row r="4747" spans="1:13" x14ac:dyDescent="0.2">
      <c r="A4747" s="113"/>
      <c r="B4747" s="58" t="s">
        <v>11690</v>
      </c>
      <c r="C4747" s="58" t="s">
        <v>11459</v>
      </c>
      <c r="D4747" s="58" t="s">
        <v>11691</v>
      </c>
      <c r="E4747" s="60" t="b">
        <v>1</v>
      </c>
      <c r="F4747" s="80" t="s">
        <v>1332</v>
      </c>
      <c r="G4747" s="58" t="s">
        <v>11690</v>
      </c>
      <c r="H4747" s="58" t="s">
        <v>11475</v>
      </c>
      <c r="I4747" s="64" t="s">
        <v>11691</v>
      </c>
      <c r="J4747" s="66"/>
      <c r="K4747" s="66"/>
      <c r="L4747" s="68"/>
      <c r="M4747" s="63" t="str">
        <f>HYPERLINK("http://nsgreg.nga.mil/genc/view?v=863681&amp;end_month=12&amp;end_day=31&amp;end_year=2016","Correlation")</f>
        <v>Correlation</v>
      </c>
    </row>
    <row r="4748" spans="1:13" x14ac:dyDescent="0.2">
      <c r="A4748" s="113"/>
      <c r="B4748" s="58" t="s">
        <v>11692</v>
      </c>
      <c r="C4748" s="58" t="s">
        <v>11436</v>
      </c>
      <c r="D4748" s="58" t="s">
        <v>11693</v>
      </c>
      <c r="E4748" s="60" t="b">
        <v>1</v>
      </c>
      <c r="F4748" s="80" t="s">
        <v>1332</v>
      </c>
      <c r="G4748" s="58" t="s">
        <v>11692</v>
      </c>
      <c r="H4748" s="58" t="s">
        <v>11436</v>
      </c>
      <c r="I4748" s="64" t="s">
        <v>11693</v>
      </c>
      <c r="J4748" s="66"/>
      <c r="K4748" s="66"/>
      <c r="L4748" s="68"/>
      <c r="M4748" s="63" t="str">
        <f>HYPERLINK("http://nsgreg.nga.mil/genc/view?v=863683&amp;end_month=12&amp;end_day=31&amp;end_year=2016","Correlation")</f>
        <v>Correlation</v>
      </c>
    </row>
    <row r="4749" spans="1:13" x14ac:dyDescent="0.2">
      <c r="A4749" s="113"/>
      <c r="B4749" s="58" t="s">
        <v>11694</v>
      </c>
      <c r="C4749" s="58" t="s">
        <v>11459</v>
      </c>
      <c r="D4749" s="58" t="s">
        <v>11695</v>
      </c>
      <c r="E4749" s="60" t="b">
        <v>1</v>
      </c>
      <c r="F4749" s="80" t="s">
        <v>1332</v>
      </c>
      <c r="G4749" s="58" t="s">
        <v>11694</v>
      </c>
      <c r="H4749" s="58" t="s">
        <v>11475</v>
      </c>
      <c r="I4749" s="64" t="s">
        <v>11695</v>
      </c>
      <c r="J4749" s="66"/>
      <c r="K4749" s="66"/>
      <c r="L4749" s="68"/>
      <c r="M4749" s="63" t="str">
        <f>HYPERLINK("http://nsgreg.nga.mil/genc/view?v=863698&amp;end_month=12&amp;end_day=31&amp;end_year=2016","Correlation")</f>
        <v>Correlation</v>
      </c>
    </row>
    <row r="4750" spans="1:13" x14ac:dyDescent="0.2">
      <c r="A4750" s="113"/>
      <c r="B4750" s="58" t="s">
        <v>11696</v>
      </c>
      <c r="C4750" s="58" t="s">
        <v>11456</v>
      </c>
      <c r="D4750" s="58" t="s">
        <v>11697</v>
      </c>
      <c r="E4750" s="60" t="b">
        <v>1</v>
      </c>
      <c r="F4750" s="80" t="s">
        <v>1332</v>
      </c>
      <c r="G4750" s="58" t="s">
        <v>11696</v>
      </c>
      <c r="H4750" s="58" t="s">
        <v>11456</v>
      </c>
      <c r="I4750" s="64" t="s">
        <v>11697</v>
      </c>
      <c r="J4750" s="66"/>
      <c r="K4750" s="66"/>
      <c r="L4750" s="68"/>
      <c r="M4750" s="63" t="str">
        <f>HYPERLINK("http://nsgreg.nga.mil/genc/view?v=863689&amp;end_month=12&amp;end_day=31&amp;end_year=2016","Correlation")</f>
        <v>Correlation</v>
      </c>
    </row>
    <row r="4751" spans="1:13" x14ac:dyDescent="0.2">
      <c r="A4751" s="113"/>
      <c r="B4751" s="58" t="s">
        <v>11698</v>
      </c>
      <c r="C4751" s="58" t="s">
        <v>11451</v>
      </c>
      <c r="D4751" s="58" t="s">
        <v>11699</v>
      </c>
      <c r="E4751" s="60" t="b">
        <v>1</v>
      </c>
      <c r="F4751" s="80" t="s">
        <v>1332</v>
      </c>
      <c r="G4751" s="58" t="s">
        <v>11698</v>
      </c>
      <c r="H4751" s="58" t="s">
        <v>11451</v>
      </c>
      <c r="I4751" s="64" t="s">
        <v>11699</v>
      </c>
      <c r="J4751" s="66"/>
      <c r="K4751" s="66"/>
      <c r="L4751" s="68"/>
      <c r="M4751" s="63" t="str">
        <f>HYPERLINK("http://nsgreg.nga.mil/genc/view?v=863701&amp;end_month=12&amp;end_day=31&amp;end_year=2016","Correlation")</f>
        <v>Correlation</v>
      </c>
    </row>
    <row r="4752" spans="1:13" x14ac:dyDescent="0.2">
      <c r="A4752" s="113"/>
      <c r="B4752" s="58" t="s">
        <v>11700</v>
      </c>
      <c r="C4752" s="58" t="s">
        <v>11459</v>
      </c>
      <c r="D4752" s="58" t="s">
        <v>11701</v>
      </c>
      <c r="E4752" s="60" t="b">
        <v>1</v>
      </c>
      <c r="F4752" s="80" t="s">
        <v>1332</v>
      </c>
      <c r="G4752" s="58" t="s">
        <v>11700</v>
      </c>
      <c r="H4752" s="58" t="s">
        <v>11475</v>
      </c>
      <c r="I4752" s="64" t="s">
        <v>11701</v>
      </c>
      <c r="J4752" s="66"/>
      <c r="K4752" s="66"/>
      <c r="L4752" s="68"/>
      <c r="M4752" s="63" t="str">
        <f>HYPERLINK("http://nsgreg.nga.mil/genc/view?v=863702&amp;end_month=12&amp;end_day=31&amp;end_year=2016","Correlation")</f>
        <v>Correlation</v>
      </c>
    </row>
    <row r="4753" spans="1:13" x14ac:dyDescent="0.2">
      <c r="A4753" s="113"/>
      <c r="B4753" s="58" t="s">
        <v>11702</v>
      </c>
      <c r="C4753" s="58" t="s">
        <v>1796</v>
      </c>
      <c r="D4753" s="58" t="s">
        <v>11703</v>
      </c>
      <c r="E4753" s="60" t="b">
        <v>1</v>
      </c>
      <c r="F4753" s="80" t="s">
        <v>1332</v>
      </c>
      <c r="G4753" s="58" t="s">
        <v>11702</v>
      </c>
      <c r="H4753" s="58" t="s">
        <v>1796</v>
      </c>
      <c r="I4753" s="64" t="s">
        <v>11703</v>
      </c>
      <c r="J4753" s="66"/>
      <c r="K4753" s="66"/>
      <c r="L4753" s="68"/>
      <c r="M4753" s="63" t="str">
        <f>HYPERLINK("http://nsgreg.nga.mil/genc/view?v=863695&amp;end_month=12&amp;end_day=31&amp;end_year=2016","Correlation")</f>
        <v>Correlation</v>
      </c>
    </row>
    <row r="4754" spans="1:13" x14ac:dyDescent="0.2">
      <c r="A4754" s="113"/>
      <c r="B4754" s="58" t="s">
        <v>11704</v>
      </c>
      <c r="C4754" s="58" t="s">
        <v>1483</v>
      </c>
      <c r="D4754" s="58" t="s">
        <v>11705</v>
      </c>
      <c r="E4754" s="60" t="b">
        <v>1</v>
      </c>
      <c r="F4754" s="80" t="s">
        <v>1332</v>
      </c>
      <c r="G4754" s="58" t="s">
        <v>11704</v>
      </c>
      <c r="H4754" s="58" t="s">
        <v>11496</v>
      </c>
      <c r="I4754" s="64" t="s">
        <v>11705</v>
      </c>
      <c r="J4754" s="66"/>
      <c r="K4754" s="66"/>
      <c r="L4754" s="68"/>
      <c r="M4754" s="63" t="str">
        <f>HYPERLINK("http://nsgreg.nga.mil/genc/view?v=863690&amp;end_month=12&amp;end_day=31&amp;end_year=2016","Correlation")</f>
        <v>Correlation</v>
      </c>
    </row>
    <row r="4755" spans="1:13" x14ac:dyDescent="0.2">
      <c r="A4755" s="113"/>
      <c r="B4755" s="58" t="s">
        <v>11706</v>
      </c>
      <c r="C4755" s="58" t="s">
        <v>1483</v>
      </c>
      <c r="D4755" s="58" t="s">
        <v>11707</v>
      </c>
      <c r="E4755" s="60" t="b">
        <v>1</v>
      </c>
      <c r="F4755" s="80" t="s">
        <v>1332</v>
      </c>
      <c r="G4755" s="58" t="s">
        <v>11706</v>
      </c>
      <c r="H4755" s="58" t="s">
        <v>11496</v>
      </c>
      <c r="I4755" s="64" t="s">
        <v>11707</v>
      </c>
      <c r="J4755" s="66"/>
      <c r="K4755" s="66"/>
      <c r="L4755" s="68"/>
      <c r="M4755" s="63" t="str">
        <f>HYPERLINK("http://nsgreg.nga.mil/genc/view?v=863697&amp;end_month=12&amp;end_day=31&amp;end_year=2016","Correlation")</f>
        <v>Correlation</v>
      </c>
    </row>
    <row r="4756" spans="1:13" x14ac:dyDescent="0.2">
      <c r="A4756" s="113"/>
      <c r="B4756" s="58" t="s">
        <v>11708</v>
      </c>
      <c r="C4756" s="58" t="s">
        <v>11436</v>
      </c>
      <c r="D4756" s="58" t="s">
        <v>11709</v>
      </c>
      <c r="E4756" s="60" t="b">
        <v>1</v>
      </c>
      <c r="F4756" s="80" t="s">
        <v>1332</v>
      </c>
      <c r="G4756" s="58" t="s">
        <v>11708</v>
      </c>
      <c r="H4756" s="58" t="s">
        <v>11436</v>
      </c>
      <c r="I4756" s="64" t="s">
        <v>11709</v>
      </c>
      <c r="J4756" s="66"/>
      <c r="K4756" s="66"/>
      <c r="L4756" s="68"/>
      <c r="M4756" s="63" t="str">
        <f>HYPERLINK("http://nsgreg.nga.mil/genc/view?v=863686&amp;end_month=12&amp;end_day=31&amp;end_year=2016","Correlation")</f>
        <v>Correlation</v>
      </c>
    </row>
    <row r="4757" spans="1:13" x14ac:dyDescent="0.2">
      <c r="A4757" s="113"/>
      <c r="B4757" s="58" t="s">
        <v>11710</v>
      </c>
      <c r="C4757" s="58" t="s">
        <v>11459</v>
      </c>
      <c r="D4757" s="58" t="s">
        <v>11711</v>
      </c>
      <c r="E4757" s="60" t="b">
        <v>1</v>
      </c>
      <c r="F4757" s="80" t="s">
        <v>1332</v>
      </c>
      <c r="G4757" s="58" t="s">
        <v>11710</v>
      </c>
      <c r="H4757" s="58" t="s">
        <v>11459</v>
      </c>
      <c r="I4757" s="64" t="s">
        <v>11711</v>
      </c>
      <c r="J4757" s="66"/>
      <c r="K4757" s="66"/>
      <c r="L4757" s="68"/>
      <c r="M4757" s="63" t="str">
        <f>HYPERLINK("http://nsgreg.nga.mil/genc/view?v=863688&amp;end_month=12&amp;end_day=31&amp;end_year=2016","Correlation")</f>
        <v>Correlation</v>
      </c>
    </row>
    <row r="4758" spans="1:13" x14ac:dyDescent="0.2">
      <c r="A4758" s="113"/>
      <c r="B4758" s="58" t="s">
        <v>11712</v>
      </c>
      <c r="C4758" s="58" t="s">
        <v>1413</v>
      </c>
      <c r="D4758" s="58" t="s">
        <v>11713</v>
      </c>
      <c r="E4758" s="60" t="b">
        <v>1</v>
      </c>
      <c r="F4758" s="80" t="s">
        <v>1332</v>
      </c>
      <c r="G4758" s="58" t="s">
        <v>11712</v>
      </c>
      <c r="H4758" s="58" t="s">
        <v>1413</v>
      </c>
      <c r="I4758" s="64" t="s">
        <v>11713</v>
      </c>
      <c r="J4758" s="66"/>
      <c r="K4758" s="66"/>
      <c r="L4758" s="68"/>
      <c r="M4758" s="63" t="str">
        <f>HYPERLINK("http://nsgreg.nga.mil/genc/view?v=863692&amp;end_month=12&amp;end_day=31&amp;end_year=2016","Correlation")</f>
        <v>Correlation</v>
      </c>
    </row>
    <row r="4759" spans="1:13" x14ac:dyDescent="0.2">
      <c r="A4759" s="113"/>
      <c r="B4759" s="58" t="s">
        <v>11714</v>
      </c>
      <c r="C4759" s="58" t="s">
        <v>11436</v>
      </c>
      <c r="D4759" s="58" t="s">
        <v>11715</v>
      </c>
      <c r="E4759" s="60" t="b">
        <v>1</v>
      </c>
      <c r="F4759" s="80" t="s">
        <v>1332</v>
      </c>
      <c r="G4759" s="58" t="s">
        <v>11714</v>
      </c>
      <c r="H4759" s="58" t="s">
        <v>11436</v>
      </c>
      <c r="I4759" s="64" t="s">
        <v>11715</v>
      </c>
      <c r="J4759" s="66"/>
      <c r="K4759" s="66"/>
      <c r="L4759" s="68"/>
      <c r="M4759" s="63" t="str">
        <f>HYPERLINK("http://nsgreg.nga.mil/genc/view?v=863693&amp;end_month=12&amp;end_day=31&amp;end_year=2016","Correlation")</f>
        <v>Correlation</v>
      </c>
    </row>
    <row r="4760" spans="1:13" x14ac:dyDescent="0.2">
      <c r="A4760" s="113"/>
      <c r="B4760" s="58" t="s">
        <v>11716</v>
      </c>
      <c r="C4760" s="58" t="s">
        <v>11459</v>
      </c>
      <c r="D4760" s="58" t="s">
        <v>11717</v>
      </c>
      <c r="E4760" s="60" t="b">
        <v>1</v>
      </c>
      <c r="F4760" s="80" t="s">
        <v>1332</v>
      </c>
      <c r="G4760" s="58" t="s">
        <v>11716</v>
      </c>
      <c r="H4760" s="58" t="s">
        <v>11459</v>
      </c>
      <c r="I4760" s="64" t="s">
        <v>11717</v>
      </c>
      <c r="J4760" s="66"/>
      <c r="K4760" s="66"/>
      <c r="L4760" s="68"/>
      <c r="M4760" s="63" t="str">
        <f>HYPERLINK("http://nsgreg.nga.mil/genc/view?v=863694&amp;end_month=12&amp;end_day=31&amp;end_year=2016","Correlation")</f>
        <v>Correlation</v>
      </c>
    </row>
    <row r="4761" spans="1:13" x14ac:dyDescent="0.2">
      <c r="A4761" s="113"/>
      <c r="B4761" s="58" t="s">
        <v>11718</v>
      </c>
      <c r="C4761" s="58" t="s">
        <v>11459</v>
      </c>
      <c r="D4761" s="58" t="s">
        <v>11719</v>
      </c>
      <c r="E4761" s="60" t="b">
        <v>1</v>
      </c>
      <c r="F4761" s="80" t="s">
        <v>1332</v>
      </c>
      <c r="G4761" s="58" t="s">
        <v>11718</v>
      </c>
      <c r="H4761" s="58" t="s">
        <v>11459</v>
      </c>
      <c r="I4761" s="64" t="s">
        <v>11719</v>
      </c>
      <c r="J4761" s="66"/>
      <c r="K4761" s="66"/>
      <c r="L4761" s="68"/>
      <c r="M4761" s="63" t="str">
        <f>HYPERLINK("http://nsgreg.nga.mil/genc/view?v=863696&amp;end_month=12&amp;end_day=31&amp;end_year=2016","Correlation")</f>
        <v>Correlation</v>
      </c>
    </row>
    <row r="4762" spans="1:13" x14ac:dyDescent="0.2">
      <c r="A4762" s="113"/>
      <c r="B4762" s="58" t="s">
        <v>11720</v>
      </c>
      <c r="C4762" s="58" t="s">
        <v>11456</v>
      </c>
      <c r="D4762" s="58" t="s">
        <v>11721</v>
      </c>
      <c r="E4762" s="60" t="b">
        <v>1</v>
      </c>
      <c r="F4762" s="80" t="s">
        <v>1332</v>
      </c>
      <c r="G4762" s="58" t="s">
        <v>11720</v>
      </c>
      <c r="H4762" s="58" t="s">
        <v>11456</v>
      </c>
      <c r="I4762" s="64" t="s">
        <v>11721</v>
      </c>
      <c r="J4762" s="66"/>
      <c r="K4762" s="66"/>
      <c r="L4762" s="68"/>
      <c r="M4762" s="63" t="str">
        <f>HYPERLINK("http://nsgreg.nga.mil/genc/view?v=863700&amp;end_month=12&amp;end_day=31&amp;end_year=2016","Correlation")</f>
        <v>Correlation</v>
      </c>
    </row>
    <row r="4763" spans="1:13" x14ac:dyDescent="0.2">
      <c r="A4763" s="113"/>
      <c r="B4763" s="58" t="s">
        <v>11722</v>
      </c>
      <c r="C4763" s="58" t="s">
        <v>11459</v>
      </c>
      <c r="D4763" s="58" t="s">
        <v>11723</v>
      </c>
      <c r="E4763" s="60" t="b">
        <v>1</v>
      </c>
      <c r="F4763" s="80" t="s">
        <v>1332</v>
      </c>
      <c r="G4763" s="58" t="s">
        <v>11722</v>
      </c>
      <c r="H4763" s="58" t="s">
        <v>11459</v>
      </c>
      <c r="I4763" s="64" t="s">
        <v>11723</v>
      </c>
      <c r="J4763" s="66"/>
      <c r="K4763" s="66"/>
      <c r="L4763" s="68"/>
      <c r="M4763" s="63" t="str">
        <f>HYPERLINK("http://nsgreg.nga.mil/genc/view?v=863687&amp;end_month=12&amp;end_day=31&amp;end_year=2016","Correlation")</f>
        <v>Correlation</v>
      </c>
    </row>
    <row r="4764" spans="1:13" x14ac:dyDescent="0.2">
      <c r="A4764" s="113"/>
      <c r="B4764" s="58" t="s">
        <v>11724</v>
      </c>
      <c r="C4764" s="58" t="s">
        <v>1483</v>
      </c>
      <c r="D4764" s="58" t="s">
        <v>11725</v>
      </c>
      <c r="E4764" s="60" t="b">
        <v>1</v>
      </c>
      <c r="F4764" s="80" t="s">
        <v>1332</v>
      </c>
      <c r="G4764" s="58" t="s">
        <v>11724</v>
      </c>
      <c r="H4764" s="58" t="s">
        <v>11496</v>
      </c>
      <c r="I4764" s="64" t="s">
        <v>11725</v>
      </c>
      <c r="J4764" s="66"/>
      <c r="K4764" s="66"/>
      <c r="L4764" s="68"/>
      <c r="M4764" s="63" t="str">
        <f>HYPERLINK("http://nsgreg.nga.mil/genc/view?v=863703&amp;end_month=12&amp;end_day=31&amp;end_year=2016","Correlation")</f>
        <v>Correlation</v>
      </c>
    </row>
    <row r="4765" spans="1:13" x14ac:dyDescent="0.2">
      <c r="A4765" s="113"/>
      <c r="B4765" s="58" t="s">
        <v>11726</v>
      </c>
      <c r="C4765" s="58" t="s">
        <v>11459</v>
      </c>
      <c r="D4765" s="58" t="s">
        <v>11727</v>
      </c>
      <c r="E4765" s="60" t="b">
        <v>1</v>
      </c>
      <c r="F4765" s="80" t="s">
        <v>1332</v>
      </c>
      <c r="G4765" s="58" t="s">
        <v>11726</v>
      </c>
      <c r="H4765" s="58" t="s">
        <v>11459</v>
      </c>
      <c r="I4765" s="64" t="s">
        <v>11727</v>
      </c>
      <c r="J4765" s="66"/>
      <c r="K4765" s="66"/>
      <c r="L4765" s="68"/>
      <c r="M4765" s="63" t="str">
        <f>HYPERLINK("http://nsgreg.nga.mil/genc/view?v=863691&amp;end_month=12&amp;end_day=31&amp;end_year=2016","Correlation")</f>
        <v>Correlation</v>
      </c>
    </row>
    <row r="4766" spans="1:13" x14ac:dyDescent="0.2">
      <c r="A4766" s="113"/>
      <c r="B4766" s="58" t="s">
        <v>11728</v>
      </c>
      <c r="C4766" s="58" t="s">
        <v>1483</v>
      </c>
      <c r="D4766" s="58" t="s">
        <v>11729</v>
      </c>
      <c r="E4766" s="60" t="b">
        <v>1</v>
      </c>
      <c r="F4766" s="80" t="s">
        <v>1332</v>
      </c>
      <c r="G4766" s="58" t="s">
        <v>11728</v>
      </c>
      <c r="H4766" s="58" t="s">
        <v>11496</v>
      </c>
      <c r="I4766" s="64" t="s">
        <v>11729</v>
      </c>
      <c r="J4766" s="66"/>
      <c r="K4766" s="66"/>
      <c r="L4766" s="68"/>
      <c r="M4766" s="63" t="str">
        <f>HYPERLINK("http://nsgreg.nga.mil/genc/view?v=863699&amp;end_month=12&amp;end_day=31&amp;end_year=2016","Correlation")</f>
        <v>Correlation</v>
      </c>
    </row>
    <row r="4767" spans="1:13" x14ac:dyDescent="0.2">
      <c r="A4767" s="113"/>
      <c r="B4767" s="58" t="s">
        <v>11730</v>
      </c>
      <c r="C4767" s="58" t="s">
        <v>11456</v>
      </c>
      <c r="D4767" s="58" t="s">
        <v>11731</v>
      </c>
      <c r="E4767" s="60" t="b">
        <v>1</v>
      </c>
      <c r="F4767" s="80" t="s">
        <v>1332</v>
      </c>
      <c r="G4767" s="58" t="s">
        <v>11730</v>
      </c>
      <c r="H4767" s="58" t="s">
        <v>11456</v>
      </c>
      <c r="I4767" s="64" t="s">
        <v>11731</v>
      </c>
      <c r="J4767" s="66"/>
      <c r="K4767" s="66"/>
      <c r="L4767" s="68"/>
      <c r="M4767" s="63" t="str">
        <f>HYPERLINK("http://nsgreg.nga.mil/genc/view?v=863704&amp;end_month=12&amp;end_day=31&amp;end_year=2016","Correlation")</f>
        <v>Correlation</v>
      </c>
    </row>
    <row r="4768" spans="1:13" x14ac:dyDescent="0.2">
      <c r="A4768" s="113"/>
      <c r="B4768" s="58" t="s">
        <v>11732</v>
      </c>
      <c r="C4768" s="58" t="s">
        <v>11436</v>
      </c>
      <c r="D4768" s="58" t="s">
        <v>11733</v>
      </c>
      <c r="E4768" s="60" t="b">
        <v>1</v>
      </c>
      <c r="F4768" s="80" t="s">
        <v>1332</v>
      </c>
      <c r="G4768" s="58" t="s">
        <v>11732</v>
      </c>
      <c r="H4768" s="58" t="s">
        <v>11436</v>
      </c>
      <c r="I4768" s="64" t="s">
        <v>11733</v>
      </c>
      <c r="J4768" s="66"/>
      <c r="K4768" s="66"/>
      <c r="L4768" s="68"/>
      <c r="M4768" s="63" t="str">
        <f>HYPERLINK("http://nsgreg.nga.mil/genc/view?v=863705&amp;end_month=12&amp;end_day=31&amp;end_year=2016","Correlation")</f>
        <v>Correlation</v>
      </c>
    </row>
    <row r="4769" spans="1:13" x14ac:dyDescent="0.2">
      <c r="A4769" s="113"/>
      <c r="B4769" s="58" t="s">
        <v>11734</v>
      </c>
      <c r="C4769" s="58" t="s">
        <v>1483</v>
      </c>
      <c r="D4769" s="58" t="s">
        <v>11735</v>
      </c>
      <c r="E4769" s="60" t="b">
        <v>1</v>
      </c>
      <c r="F4769" s="80" t="s">
        <v>1332</v>
      </c>
      <c r="G4769" s="58" t="s">
        <v>11734</v>
      </c>
      <c r="H4769" s="58" t="s">
        <v>11496</v>
      </c>
      <c r="I4769" s="64" t="s">
        <v>11735</v>
      </c>
      <c r="J4769" s="66"/>
      <c r="K4769" s="66"/>
      <c r="L4769" s="68"/>
      <c r="M4769" s="63" t="str">
        <f>HYPERLINK("http://nsgreg.nga.mil/genc/view?v=863706&amp;end_month=12&amp;end_day=31&amp;end_year=2016","Correlation")</f>
        <v>Correlation</v>
      </c>
    </row>
    <row r="4770" spans="1:13" x14ac:dyDescent="0.2">
      <c r="A4770" s="113"/>
      <c r="B4770" s="58" t="s">
        <v>11736</v>
      </c>
      <c r="C4770" s="58" t="s">
        <v>11459</v>
      </c>
      <c r="D4770" s="58" t="s">
        <v>11737</v>
      </c>
      <c r="E4770" s="60" t="b">
        <v>1</v>
      </c>
      <c r="F4770" s="80" t="s">
        <v>1332</v>
      </c>
      <c r="G4770" s="58" t="s">
        <v>11736</v>
      </c>
      <c r="H4770" s="58" t="s">
        <v>11475</v>
      </c>
      <c r="I4770" s="64" t="s">
        <v>11737</v>
      </c>
      <c r="J4770" s="66"/>
      <c r="K4770" s="66"/>
      <c r="L4770" s="68"/>
      <c r="M4770" s="63" t="str">
        <f>HYPERLINK("http://nsgreg.nga.mil/genc/view?v=863707&amp;end_month=12&amp;end_day=31&amp;end_year=2016","Correlation")</f>
        <v>Correlation</v>
      </c>
    </row>
    <row r="4771" spans="1:13" x14ac:dyDescent="0.2">
      <c r="A4771" s="113"/>
      <c r="B4771" s="58" t="s">
        <v>11738</v>
      </c>
      <c r="C4771" s="58" t="s">
        <v>11436</v>
      </c>
      <c r="D4771" s="58" t="s">
        <v>11739</v>
      </c>
      <c r="E4771" s="60" t="b">
        <v>1</v>
      </c>
      <c r="F4771" s="80" t="s">
        <v>1332</v>
      </c>
      <c r="G4771" s="58" t="s">
        <v>11738</v>
      </c>
      <c r="H4771" s="58" t="s">
        <v>11436</v>
      </c>
      <c r="I4771" s="64" t="s">
        <v>11739</v>
      </c>
      <c r="J4771" s="66"/>
      <c r="K4771" s="66"/>
      <c r="L4771" s="68"/>
      <c r="M4771" s="63" t="str">
        <f>HYPERLINK("http://nsgreg.nga.mil/genc/view?v=863708&amp;end_month=12&amp;end_day=31&amp;end_year=2016","Correlation")</f>
        <v>Correlation</v>
      </c>
    </row>
    <row r="4772" spans="1:13" x14ac:dyDescent="0.2">
      <c r="A4772" s="113"/>
      <c r="B4772" s="58" t="s">
        <v>11740</v>
      </c>
      <c r="C4772" s="58" t="s">
        <v>11459</v>
      </c>
      <c r="D4772" s="58" t="s">
        <v>11741</v>
      </c>
      <c r="E4772" s="60" t="b">
        <v>1</v>
      </c>
      <c r="F4772" s="80" t="s">
        <v>1332</v>
      </c>
      <c r="G4772" s="58" t="s">
        <v>11740</v>
      </c>
      <c r="H4772" s="58" t="s">
        <v>11459</v>
      </c>
      <c r="I4772" s="64" t="s">
        <v>11741</v>
      </c>
      <c r="J4772" s="66"/>
      <c r="K4772" s="66"/>
      <c r="L4772" s="68"/>
      <c r="M4772" s="63" t="str">
        <f>HYPERLINK("http://nsgreg.nga.mil/genc/view?v=863713&amp;end_month=12&amp;end_day=31&amp;end_year=2016","Correlation")</f>
        <v>Correlation</v>
      </c>
    </row>
    <row r="4773" spans="1:13" x14ac:dyDescent="0.2">
      <c r="A4773" s="113"/>
      <c r="B4773" s="58" t="s">
        <v>11742</v>
      </c>
      <c r="C4773" s="58" t="s">
        <v>11459</v>
      </c>
      <c r="D4773" s="58" t="s">
        <v>11743</v>
      </c>
      <c r="E4773" s="60" t="b">
        <v>1</v>
      </c>
      <c r="F4773" s="80" t="s">
        <v>1332</v>
      </c>
      <c r="G4773" s="58" t="s">
        <v>11742</v>
      </c>
      <c r="H4773" s="58" t="s">
        <v>11459</v>
      </c>
      <c r="I4773" s="64" t="s">
        <v>11743</v>
      </c>
      <c r="J4773" s="66"/>
      <c r="K4773" s="66"/>
      <c r="L4773" s="68"/>
      <c r="M4773" s="63" t="str">
        <f>HYPERLINK("http://nsgreg.nga.mil/genc/view?v=863709&amp;end_month=12&amp;end_day=31&amp;end_year=2016","Correlation")</f>
        <v>Correlation</v>
      </c>
    </row>
    <row r="4774" spans="1:13" x14ac:dyDescent="0.2">
      <c r="A4774" s="113"/>
      <c r="B4774" s="58" t="s">
        <v>11744</v>
      </c>
      <c r="C4774" s="58" t="s">
        <v>11459</v>
      </c>
      <c r="D4774" s="58" t="s">
        <v>11745</v>
      </c>
      <c r="E4774" s="60" t="b">
        <v>1</v>
      </c>
      <c r="F4774" s="80" t="s">
        <v>1332</v>
      </c>
      <c r="G4774" s="58" t="s">
        <v>11744</v>
      </c>
      <c r="H4774" s="58" t="s">
        <v>11459</v>
      </c>
      <c r="I4774" s="64" t="s">
        <v>11745</v>
      </c>
      <c r="J4774" s="66"/>
      <c r="K4774" s="66"/>
      <c r="L4774" s="68"/>
      <c r="M4774" s="63" t="str">
        <f>HYPERLINK("http://nsgreg.nga.mil/genc/view?v=863710&amp;end_month=12&amp;end_day=31&amp;end_year=2016","Correlation")</f>
        <v>Correlation</v>
      </c>
    </row>
    <row r="4775" spans="1:13" x14ac:dyDescent="0.2">
      <c r="A4775" s="113"/>
      <c r="B4775" s="58" t="s">
        <v>11746</v>
      </c>
      <c r="C4775" s="58" t="s">
        <v>11459</v>
      </c>
      <c r="D4775" s="58" t="s">
        <v>11747</v>
      </c>
      <c r="E4775" s="60" t="b">
        <v>1</v>
      </c>
      <c r="F4775" s="80" t="s">
        <v>1332</v>
      </c>
      <c r="G4775" s="58" t="s">
        <v>11746</v>
      </c>
      <c r="H4775" s="58" t="s">
        <v>11459</v>
      </c>
      <c r="I4775" s="64" t="s">
        <v>11747</v>
      </c>
      <c r="J4775" s="66"/>
      <c r="K4775" s="66"/>
      <c r="L4775" s="68"/>
      <c r="M4775" s="63" t="str">
        <f>HYPERLINK("http://nsgreg.nga.mil/genc/view?v=863711&amp;end_month=12&amp;end_day=31&amp;end_year=2016","Correlation")</f>
        <v>Correlation</v>
      </c>
    </row>
    <row r="4776" spans="1:13" x14ac:dyDescent="0.2">
      <c r="A4776" s="113"/>
      <c r="B4776" s="58" t="s">
        <v>11748</v>
      </c>
      <c r="C4776" s="58" t="s">
        <v>11459</v>
      </c>
      <c r="D4776" s="58" t="s">
        <v>11749</v>
      </c>
      <c r="E4776" s="60" t="b">
        <v>1</v>
      </c>
      <c r="F4776" s="80" t="s">
        <v>1332</v>
      </c>
      <c r="G4776" s="58" t="s">
        <v>11748</v>
      </c>
      <c r="H4776" s="58" t="s">
        <v>11475</v>
      </c>
      <c r="I4776" s="64" t="s">
        <v>11749</v>
      </c>
      <c r="J4776" s="66"/>
      <c r="K4776" s="66"/>
      <c r="L4776" s="68"/>
      <c r="M4776" s="63" t="str">
        <f>HYPERLINK("http://nsgreg.nga.mil/genc/view?v=863712&amp;end_month=12&amp;end_day=31&amp;end_year=2016","Correlation")</f>
        <v>Correlation</v>
      </c>
    </row>
    <row r="4777" spans="1:13" x14ac:dyDescent="0.2">
      <c r="A4777" s="113"/>
      <c r="B4777" s="58" t="s">
        <v>11750</v>
      </c>
      <c r="C4777" s="58" t="s">
        <v>11459</v>
      </c>
      <c r="D4777" s="58" t="s">
        <v>11751</v>
      </c>
      <c r="E4777" s="60" t="b">
        <v>1</v>
      </c>
      <c r="F4777" s="80" t="s">
        <v>1332</v>
      </c>
      <c r="G4777" s="58" t="s">
        <v>11750</v>
      </c>
      <c r="H4777" s="58" t="s">
        <v>11459</v>
      </c>
      <c r="I4777" s="64" t="s">
        <v>11751</v>
      </c>
      <c r="J4777" s="66"/>
      <c r="K4777" s="66"/>
      <c r="L4777" s="68"/>
      <c r="M4777" s="63" t="str">
        <f>HYPERLINK("http://nsgreg.nga.mil/genc/view?v=863718&amp;end_month=12&amp;end_day=31&amp;end_year=2016","Correlation")</f>
        <v>Correlation</v>
      </c>
    </row>
    <row r="4778" spans="1:13" x14ac:dyDescent="0.2">
      <c r="A4778" s="113"/>
      <c r="B4778" s="58" t="s">
        <v>11752</v>
      </c>
      <c r="C4778" s="58" t="s">
        <v>11451</v>
      </c>
      <c r="D4778" s="58" t="s">
        <v>11753</v>
      </c>
      <c r="E4778" s="60" t="b">
        <v>1</v>
      </c>
      <c r="F4778" s="80" t="s">
        <v>1332</v>
      </c>
      <c r="G4778" s="58" t="s">
        <v>11752</v>
      </c>
      <c r="H4778" s="58" t="s">
        <v>11451</v>
      </c>
      <c r="I4778" s="64" t="s">
        <v>11753</v>
      </c>
      <c r="J4778" s="66"/>
      <c r="K4778" s="66"/>
      <c r="L4778" s="68"/>
      <c r="M4778" s="63" t="str">
        <f>HYPERLINK("http://nsgreg.nga.mil/genc/view?v=863717&amp;end_month=12&amp;end_day=31&amp;end_year=2016","Correlation")</f>
        <v>Correlation</v>
      </c>
    </row>
    <row r="4779" spans="1:13" x14ac:dyDescent="0.2">
      <c r="A4779" s="113"/>
      <c r="B4779" s="58" t="s">
        <v>11754</v>
      </c>
      <c r="C4779" s="58" t="s">
        <v>11459</v>
      </c>
      <c r="D4779" s="58" t="s">
        <v>11755</v>
      </c>
      <c r="E4779" s="60" t="b">
        <v>1</v>
      </c>
      <c r="F4779" s="80" t="s">
        <v>1332</v>
      </c>
      <c r="G4779" s="58" t="s">
        <v>11754</v>
      </c>
      <c r="H4779" s="58" t="s">
        <v>11459</v>
      </c>
      <c r="I4779" s="64" t="s">
        <v>11755</v>
      </c>
      <c r="J4779" s="66"/>
      <c r="K4779" s="66"/>
      <c r="L4779" s="68"/>
      <c r="M4779" s="63" t="str">
        <f>HYPERLINK("http://nsgreg.nga.mil/genc/view?v=863714&amp;end_month=12&amp;end_day=31&amp;end_year=2016","Correlation")</f>
        <v>Correlation</v>
      </c>
    </row>
    <row r="4780" spans="1:13" x14ac:dyDescent="0.2">
      <c r="A4780" s="113"/>
      <c r="B4780" s="58" t="s">
        <v>11756</v>
      </c>
      <c r="C4780" s="58" t="s">
        <v>11436</v>
      </c>
      <c r="D4780" s="58" t="s">
        <v>11757</v>
      </c>
      <c r="E4780" s="60" t="b">
        <v>1</v>
      </c>
      <c r="F4780" s="80" t="s">
        <v>1332</v>
      </c>
      <c r="G4780" s="58" t="s">
        <v>11756</v>
      </c>
      <c r="H4780" s="58" t="s">
        <v>11436</v>
      </c>
      <c r="I4780" s="64" t="s">
        <v>11757</v>
      </c>
      <c r="J4780" s="66"/>
      <c r="K4780" s="66"/>
      <c r="L4780" s="68"/>
      <c r="M4780" s="63" t="str">
        <f>HYPERLINK("http://nsgreg.nga.mil/genc/view?v=863719&amp;end_month=12&amp;end_day=31&amp;end_year=2016","Correlation")</f>
        <v>Correlation</v>
      </c>
    </row>
    <row r="4781" spans="1:13" x14ac:dyDescent="0.2">
      <c r="A4781" s="113"/>
      <c r="B4781" s="58" t="s">
        <v>11758</v>
      </c>
      <c r="C4781" s="58" t="s">
        <v>11459</v>
      </c>
      <c r="D4781" s="58" t="s">
        <v>11759</v>
      </c>
      <c r="E4781" s="60" t="b">
        <v>1</v>
      </c>
      <c r="F4781" s="80" t="s">
        <v>1332</v>
      </c>
      <c r="G4781" s="58" t="s">
        <v>11760</v>
      </c>
      <c r="H4781" s="58" t="s">
        <v>11475</v>
      </c>
      <c r="I4781" s="64" t="s">
        <v>11759</v>
      </c>
      <c r="J4781" s="66"/>
      <c r="K4781" s="66"/>
      <c r="L4781" s="68"/>
      <c r="M4781" s="63" t="str">
        <f>HYPERLINK("http://nsgreg.nga.mil/genc/view?v=863716&amp;end_month=12&amp;end_day=31&amp;end_year=2016","Correlation")</f>
        <v>Correlation</v>
      </c>
    </row>
    <row r="4782" spans="1:13" x14ac:dyDescent="0.2">
      <c r="A4782" s="113"/>
      <c r="B4782" s="58" t="s">
        <v>11761</v>
      </c>
      <c r="C4782" s="58" t="s">
        <v>11451</v>
      </c>
      <c r="D4782" s="58" t="s">
        <v>11762</v>
      </c>
      <c r="E4782" s="60" t="b">
        <v>1</v>
      </c>
      <c r="F4782" s="80" t="s">
        <v>1332</v>
      </c>
      <c r="G4782" s="58" t="s">
        <v>11761</v>
      </c>
      <c r="H4782" s="58" t="s">
        <v>11451</v>
      </c>
      <c r="I4782" s="64" t="s">
        <v>11762</v>
      </c>
      <c r="J4782" s="66"/>
      <c r="K4782" s="66"/>
      <c r="L4782" s="68"/>
      <c r="M4782" s="63" t="str">
        <f>HYPERLINK("http://nsgreg.nga.mil/genc/view?v=863720&amp;end_month=12&amp;end_day=31&amp;end_year=2016","Correlation")</f>
        <v>Correlation</v>
      </c>
    </row>
    <row r="4783" spans="1:13" x14ac:dyDescent="0.2">
      <c r="A4783" s="113"/>
      <c r="B4783" s="58" t="s">
        <v>11763</v>
      </c>
      <c r="C4783" s="58" t="s">
        <v>11456</v>
      </c>
      <c r="D4783" s="58" t="s">
        <v>11764</v>
      </c>
      <c r="E4783" s="60" t="b">
        <v>1</v>
      </c>
      <c r="F4783" s="80" t="s">
        <v>1332</v>
      </c>
      <c r="G4783" s="58" t="s">
        <v>11763</v>
      </c>
      <c r="H4783" s="58" t="s">
        <v>11456</v>
      </c>
      <c r="I4783" s="64" t="s">
        <v>11764</v>
      </c>
      <c r="J4783" s="66"/>
      <c r="K4783" s="66"/>
      <c r="L4783" s="68"/>
      <c r="M4783" s="63" t="str">
        <f>HYPERLINK("http://nsgreg.nga.mil/genc/view?v=863715&amp;end_month=12&amp;end_day=31&amp;end_year=2016","Correlation")</f>
        <v>Correlation</v>
      </c>
    </row>
    <row r="4784" spans="1:13" x14ac:dyDescent="0.2">
      <c r="A4784" s="113"/>
      <c r="B4784" s="58" t="s">
        <v>11765</v>
      </c>
      <c r="C4784" s="58" t="s">
        <v>11456</v>
      </c>
      <c r="D4784" s="58" t="s">
        <v>11766</v>
      </c>
      <c r="E4784" s="60" t="b">
        <v>1</v>
      </c>
      <c r="F4784" s="80" t="s">
        <v>1332</v>
      </c>
      <c r="G4784" s="58" t="s">
        <v>11765</v>
      </c>
      <c r="H4784" s="58" t="s">
        <v>11456</v>
      </c>
      <c r="I4784" s="64" t="s">
        <v>11766</v>
      </c>
      <c r="J4784" s="66"/>
      <c r="K4784" s="66"/>
      <c r="L4784" s="68"/>
      <c r="M4784" s="63" t="str">
        <f>HYPERLINK("http://nsgreg.nga.mil/genc/view?v=863721&amp;end_month=12&amp;end_day=31&amp;end_year=2016","Correlation")</f>
        <v>Correlation</v>
      </c>
    </row>
    <row r="4785" spans="1:13" x14ac:dyDescent="0.2">
      <c r="A4785" s="113"/>
      <c r="B4785" s="58" t="s">
        <v>11767</v>
      </c>
      <c r="C4785" s="58" t="s">
        <v>11459</v>
      </c>
      <c r="D4785" s="58" t="s">
        <v>11768</v>
      </c>
      <c r="E4785" s="60" t="b">
        <v>1</v>
      </c>
      <c r="F4785" s="80" t="s">
        <v>1332</v>
      </c>
      <c r="G4785" s="58" t="s">
        <v>11767</v>
      </c>
      <c r="H4785" s="58" t="s">
        <v>11459</v>
      </c>
      <c r="I4785" s="64" t="s">
        <v>11768</v>
      </c>
      <c r="J4785" s="66"/>
      <c r="K4785" s="66"/>
      <c r="L4785" s="68"/>
      <c r="M4785" s="63" t="str">
        <f>HYPERLINK("http://nsgreg.nga.mil/genc/view?v=863722&amp;end_month=12&amp;end_day=31&amp;end_year=2016","Correlation")</f>
        <v>Correlation</v>
      </c>
    </row>
    <row r="4786" spans="1:13" x14ac:dyDescent="0.2">
      <c r="A4786" s="113"/>
      <c r="B4786" s="58" t="s">
        <v>11769</v>
      </c>
      <c r="C4786" s="58" t="s">
        <v>11456</v>
      </c>
      <c r="D4786" s="58" t="s">
        <v>11770</v>
      </c>
      <c r="E4786" s="60" t="b">
        <v>1</v>
      </c>
      <c r="F4786" s="80" t="s">
        <v>1332</v>
      </c>
      <c r="G4786" s="58" t="s">
        <v>11769</v>
      </c>
      <c r="H4786" s="58" t="s">
        <v>11456</v>
      </c>
      <c r="I4786" s="64" t="s">
        <v>11770</v>
      </c>
      <c r="J4786" s="66"/>
      <c r="K4786" s="66"/>
      <c r="L4786" s="68"/>
      <c r="M4786" s="63" t="str">
        <f>HYPERLINK("http://nsgreg.nga.mil/genc/view?v=863734&amp;end_month=12&amp;end_day=31&amp;end_year=2016","Correlation")</f>
        <v>Correlation</v>
      </c>
    </row>
    <row r="4787" spans="1:13" x14ac:dyDescent="0.2">
      <c r="A4787" s="113"/>
      <c r="B4787" s="58" t="s">
        <v>11771</v>
      </c>
      <c r="C4787" s="58" t="s">
        <v>11456</v>
      </c>
      <c r="D4787" s="58" t="s">
        <v>11772</v>
      </c>
      <c r="E4787" s="60" t="b">
        <v>1</v>
      </c>
      <c r="F4787" s="80" t="s">
        <v>1332</v>
      </c>
      <c r="G4787" s="58" t="s">
        <v>11771</v>
      </c>
      <c r="H4787" s="58" t="s">
        <v>11456</v>
      </c>
      <c r="I4787" s="64" t="s">
        <v>11772</v>
      </c>
      <c r="J4787" s="66"/>
      <c r="K4787" s="66"/>
      <c r="L4787" s="68"/>
      <c r="M4787" s="63" t="str">
        <f>HYPERLINK("http://nsgreg.nga.mil/genc/view?v=863723&amp;end_month=12&amp;end_day=31&amp;end_year=2016","Correlation")</f>
        <v>Correlation</v>
      </c>
    </row>
    <row r="4788" spans="1:13" x14ac:dyDescent="0.2">
      <c r="A4788" s="113"/>
      <c r="B4788" s="58" t="s">
        <v>11773</v>
      </c>
      <c r="C4788" s="58" t="s">
        <v>11579</v>
      </c>
      <c r="D4788" s="58" t="s">
        <v>11774</v>
      </c>
      <c r="E4788" s="60" t="b">
        <v>1</v>
      </c>
      <c r="F4788" s="80" t="s">
        <v>1332</v>
      </c>
      <c r="G4788" s="58" t="s">
        <v>11773</v>
      </c>
      <c r="H4788" s="58" t="s">
        <v>11579</v>
      </c>
      <c r="I4788" s="64" t="s">
        <v>11774</v>
      </c>
      <c r="J4788" s="66"/>
      <c r="K4788" s="66"/>
      <c r="L4788" s="68"/>
      <c r="M4788" s="63" t="str">
        <f>HYPERLINK("http://nsgreg.nga.mil/genc/view?v=863726&amp;end_month=12&amp;end_day=31&amp;end_year=2016","Correlation")</f>
        <v>Correlation</v>
      </c>
    </row>
    <row r="4789" spans="1:13" x14ac:dyDescent="0.2">
      <c r="A4789" s="113"/>
      <c r="B4789" s="58" t="s">
        <v>11775</v>
      </c>
      <c r="C4789" s="58" t="s">
        <v>11436</v>
      </c>
      <c r="D4789" s="58" t="s">
        <v>11776</v>
      </c>
      <c r="E4789" s="60" t="b">
        <v>1</v>
      </c>
      <c r="F4789" s="80" t="s">
        <v>1332</v>
      </c>
      <c r="G4789" s="58" t="s">
        <v>11775</v>
      </c>
      <c r="H4789" s="58" t="s">
        <v>11436</v>
      </c>
      <c r="I4789" s="64" t="s">
        <v>11776</v>
      </c>
      <c r="J4789" s="66"/>
      <c r="K4789" s="66"/>
      <c r="L4789" s="68"/>
      <c r="M4789" s="63" t="str">
        <f>HYPERLINK("http://nsgreg.nga.mil/genc/view?v=863725&amp;end_month=12&amp;end_day=31&amp;end_year=2016","Correlation")</f>
        <v>Correlation</v>
      </c>
    </row>
    <row r="4790" spans="1:13" x14ac:dyDescent="0.2">
      <c r="A4790" s="113"/>
      <c r="B4790" s="58" t="s">
        <v>11777</v>
      </c>
      <c r="C4790" s="58" t="s">
        <v>11456</v>
      </c>
      <c r="D4790" s="58" t="s">
        <v>11778</v>
      </c>
      <c r="E4790" s="60" t="b">
        <v>1</v>
      </c>
      <c r="F4790" s="80" t="s">
        <v>1332</v>
      </c>
      <c r="G4790" s="58" t="s">
        <v>11777</v>
      </c>
      <c r="H4790" s="58" t="s">
        <v>11456</v>
      </c>
      <c r="I4790" s="64" t="s">
        <v>11778</v>
      </c>
      <c r="J4790" s="66"/>
      <c r="K4790" s="66"/>
      <c r="L4790" s="68"/>
      <c r="M4790" s="63" t="str">
        <f>HYPERLINK("http://nsgreg.nga.mil/genc/view?v=863728&amp;end_month=12&amp;end_day=31&amp;end_year=2016","Correlation")</f>
        <v>Correlation</v>
      </c>
    </row>
    <row r="4791" spans="1:13" x14ac:dyDescent="0.2">
      <c r="A4791" s="113"/>
      <c r="B4791" s="58" t="s">
        <v>11779</v>
      </c>
      <c r="C4791" s="58" t="s">
        <v>11456</v>
      </c>
      <c r="D4791" s="58" t="s">
        <v>11780</v>
      </c>
      <c r="E4791" s="60" t="b">
        <v>1</v>
      </c>
      <c r="F4791" s="80" t="s">
        <v>1332</v>
      </c>
      <c r="G4791" s="58" t="s">
        <v>11779</v>
      </c>
      <c r="H4791" s="58" t="s">
        <v>11456</v>
      </c>
      <c r="I4791" s="64" t="s">
        <v>11780</v>
      </c>
      <c r="J4791" s="66"/>
      <c r="K4791" s="66"/>
      <c r="L4791" s="68"/>
      <c r="M4791" s="63" t="str">
        <f>HYPERLINK("http://nsgreg.nga.mil/genc/view?v=863730&amp;end_month=12&amp;end_day=31&amp;end_year=2016","Correlation")</f>
        <v>Correlation</v>
      </c>
    </row>
    <row r="4792" spans="1:13" x14ac:dyDescent="0.2">
      <c r="A4792" s="113"/>
      <c r="B4792" s="58" t="s">
        <v>11781</v>
      </c>
      <c r="C4792" s="58" t="s">
        <v>11436</v>
      </c>
      <c r="D4792" s="58" t="s">
        <v>11782</v>
      </c>
      <c r="E4792" s="60" t="b">
        <v>1</v>
      </c>
      <c r="F4792" s="80" t="s">
        <v>1332</v>
      </c>
      <c r="G4792" s="58" t="s">
        <v>11781</v>
      </c>
      <c r="H4792" s="58" t="s">
        <v>11436</v>
      </c>
      <c r="I4792" s="64" t="s">
        <v>11782</v>
      </c>
      <c r="J4792" s="66"/>
      <c r="K4792" s="66"/>
      <c r="L4792" s="68"/>
      <c r="M4792" s="63" t="str">
        <f>HYPERLINK("http://nsgreg.nga.mil/genc/view?v=863781&amp;end_month=12&amp;end_day=31&amp;end_year=2016","Correlation")</f>
        <v>Correlation</v>
      </c>
    </row>
    <row r="4793" spans="1:13" x14ac:dyDescent="0.2">
      <c r="A4793" s="113"/>
      <c r="B4793" s="58" t="s">
        <v>11783</v>
      </c>
      <c r="C4793" s="58" t="s">
        <v>11459</v>
      </c>
      <c r="D4793" s="58" t="s">
        <v>11784</v>
      </c>
      <c r="E4793" s="60" t="b">
        <v>1</v>
      </c>
      <c r="F4793" s="80" t="s">
        <v>1332</v>
      </c>
      <c r="G4793" s="58" t="s">
        <v>11783</v>
      </c>
      <c r="H4793" s="58" t="s">
        <v>11459</v>
      </c>
      <c r="I4793" s="64" t="s">
        <v>11784</v>
      </c>
      <c r="J4793" s="66"/>
      <c r="K4793" s="66"/>
      <c r="L4793" s="68"/>
      <c r="M4793" s="63" t="str">
        <f>HYPERLINK("http://nsgreg.nga.mil/genc/view?v=863732&amp;end_month=12&amp;end_day=31&amp;end_year=2016","Correlation")</f>
        <v>Correlation</v>
      </c>
    </row>
    <row r="4794" spans="1:13" x14ac:dyDescent="0.2">
      <c r="A4794" s="113"/>
      <c r="B4794" s="58" t="s">
        <v>11785</v>
      </c>
      <c r="C4794" s="58" t="s">
        <v>11459</v>
      </c>
      <c r="D4794" s="58" t="s">
        <v>11786</v>
      </c>
      <c r="E4794" s="60" t="b">
        <v>1</v>
      </c>
      <c r="F4794" s="80" t="s">
        <v>1332</v>
      </c>
      <c r="G4794" s="58" t="s">
        <v>11785</v>
      </c>
      <c r="H4794" s="58" t="s">
        <v>11459</v>
      </c>
      <c r="I4794" s="64" t="s">
        <v>11786</v>
      </c>
      <c r="J4794" s="66"/>
      <c r="K4794" s="66"/>
      <c r="L4794" s="68"/>
      <c r="M4794" s="63" t="str">
        <f>HYPERLINK("http://nsgreg.nga.mil/genc/view?v=863735&amp;end_month=12&amp;end_day=31&amp;end_year=2016","Correlation")</f>
        <v>Correlation</v>
      </c>
    </row>
    <row r="4795" spans="1:13" x14ac:dyDescent="0.2">
      <c r="A4795" s="113"/>
      <c r="B4795" s="58" t="s">
        <v>11787</v>
      </c>
      <c r="C4795" s="58" t="s">
        <v>11456</v>
      </c>
      <c r="D4795" s="58" t="s">
        <v>11788</v>
      </c>
      <c r="E4795" s="60" t="b">
        <v>1</v>
      </c>
      <c r="F4795" s="80" t="s">
        <v>1332</v>
      </c>
      <c r="G4795" s="58" t="s">
        <v>11787</v>
      </c>
      <c r="H4795" s="58" t="s">
        <v>11456</v>
      </c>
      <c r="I4795" s="64" t="s">
        <v>11788</v>
      </c>
      <c r="J4795" s="66"/>
      <c r="K4795" s="66"/>
      <c r="L4795" s="68"/>
      <c r="M4795" s="63" t="str">
        <f>HYPERLINK("http://nsgreg.nga.mil/genc/view?v=863738&amp;end_month=12&amp;end_day=31&amp;end_year=2016","Correlation")</f>
        <v>Correlation</v>
      </c>
    </row>
    <row r="4796" spans="1:13" x14ac:dyDescent="0.2">
      <c r="A4796" s="113"/>
      <c r="B4796" s="58" t="s">
        <v>11789</v>
      </c>
      <c r="C4796" s="58" t="s">
        <v>1483</v>
      </c>
      <c r="D4796" s="58" t="s">
        <v>11790</v>
      </c>
      <c r="E4796" s="60" t="b">
        <v>1</v>
      </c>
      <c r="F4796" s="80" t="s">
        <v>1332</v>
      </c>
      <c r="G4796" s="58" t="s">
        <v>11789</v>
      </c>
      <c r="H4796" s="58" t="s">
        <v>11496</v>
      </c>
      <c r="I4796" s="64" t="s">
        <v>11790</v>
      </c>
      <c r="J4796" s="66"/>
      <c r="K4796" s="66"/>
      <c r="L4796" s="68"/>
      <c r="M4796" s="63" t="str">
        <f>HYPERLINK("http://nsgreg.nga.mil/genc/view?v=863739&amp;end_month=12&amp;end_day=31&amp;end_year=2016","Correlation")</f>
        <v>Correlation</v>
      </c>
    </row>
    <row r="4797" spans="1:13" x14ac:dyDescent="0.2">
      <c r="A4797" s="113"/>
      <c r="B4797" s="58" t="s">
        <v>2334</v>
      </c>
      <c r="C4797" s="58" t="s">
        <v>11459</v>
      </c>
      <c r="D4797" s="58" t="s">
        <v>11791</v>
      </c>
      <c r="E4797" s="60" t="b">
        <v>1</v>
      </c>
      <c r="F4797" s="80" t="s">
        <v>1332</v>
      </c>
      <c r="G4797" s="58" t="s">
        <v>2334</v>
      </c>
      <c r="H4797" s="58" t="s">
        <v>11459</v>
      </c>
      <c r="I4797" s="64" t="s">
        <v>11791</v>
      </c>
      <c r="J4797" s="66"/>
      <c r="K4797" s="66"/>
      <c r="L4797" s="68"/>
      <c r="M4797" s="63" t="str">
        <f>HYPERLINK("http://nsgreg.nga.mil/genc/view?v=863744&amp;end_month=12&amp;end_day=31&amp;end_year=2016","Correlation")</f>
        <v>Correlation</v>
      </c>
    </row>
    <row r="4798" spans="1:13" x14ac:dyDescent="0.2">
      <c r="A4798" s="113"/>
      <c r="B4798" s="58" t="s">
        <v>11792</v>
      </c>
      <c r="C4798" s="58" t="s">
        <v>11436</v>
      </c>
      <c r="D4798" s="58" t="s">
        <v>11793</v>
      </c>
      <c r="E4798" s="60" t="b">
        <v>1</v>
      </c>
      <c r="F4798" s="80" t="s">
        <v>1332</v>
      </c>
      <c r="G4798" s="58" t="s">
        <v>11792</v>
      </c>
      <c r="H4798" s="58" t="s">
        <v>11436</v>
      </c>
      <c r="I4798" s="64" t="s">
        <v>11793</v>
      </c>
      <c r="J4798" s="66"/>
      <c r="K4798" s="66"/>
      <c r="L4798" s="68"/>
      <c r="M4798" s="63" t="str">
        <f>HYPERLINK("http://nsgreg.nga.mil/genc/view?v=863724&amp;end_month=12&amp;end_day=31&amp;end_year=2016","Correlation")</f>
        <v>Correlation</v>
      </c>
    </row>
    <row r="4799" spans="1:13" x14ac:dyDescent="0.2">
      <c r="A4799" s="113"/>
      <c r="B4799" s="58" t="s">
        <v>11794</v>
      </c>
      <c r="C4799" s="58" t="s">
        <v>11459</v>
      </c>
      <c r="D4799" s="58" t="s">
        <v>11795</v>
      </c>
      <c r="E4799" s="60" t="b">
        <v>1</v>
      </c>
      <c r="F4799" s="80" t="s">
        <v>1332</v>
      </c>
      <c r="G4799" s="58" t="s">
        <v>11794</v>
      </c>
      <c r="H4799" s="58" t="s">
        <v>11459</v>
      </c>
      <c r="I4799" s="64" t="s">
        <v>11795</v>
      </c>
      <c r="J4799" s="66"/>
      <c r="K4799" s="66"/>
      <c r="L4799" s="68"/>
      <c r="M4799" s="63" t="str">
        <f>HYPERLINK("http://nsgreg.nga.mil/genc/view?v=863740&amp;end_month=12&amp;end_day=31&amp;end_year=2016","Correlation")</f>
        <v>Correlation</v>
      </c>
    </row>
    <row r="4800" spans="1:13" x14ac:dyDescent="0.2">
      <c r="A4800" s="113"/>
      <c r="B4800" s="58" t="s">
        <v>11796</v>
      </c>
      <c r="C4800" s="58" t="s">
        <v>11459</v>
      </c>
      <c r="D4800" s="58" t="s">
        <v>11797</v>
      </c>
      <c r="E4800" s="60" t="b">
        <v>1</v>
      </c>
      <c r="F4800" s="80" t="s">
        <v>1332</v>
      </c>
      <c r="G4800" s="58" t="s">
        <v>11796</v>
      </c>
      <c r="H4800" s="58" t="s">
        <v>11459</v>
      </c>
      <c r="I4800" s="64" t="s">
        <v>11797</v>
      </c>
      <c r="J4800" s="66"/>
      <c r="K4800" s="66"/>
      <c r="L4800" s="68"/>
      <c r="M4800" s="63" t="str">
        <f>HYPERLINK("http://nsgreg.nga.mil/genc/view?v=863729&amp;end_month=12&amp;end_day=31&amp;end_year=2016","Correlation")</f>
        <v>Correlation</v>
      </c>
    </row>
    <row r="4801" spans="1:13" x14ac:dyDescent="0.2">
      <c r="A4801" s="113"/>
      <c r="B4801" s="58" t="s">
        <v>11798</v>
      </c>
      <c r="C4801" s="58" t="s">
        <v>11436</v>
      </c>
      <c r="D4801" s="58" t="s">
        <v>11799</v>
      </c>
      <c r="E4801" s="60" t="b">
        <v>1</v>
      </c>
      <c r="F4801" s="80" t="s">
        <v>1332</v>
      </c>
      <c r="G4801" s="58" t="s">
        <v>11798</v>
      </c>
      <c r="H4801" s="58" t="s">
        <v>11436</v>
      </c>
      <c r="I4801" s="64" t="s">
        <v>11799</v>
      </c>
      <c r="J4801" s="66"/>
      <c r="K4801" s="66"/>
      <c r="L4801" s="68"/>
      <c r="M4801" s="63" t="str">
        <f>HYPERLINK("http://nsgreg.nga.mil/genc/view?v=863736&amp;end_month=12&amp;end_day=31&amp;end_year=2016","Correlation")</f>
        <v>Correlation</v>
      </c>
    </row>
    <row r="4802" spans="1:13" x14ac:dyDescent="0.2">
      <c r="A4802" s="113"/>
      <c r="B4802" s="58" t="s">
        <v>11800</v>
      </c>
      <c r="C4802" s="58" t="s">
        <v>11456</v>
      </c>
      <c r="D4802" s="58" t="s">
        <v>11801</v>
      </c>
      <c r="E4802" s="60" t="b">
        <v>1</v>
      </c>
      <c r="F4802" s="80" t="s">
        <v>1332</v>
      </c>
      <c r="G4802" s="58" t="s">
        <v>11800</v>
      </c>
      <c r="H4802" s="58" t="s">
        <v>11456</v>
      </c>
      <c r="I4802" s="64" t="s">
        <v>11801</v>
      </c>
      <c r="J4802" s="66"/>
      <c r="K4802" s="66"/>
      <c r="L4802" s="68"/>
      <c r="M4802" s="63" t="str">
        <f>HYPERLINK("http://nsgreg.nga.mil/genc/view?v=863748&amp;end_month=12&amp;end_day=31&amp;end_year=2016","Correlation")</f>
        <v>Correlation</v>
      </c>
    </row>
    <row r="4803" spans="1:13" x14ac:dyDescent="0.2">
      <c r="A4803" s="113"/>
      <c r="B4803" s="58" t="s">
        <v>11802</v>
      </c>
      <c r="C4803" s="58" t="s">
        <v>11451</v>
      </c>
      <c r="D4803" s="58" t="s">
        <v>11803</v>
      </c>
      <c r="E4803" s="60" t="b">
        <v>1</v>
      </c>
      <c r="F4803" s="80" t="s">
        <v>1332</v>
      </c>
      <c r="G4803" s="58" t="s">
        <v>11802</v>
      </c>
      <c r="H4803" s="58" t="s">
        <v>11451</v>
      </c>
      <c r="I4803" s="64" t="s">
        <v>11803</v>
      </c>
      <c r="J4803" s="66"/>
      <c r="K4803" s="66"/>
      <c r="L4803" s="68"/>
      <c r="M4803" s="63" t="str">
        <f>HYPERLINK("http://nsgreg.nga.mil/genc/view?v=863751&amp;end_month=12&amp;end_day=31&amp;end_year=2016","Correlation")</f>
        <v>Correlation</v>
      </c>
    </row>
    <row r="4804" spans="1:13" x14ac:dyDescent="0.2">
      <c r="A4804" s="113"/>
      <c r="B4804" s="58" t="s">
        <v>11804</v>
      </c>
      <c r="C4804" s="58" t="s">
        <v>1483</v>
      </c>
      <c r="D4804" s="58" t="s">
        <v>11805</v>
      </c>
      <c r="E4804" s="60" t="b">
        <v>1</v>
      </c>
      <c r="F4804" s="80" t="s">
        <v>1332</v>
      </c>
      <c r="G4804" s="58" t="s">
        <v>11804</v>
      </c>
      <c r="H4804" s="58" t="s">
        <v>11496</v>
      </c>
      <c r="I4804" s="64" t="s">
        <v>11805</v>
      </c>
      <c r="J4804" s="66"/>
      <c r="K4804" s="66"/>
      <c r="L4804" s="68"/>
      <c r="M4804" s="63" t="str">
        <f>HYPERLINK("http://nsgreg.nga.mil/genc/view?v=863746&amp;end_month=12&amp;end_day=31&amp;end_year=2016","Correlation")</f>
        <v>Correlation</v>
      </c>
    </row>
    <row r="4805" spans="1:13" x14ac:dyDescent="0.2">
      <c r="A4805" s="113"/>
      <c r="B4805" s="58" t="s">
        <v>11806</v>
      </c>
      <c r="C4805" s="58" t="s">
        <v>11456</v>
      </c>
      <c r="D4805" s="58" t="s">
        <v>11807</v>
      </c>
      <c r="E4805" s="60" t="b">
        <v>1</v>
      </c>
      <c r="F4805" s="80" t="s">
        <v>1332</v>
      </c>
      <c r="G4805" s="58" t="s">
        <v>11806</v>
      </c>
      <c r="H4805" s="58" t="s">
        <v>11456</v>
      </c>
      <c r="I4805" s="64" t="s">
        <v>11807</v>
      </c>
      <c r="J4805" s="66"/>
      <c r="K4805" s="66"/>
      <c r="L4805" s="68"/>
      <c r="M4805" s="63" t="str">
        <f>HYPERLINK("http://nsgreg.nga.mil/genc/view?v=863731&amp;end_month=12&amp;end_day=31&amp;end_year=2016","Correlation")</f>
        <v>Correlation</v>
      </c>
    </row>
    <row r="4806" spans="1:13" x14ac:dyDescent="0.2">
      <c r="A4806" s="113"/>
      <c r="B4806" s="58" t="s">
        <v>11808</v>
      </c>
      <c r="C4806" s="58" t="s">
        <v>11436</v>
      </c>
      <c r="D4806" s="58" t="s">
        <v>11809</v>
      </c>
      <c r="E4806" s="60" t="b">
        <v>1</v>
      </c>
      <c r="F4806" s="80" t="s">
        <v>1332</v>
      </c>
      <c r="G4806" s="58" t="s">
        <v>11808</v>
      </c>
      <c r="H4806" s="58" t="s">
        <v>11436</v>
      </c>
      <c r="I4806" s="64" t="s">
        <v>11809</v>
      </c>
      <c r="J4806" s="66"/>
      <c r="K4806" s="66"/>
      <c r="L4806" s="68"/>
      <c r="M4806" s="63" t="str">
        <f>HYPERLINK("http://nsgreg.nga.mil/genc/view?v=863743&amp;end_month=12&amp;end_day=31&amp;end_year=2016","Correlation")</f>
        <v>Correlation</v>
      </c>
    </row>
    <row r="4807" spans="1:13" x14ac:dyDescent="0.2">
      <c r="A4807" s="113"/>
      <c r="B4807" s="58" t="s">
        <v>11810</v>
      </c>
      <c r="C4807" s="58" t="s">
        <v>11456</v>
      </c>
      <c r="D4807" s="58" t="s">
        <v>11811</v>
      </c>
      <c r="E4807" s="60" t="b">
        <v>1</v>
      </c>
      <c r="F4807" s="80" t="s">
        <v>1332</v>
      </c>
      <c r="G4807" s="58" t="s">
        <v>11810</v>
      </c>
      <c r="H4807" s="58" t="s">
        <v>11456</v>
      </c>
      <c r="I4807" s="64" t="s">
        <v>11811</v>
      </c>
      <c r="J4807" s="66"/>
      <c r="K4807" s="66"/>
      <c r="L4807" s="68"/>
      <c r="M4807" s="63" t="str">
        <f>HYPERLINK("http://nsgreg.nga.mil/genc/view?v=863733&amp;end_month=12&amp;end_day=31&amp;end_year=2016","Correlation")</f>
        <v>Correlation</v>
      </c>
    </row>
    <row r="4808" spans="1:13" x14ac:dyDescent="0.2">
      <c r="A4808" s="113"/>
      <c r="B4808" s="58" t="s">
        <v>11812</v>
      </c>
      <c r="C4808" s="58" t="s">
        <v>11459</v>
      </c>
      <c r="D4808" s="58" t="s">
        <v>11813</v>
      </c>
      <c r="E4808" s="60" t="b">
        <v>1</v>
      </c>
      <c r="F4808" s="80" t="s">
        <v>1332</v>
      </c>
      <c r="G4808" s="58" t="s">
        <v>11812</v>
      </c>
      <c r="H4808" s="58" t="s">
        <v>11459</v>
      </c>
      <c r="I4808" s="64" t="s">
        <v>11813</v>
      </c>
      <c r="J4808" s="66"/>
      <c r="K4808" s="66"/>
      <c r="L4808" s="68"/>
      <c r="M4808" s="63" t="str">
        <f>HYPERLINK("http://nsgreg.nga.mil/genc/view?v=863747&amp;end_month=12&amp;end_day=31&amp;end_year=2016","Correlation")</f>
        <v>Correlation</v>
      </c>
    </row>
    <row r="4809" spans="1:13" x14ac:dyDescent="0.2">
      <c r="A4809" s="113"/>
      <c r="B4809" s="58" t="s">
        <v>11814</v>
      </c>
      <c r="C4809" s="58" t="s">
        <v>11459</v>
      </c>
      <c r="D4809" s="58" t="s">
        <v>11815</v>
      </c>
      <c r="E4809" s="60" t="b">
        <v>1</v>
      </c>
      <c r="F4809" s="80" t="s">
        <v>1332</v>
      </c>
      <c r="G4809" s="58" t="s">
        <v>11814</v>
      </c>
      <c r="H4809" s="58" t="s">
        <v>11459</v>
      </c>
      <c r="I4809" s="64" t="s">
        <v>11815</v>
      </c>
      <c r="J4809" s="66"/>
      <c r="K4809" s="66"/>
      <c r="L4809" s="68"/>
      <c r="M4809" s="63" t="str">
        <f>HYPERLINK("http://nsgreg.nga.mil/genc/view?v=863742&amp;end_month=12&amp;end_day=31&amp;end_year=2016","Correlation")</f>
        <v>Correlation</v>
      </c>
    </row>
    <row r="4810" spans="1:13" x14ac:dyDescent="0.2">
      <c r="A4810" s="113"/>
      <c r="B4810" s="58" t="s">
        <v>11816</v>
      </c>
      <c r="C4810" s="58" t="s">
        <v>1483</v>
      </c>
      <c r="D4810" s="58" t="s">
        <v>11817</v>
      </c>
      <c r="E4810" s="60" t="b">
        <v>1</v>
      </c>
      <c r="F4810" s="80" t="s">
        <v>1332</v>
      </c>
      <c r="G4810" s="58" t="s">
        <v>11816</v>
      </c>
      <c r="H4810" s="58" t="s">
        <v>11496</v>
      </c>
      <c r="I4810" s="64" t="s">
        <v>11817</v>
      </c>
      <c r="J4810" s="66"/>
      <c r="K4810" s="66"/>
      <c r="L4810" s="68"/>
      <c r="M4810" s="63" t="str">
        <f>HYPERLINK("http://nsgreg.nga.mil/genc/view?v=863727&amp;end_month=12&amp;end_day=31&amp;end_year=2016","Correlation")</f>
        <v>Correlation</v>
      </c>
    </row>
    <row r="4811" spans="1:13" x14ac:dyDescent="0.2">
      <c r="A4811" s="113"/>
      <c r="B4811" s="58" t="s">
        <v>11818</v>
      </c>
      <c r="C4811" s="58" t="s">
        <v>11456</v>
      </c>
      <c r="D4811" s="58" t="s">
        <v>11819</v>
      </c>
      <c r="E4811" s="60" t="b">
        <v>1</v>
      </c>
      <c r="F4811" s="80" t="s">
        <v>1332</v>
      </c>
      <c r="G4811" s="58" t="s">
        <v>11818</v>
      </c>
      <c r="H4811" s="58" t="s">
        <v>11456</v>
      </c>
      <c r="I4811" s="64" t="s">
        <v>11819</v>
      </c>
      <c r="J4811" s="66"/>
      <c r="K4811" s="66"/>
      <c r="L4811" s="68"/>
      <c r="M4811" s="63" t="str">
        <f>HYPERLINK("http://nsgreg.nga.mil/genc/view?v=863737&amp;end_month=12&amp;end_day=31&amp;end_year=2016","Correlation")</f>
        <v>Correlation</v>
      </c>
    </row>
    <row r="4812" spans="1:13" x14ac:dyDescent="0.2">
      <c r="A4812" s="113"/>
      <c r="B4812" s="58" t="s">
        <v>11820</v>
      </c>
      <c r="C4812" s="58" t="s">
        <v>1483</v>
      </c>
      <c r="D4812" s="58" t="s">
        <v>11821</v>
      </c>
      <c r="E4812" s="60" t="b">
        <v>1</v>
      </c>
      <c r="F4812" s="80" t="s">
        <v>1332</v>
      </c>
      <c r="G4812" s="58" t="s">
        <v>11820</v>
      </c>
      <c r="H4812" s="58" t="s">
        <v>11496</v>
      </c>
      <c r="I4812" s="64" t="s">
        <v>11821</v>
      </c>
      <c r="J4812" s="66"/>
      <c r="K4812" s="66"/>
      <c r="L4812" s="68"/>
      <c r="M4812" s="63" t="str">
        <f>HYPERLINK("http://nsgreg.nga.mil/genc/view?v=863741&amp;end_month=12&amp;end_day=31&amp;end_year=2016","Correlation")</f>
        <v>Correlation</v>
      </c>
    </row>
    <row r="4813" spans="1:13" x14ac:dyDescent="0.2">
      <c r="A4813" s="113"/>
      <c r="B4813" s="58" t="s">
        <v>11822</v>
      </c>
      <c r="C4813" s="58" t="s">
        <v>11451</v>
      </c>
      <c r="D4813" s="58" t="s">
        <v>11823</v>
      </c>
      <c r="E4813" s="60" t="b">
        <v>1</v>
      </c>
      <c r="F4813" s="80" t="s">
        <v>1332</v>
      </c>
      <c r="G4813" s="58" t="s">
        <v>11822</v>
      </c>
      <c r="H4813" s="58" t="s">
        <v>11451</v>
      </c>
      <c r="I4813" s="64" t="s">
        <v>11823</v>
      </c>
      <c r="J4813" s="66"/>
      <c r="K4813" s="66"/>
      <c r="L4813" s="68"/>
      <c r="M4813" s="63" t="str">
        <f>HYPERLINK("http://nsgreg.nga.mil/genc/view?v=863745&amp;end_month=12&amp;end_day=31&amp;end_year=2016","Correlation")</f>
        <v>Correlation</v>
      </c>
    </row>
    <row r="4814" spans="1:13" x14ac:dyDescent="0.2">
      <c r="A4814" s="113"/>
      <c r="B4814" s="58" t="s">
        <v>11824</v>
      </c>
      <c r="C4814" s="58" t="s">
        <v>11459</v>
      </c>
      <c r="D4814" s="58" t="s">
        <v>11825</v>
      </c>
      <c r="E4814" s="60" t="b">
        <v>1</v>
      </c>
      <c r="F4814" s="80" t="s">
        <v>1332</v>
      </c>
      <c r="G4814" s="58" t="s">
        <v>11824</v>
      </c>
      <c r="H4814" s="58" t="s">
        <v>11475</v>
      </c>
      <c r="I4814" s="64" t="s">
        <v>11825</v>
      </c>
      <c r="J4814" s="66"/>
      <c r="K4814" s="66"/>
      <c r="L4814" s="68"/>
      <c r="M4814" s="63" t="str">
        <f>HYPERLINK("http://nsgreg.nga.mil/genc/view?v=863749&amp;end_month=12&amp;end_day=31&amp;end_year=2016","Correlation")</f>
        <v>Correlation</v>
      </c>
    </row>
    <row r="4815" spans="1:13" x14ac:dyDescent="0.2">
      <c r="A4815" s="113"/>
      <c r="B4815" s="58" t="s">
        <v>11826</v>
      </c>
      <c r="C4815" s="58" t="s">
        <v>11459</v>
      </c>
      <c r="D4815" s="58" t="s">
        <v>11827</v>
      </c>
      <c r="E4815" s="60" t="b">
        <v>1</v>
      </c>
      <c r="F4815" s="80" t="s">
        <v>1332</v>
      </c>
      <c r="G4815" s="58" t="s">
        <v>11826</v>
      </c>
      <c r="H4815" s="58" t="s">
        <v>11459</v>
      </c>
      <c r="I4815" s="64" t="s">
        <v>11827</v>
      </c>
      <c r="J4815" s="66"/>
      <c r="K4815" s="66"/>
      <c r="L4815" s="68"/>
      <c r="M4815" s="63" t="str">
        <f>HYPERLINK("http://nsgreg.nga.mil/genc/view?v=863750&amp;end_month=12&amp;end_day=31&amp;end_year=2016","Correlation")</f>
        <v>Correlation</v>
      </c>
    </row>
    <row r="4816" spans="1:13" x14ac:dyDescent="0.2">
      <c r="A4816" s="113"/>
      <c r="B4816" s="58" t="s">
        <v>11828</v>
      </c>
      <c r="C4816" s="58" t="s">
        <v>11456</v>
      </c>
      <c r="D4816" s="58" t="s">
        <v>11829</v>
      </c>
      <c r="E4816" s="60" t="b">
        <v>1</v>
      </c>
      <c r="F4816" s="80" t="s">
        <v>1332</v>
      </c>
      <c r="G4816" s="58" t="s">
        <v>11828</v>
      </c>
      <c r="H4816" s="58" t="s">
        <v>11456</v>
      </c>
      <c r="I4816" s="64" t="s">
        <v>11829</v>
      </c>
      <c r="J4816" s="66"/>
      <c r="K4816" s="66"/>
      <c r="L4816" s="68"/>
      <c r="M4816" s="63" t="str">
        <f>HYPERLINK("http://nsgreg.nga.mil/genc/view?v=863752&amp;end_month=12&amp;end_day=31&amp;end_year=2016","Correlation")</f>
        <v>Correlation</v>
      </c>
    </row>
    <row r="4817" spans="1:13" x14ac:dyDescent="0.2">
      <c r="A4817" s="113"/>
      <c r="B4817" s="58" t="s">
        <v>11830</v>
      </c>
      <c r="C4817" s="58" t="s">
        <v>11459</v>
      </c>
      <c r="D4817" s="58" t="s">
        <v>11831</v>
      </c>
      <c r="E4817" s="60" t="b">
        <v>1</v>
      </c>
      <c r="F4817" s="80" t="s">
        <v>1332</v>
      </c>
      <c r="G4817" s="58" t="s">
        <v>11830</v>
      </c>
      <c r="H4817" s="58" t="s">
        <v>11459</v>
      </c>
      <c r="I4817" s="64" t="s">
        <v>11831</v>
      </c>
      <c r="J4817" s="66"/>
      <c r="K4817" s="66"/>
      <c r="L4817" s="68"/>
      <c r="M4817" s="63" t="str">
        <f>HYPERLINK("http://nsgreg.nga.mil/genc/view?v=863753&amp;end_month=12&amp;end_day=31&amp;end_year=2016","Correlation")</f>
        <v>Correlation</v>
      </c>
    </row>
    <row r="4818" spans="1:13" x14ac:dyDescent="0.2">
      <c r="A4818" s="113"/>
      <c r="B4818" s="58" t="s">
        <v>11832</v>
      </c>
      <c r="C4818" s="58" t="s">
        <v>11459</v>
      </c>
      <c r="D4818" s="58" t="s">
        <v>11833</v>
      </c>
      <c r="E4818" s="60" t="b">
        <v>1</v>
      </c>
      <c r="F4818" s="80" t="s">
        <v>1332</v>
      </c>
      <c r="G4818" s="58" t="s">
        <v>11832</v>
      </c>
      <c r="H4818" s="58" t="s">
        <v>11459</v>
      </c>
      <c r="I4818" s="64" t="s">
        <v>11833</v>
      </c>
      <c r="J4818" s="66"/>
      <c r="K4818" s="66"/>
      <c r="L4818" s="68"/>
      <c r="M4818" s="63" t="str">
        <f>HYPERLINK("http://nsgreg.nga.mil/genc/view?v=863754&amp;end_month=12&amp;end_day=31&amp;end_year=2016","Correlation")</f>
        <v>Correlation</v>
      </c>
    </row>
    <row r="4819" spans="1:13" x14ac:dyDescent="0.2">
      <c r="A4819" s="113"/>
      <c r="B4819" s="58" t="s">
        <v>11834</v>
      </c>
      <c r="C4819" s="58" t="s">
        <v>11459</v>
      </c>
      <c r="D4819" s="58" t="s">
        <v>11835</v>
      </c>
      <c r="E4819" s="60" t="b">
        <v>1</v>
      </c>
      <c r="F4819" s="80" t="s">
        <v>1332</v>
      </c>
      <c r="G4819" s="58" t="s">
        <v>11834</v>
      </c>
      <c r="H4819" s="58" t="s">
        <v>11459</v>
      </c>
      <c r="I4819" s="64" t="s">
        <v>11835</v>
      </c>
      <c r="J4819" s="66"/>
      <c r="K4819" s="66"/>
      <c r="L4819" s="68"/>
      <c r="M4819" s="63" t="str">
        <f>HYPERLINK("http://nsgreg.nga.mil/genc/view?v=863755&amp;end_month=12&amp;end_day=31&amp;end_year=2016","Correlation")</f>
        <v>Correlation</v>
      </c>
    </row>
    <row r="4820" spans="1:13" x14ac:dyDescent="0.2">
      <c r="A4820" s="113"/>
      <c r="B4820" s="58" t="s">
        <v>11836</v>
      </c>
      <c r="C4820" s="58" t="s">
        <v>11459</v>
      </c>
      <c r="D4820" s="58" t="s">
        <v>11837</v>
      </c>
      <c r="E4820" s="60" t="b">
        <v>1</v>
      </c>
      <c r="F4820" s="80" t="s">
        <v>1332</v>
      </c>
      <c r="G4820" s="58" t="s">
        <v>11836</v>
      </c>
      <c r="H4820" s="58" t="s">
        <v>11475</v>
      </c>
      <c r="I4820" s="64" t="s">
        <v>11837</v>
      </c>
      <c r="J4820" s="66"/>
      <c r="K4820" s="66"/>
      <c r="L4820" s="68"/>
      <c r="M4820" s="63" t="str">
        <f>HYPERLINK("http://nsgreg.nga.mil/genc/view?v=863756&amp;end_month=12&amp;end_day=31&amp;end_year=2016","Correlation")</f>
        <v>Correlation</v>
      </c>
    </row>
    <row r="4821" spans="1:13" x14ac:dyDescent="0.2">
      <c r="A4821" s="113"/>
      <c r="B4821" s="58" t="s">
        <v>11838</v>
      </c>
      <c r="C4821" s="58" t="s">
        <v>11451</v>
      </c>
      <c r="D4821" s="58" t="s">
        <v>11839</v>
      </c>
      <c r="E4821" s="60" t="b">
        <v>1</v>
      </c>
      <c r="F4821" s="80" t="s">
        <v>1332</v>
      </c>
      <c r="G4821" s="58" t="s">
        <v>11838</v>
      </c>
      <c r="H4821" s="58" t="s">
        <v>11451</v>
      </c>
      <c r="I4821" s="64" t="s">
        <v>11839</v>
      </c>
      <c r="J4821" s="66"/>
      <c r="K4821" s="66"/>
      <c r="L4821" s="68"/>
      <c r="M4821" s="63" t="str">
        <f>HYPERLINK("http://nsgreg.nga.mil/genc/view?v=863758&amp;end_month=12&amp;end_day=31&amp;end_year=2016","Correlation")</f>
        <v>Correlation</v>
      </c>
    </row>
    <row r="4822" spans="1:13" x14ac:dyDescent="0.2">
      <c r="A4822" s="113"/>
      <c r="B4822" s="58" t="s">
        <v>11840</v>
      </c>
      <c r="C4822" s="58" t="s">
        <v>11456</v>
      </c>
      <c r="D4822" s="58" t="s">
        <v>11841</v>
      </c>
      <c r="E4822" s="60" t="b">
        <v>1</v>
      </c>
      <c r="F4822" s="80" t="s">
        <v>1332</v>
      </c>
      <c r="G4822" s="58" t="s">
        <v>11840</v>
      </c>
      <c r="H4822" s="58" t="s">
        <v>11456</v>
      </c>
      <c r="I4822" s="64" t="s">
        <v>11841</v>
      </c>
      <c r="J4822" s="66"/>
      <c r="K4822" s="66"/>
      <c r="L4822" s="68"/>
      <c r="M4822" s="63" t="str">
        <f>HYPERLINK("http://nsgreg.nga.mil/genc/view?v=863757&amp;end_month=12&amp;end_day=31&amp;end_year=2016","Correlation")</f>
        <v>Correlation</v>
      </c>
    </row>
    <row r="4823" spans="1:13" x14ac:dyDescent="0.2">
      <c r="A4823" s="113"/>
      <c r="B4823" s="58" t="s">
        <v>11842</v>
      </c>
      <c r="C4823" s="58" t="s">
        <v>11459</v>
      </c>
      <c r="D4823" s="58" t="s">
        <v>11843</v>
      </c>
      <c r="E4823" s="60" t="b">
        <v>1</v>
      </c>
      <c r="F4823" s="80" t="s">
        <v>1332</v>
      </c>
      <c r="G4823" s="58" t="s">
        <v>11842</v>
      </c>
      <c r="H4823" s="58" t="s">
        <v>11475</v>
      </c>
      <c r="I4823" s="64" t="s">
        <v>11843</v>
      </c>
      <c r="J4823" s="66"/>
      <c r="K4823" s="66"/>
      <c r="L4823" s="68"/>
      <c r="M4823" s="63" t="str">
        <f>HYPERLINK("http://nsgreg.nga.mil/genc/view?v=863759&amp;end_month=12&amp;end_day=31&amp;end_year=2016","Correlation")</f>
        <v>Correlation</v>
      </c>
    </row>
    <row r="4824" spans="1:13" x14ac:dyDescent="0.2">
      <c r="A4824" s="113"/>
      <c r="B4824" s="58" t="s">
        <v>11844</v>
      </c>
      <c r="C4824" s="58" t="s">
        <v>11456</v>
      </c>
      <c r="D4824" s="58" t="s">
        <v>11845</v>
      </c>
      <c r="E4824" s="60" t="b">
        <v>1</v>
      </c>
      <c r="F4824" s="80" t="s">
        <v>1332</v>
      </c>
      <c r="G4824" s="58" t="s">
        <v>11844</v>
      </c>
      <c r="H4824" s="58" t="s">
        <v>11456</v>
      </c>
      <c r="I4824" s="64" t="s">
        <v>11845</v>
      </c>
      <c r="J4824" s="66"/>
      <c r="K4824" s="66"/>
      <c r="L4824" s="68"/>
      <c r="M4824" s="63" t="str">
        <f>HYPERLINK("http://nsgreg.nga.mil/genc/view?v=863766&amp;end_month=12&amp;end_day=31&amp;end_year=2016","Correlation")</f>
        <v>Correlation</v>
      </c>
    </row>
    <row r="4825" spans="1:13" x14ac:dyDescent="0.2">
      <c r="A4825" s="113"/>
      <c r="B4825" s="58" t="s">
        <v>11846</v>
      </c>
      <c r="C4825" s="58" t="s">
        <v>11579</v>
      </c>
      <c r="D4825" s="58" t="s">
        <v>11847</v>
      </c>
      <c r="E4825" s="60" t="b">
        <v>1</v>
      </c>
      <c r="F4825" s="80" t="s">
        <v>1332</v>
      </c>
      <c r="G4825" s="58" t="s">
        <v>11846</v>
      </c>
      <c r="H4825" s="58" t="s">
        <v>11579</v>
      </c>
      <c r="I4825" s="64" t="s">
        <v>11847</v>
      </c>
      <c r="J4825" s="66"/>
      <c r="K4825" s="66"/>
      <c r="L4825" s="68"/>
      <c r="M4825" s="63" t="str">
        <f>HYPERLINK("http://nsgreg.nga.mil/genc/view?v=863769&amp;end_month=12&amp;end_day=31&amp;end_year=2016","Correlation")</f>
        <v>Correlation</v>
      </c>
    </row>
    <row r="4826" spans="1:13" x14ac:dyDescent="0.2">
      <c r="A4826" s="113"/>
      <c r="B4826" s="58" t="s">
        <v>11848</v>
      </c>
      <c r="C4826" s="58" t="s">
        <v>11456</v>
      </c>
      <c r="D4826" s="58" t="s">
        <v>11849</v>
      </c>
      <c r="E4826" s="60" t="b">
        <v>1</v>
      </c>
      <c r="F4826" s="80" t="s">
        <v>1332</v>
      </c>
      <c r="G4826" s="58" t="s">
        <v>11848</v>
      </c>
      <c r="H4826" s="58" t="s">
        <v>11456</v>
      </c>
      <c r="I4826" s="64" t="s">
        <v>11849</v>
      </c>
      <c r="J4826" s="66"/>
      <c r="K4826" s="66"/>
      <c r="L4826" s="68"/>
      <c r="M4826" s="63" t="str">
        <f>HYPERLINK("http://nsgreg.nga.mil/genc/view?v=863767&amp;end_month=12&amp;end_day=31&amp;end_year=2016","Correlation")</f>
        <v>Correlation</v>
      </c>
    </row>
    <row r="4827" spans="1:13" x14ac:dyDescent="0.2">
      <c r="A4827" s="113"/>
      <c r="B4827" s="58" t="s">
        <v>11850</v>
      </c>
      <c r="C4827" s="58" t="s">
        <v>11451</v>
      </c>
      <c r="D4827" s="58" t="s">
        <v>11851</v>
      </c>
      <c r="E4827" s="60" t="b">
        <v>1</v>
      </c>
      <c r="F4827" s="80" t="s">
        <v>1332</v>
      </c>
      <c r="G4827" s="58" t="s">
        <v>11850</v>
      </c>
      <c r="H4827" s="58" t="s">
        <v>11451</v>
      </c>
      <c r="I4827" s="64" t="s">
        <v>11851</v>
      </c>
      <c r="J4827" s="66"/>
      <c r="K4827" s="66"/>
      <c r="L4827" s="68"/>
      <c r="M4827" s="63" t="str">
        <f>HYPERLINK("http://nsgreg.nga.mil/genc/view?v=863763&amp;end_month=12&amp;end_day=31&amp;end_year=2016","Correlation")</f>
        <v>Correlation</v>
      </c>
    </row>
    <row r="4828" spans="1:13" x14ac:dyDescent="0.2">
      <c r="A4828" s="113"/>
      <c r="B4828" s="58" t="s">
        <v>11852</v>
      </c>
      <c r="C4828" s="58" t="s">
        <v>11451</v>
      </c>
      <c r="D4828" s="58" t="s">
        <v>11853</v>
      </c>
      <c r="E4828" s="60" t="b">
        <v>1</v>
      </c>
      <c r="F4828" s="80" t="s">
        <v>1332</v>
      </c>
      <c r="G4828" s="58" t="s">
        <v>11852</v>
      </c>
      <c r="H4828" s="58" t="s">
        <v>11451</v>
      </c>
      <c r="I4828" s="64" t="s">
        <v>11853</v>
      </c>
      <c r="J4828" s="66"/>
      <c r="K4828" s="66"/>
      <c r="L4828" s="68"/>
      <c r="M4828" s="63" t="str">
        <f>HYPERLINK("http://nsgreg.nga.mil/genc/view?v=863771&amp;end_month=12&amp;end_day=31&amp;end_year=2016","Correlation")</f>
        <v>Correlation</v>
      </c>
    </row>
    <row r="4829" spans="1:13" x14ac:dyDescent="0.2">
      <c r="A4829" s="113"/>
      <c r="B4829" s="58" t="s">
        <v>11854</v>
      </c>
      <c r="C4829" s="58" t="s">
        <v>11459</v>
      </c>
      <c r="D4829" s="58" t="s">
        <v>11855</v>
      </c>
      <c r="E4829" s="60" t="b">
        <v>1</v>
      </c>
      <c r="F4829" s="80" t="s">
        <v>1332</v>
      </c>
      <c r="G4829" s="58" t="s">
        <v>11854</v>
      </c>
      <c r="H4829" s="58" t="s">
        <v>11459</v>
      </c>
      <c r="I4829" s="64" t="s">
        <v>11855</v>
      </c>
      <c r="J4829" s="66"/>
      <c r="K4829" s="66"/>
      <c r="L4829" s="68"/>
      <c r="M4829" s="63" t="str">
        <f>HYPERLINK("http://nsgreg.nga.mil/genc/view?v=863776&amp;end_month=12&amp;end_day=31&amp;end_year=2016","Correlation")</f>
        <v>Correlation</v>
      </c>
    </row>
    <row r="4830" spans="1:13" x14ac:dyDescent="0.2">
      <c r="A4830" s="113"/>
      <c r="B4830" s="58" t="s">
        <v>11856</v>
      </c>
      <c r="C4830" s="58" t="s">
        <v>1483</v>
      </c>
      <c r="D4830" s="58" t="s">
        <v>11857</v>
      </c>
      <c r="E4830" s="60" t="b">
        <v>1</v>
      </c>
      <c r="F4830" s="80" t="s">
        <v>1332</v>
      </c>
      <c r="G4830" s="58" t="s">
        <v>11856</v>
      </c>
      <c r="H4830" s="58" t="s">
        <v>11496</v>
      </c>
      <c r="I4830" s="64" t="s">
        <v>11857</v>
      </c>
      <c r="J4830" s="66"/>
      <c r="K4830" s="66"/>
      <c r="L4830" s="68"/>
      <c r="M4830" s="63" t="str">
        <f>HYPERLINK("http://nsgreg.nga.mil/genc/view?v=863760&amp;end_month=12&amp;end_day=31&amp;end_year=2016","Correlation")</f>
        <v>Correlation</v>
      </c>
    </row>
    <row r="4831" spans="1:13" x14ac:dyDescent="0.2">
      <c r="A4831" s="113"/>
      <c r="B4831" s="58" t="s">
        <v>11858</v>
      </c>
      <c r="C4831" s="58" t="s">
        <v>11459</v>
      </c>
      <c r="D4831" s="58" t="s">
        <v>11859</v>
      </c>
      <c r="E4831" s="60" t="b">
        <v>1</v>
      </c>
      <c r="F4831" s="80" t="s">
        <v>1332</v>
      </c>
      <c r="G4831" s="58" t="s">
        <v>11858</v>
      </c>
      <c r="H4831" s="58" t="s">
        <v>11459</v>
      </c>
      <c r="I4831" s="64" t="s">
        <v>11859</v>
      </c>
      <c r="J4831" s="66"/>
      <c r="K4831" s="66"/>
      <c r="L4831" s="68"/>
      <c r="M4831" s="63" t="str">
        <f>HYPERLINK("http://nsgreg.nga.mil/genc/view?v=863761&amp;end_month=12&amp;end_day=31&amp;end_year=2016","Correlation")</f>
        <v>Correlation</v>
      </c>
    </row>
    <row r="4832" spans="1:13" x14ac:dyDescent="0.2">
      <c r="A4832" s="113"/>
      <c r="B4832" s="58" t="s">
        <v>11860</v>
      </c>
      <c r="C4832" s="58" t="s">
        <v>11436</v>
      </c>
      <c r="D4832" s="58" t="s">
        <v>11861</v>
      </c>
      <c r="E4832" s="60" t="b">
        <v>1</v>
      </c>
      <c r="F4832" s="80" t="s">
        <v>1332</v>
      </c>
      <c r="G4832" s="58" t="s">
        <v>11860</v>
      </c>
      <c r="H4832" s="58" t="s">
        <v>11436</v>
      </c>
      <c r="I4832" s="64" t="s">
        <v>11861</v>
      </c>
      <c r="J4832" s="66"/>
      <c r="K4832" s="66"/>
      <c r="L4832" s="68"/>
      <c r="M4832" s="63" t="str">
        <f>HYPERLINK("http://nsgreg.nga.mil/genc/view?v=863762&amp;end_month=12&amp;end_day=31&amp;end_year=2016","Correlation")</f>
        <v>Correlation</v>
      </c>
    </row>
    <row r="4833" spans="1:13" x14ac:dyDescent="0.2">
      <c r="A4833" s="113"/>
      <c r="B4833" s="58" t="s">
        <v>11862</v>
      </c>
      <c r="C4833" s="58" t="s">
        <v>11436</v>
      </c>
      <c r="D4833" s="58" t="s">
        <v>11863</v>
      </c>
      <c r="E4833" s="60" t="b">
        <v>1</v>
      </c>
      <c r="F4833" s="80" t="s">
        <v>1332</v>
      </c>
      <c r="G4833" s="58" t="s">
        <v>11862</v>
      </c>
      <c r="H4833" s="58" t="s">
        <v>11436</v>
      </c>
      <c r="I4833" s="64" t="s">
        <v>11863</v>
      </c>
      <c r="J4833" s="66"/>
      <c r="K4833" s="66"/>
      <c r="L4833" s="68"/>
      <c r="M4833" s="63" t="str">
        <f>HYPERLINK("http://nsgreg.nga.mil/genc/view?v=863768&amp;end_month=12&amp;end_day=31&amp;end_year=2016","Correlation")</f>
        <v>Correlation</v>
      </c>
    </row>
    <row r="4834" spans="1:13" x14ac:dyDescent="0.2">
      <c r="A4834" s="113"/>
      <c r="B4834" s="58" t="s">
        <v>11864</v>
      </c>
      <c r="C4834" s="58" t="s">
        <v>11451</v>
      </c>
      <c r="D4834" s="58" t="s">
        <v>11865</v>
      </c>
      <c r="E4834" s="60" t="b">
        <v>1</v>
      </c>
      <c r="F4834" s="80" t="s">
        <v>1332</v>
      </c>
      <c r="G4834" s="58" t="s">
        <v>11864</v>
      </c>
      <c r="H4834" s="58" t="s">
        <v>11451</v>
      </c>
      <c r="I4834" s="64" t="s">
        <v>11865</v>
      </c>
      <c r="J4834" s="66"/>
      <c r="K4834" s="66"/>
      <c r="L4834" s="68"/>
      <c r="M4834" s="63" t="str">
        <f>HYPERLINK("http://nsgreg.nga.mil/genc/view?v=863778&amp;end_month=12&amp;end_day=31&amp;end_year=2016","Correlation")</f>
        <v>Correlation</v>
      </c>
    </row>
    <row r="4835" spans="1:13" x14ac:dyDescent="0.2">
      <c r="A4835" s="113"/>
      <c r="B4835" s="58" t="s">
        <v>11866</v>
      </c>
      <c r="C4835" s="58" t="s">
        <v>1483</v>
      </c>
      <c r="D4835" s="58" t="s">
        <v>11867</v>
      </c>
      <c r="E4835" s="60" t="b">
        <v>1</v>
      </c>
      <c r="F4835" s="80" t="s">
        <v>1332</v>
      </c>
      <c r="G4835" s="58" t="s">
        <v>11866</v>
      </c>
      <c r="H4835" s="58" t="s">
        <v>11496</v>
      </c>
      <c r="I4835" s="64" t="s">
        <v>11867</v>
      </c>
      <c r="J4835" s="66"/>
      <c r="K4835" s="66"/>
      <c r="L4835" s="68"/>
      <c r="M4835" s="63" t="str">
        <f>HYPERLINK("http://nsgreg.nga.mil/genc/view?v=863779&amp;end_month=12&amp;end_day=31&amp;end_year=2016","Correlation")</f>
        <v>Correlation</v>
      </c>
    </row>
    <row r="4836" spans="1:13" x14ac:dyDescent="0.2">
      <c r="A4836" s="113"/>
      <c r="B4836" s="58" t="s">
        <v>11868</v>
      </c>
      <c r="C4836" s="58" t="s">
        <v>11456</v>
      </c>
      <c r="D4836" s="58" t="s">
        <v>11869</v>
      </c>
      <c r="E4836" s="60" t="b">
        <v>1</v>
      </c>
      <c r="F4836" s="80" t="s">
        <v>1332</v>
      </c>
      <c r="G4836" s="58" t="s">
        <v>11868</v>
      </c>
      <c r="H4836" s="58" t="s">
        <v>11456</v>
      </c>
      <c r="I4836" s="64" t="s">
        <v>11869</v>
      </c>
      <c r="J4836" s="66"/>
      <c r="K4836" s="66"/>
      <c r="L4836" s="68"/>
      <c r="M4836" s="63" t="str">
        <f>HYPERLINK("http://nsgreg.nga.mil/genc/view?v=863764&amp;end_month=12&amp;end_day=31&amp;end_year=2016","Correlation")</f>
        <v>Correlation</v>
      </c>
    </row>
    <row r="4837" spans="1:13" x14ac:dyDescent="0.2">
      <c r="A4837" s="113"/>
      <c r="B4837" s="58" t="s">
        <v>11870</v>
      </c>
      <c r="C4837" s="58" t="s">
        <v>11459</v>
      </c>
      <c r="D4837" s="58" t="s">
        <v>11871</v>
      </c>
      <c r="E4837" s="60" t="b">
        <v>1</v>
      </c>
      <c r="F4837" s="80" t="s">
        <v>1332</v>
      </c>
      <c r="G4837" s="58" t="s">
        <v>11870</v>
      </c>
      <c r="H4837" s="58" t="s">
        <v>11459</v>
      </c>
      <c r="I4837" s="64" t="s">
        <v>11871</v>
      </c>
      <c r="J4837" s="66"/>
      <c r="K4837" s="66"/>
      <c r="L4837" s="68"/>
      <c r="M4837" s="63" t="str">
        <f>HYPERLINK("http://nsgreg.nga.mil/genc/view?v=863765&amp;end_month=12&amp;end_day=31&amp;end_year=2016","Correlation")</f>
        <v>Correlation</v>
      </c>
    </row>
    <row r="4838" spans="1:13" x14ac:dyDescent="0.2">
      <c r="A4838" s="113"/>
      <c r="B4838" s="58" t="s">
        <v>11872</v>
      </c>
      <c r="C4838" s="58" t="s">
        <v>11459</v>
      </c>
      <c r="D4838" s="58" t="s">
        <v>11873</v>
      </c>
      <c r="E4838" s="60" t="b">
        <v>1</v>
      </c>
      <c r="F4838" s="80" t="s">
        <v>1332</v>
      </c>
      <c r="G4838" s="58" t="s">
        <v>11872</v>
      </c>
      <c r="H4838" s="58" t="s">
        <v>11459</v>
      </c>
      <c r="I4838" s="64" t="s">
        <v>11873</v>
      </c>
      <c r="J4838" s="66"/>
      <c r="K4838" s="66"/>
      <c r="L4838" s="68"/>
      <c r="M4838" s="63" t="str">
        <f>HYPERLINK("http://nsgreg.nga.mil/genc/view?v=863772&amp;end_month=12&amp;end_day=31&amp;end_year=2016","Correlation")</f>
        <v>Correlation</v>
      </c>
    </row>
    <row r="4839" spans="1:13" x14ac:dyDescent="0.2">
      <c r="A4839" s="113"/>
      <c r="B4839" s="58" t="s">
        <v>11874</v>
      </c>
      <c r="C4839" s="58" t="s">
        <v>11456</v>
      </c>
      <c r="D4839" s="58" t="s">
        <v>11875</v>
      </c>
      <c r="E4839" s="60" t="b">
        <v>1</v>
      </c>
      <c r="F4839" s="80" t="s">
        <v>1332</v>
      </c>
      <c r="G4839" s="58" t="s">
        <v>11874</v>
      </c>
      <c r="H4839" s="58" t="s">
        <v>11456</v>
      </c>
      <c r="I4839" s="64" t="s">
        <v>11875</v>
      </c>
      <c r="J4839" s="66"/>
      <c r="K4839" s="66"/>
      <c r="L4839" s="68"/>
      <c r="M4839" s="63" t="str">
        <f>HYPERLINK("http://nsgreg.nga.mil/genc/view?v=863775&amp;end_month=12&amp;end_day=31&amp;end_year=2016","Correlation")</f>
        <v>Correlation</v>
      </c>
    </row>
    <row r="4840" spans="1:13" x14ac:dyDescent="0.2">
      <c r="A4840" s="113"/>
      <c r="B4840" s="58" t="s">
        <v>11876</v>
      </c>
      <c r="C4840" s="58" t="s">
        <v>11459</v>
      </c>
      <c r="D4840" s="58" t="s">
        <v>11877</v>
      </c>
      <c r="E4840" s="60" t="b">
        <v>1</v>
      </c>
      <c r="F4840" s="80" t="s">
        <v>1332</v>
      </c>
      <c r="G4840" s="58" t="s">
        <v>11876</v>
      </c>
      <c r="H4840" s="58" t="s">
        <v>11459</v>
      </c>
      <c r="I4840" s="64" t="s">
        <v>11877</v>
      </c>
      <c r="J4840" s="66"/>
      <c r="K4840" s="66"/>
      <c r="L4840" s="68"/>
      <c r="M4840" s="63" t="str">
        <f>HYPERLINK("http://nsgreg.nga.mil/genc/view?v=863773&amp;end_month=12&amp;end_day=31&amp;end_year=2016","Correlation")</f>
        <v>Correlation</v>
      </c>
    </row>
    <row r="4841" spans="1:13" x14ac:dyDescent="0.2">
      <c r="A4841" s="113"/>
      <c r="B4841" s="58" t="s">
        <v>11878</v>
      </c>
      <c r="C4841" s="58" t="s">
        <v>11456</v>
      </c>
      <c r="D4841" s="58" t="s">
        <v>11879</v>
      </c>
      <c r="E4841" s="60" t="b">
        <v>1</v>
      </c>
      <c r="F4841" s="80" t="s">
        <v>1332</v>
      </c>
      <c r="G4841" s="58" t="s">
        <v>11878</v>
      </c>
      <c r="H4841" s="58" t="s">
        <v>11456</v>
      </c>
      <c r="I4841" s="64" t="s">
        <v>11879</v>
      </c>
      <c r="J4841" s="66"/>
      <c r="K4841" s="66"/>
      <c r="L4841" s="68"/>
      <c r="M4841" s="63" t="str">
        <f>HYPERLINK("http://nsgreg.nga.mil/genc/view?v=863770&amp;end_month=12&amp;end_day=31&amp;end_year=2016","Correlation")</f>
        <v>Correlation</v>
      </c>
    </row>
    <row r="4842" spans="1:13" x14ac:dyDescent="0.2">
      <c r="A4842" s="113"/>
      <c r="B4842" s="58" t="s">
        <v>11880</v>
      </c>
      <c r="C4842" s="58" t="s">
        <v>1483</v>
      </c>
      <c r="D4842" s="58" t="s">
        <v>11881</v>
      </c>
      <c r="E4842" s="60" t="b">
        <v>1</v>
      </c>
      <c r="F4842" s="80" t="s">
        <v>1332</v>
      </c>
      <c r="G4842" s="58" t="s">
        <v>11880</v>
      </c>
      <c r="H4842" s="58" t="s">
        <v>11496</v>
      </c>
      <c r="I4842" s="64" t="s">
        <v>11881</v>
      </c>
      <c r="J4842" s="66"/>
      <c r="K4842" s="66"/>
      <c r="L4842" s="68"/>
      <c r="M4842" s="63" t="str">
        <f>HYPERLINK("http://nsgreg.nga.mil/genc/view?v=863774&amp;end_month=12&amp;end_day=31&amp;end_year=2016","Correlation")</f>
        <v>Correlation</v>
      </c>
    </row>
    <row r="4843" spans="1:13" x14ac:dyDescent="0.2">
      <c r="A4843" s="113"/>
      <c r="B4843" s="58" t="s">
        <v>11882</v>
      </c>
      <c r="C4843" s="58" t="s">
        <v>11459</v>
      </c>
      <c r="D4843" s="58" t="s">
        <v>11883</v>
      </c>
      <c r="E4843" s="60" t="b">
        <v>1</v>
      </c>
      <c r="F4843" s="80" t="s">
        <v>1332</v>
      </c>
      <c r="G4843" s="58" t="s">
        <v>11882</v>
      </c>
      <c r="H4843" s="58" t="s">
        <v>11475</v>
      </c>
      <c r="I4843" s="64" t="s">
        <v>11883</v>
      </c>
      <c r="J4843" s="66"/>
      <c r="K4843" s="66"/>
      <c r="L4843" s="68"/>
      <c r="M4843" s="63" t="str">
        <f>HYPERLINK("http://nsgreg.nga.mil/genc/view?v=863777&amp;end_month=12&amp;end_day=31&amp;end_year=2016","Correlation")</f>
        <v>Correlation</v>
      </c>
    </row>
    <row r="4844" spans="1:13" x14ac:dyDescent="0.2">
      <c r="A4844" s="114"/>
      <c r="B4844" s="71" t="s">
        <v>11884</v>
      </c>
      <c r="C4844" s="71" t="s">
        <v>11459</v>
      </c>
      <c r="D4844" s="71" t="s">
        <v>11885</v>
      </c>
      <c r="E4844" s="73" t="b">
        <v>1</v>
      </c>
      <c r="F4844" s="81" t="s">
        <v>1332</v>
      </c>
      <c r="G4844" s="71" t="s">
        <v>11884</v>
      </c>
      <c r="H4844" s="71" t="s">
        <v>11459</v>
      </c>
      <c r="I4844" s="74" t="s">
        <v>11885</v>
      </c>
      <c r="J4844" s="76"/>
      <c r="K4844" s="76"/>
      <c r="L4844" s="82"/>
      <c r="M4844" s="77" t="str">
        <f>HYPERLINK("http://nsgreg.nga.mil/genc/view?v=863780&amp;end_month=12&amp;end_day=31&amp;end_year=2016","Correlation")</f>
        <v>Correlation</v>
      </c>
    </row>
    <row r="4845" spans="1:13" x14ac:dyDescent="0.2">
      <c r="A4845" s="112" t="s">
        <v>1337</v>
      </c>
      <c r="B4845" s="50" t="s">
        <v>11886</v>
      </c>
      <c r="C4845" s="50" t="s">
        <v>1763</v>
      </c>
      <c r="D4845" s="50" t="s">
        <v>11887</v>
      </c>
      <c r="E4845" s="52" t="b">
        <v>1</v>
      </c>
      <c r="F4845" s="78" t="s">
        <v>1337</v>
      </c>
      <c r="G4845" s="50" t="s">
        <v>11886</v>
      </c>
      <c r="H4845" s="50" t="s">
        <v>1763</v>
      </c>
      <c r="I4845" s="53" t="s">
        <v>11887</v>
      </c>
      <c r="J4845" s="55"/>
      <c r="K4845" s="55"/>
      <c r="L4845" s="79"/>
      <c r="M4845" s="56" t="str">
        <f>HYPERLINK("http://nsgreg.nga.mil/genc/view?v=867020&amp;end_month=12&amp;end_day=31&amp;end_year=2016","Correlation")</f>
        <v>Correlation</v>
      </c>
    </row>
    <row r="4846" spans="1:13" x14ac:dyDescent="0.2">
      <c r="A4846" s="113"/>
      <c r="B4846" s="58" t="s">
        <v>11888</v>
      </c>
      <c r="C4846" s="58" t="s">
        <v>1763</v>
      </c>
      <c r="D4846" s="58" t="s">
        <v>11889</v>
      </c>
      <c r="E4846" s="60" t="b">
        <v>1</v>
      </c>
      <c r="F4846" s="80" t="s">
        <v>1337</v>
      </c>
      <c r="G4846" s="58" t="s">
        <v>11888</v>
      </c>
      <c r="H4846" s="58" t="s">
        <v>1763</v>
      </c>
      <c r="I4846" s="64" t="s">
        <v>11889</v>
      </c>
      <c r="J4846" s="66"/>
      <c r="K4846" s="66"/>
      <c r="L4846" s="68"/>
      <c r="M4846" s="63" t="str">
        <f>HYPERLINK("http://nsgreg.nga.mil/genc/view?v=867019&amp;end_month=12&amp;end_day=31&amp;end_year=2016","Correlation")</f>
        <v>Correlation</v>
      </c>
    </row>
    <row r="4847" spans="1:13" x14ac:dyDescent="0.2">
      <c r="A4847" s="113"/>
      <c r="B4847" s="58" t="s">
        <v>11890</v>
      </c>
      <c r="C4847" s="58" t="s">
        <v>1763</v>
      </c>
      <c r="D4847" s="58" t="s">
        <v>11891</v>
      </c>
      <c r="E4847" s="60" t="b">
        <v>1</v>
      </c>
      <c r="F4847" s="80" t="s">
        <v>1337</v>
      </c>
      <c r="G4847" s="58" t="s">
        <v>11890</v>
      </c>
      <c r="H4847" s="58" t="s">
        <v>1763</v>
      </c>
      <c r="I4847" s="64" t="s">
        <v>11891</v>
      </c>
      <c r="J4847" s="66"/>
      <c r="K4847" s="66"/>
      <c r="L4847" s="68"/>
      <c r="M4847" s="63" t="str">
        <f>HYPERLINK("http://nsgreg.nga.mil/genc/view?v=867022&amp;end_month=12&amp;end_day=31&amp;end_year=2016","Correlation")</f>
        <v>Correlation</v>
      </c>
    </row>
    <row r="4848" spans="1:13" x14ac:dyDescent="0.2">
      <c r="A4848" s="113"/>
      <c r="B4848" s="58" t="s">
        <v>11892</v>
      </c>
      <c r="C4848" s="58" t="s">
        <v>1763</v>
      </c>
      <c r="D4848" s="58" t="s">
        <v>11893</v>
      </c>
      <c r="E4848" s="60" t="b">
        <v>1</v>
      </c>
      <c r="F4848" s="80" t="s">
        <v>1337</v>
      </c>
      <c r="G4848" s="58" t="s">
        <v>11892</v>
      </c>
      <c r="H4848" s="58" t="s">
        <v>1763</v>
      </c>
      <c r="I4848" s="64" t="s">
        <v>11893</v>
      </c>
      <c r="J4848" s="66"/>
      <c r="K4848" s="66"/>
      <c r="L4848" s="68"/>
      <c r="M4848" s="63" t="str">
        <f>HYPERLINK("http://nsgreg.nga.mil/genc/view?v=867021&amp;end_month=12&amp;end_day=31&amp;end_year=2016","Correlation")</f>
        <v>Correlation</v>
      </c>
    </row>
    <row r="4849" spans="1:13" x14ac:dyDescent="0.2">
      <c r="A4849" s="113"/>
      <c r="B4849" s="58" t="s">
        <v>11894</v>
      </c>
      <c r="C4849" s="58" t="s">
        <v>1763</v>
      </c>
      <c r="D4849" s="58" t="s">
        <v>11895</v>
      </c>
      <c r="E4849" s="60" t="b">
        <v>1</v>
      </c>
      <c r="F4849" s="80" t="s">
        <v>1337</v>
      </c>
      <c r="G4849" s="58" t="s">
        <v>11894</v>
      </c>
      <c r="H4849" s="58" t="s">
        <v>1763</v>
      </c>
      <c r="I4849" s="64" t="s">
        <v>11895</v>
      </c>
      <c r="J4849" s="66"/>
      <c r="K4849" s="66"/>
      <c r="L4849" s="68"/>
      <c r="M4849" s="63" t="str">
        <f>HYPERLINK("http://nsgreg.nga.mil/genc/view?v=867023&amp;end_month=12&amp;end_day=31&amp;end_year=2016","Correlation")</f>
        <v>Correlation</v>
      </c>
    </row>
    <row r="4850" spans="1:13" x14ac:dyDescent="0.2">
      <c r="A4850" s="113"/>
      <c r="B4850" s="58" t="s">
        <v>11896</v>
      </c>
      <c r="C4850" s="58" t="s">
        <v>1763</v>
      </c>
      <c r="D4850" s="58" t="s">
        <v>11897</v>
      </c>
      <c r="E4850" s="60" t="b">
        <v>1</v>
      </c>
      <c r="F4850" s="80" t="s">
        <v>1337</v>
      </c>
      <c r="G4850" s="58" t="s">
        <v>11896</v>
      </c>
      <c r="H4850" s="58" t="s">
        <v>1763</v>
      </c>
      <c r="I4850" s="64" t="s">
        <v>11897</v>
      </c>
      <c r="J4850" s="66"/>
      <c r="K4850" s="66"/>
      <c r="L4850" s="68"/>
      <c r="M4850" s="63" t="str">
        <f>HYPERLINK("http://nsgreg.nga.mil/genc/view?v=867024&amp;end_month=12&amp;end_day=31&amp;end_year=2016","Correlation")</f>
        <v>Correlation</v>
      </c>
    </row>
    <row r="4851" spans="1:13" x14ac:dyDescent="0.2">
      <c r="A4851" s="113"/>
      <c r="B4851" s="58" t="s">
        <v>11898</v>
      </c>
      <c r="C4851" s="58" t="s">
        <v>1763</v>
      </c>
      <c r="D4851" s="58" t="s">
        <v>11899</v>
      </c>
      <c r="E4851" s="60" t="b">
        <v>1</v>
      </c>
      <c r="F4851" s="80" t="s">
        <v>1337</v>
      </c>
      <c r="G4851" s="58" t="s">
        <v>11898</v>
      </c>
      <c r="H4851" s="58" t="s">
        <v>1763</v>
      </c>
      <c r="I4851" s="64" t="s">
        <v>11899</v>
      </c>
      <c r="J4851" s="66"/>
      <c r="K4851" s="66"/>
      <c r="L4851" s="68"/>
      <c r="M4851" s="63" t="str">
        <f>HYPERLINK("http://nsgreg.nga.mil/genc/view?v=867025&amp;end_month=12&amp;end_day=31&amp;end_year=2016","Correlation")</f>
        <v>Correlation</v>
      </c>
    </row>
    <row r="4852" spans="1:13" x14ac:dyDescent="0.2">
      <c r="A4852" s="113"/>
      <c r="B4852" s="58" t="s">
        <v>11900</v>
      </c>
      <c r="C4852" s="58" t="s">
        <v>1763</v>
      </c>
      <c r="D4852" s="58" t="s">
        <v>11901</v>
      </c>
      <c r="E4852" s="60" t="b">
        <v>1</v>
      </c>
      <c r="F4852" s="80" t="s">
        <v>1337</v>
      </c>
      <c r="G4852" s="58" t="s">
        <v>11900</v>
      </c>
      <c r="H4852" s="58" t="s">
        <v>1763</v>
      </c>
      <c r="I4852" s="64" t="s">
        <v>11901</v>
      </c>
      <c r="J4852" s="66"/>
      <c r="K4852" s="66"/>
      <c r="L4852" s="68"/>
      <c r="M4852" s="63" t="str">
        <f>HYPERLINK("http://nsgreg.nga.mil/genc/view?v=867027&amp;end_month=12&amp;end_day=31&amp;end_year=2016","Correlation")</f>
        <v>Correlation</v>
      </c>
    </row>
    <row r="4853" spans="1:13" x14ac:dyDescent="0.2">
      <c r="A4853" s="113"/>
      <c r="B4853" s="58" t="s">
        <v>11902</v>
      </c>
      <c r="C4853" s="58" t="s">
        <v>1796</v>
      </c>
      <c r="D4853" s="58" t="s">
        <v>11903</v>
      </c>
      <c r="E4853" s="60" t="b">
        <v>1</v>
      </c>
      <c r="F4853" s="80" t="s">
        <v>1337</v>
      </c>
      <c r="G4853" s="58" t="s">
        <v>11902</v>
      </c>
      <c r="H4853" s="58" t="s">
        <v>1796</v>
      </c>
      <c r="I4853" s="64" t="s">
        <v>11903</v>
      </c>
      <c r="J4853" s="66"/>
      <c r="K4853" s="66"/>
      <c r="L4853" s="68"/>
      <c r="M4853" s="63" t="str">
        <f>HYPERLINK("http://nsgreg.nga.mil/genc/view?v=867026&amp;end_month=12&amp;end_day=31&amp;end_year=2016","Correlation")</f>
        <v>Correlation</v>
      </c>
    </row>
    <row r="4854" spans="1:13" x14ac:dyDescent="0.2">
      <c r="A4854" s="113"/>
      <c r="B4854" s="58" t="s">
        <v>11904</v>
      </c>
      <c r="C4854" s="58" t="s">
        <v>1763</v>
      </c>
      <c r="D4854" s="58" t="s">
        <v>11905</v>
      </c>
      <c r="E4854" s="60" t="b">
        <v>1</v>
      </c>
      <c r="F4854" s="80" t="s">
        <v>1337</v>
      </c>
      <c r="G4854" s="58" t="s">
        <v>11904</v>
      </c>
      <c r="H4854" s="58" t="s">
        <v>1763</v>
      </c>
      <c r="I4854" s="64" t="s">
        <v>11905</v>
      </c>
      <c r="J4854" s="66"/>
      <c r="K4854" s="66"/>
      <c r="L4854" s="68"/>
      <c r="M4854" s="63" t="str">
        <f>HYPERLINK("http://nsgreg.nga.mil/genc/view?v=867028&amp;end_month=12&amp;end_day=31&amp;end_year=2016","Correlation")</f>
        <v>Correlation</v>
      </c>
    </row>
    <row r="4855" spans="1:13" x14ac:dyDescent="0.2">
      <c r="A4855" s="113"/>
      <c r="B4855" s="58" t="s">
        <v>11906</v>
      </c>
      <c r="C4855" s="58" t="s">
        <v>1763</v>
      </c>
      <c r="D4855" s="58" t="s">
        <v>11907</v>
      </c>
      <c r="E4855" s="60" t="b">
        <v>1</v>
      </c>
      <c r="F4855" s="80" t="s">
        <v>1337</v>
      </c>
      <c r="G4855" s="58" t="s">
        <v>11906</v>
      </c>
      <c r="H4855" s="58" t="s">
        <v>1763</v>
      </c>
      <c r="I4855" s="64" t="s">
        <v>11907</v>
      </c>
      <c r="J4855" s="66"/>
      <c r="K4855" s="66"/>
      <c r="L4855" s="68"/>
      <c r="M4855" s="63" t="str">
        <f>HYPERLINK("http://nsgreg.nga.mil/genc/view?v=867029&amp;end_month=12&amp;end_day=31&amp;end_year=2016","Correlation")</f>
        <v>Correlation</v>
      </c>
    </row>
    <row r="4856" spans="1:13" x14ac:dyDescent="0.2">
      <c r="A4856" s="113"/>
      <c r="B4856" s="58" t="s">
        <v>11908</v>
      </c>
      <c r="C4856" s="58" t="s">
        <v>1763</v>
      </c>
      <c r="D4856" s="58" t="s">
        <v>11909</v>
      </c>
      <c r="E4856" s="60" t="b">
        <v>1</v>
      </c>
      <c r="F4856" s="80" t="s">
        <v>1337</v>
      </c>
      <c r="G4856" s="58" t="s">
        <v>11908</v>
      </c>
      <c r="H4856" s="58" t="s">
        <v>1763</v>
      </c>
      <c r="I4856" s="64" t="s">
        <v>11909</v>
      </c>
      <c r="J4856" s="66"/>
      <c r="K4856" s="66"/>
      <c r="L4856" s="68"/>
      <c r="M4856" s="63" t="str">
        <f>HYPERLINK("http://nsgreg.nga.mil/genc/view?v=867030&amp;end_month=12&amp;end_day=31&amp;end_year=2016","Correlation")</f>
        <v>Correlation</v>
      </c>
    </row>
    <row r="4857" spans="1:13" x14ac:dyDescent="0.2">
      <c r="A4857" s="113"/>
      <c r="B4857" s="58" t="s">
        <v>11910</v>
      </c>
      <c r="C4857" s="58" t="s">
        <v>1763</v>
      </c>
      <c r="D4857" s="58" t="s">
        <v>11911</v>
      </c>
      <c r="E4857" s="60" t="b">
        <v>1</v>
      </c>
      <c r="F4857" s="80" t="s">
        <v>1337</v>
      </c>
      <c r="G4857" s="58" t="s">
        <v>11910</v>
      </c>
      <c r="H4857" s="58" t="s">
        <v>1763</v>
      </c>
      <c r="I4857" s="64" t="s">
        <v>11911</v>
      </c>
      <c r="J4857" s="66"/>
      <c r="K4857" s="66"/>
      <c r="L4857" s="68"/>
      <c r="M4857" s="63" t="str">
        <f>HYPERLINK("http://nsgreg.nga.mil/genc/view?v=867032&amp;end_month=12&amp;end_day=31&amp;end_year=2016","Correlation")</f>
        <v>Correlation</v>
      </c>
    </row>
    <row r="4858" spans="1:13" x14ac:dyDescent="0.2">
      <c r="A4858" s="113"/>
      <c r="B4858" s="58" t="s">
        <v>11912</v>
      </c>
      <c r="C4858" s="58" t="s">
        <v>1763</v>
      </c>
      <c r="D4858" s="58" t="s">
        <v>11913</v>
      </c>
      <c r="E4858" s="60" t="b">
        <v>1</v>
      </c>
      <c r="F4858" s="80" t="s">
        <v>1337</v>
      </c>
      <c r="G4858" s="58" t="s">
        <v>11912</v>
      </c>
      <c r="H4858" s="58" t="s">
        <v>1763</v>
      </c>
      <c r="I4858" s="64" t="s">
        <v>11913</v>
      </c>
      <c r="J4858" s="66"/>
      <c r="K4858" s="66"/>
      <c r="L4858" s="68"/>
      <c r="M4858" s="63" t="str">
        <f>HYPERLINK("http://nsgreg.nga.mil/genc/view?v=867033&amp;end_month=12&amp;end_day=31&amp;end_year=2016","Correlation")</f>
        <v>Correlation</v>
      </c>
    </row>
    <row r="4859" spans="1:13" x14ac:dyDescent="0.2">
      <c r="A4859" s="113"/>
      <c r="B4859" s="58" t="s">
        <v>11914</v>
      </c>
      <c r="C4859" s="58" t="s">
        <v>1763</v>
      </c>
      <c r="D4859" s="58" t="s">
        <v>11915</v>
      </c>
      <c r="E4859" s="60" t="b">
        <v>1</v>
      </c>
      <c r="F4859" s="80" t="s">
        <v>1337</v>
      </c>
      <c r="G4859" s="58" t="s">
        <v>11914</v>
      </c>
      <c r="H4859" s="58" t="s">
        <v>1763</v>
      </c>
      <c r="I4859" s="64" t="s">
        <v>11915</v>
      </c>
      <c r="J4859" s="66"/>
      <c r="K4859" s="66"/>
      <c r="L4859" s="68"/>
      <c r="M4859" s="63" t="str">
        <f>HYPERLINK("http://nsgreg.nga.mil/genc/view?v=867034&amp;end_month=12&amp;end_day=31&amp;end_year=2016","Correlation")</f>
        <v>Correlation</v>
      </c>
    </row>
    <row r="4860" spans="1:13" x14ac:dyDescent="0.2">
      <c r="A4860" s="113"/>
      <c r="B4860" s="58" t="s">
        <v>11916</v>
      </c>
      <c r="C4860" s="58" t="s">
        <v>1763</v>
      </c>
      <c r="D4860" s="58" t="s">
        <v>11917</v>
      </c>
      <c r="E4860" s="60" t="b">
        <v>1</v>
      </c>
      <c r="F4860" s="80" t="s">
        <v>1337</v>
      </c>
      <c r="G4860" s="58" t="s">
        <v>11916</v>
      </c>
      <c r="H4860" s="58" t="s">
        <v>1763</v>
      </c>
      <c r="I4860" s="64" t="s">
        <v>11917</v>
      </c>
      <c r="J4860" s="66"/>
      <c r="K4860" s="66"/>
      <c r="L4860" s="68"/>
      <c r="M4860" s="63" t="str">
        <f>HYPERLINK("http://nsgreg.nga.mil/genc/view?v=867031&amp;end_month=12&amp;end_day=31&amp;end_year=2016","Correlation")</f>
        <v>Correlation</v>
      </c>
    </row>
    <row r="4861" spans="1:13" x14ac:dyDescent="0.2">
      <c r="A4861" s="113"/>
      <c r="B4861" s="58" t="s">
        <v>11918</v>
      </c>
      <c r="C4861" s="58" t="s">
        <v>1763</v>
      </c>
      <c r="D4861" s="58" t="s">
        <v>11919</v>
      </c>
      <c r="E4861" s="60" t="b">
        <v>1</v>
      </c>
      <c r="F4861" s="80" t="s">
        <v>1337</v>
      </c>
      <c r="G4861" s="58" t="s">
        <v>11918</v>
      </c>
      <c r="H4861" s="58" t="s">
        <v>1763</v>
      </c>
      <c r="I4861" s="64" t="s">
        <v>11919</v>
      </c>
      <c r="J4861" s="66"/>
      <c r="K4861" s="66"/>
      <c r="L4861" s="68"/>
      <c r="M4861" s="63" t="str">
        <f>HYPERLINK("http://nsgreg.nga.mil/genc/view?v=867035&amp;end_month=12&amp;end_day=31&amp;end_year=2016","Correlation")</f>
        <v>Correlation</v>
      </c>
    </row>
    <row r="4862" spans="1:13" x14ac:dyDescent="0.2">
      <c r="A4862" s="113"/>
      <c r="B4862" s="58" t="s">
        <v>11920</v>
      </c>
      <c r="C4862" s="58" t="s">
        <v>1763</v>
      </c>
      <c r="D4862" s="58" t="s">
        <v>11921</v>
      </c>
      <c r="E4862" s="60" t="b">
        <v>1</v>
      </c>
      <c r="F4862" s="80" t="s">
        <v>1337</v>
      </c>
      <c r="G4862" s="58" t="s">
        <v>11920</v>
      </c>
      <c r="H4862" s="58" t="s">
        <v>1763</v>
      </c>
      <c r="I4862" s="64" t="s">
        <v>11921</v>
      </c>
      <c r="J4862" s="66"/>
      <c r="K4862" s="66"/>
      <c r="L4862" s="68"/>
      <c r="M4862" s="63" t="str">
        <f>HYPERLINK("http://nsgreg.nga.mil/genc/view?v=867036&amp;end_month=12&amp;end_day=31&amp;end_year=2016","Correlation")</f>
        <v>Correlation</v>
      </c>
    </row>
    <row r="4863" spans="1:13" x14ac:dyDescent="0.2">
      <c r="A4863" s="113"/>
      <c r="B4863" s="58" t="s">
        <v>11922</v>
      </c>
      <c r="C4863" s="58" t="s">
        <v>1763</v>
      </c>
      <c r="D4863" s="58" t="s">
        <v>11923</v>
      </c>
      <c r="E4863" s="60" t="b">
        <v>1</v>
      </c>
      <c r="F4863" s="80" t="s">
        <v>1337</v>
      </c>
      <c r="G4863" s="58" t="s">
        <v>11922</v>
      </c>
      <c r="H4863" s="58" t="s">
        <v>1763</v>
      </c>
      <c r="I4863" s="64" t="s">
        <v>11923</v>
      </c>
      <c r="J4863" s="66"/>
      <c r="K4863" s="66"/>
      <c r="L4863" s="68"/>
      <c r="M4863" s="63" t="str">
        <f>HYPERLINK("http://nsgreg.nga.mil/genc/view?v=867037&amp;end_month=12&amp;end_day=31&amp;end_year=2016","Correlation")</f>
        <v>Correlation</v>
      </c>
    </row>
    <row r="4864" spans="1:13" x14ac:dyDescent="0.2">
      <c r="A4864" s="113"/>
      <c r="B4864" s="58" t="s">
        <v>11924</v>
      </c>
      <c r="C4864" s="58" t="s">
        <v>1763</v>
      </c>
      <c r="D4864" s="58" t="s">
        <v>11925</v>
      </c>
      <c r="E4864" s="60" t="b">
        <v>1</v>
      </c>
      <c r="F4864" s="80" t="s">
        <v>1337</v>
      </c>
      <c r="G4864" s="58" t="s">
        <v>11924</v>
      </c>
      <c r="H4864" s="58" t="s">
        <v>1763</v>
      </c>
      <c r="I4864" s="64" t="s">
        <v>11925</v>
      </c>
      <c r="J4864" s="66"/>
      <c r="K4864" s="66"/>
      <c r="L4864" s="68"/>
      <c r="M4864" s="63" t="str">
        <f>HYPERLINK("http://nsgreg.nga.mil/genc/view?v=867040&amp;end_month=12&amp;end_day=31&amp;end_year=2016","Correlation")</f>
        <v>Correlation</v>
      </c>
    </row>
    <row r="4865" spans="1:13" x14ac:dyDescent="0.2">
      <c r="A4865" s="113"/>
      <c r="B4865" s="58" t="s">
        <v>6420</v>
      </c>
      <c r="C4865" s="58" t="s">
        <v>1763</v>
      </c>
      <c r="D4865" s="58" t="s">
        <v>11926</v>
      </c>
      <c r="E4865" s="60" t="b">
        <v>1</v>
      </c>
      <c r="F4865" s="80" t="s">
        <v>1337</v>
      </c>
      <c r="G4865" s="58" t="s">
        <v>6420</v>
      </c>
      <c r="H4865" s="58" t="s">
        <v>1763</v>
      </c>
      <c r="I4865" s="64" t="s">
        <v>11926</v>
      </c>
      <c r="J4865" s="66"/>
      <c r="K4865" s="66"/>
      <c r="L4865" s="68"/>
      <c r="M4865" s="63" t="str">
        <f>HYPERLINK("http://nsgreg.nga.mil/genc/view?v=867039&amp;end_month=12&amp;end_day=31&amp;end_year=2016","Correlation")</f>
        <v>Correlation</v>
      </c>
    </row>
    <row r="4866" spans="1:13" x14ac:dyDescent="0.2">
      <c r="A4866" s="113"/>
      <c r="B4866" s="58" t="s">
        <v>11927</v>
      </c>
      <c r="C4866" s="58" t="s">
        <v>1763</v>
      </c>
      <c r="D4866" s="58" t="s">
        <v>11928</v>
      </c>
      <c r="E4866" s="60" t="b">
        <v>1</v>
      </c>
      <c r="F4866" s="80" t="s">
        <v>1337</v>
      </c>
      <c r="G4866" s="58" t="s">
        <v>11927</v>
      </c>
      <c r="H4866" s="58" t="s">
        <v>1763</v>
      </c>
      <c r="I4866" s="64" t="s">
        <v>11928</v>
      </c>
      <c r="J4866" s="66"/>
      <c r="K4866" s="66"/>
      <c r="L4866" s="68"/>
      <c r="M4866" s="63" t="str">
        <f>HYPERLINK("http://nsgreg.nga.mil/genc/view?v=867038&amp;end_month=12&amp;end_day=31&amp;end_year=2016","Correlation")</f>
        <v>Correlation</v>
      </c>
    </row>
    <row r="4867" spans="1:13" x14ac:dyDescent="0.2">
      <c r="A4867" s="113"/>
      <c r="B4867" s="58" t="s">
        <v>11929</v>
      </c>
      <c r="C4867" s="58" t="s">
        <v>1763</v>
      </c>
      <c r="D4867" s="58" t="s">
        <v>11930</v>
      </c>
      <c r="E4867" s="60" t="b">
        <v>1</v>
      </c>
      <c r="F4867" s="80" t="s">
        <v>1337</v>
      </c>
      <c r="G4867" s="58" t="s">
        <v>11929</v>
      </c>
      <c r="H4867" s="58" t="s">
        <v>1763</v>
      </c>
      <c r="I4867" s="64" t="s">
        <v>11930</v>
      </c>
      <c r="J4867" s="66"/>
      <c r="K4867" s="66"/>
      <c r="L4867" s="68"/>
      <c r="M4867" s="63" t="str">
        <f>HYPERLINK("http://nsgreg.nga.mil/genc/view?v=867041&amp;end_month=12&amp;end_day=31&amp;end_year=2016","Correlation")</f>
        <v>Correlation</v>
      </c>
    </row>
    <row r="4868" spans="1:13" x14ac:dyDescent="0.2">
      <c r="A4868" s="113"/>
      <c r="B4868" s="58" t="s">
        <v>11931</v>
      </c>
      <c r="C4868" s="58" t="s">
        <v>1763</v>
      </c>
      <c r="D4868" s="58" t="s">
        <v>11932</v>
      </c>
      <c r="E4868" s="60" t="b">
        <v>1</v>
      </c>
      <c r="F4868" s="80" t="s">
        <v>1337</v>
      </c>
      <c r="G4868" s="58" t="s">
        <v>11931</v>
      </c>
      <c r="H4868" s="58" t="s">
        <v>1763</v>
      </c>
      <c r="I4868" s="64" t="s">
        <v>11932</v>
      </c>
      <c r="J4868" s="66"/>
      <c r="K4868" s="66"/>
      <c r="L4868" s="68"/>
      <c r="M4868" s="63" t="str">
        <f>HYPERLINK("http://nsgreg.nga.mil/genc/view?v=867042&amp;end_month=12&amp;end_day=31&amp;end_year=2016","Correlation")</f>
        <v>Correlation</v>
      </c>
    </row>
    <row r="4869" spans="1:13" x14ac:dyDescent="0.2">
      <c r="A4869" s="113"/>
      <c r="B4869" s="58" t="s">
        <v>11933</v>
      </c>
      <c r="C4869" s="58" t="s">
        <v>1763</v>
      </c>
      <c r="D4869" s="58" t="s">
        <v>11934</v>
      </c>
      <c r="E4869" s="60" t="b">
        <v>1</v>
      </c>
      <c r="F4869" s="80" t="s">
        <v>1337</v>
      </c>
      <c r="G4869" s="58" t="s">
        <v>11933</v>
      </c>
      <c r="H4869" s="58" t="s">
        <v>1763</v>
      </c>
      <c r="I4869" s="64" t="s">
        <v>11934</v>
      </c>
      <c r="J4869" s="66"/>
      <c r="K4869" s="66"/>
      <c r="L4869" s="68"/>
      <c r="M4869" s="63" t="str">
        <f>HYPERLINK("http://nsgreg.nga.mil/genc/view?v=867044&amp;end_month=12&amp;end_day=31&amp;end_year=2016","Correlation")</f>
        <v>Correlation</v>
      </c>
    </row>
    <row r="4870" spans="1:13" x14ac:dyDescent="0.2">
      <c r="A4870" s="113"/>
      <c r="B4870" s="58" t="s">
        <v>11935</v>
      </c>
      <c r="C4870" s="58" t="s">
        <v>1763</v>
      </c>
      <c r="D4870" s="58" t="s">
        <v>11936</v>
      </c>
      <c r="E4870" s="60" t="b">
        <v>1</v>
      </c>
      <c r="F4870" s="80" t="s">
        <v>1337</v>
      </c>
      <c r="G4870" s="58" t="s">
        <v>11935</v>
      </c>
      <c r="H4870" s="58" t="s">
        <v>1763</v>
      </c>
      <c r="I4870" s="64" t="s">
        <v>11936</v>
      </c>
      <c r="J4870" s="66"/>
      <c r="K4870" s="66"/>
      <c r="L4870" s="68"/>
      <c r="M4870" s="63" t="str">
        <f>HYPERLINK("http://nsgreg.nga.mil/genc/view?v=867043&amp;end_month=12&amp;end_day=31&amp;end_year=2016","Correlation")</f>
        <v>Correlation</v>
      </c>
    </row>
    <row r="4871" spans="1:13" x14ac:dyDescent="0.2">
      <c r="A4871" s="113"/>
      <c r="B4871" s="58" t="s">
        <v>2524</v>
      </c>
      <c r="C4871" s="58" t="s">
        <v>1763</v>
      </c>
      <c r="D4871" s="58" t="s">
        <v>11937</v>
      </c>
      <c r="E4871" s="60" t="b">
        <v>1</v>
      </c>
      <c r="F4871" s="80" t="s">
        <v>1337</v>
      </c>
      <c r="G4871" s="58" t="s">
        <v>2524</v>
      </c>
      <c r="H4871" s="58" t="s">
        <v>1763</v>
      </c>
      <c r="I4871" s="64" t="s">
        <v>11937</v>
      </c>
      <c r="J4871" s="66"/>
      <c r="K4871" s="66"/>
      <c r="L4871" s="68"/>
      <c r="M4871" s="63" t="str">
        <f>HYPERLINK("http://nsgreg.nga.mil/genc/view?v=867045&amp;end_month=12&amp;end_day=31&amp;end_year=2016","Correlation")</f>
        <v>Correlation</v>
      </c>
    </row>
    <row r="4872" spans="1:13" x14ac:dyDescent="0.2">
      <c r="A4872" s="113"/>
      <c r="B4872" s="58" t="s">
        <v>11938</v>
      </c>
      <c r="C4872" s="58" t="s">
        <v>1763</v>
      </c>
      <c r="D4872" s="58" t="s">
        <v>11939</v>
      </c>
      <c r="E4872" s="60" t="b">
        <v>1</v>
      </c>
      <c r="F4872" s="80" t="s">
        <v>1337</v>
      </c>
      <c r="G4872" s="58" t="s">
        <v>11938</v>
      </c>
      <c r="H4872" s="58" t="s">
        <v>1763</v>
      </c>
      <c r="I4872" s="64" t="s">
        <v>11939</v>
      </c>
      <c r="J4872" s="66"/>
      <c r="K4872" s="66"/>
      <c r="L4872" s="68"/>
      <c r="M4872" s="63" t="str">
        <f>HYPERLINK("http://nsgreg.nga.mil/genc/view?v=867048&amp;end_month=12&amp;end_day=31&amp;end_year=2016","Correlation")</f>
        <v>Correlation</v>
      </c>
    </row>
    <row r="4873" spans="1:13" x14ac:dyDescent="0.2">
      <c r="A4873" s="113"/>
      <c r="B4873" s="58" t="s">
        <v>11940</v>
      </c>
      <c r="C4873" s="58" t="s">
        <v>1763</v>
      </c>
      <c r="D4873" s="58" t="s">
        <v>11941</v>
      </c>
      <c r="E4873" s="60" t="b">
        <v>1</v>
      </c>
      <c r="F4873" s="80" t="s">
        <v>1337</v>
      </c>
      <c r="G4873" s="58" t="s">
        <v>11940</v>
      </c>
      <c r="H4873" s="58" t="s">
        <v>1763</v>
      </c>
      <c r="I4873" s="64" t="s">
        <v>11941</v>
      </c>
      <c r="J4873" s="66"/>
      <c r="K4873" s="66"/>
      <c r="L4873" s="68"/>
      <c r="M4873" s="63" t="str">
        <f>HYPERLINK("http://nsgreg.nga.mil/genc/view?v=867052&amp;end_month=12&amp;end_day=31&amp;end_year=2016","Correlation")</f>
        <v>Correlation</v>
      </c>
    </row>
    <row r="4874" spans="1:13" x14ac:dyDescent="0.2">
      <c r="A4874" s="113"/>
      <c r="B4874" s="58" t="s">
        <v>11942</v>
      </c>
      <c r="C4874" s="58" t="s">
        <v>1763</v>
      </c>
      <c r="D4874" s="58" t="s">
        <v>11943</v>
      </c>
      <c r="E4874" s="60" t="b">
        <v>1</v>
      </c>
      <c r="F4874" s="80" t="s">
        <v>1337</v>
      </c>
      <c r="G4874" s="58" t="s">
        <v>11942</v>
      </c>
      <c r="H4874" s="58" t="s">
        <v>1763</v>
      </c>
      <c r="I4874" s="64" t="s">
        <v>11943</v>
      </c>
      <c r="J4874" s="66"/>
      <c r="K4874" s="66"/>
      <c r="L4874" s="68"/>
      <c r="M4874" s="63" t="str">
        <f>HYPERLINK("http://nsgreg.nga.mil/genc/view?v=867049&amp;end_month=12&amp;end_day=31&amp;end_year=2016","Correlation")</f>
        <v>Correlation</v>
      </c>
    </row>
    <row r="4875" spans="1:13" x14ac:dyDescent="0.2">
      <c r="A4875" s="113"/>
      <c r="B4875" s="58" t="s">
        <v>11944</v>
      </c>
      <c r="C4875" s="58" t="s">
        <v>1763</v>
      </c>
      <c r="D4875" s="58" t="s">
        <v>11945</v>
      </c>
      <c r="E4875" s="60" t="b">
        <v>1</v>
      </c>
      <c r="F4875" s="80" t="s">
        <v>1337</v>
      </c>
      <c r="G4875" s="58" t="s">
        <v>11944</v>
      </c>
      <c r="H4875" s="58" t="s">
        <v>1763</v>
      </c>
      <c r="I4875" s="64" t="s">
        <v>11945</v>
      </c>
      <c r="J4875" s="66"/>
      <c r="K4875" s="66"/>
      <c r="L4875" s="68"/>
      <c r="M4875" s="63" t="str">
        <f>HYPERLINK("http://nsgreg.nga.mil/genc/view?v=867050&amp;end_month=12&amp;end_day=31&amp;end_year=2016","Correlation")</f>
        <v>Correlation</v>
      </c>
    </row>
    <row r="4876" spans="1:13" x14ac:dyDescent="0.2">
      <c r="A4876" s="113"/>
      <c r="B4876" s="58" t="s">
        <v>11946</v>
      </c>
      <c r="C4876" s="58" t="s">
        <v>1763</v>
      </c>
      <c r="D4876" s="58" t="s">
        <v>11947</v>
      </c>
      <c r="E4876" s="60" t="b">
        <v>1</v>
      </c>
      <c r="F4876" s="80" t="s">
        <v>1337</v>
      </c>
      <c r="G4876" s="58" t="s">
        <v>11946</v>
      </c>
      <c r="H4876" s="58" t="s">
        <v>1763</v>
      </c>
      <c r="I4876" s="64" t="s">
        <v>11947</v>
      </c>
      <c r="J4876" s="66"/>
      <c r="K4876" s="66"/>
      <c r="L4876" s="68"/>
      <c r="M4876" s="63" t="str">
        <f>HYPERLINK("http://nsgreg.nga.mil/genc/view?v=867051&amp;end_month=12&amp;end_day=31&amp;end_year=2016","Correlation")</f>
        <v>Correlation</v>
      </c>
    </row>
    <row r="4877" spans="1:13" x14ac:dyDescent="0.2">
      <c r="A4877" s="113"/>
      <c r="B4877" s="58" t="s">
        <v>11948</v>
      </c>
      <c r="C4877" s="58" t="s">
        <v>1763</v>
      </c>
      <c r="D4877" s="58" t="s">
        <v>11949</v>
      </c>
      <c r="E4877" s="60" t="b">
        <v>1</v>
      </c>
      <c r="F4877" s="80" t="s">
        <v>1337</v>
      </c>
      <c r="G4877" s="58" t="s">
        <v>11948</v>
      </c>
      <c r="H4877" s="58" t="s">
        <v>1763</v>
      </c>
      <c r="I4877" s="64" t="s">
        <v>11949</v>
      </c>
      <c r="J4877" s="66"/>
      <c r="K4877" s="66"/>
      <c r="L4877" s="68"/>
      <c r="M4877" s="63" t="str">
        <f>HYPERLINK("http://nsgreg.nga.mil/genc/view?v=867053&amp;end_month=12&amp;end_day=31&amp;end_year=2016","Correlation")</f>
        <v>Correlation</v>
      </c>
    </row>
    <row r="4878" spans="1:13" x14ac:dyDescent="0.2">
      <c r="A4878" s="113"/>
      <c r="B4878" s="58" t="s">
        <v>11950</v>
      </c>
      <c r="C4878" s="58" t="s">
        <v>1763</v>
      </c>
      <c r="D4878" s="58" t="s">
        <v>11951</v>
      </c>
      <c r="E4878" s="60" t="b">
        <v>1</v>
      </c>
      <c r="F4878" s="80" t="s">
        <v>1337</v>
      </c>
      <c r="G4878" s="58" t="s">
        <v>11950</v>
      </c>
      <c r="H4878" s="58" t="s">
        <v>1763</v>
      </c>
      <c r="I4878" s="64" t="s">
        <v>11951</v>
      </c>
      <c r="J4878" s="66"/>
      <c r="K4878" s="66"/>
      <c r="L4878" s="68"/>
      <c r="M4878" s="63" t="str">
        <f>HYPERLINK("http://nsgreg.nga.mil/genc/view?v=867046&amp;end_month=12&amp;end_day=31&amp;end_year=2016","Correlation")</f>
        <v>Correlation</v>
      </c>
    </row>
    <row r="4879" spans="1:13" x14ac:dyDescent="0.2">
      <c r="A4879" s="113"/>
      <c r="B4879" s="58" t="s">
        <v>11952</v>
      </c>
      <c r="C4879" s="58" t="s">
        <v>1763</v>
      </c>
      <c r="D4879" s="58" t="s">
        <v>11953</v>
      </c>
      <c r="E4879" s="60" t="b">
        <v>1</v>
      </c>
      <c r="F4879" s="80" t="s">
        <v>1337</v>
      </c>
      <c r="G4879" s="58" t="s">
        <v>11952</v>
      </c>
      <c r="H4879" s="58" t="s">
        <v>1763</v>
      </c>
      <c r="I4879" s="64" t="s">
        <v>11953</v>
      </c>
      <c r="J4879" s="66"/>
      <c r="K4879" s="66"/>
      <c r="L4879" s="68"/>
      <c r="M4879" s="63" t="str">
        <f>HYPERLINK("http://nsgreg.nga.mil/genc/view?v=867047&amp;end_month=12&amp;end_day=31&amp;end_year=2016","Correlation")</f>
        <v>Correlation</v>
      </c>
    </row>
    <row r="4880" spans="1:13" x14ac:dyDescent="0.2">
      <c r="A4880" s="113"/>
      <c r="B4880" s="58" t="s">
        <v>11954</v>
      </c>
      <c r="C4880" s="58" t="s">
        <v>1763</v>
      </c>
      <c r="D4880" s="58" t="s">
        <v>11955</v>
      </c>
      <c r="E4880" s="60" t="b">
        <v>1</v>
      </c>
      <c r="F4880" s="80" t="s">
        <v>1337</v>
      </c>
      <c r="G4880" s="58" t="s">
        <v>11954</v>
      </c>
      <c r="H4880" s="58" t="s">
        <v>1763</v>
      </c>
      <c r="I4880" s="64" t="s">
        <v>11955</v>
      </c>
      <c r="J4880" s="66"/>
      <c r="K4880" s="66"/>
      <c r="L4880" s="68"/>
      <c r="M4880" s="63" t="str">
        <f>HYPERLINK("http://nsgreg.nga.mil/genc/view?v=867054&amp;end_month=12&amp;end_day=31&amp;end_year=2016","Correlation")</f>
        <v>Correlation</v>
      </c>
    </row>
    <row r="4881" spans="1:13" x14ac:dyDescent="0.2">
      <c r="A4881" s="113"/>
      <c r="B4881" s="58" t="s">
        <v>11956</v>
      </c>
      <c r="C4881" s="58" t="s">
        <v>1763</v>
      </c>
      <c r="D4881" s="58" t="s">
        <v>11957</v>
      </c>
      <c r="E4881" s="60" t="b">
        <v>1</v>
      </c>
      <c r="F4881" s="80" t="s">
        <v>1337</v>
      </c>
      <c r="G4881" s="58" t="s">
        <v>11956</v>
      </c>
      <c r="H4881" s="58" t="s">
        <v>1763</v>
      </c>
      <c r="I4881" s="64" t="s">
        <v>11957</v>
      </c>
      <c r="J4881" s="66"/>
      <c r="K4881" s="66"/>
      <c r="L4881" s="68"/>
      <c r="M4881" s="63" t="str">
        <f>HYPERLINK("http://nsgreg.nga.mil/genc/view?v=867055&amp;end_month=12&amp;end_day=31&amp;end_year=2016","Correlation")</f>
        <v>Correlation</v>
      </c>
    </row>
    <row r="4882" spans="1:13" x14ac:dyDescent="0.2">
      <c r="A4882" s="113"/>
      <c r="B4882" s="58" t="s">
        <v>11958</v>
      </c>
      <c r="C4882" s="58" t="s">
        <v>1763</v>
      </c>
      <c r="D4882" s="58" t="s">
        <v>11959</v>
      </c>
      <c r="E4882" s="60" t="b">
        <v>1</v>
      </c>
      <c r="F4882" s="80" t="s">
        <v>1337</v>
      </c>
      <c r="G4882" s="58" t="s">
        <v>11958</v>
      </c>
      <c r="H4882" s="58" t="s">
        <v>1763</v>
      </c>
      <c r="I4882" s="64" t="s">
        <v>11959</v>
      </c>
      <c r="J4882" s="66"/>
      <c r="K4882" s="66"/>
      <c r="L4882" s="68"/>
      <c r="M4882" s="63" t="str">
        <f>HYPERLINK("http://nsgreg.nga.mil/genc/view?v=867056&amp;end_month=12&amp;end_day=31&amp;end_year=2016","Correlation")</f>
        <v>Correlation</v>
      </c>
    </row>
    <row r="4883" spans="1:13" x14ac:dyDescent="0.2">
      <c r="A4883" s="113"/>
      <c r="B4883" s="58" t="s">
        <v>11960</v>
      </c>
      <c r="C4883" s="58" t="s">
        <v>1763</v>
      </c>
      <c r="D4883" s="58" t="s">
        <v>11961</v>
      </c>
      <c r="E4883" s="60" t="b">
        <v>1</v>
      </c>
      <c r="F4883" s="80" t="s">
        <v>1337</v>
      </c>
      <c r="G4883" s="58" t="s">
        <v>11960</v>
      </c>
      <c r="H4883" s="58" t="s">
        <v>1763</v>
      </c>
      <c r="I4883" s="64" t="s">
        <v>11961</v>
      </c>
      <c r="J4883" s="66"/>
      <c r="K4883" s="66"/>
      <c r="L4883" s="68"/>
      <c r="M4883" s="63" t="str">
        <f>HYPERLINK("http://nsgreg.nga.mil/genc/view?v=867057&amp;end_month=12&amp;end_day=31&amp;end_year=2016","Correlation")</f>
        <v>Correlation</v>
      </c>
    </row>
    <row r="4884" spans="1:13" x14ac:dyDescent="0.2">
      <c r="A4884" s="113"/>
      <c r="B4884" s="58" t="s">
        <v>11962</v>
      </c>
      <c r="C4884" s="58" t="s">
        <v>1763</v>
      </c>
      <c r="D4884" s="58" t="s">
        <v>11963</v>
      </c>
      <c r="E4884" s="60" t="b">
        <v>1</v>
      </c>
      <c r="F4884" s="80" t="s">
        <v>1337</v>
      </c>
      <c r="G4884" s="58" t="s">
        <v>11962</v>
      </c>
      <c r="H4884" s="58" t="s">
        <v>1763</v>
      </c>
      <c r="I4884" s="64" t="s">
        <v>11963</v>
      </c>
      <c r="J4884" s="66"/>
      <c r="K4884" s="66"/>
      <c r="L4884" s="68"/>
      <c r="M4884" s="63" t="str">
        <f>HYPERLINK("http://nsgreg.nga.mil/genc/view?v=867058&amp;end_month=12&amp;end_day=31&amp;end_year=2016","Correlation")</f>
        <v>Correlation</v>
      </c>
    </row>
    <row r="4885" spans="1:13" x14ac:dyDescent="0.2">
      <c r="A4885" s="113"/>
      <c r="B4885" s="58" t="s">
        <v>11964</v>
      </c>
      <c r="C4885" s="58" t="s">
        <v>1763</v>
      </c>
      <c r="D4885" s="58" t="s">
        <v>11965</v>
      </c>
      <c r="E4885" s="60" t="b">
        <v>1</v>
      </c>
      <c r="F4885" s="80" t="s">
        <v>1337</v>
      </c>
      <c r="G4885" s="58" t="s">
        <v>11964</v>
      </c>
      <c r="H4885" s="58" t="s">
        <v>1763</v>
      </c>
      <c r="I4885" s="64" t="s">
        <v>11965</v>
      </c>
      <c r="J4885" s="66"/>
      <c r="K4885" s="66"/>
      <c r="L4885" s="68"/>
      <c r="M4885" s="63" t="str">
        <f>HYPERLINK("http://nsgreg.nga.mil/genc/view?v=867059&amp;end_month=12&amp;end_day=31&amp;end_year=2016","Correlation")</f>
        <v>Correlation</v>
      </c>
    </row>
    <row r="4886" spans="1:13" x14ac:dyDescent="0.2">
      <c r="A4886" s="113"/>
      <c r="B4886" s="58" t="s">
        <v>11966</v>
      </c>
      <c r="C4886" s="58" t="s">
        <v>1763</v>
      </c>
      <c r="D4886" s="58" t="s">
        <v>11967</v>
      </c>
      <c r="E4886" s="60" t="b">
        <v>1</v>
      </c>
      <c r="F4886" s="80" t="s">
        <v>1337</v>
      </c>
      <c r="G4886" s="58" t="s">
        <v>11966</v>
      </c>
      <c r="H4886" s="58" t="s">
        <v>1763</v>
      </c>
      <c r="I4886" s="64" t="s">
        <v>11967</v>
      </c>
      <c r="J4886" s="66"/>
      <c r="K4886" s="66"/>
      <c r="L4886" s="68"/>
      <c r="M4886" s="63" t="str">
        <f>HYPERLINK("http://nsgreg.nga.mil/genc/view?v=867060&amp;end_month=12&amp;end_day=31&amp;end_year=2016","Correlation")</f>
        <v>Correlation</v>
      </c>
    </row>
    <row r="4887" spans="1:13" x14ac:dyDescent="0.2">
      <c r="A4887" s="113"/>
      <c r="B4887" s="58" t="s">
        <v>11968</v>
      </c>
      <c r="C4887" s="58" t="s">
        <v>1763</v>
      </c>
      <c r="D4887" s="58" t="s">
        <v>11969</v>
      </c>
      <c r="E4887" s="60" t="b">
        <v>1</v>
      </c>
      <c r="F4887" s="80" t="s">
        <v>1337</v>
      </c>
      <c r="G4887" s="58" t="s">
        <v>11968</v>
      </c>
      <c r="H4887" s="58" t="s">
        <v>1763</v>
      </c>
      <c r="I4887" s="64" t="s">
        <v>11969</v>
      </c>
      <c r="J4887" s="66"/>
      <c r="K4887" s="66"/>
      <c r="L4887" s="68"/>
      <c r="M4887" s="63" t="str">
        <f>HYPERLINK("http://nsgreg.nga.mil/genc/view?v=867061&amp;end_month=12&amp;end_day=31&amp;end_year=2016","Correlation")</f>
        <v>Correlation</v>
      </c>
    </row>
    <row r="4888" spans="1:13" x14ac:dyDescent="0.2">
      <c r="A4888" s="113"/>
      <c r="B4888" s="58" t="s">
        <v>11970</v>
      </c>
      <c r="C4888" s="58" t="s">
        <v>1763</v>
      </c>
      <c r="D4888" s="58" t="s">
        <v>11971</v>
      </c>
      <c r="E4888" s="60" t="b">
        <v>1</v>
      </c>
      <c r="F4888" s="80" t="s">
        <v>1337</v>
      </c>
      <c r="G4888" s="58" t="s">
        <v>11970</v>
      </c>
      <c r="H4888" s="58" t="s">
        <v>1763</v>
      </c>
      <c r="I4888" s="64" t="s">
        <v>11971</v>
      </c>
      <c r="J4888" s="66"/>
      <c r="K4888" s="66"/>
      <c r="L4888" s="68"/>
      <c r="M4888" s="63" t="str">
        <f>HYPERLINK("http://nsgreg.nga.mil/genc/view?v=867062&amp;end_month=12&amp;end_day=31&amp;end_year=2016","Correlation")</f>
        <v>Correlation</v>
      </c>
    </row>
    <row r="4889" spans="1:13" x14ac:dyDescent="0.2">
      <c r="A4889" s="113"/>
      <c r="B4889" s="58" t="s">
        <v>11972</v>
      </c>
      <c r="C4889" s="58" t="s">
        <v>1763</v>
      </c>
      <c r="D4889" s="58" t="s">
        <v>11973</v>
      </c>
      <c r="E4889" s="60" t="b">
        <v>1</v>
      </c>
      <c r="F4889" s="80" t="s">
        <v>1337</v>
      </c>
      <c r="G4889" s="58" t="s">
        <v>11972</v>
      </c>
      <c r="H4889" s="58" t="s">
        <v>1763</v>
      </c>
      <c r="I4889" s="64" t="s">
        <v>11973</v>
      </c>
      <c r="J4889" s="66"/>
      <c r="K4889" s="66"/>
      <c r="L4889" s="68"/>
      <c r="M4889" s="63" t="str">
        <f>HYPERLINK("http://nsgreg.nga.mil/genc/view?v=867063&amp;end_month=12&amp;end_day=31&amp;end_year=2016","Correlation")</f>
        <v>Correlation</v>
      </c>
    </row>
    <row r="4890" spans="1:13" x14ac:dyDescent="0.2">
      <c r="A4890" s="113"/>
      <c r="B4890" s="58" t="s">
        <v>11974</v>
      </c>
      <c r="C4890" s="58" t="s">
        <v>1763</v>
      </c>
      <c r="D4890" s="58" t="s">
        <v>11975</v>
      </c>
      <c r="E4890" s="60" t="b">
        <v>1</v>
      </c>
      <c r="F4890" s="80" t="s">
        <v>1337</v>
      </c>
      <c r="G4890" s="58" t="s">
        <v>11974</v>
      </c>
      <c r="H4890" s="58" t="s">
        <v>1763</v>
      </c>
      <c r="I4890" s="64" t="s">
        <v>11975</v>
      </c>
      <c r="J4890" s="66"/>
      <c r="K4890" s="66"/>
      <c r="L4890" s="68"/>
      <c r="M4890" s="63" t="str">
        <f>HYPERLINK("http://nsgreg.nga.mil/genc/view?v=867065&amp;end_month=12&amp;end_day=31&amp;end_year=2016","Correlation")</f>
        <v>Correlation</v>
      </c>
    </row>
    <row r="4891" spans="1:13" x14ac:dyDescent="0.2">
      <c r="A4891" s="113"/>
      <c r="B4891" s="58" t="s">
        <v>11976</v>
      </c>
      <c r="C4891" s="58" t="s">
        <v>1763</v>
      </c>
      <c r="D4891" s="58" t="s">
        <v>11977</v>
      </c>
      <c r="E4891" s="60" t="b">
        <v>1</v>
      </c>
      <c r="F4891" s="80" t="s">
        <v>1337</v>
      </c>
      <c r="G4891" s="58" t="s">
        <v>11976</v>
      </c>
      <c r="H4891" s="58" t="s">
        <v>1763</v>
      </c>
      <c r="I4891" s="64" t="s">
        <v>11977</v>
      </c>
      <c r="J4891" s="66"/>
      <c r="K4891" s="66"/>
      <c r="L4891" s="68"/>
      <c r="M4891" s="63" t="str">
        <f>HYPERLINK("http://nsgreg.nga.mil/genc/view?v=867064&amp;end_month=12&amp;end_day=31&amp;end_year=2016","Correlation")</f>
        <v>Correlation</v>
      </c>
    </row>
    <row r="4892" spans="1:13" x14ac:dyDescent="0.2">
      <c r="A4892" s="113"/>
      <c r="B4892" s="58" t="s">
        <v>11978</v>
      </c>
      <c r="C4892" s="58" t="s">
        <v>1763</v>
      </c>
      <c r="D4892" s="58" t="s">
        <v>11979</v>
      </c>
      <c r="E4892" s="60" t="b">
        <v>1</v>
      </c>
      <c r="F4892" s="80" t="s">
        <v>1337</v>
      </c>
      <c r="G4892" s="58" t="s">
        <v>11978</v>
      </c>
      <c r="H4892" s="58" t="s">
        <v>1763</v>
      </c>
      <c r="I4892" s="64" t="s">
        <v>11979</v>
      </c>
      <c r="J4892" s="66"/>
      <c r="K4892" s="66"/>
      <c r="L4892" s="68"/>
      <c r="M4892" s="63" t="str">
        <f>HYPERLINK("http://nsgreg.nga.mil/genc/view?v=867066&amp;end_month=12&amp;end_day=31&amp;end_year=2016","Correlation")</f>
        <v>Correlation</v>
      </c>
    </row>
    <row r="4893" spans="1:13" x14ac:dyDescent="0.2">
      <c r="A4893" s="113"/>
      <c r="B4893" s="58" t="s">
        <v>11980</v>
      </c>
      <c r="C4893" s="58" t="s">
        <v>1763</v>
      </c>
      <c r="D4893" s="58" t="s">
        <v>11981</v>
      </c>
      <c r="E4893" s="60" t="b">
        <v>1</v>
      </c>
      <c r="F4893" s="80" t="s">
        <v>1337</v>
      </c>
      <c r="G4893" s="58" t="s">
        <v>11980</v>
      </c>
      <c r="H4893" s="58" t="s">
        <v>1763</v>
      </c>
      <c r="I4893" s="64" t="s">
        <v>11981</v>
      </c>
      <c r="J4893" s="66"/>
      <c r="K4893" s="66"/>
      <c r="L4893" s="68"/>
      <c r="M4893" s="63" t="str">
        <f>HYPERLINK("http://nsgreg.nga.mil/genc/view?v=867068&amp;end_month=12&amp;end_day=31&amp;end_year=2016","Correlation")</f>
        <v>Correlation</v>
      </c>
    </row>
    <row r="4894" spans="1:13" x14ac:dyDescent="0.2">
      <c r="A4894" s="113"/>
      <c r="B4894" s="58" t="s">
        <v>11982</v>
      </c>
      <c r="C4894" s="58" t="s">
        <v>1763</v>
      </c>
      <c r="D4894" s="58" t="s">
        <v>11983</v>
      </c>
      <c r="E4894" s="60" t="b">
        <v>1</v>
      </c>
      <c r="F4894" s="80" t="s">
        <v>1337</v>
      </c>
      <c r="G4894" s="58" t="s">
        <v>11982</v>
      </c>
      <c r="H4894" s="58" t="s">
        <v>1763</v>
      </c>
      <c r="I4894" s="64" t="s">
        <v>11983</v>
      </c>
      <c r="J4894" s="66"/>
      <c r="K4894" s="66"/>
      <c r="L4894" s="68"/>
      <c r="M4894" s="63" t="str">
        <f>HYPERLINK("http://nsgreg.nga.mil/genc/view?v=867067&amp;end_month=12&amp;end_day=31&amp;end_year=2016","Correlation")</f>
        <v>Correlation</v>
      </c>
    </row>
    <row r="4895" spans="1:13" x14ac:dyDescent="0.2">
      <c r="A4895" s="114"/>
      <c r="B4895" s="71" t="s">
        <v>11984</v>
      </c>
      <c r="C4895" s="71" t="s">
        <v>1763</v>
      </c>
      <c r="D4895" s="71" t="s">
        <v>11985</v>
      </c>
      <c r="E4895" s="73" t="b">
        <v>1</v>
      </c>
      <c r="F4895" s="81" t="s">
        <v>1337</v>
      </c>
      <c r="G4895" s="71" t="s">
        <v>11984</v>
      </c>
      <c r="H4895" s="71" t="s">
        <v>1763</v>
      </c>
      <c r="I4895" s="74" t="s">
        <v>11985</v>
      </c>
      <c r="J4895" s="76"/>
      <c r="K4895" s="76"/>
      <c r="L4895" s="82"/>
      <c r="M4895" s="77" t="str">
        <f>HYPERLINK("http://nsgreg.nga.mil/genc/view?v=867069&amp;end_month=12&amp;end_day=31&amp;end_year=2016","Correlation")</f>
        <v>Correlation</v>
      </c>
    </row>
    <row r="4896" spans="1:13" x14ac:dyDescent="0.2">
      <c r="A4896" s="112" t="s">
        <v>1346</v>
      </c>
      <c r="B4896" s="50" t="s">
        <v>11986</v>
      </c>
      <c r="C4896" s="50" t="s">
        <v>2294</v>
      </c>
      <c r="D4896" s="50" t="s">
        <v>11987</v>
      </c>
      <c r="E4896" s="52" t="b">
        <v>1</v>
      </c>
      <c r="F4896" s="78" t="s">
        <v>1346</v>
      </c>
      <c r="G4896" s="50" t="s">
        <v>11986</v>
      </c>
      <c r="H4896" s="50" t="s">
        <v>2294</v>
      </c>
      <c r="I4896" s="53" t="s">
        <v>11987</v>
      </c>
      <c r="J4896" s="55"/>
      <c r="K4896" s="55"/>
      <c r="L4896" s="79"/>
      <c r="M4896" s="56" t="str">
        <f>HYPERLINK("http://nsgreg.nga.mil/genc/view?v=867070&amp;end_month=12&amp;end_day=31&amp;end_year=2016","Correlation")</f>
        <v>Correlation</v>
      </c>
    </row>
    <row r="4897" spans="1:13" x14ac:dyDescent="0.2">
      <c r="A4897" s="113"/>
      <c r="B4897" s="58" t="s">
        <v>11988</v>
      </c>
      <c r="C4897" s="58" t="s">
        <v>2294</v>
      </c>
      <c r="D4897" s="58" t="s">
        <v>11989</v>
      </c>
      <c r="E4897" s="60" t="b">
        <v>1</v>
      </c>
      <c r="F4897" s="80" t="s">
        <v>1346</v>
      </c>
      <c r="G4897" s="58" t="s">
        <v>11988</v>
      </c>
      <c r="H4897" s="58" t="s">
        <v>2294</v>
      </c>
      <c r="I4897" s="64" t="s">
        <v>11989</v>
      </c>
      <c r="J4897" s="66"/>
      <c r="K4897" s="66"/>
      <c r="L4897" s="68"/>
      <c r="M4897" s="63" t="str">
        <f>HYPERLINK("http://nsgreg.nga.mil/genc/view?v=867071&amp;end_month=12&amp;end_day=31&amp;end_year=2016","Correlation")</f>
        <v>Correlation</v>
      </c>
    </row>
    <row r="4898" spans="1:13" x14ac:dyDescent="0.2">
      <c r="A4898" s="113"/>
      <c r="B4898" s="58" t="s">
        <v>11990</v>
      </c>
      <c r="C4898" s="58" t="s">
        <v>2294</v>
      </c>
      <c r="D4898" s="58" t="s">
        <v>11991</v>
      </c>
      <c r="E4898" s="60" t="b">
        <v>1</v>
      </c>
      <c r="F4898" s="80" t="s">
        <v>1346</v>
      </c>
      <c r="G4898" s="58" t="s">
        <v>11990</v>
      </c>
      <c r="H4898" s="58" t="s">
        <v>2294</v>
      </c>
      <c r="I4898" s="64" t="s">
        <v>11991</v>
      </c>
      <c r="J4898" s="66"/>
      <c r="K4898" s="66"/>
      <c r="L4898" s="68"/>
      <c r="M4898" s="63" t="str">
        <f>HYPERLINK("http://nsgreg.nga.mil/genc/view?v=867072&amp;end_month=12&amp;end_day=31&amp;end_year=2016","Correlation")</f>
        <v>Correlation</v>
      </c>
    </row>
    <row r="4899" spans="1:13" x14ac:dyDescent="0.2">
      <c r="A4899" s="113"/>
      <c r="B4899" s="58" t="s">
        <v>11992</v>
      </c>
      <c r="C4899" s="58" t="s">
        <v>2294</v>
      </c>
      <c r="D4899" s="58" t="s">
        <v>11993</v>
      </c>
      <c r="E4899" s="60" t="b">
        <v>1</v>
      </c>
      <c r="F4899" s="80" t="s">
        <v>1346</v>
      </c>
      <c r="G4899" s="58" t="s">
        <v>11992</v>
      </c>
      <c r="H4899" s="58" t="s">
        <v>2294</v>
      </c>
      <c r="I4899" s="64" t="s">
        <v>11993</v>
      </c>
      <c r="J4899" s="66"/>
      <c r="K4899" s="66"/>
      <c r="L4899" s="68"/>
      <c r="M4899" s="63" t="str">
        <f>HYPERLINK("http://nsgreg.nga.mil/genc/view?v=867073&amp;end_month=12&amp;end_day=31&amp;end_year=2016","Correlation")</f>
        <v>Correlation</v>
      </c>
    </row>
    <row r="4900" spans="1:13" x14ac:dyDescent="0.2">
      <c r="A4900" s="113"/>
      <c r="B4900" s="58" t="s">
        <v>11994</v>
      </c>
      <c r="C4900" s="58" t="s">
        <v>2294</v>
      </c>
      <c r="D4900" s="58" t="s">
        <v>11995</v>
      </c>
      <c r="E4900" s="60" t="b">
        <v>1</v>
      </c>
      <c r="F4900" s="80" t="s">
        <v>1346</v>
      </c>
      <c r="G4900" s="58" t="s">
        <v>11994</v>
      </c>
      <c r="H4900" s="58" t="s">
        <v>2294</v>
      </c>
      <c r="I4900" s="64" t="s">
        <v>11995</v>
      </c>
      <c r="J4900" s="66"/>
      <c r="K4900" s="66"/>
      <c r="L4900" s="68"/>
      <c r="M4900" s="63" t="str">
        <f>HYPERLINK("http://nsgreg.nga.mil/genc/view?v=867074&amp;end_month=12&amp;end_day=31&amp;end_year=2016","Correlation")</f>
        <v>Correlation</v>
      </c>
    </row>
    <row r="4901" spans="1:13" x14ac:dyDescent="0.2">
      <c r="A4901" s="113"/>
      <c r="B4901" s="58" t="s">
        <v>11996</v>
      </c>
      <c r="C4901" s="58" t="s">
        <v>2294</v>
      </c>
      <c r="D4901" s="58" t="s">
        <v>11997</v>
      </c>
      <c r="E4901" s="60" t="b">
        <v>1</v>
      </c>
      <c r="F4901" s="80" t="s">
        <v>1346</v>
      </c>
      <c r="G4901" s="58" t="s">
        <v>11996</v>
      </c>
      <c r="H4901" s="58" t="s">
        <v>2294</v>
      </c>
      <c r="I4901" s="64" t="s">
        <v>11997</v>
      </c>
      <c r="J4901" s="66"/>
      <c r="K4901" s="66"/>
      <c r="L4901" s="68"/>
      <c r="M4901" s="63" t="str">
        <f>HYPERLINK("http://nsgreg.nga.mil/genc/view?v=867076&amp;end_month=12&amp;end_day=31&amp;end_year=2016","Correlation")</f>
        <v>Correlation</v>
      </c>
    </row>
    <row r="4902" spans="1:13" x14ac:dyDescent="0.2">
      <c r="A4902" s="113"/>
      <c r="B4902" s="58" t="s">
        <v>11904</v>
      </c>
      <c r="C4902" s="58" t="s">
        <v>2294</v>
      </c>
      <c r="D4902" s="58" t="s">
        <v>11998</v>
      </c>
      <c r="E4902" s="60" t="b">
        <v>1</v>
      </c>
      <c r="F4902" s="80" t="s">
        <v>1346</v>
      </c>
      <c r="G4902" s="58" t="s">
        <v>11904</v>
      </c>
      <c r="H4902" s="58" t="s">
        <v>2294</v>
      </c>
      <c r="I4902" s="64" t="s">
        <v>11998</v>
      </c>
      <c r="J4902" s="66"/>
      <c r="K4902" s="66"/>
      <c r="L4902" s="68"/>
      <c r="M4902" s="63" t="str">
        <f>HYPERLINK("http://nsgreg.nga.mil/genc/view?v=867075&amp;end_month=12&amp;end_day=31&amp;end_year=2016","Correlation")</f>
        <v>Correlation</v>
      </c>
    </row>
    <row r="4903" spans="1:13" x14ac:dyDescent="0.2">
      <c r="A4903" s="113"/>
      <c r="B4903" s="58" t="s">
        <v>11999</v>
      </c>
      <c r="C4903" s="58" t="s">
        <v>2294</v>
      </c>
      <c r="D4903" s="58" t="s">
        <v>12000</v>
      </c>
      <c r="E4903" s="60" t="b">
        <v>1</v>
      </c>
      <c r="F4903" s="80" t="s">
        <v>1346</v>
      </c>
      <c r="G4903" s="58" t="s">
        <v>11999</v>
      </c>
      <c r="H4903" s="58" t="s">
        <v>2294</v>
      </c>
      <c r="I4903" s="64" t="s">
        <v>12000</v>
      </c>
      <c r="J4903" s="66"/>
      <c r="K4903" s="66"/>
      <c r="L4903" s="68"/>
      <c r="M4903" s="63" t="str">
        <f>HYPERLINK("http://nsgreg.nga.mil/genc/view?v=867077&amp;end_month=12&amp;end_day=31&amp;end_year=2016","Correlation")</f>
        <v>Correlation</v>
      </c>
    </row>
    <row r="4904" spans="1:13" x14ac:dyDescent="0.2">
      <c r="A4904" s="113"/>
      <c r="B4904" s="58" t="s">
        <v>12001</v>
      </c>
      <c r="C4904" s="58" t="s">
        <v>2294</v>
      </c>
      <c r="D4904" s="58" t="s">
        <v>12002</v>
      </c>
      <c r="E4904" s="60" t="b">
        <v>1</v>
      </c>
      <c r="F4904" s="80" t="s">
        <v>1346</v>
      </c>
      <c r="G4904" s="58" t="s">
        <v>12001</v>
      </c>
      <c r="H4904" s="58" t="s">
        <v>2294</v>
      </c>
      <c r="I4904" s="64" t="s">
        <v>12002</v>
      </c>
      <c r="J4904" s="66"/>
      <c r="K4904" s="66"/>
      <c r="L4904" s="68"/>
      <c r="M4904" s="63" t="str">
        <f>HYPERLINK("http://nsgreg.nga.mil/genc/view?v=867078&amp;end_month=12&amp;end_day=31&amp;end_year=2016","Correlation")</f>
        <v>Correlation</v>
      </c>
    </row>
    <row r="4905" spans="1:13" x14ac:dyDescent="0.2">
      <c r="A4905" s="113"/>
      <c r="B4905" s="58" t="s">
        <v>12003</v>
      </c>
      <c r="C4905" s="58" t="s">
        <v>2294</v>
      </c>
      <c r="D4905" s="58" t="s">
        <v>12004</v>
      </c>
      <c r="E4905" s="60" t="b">
        <v>1</v>
      </c>
      <c r="F4905" s="80" t="s">
        <v>1346</v>
      </c>
      <c r="G4905" s="58" t="s">
        <v>12003</v>
      </c>
      <c r="H4905" s="58" t="s">
        <v>2294</v>
      </c>
      <c r="I4905" s="64" t="s">
        <v>12004</v>
      </c>
      <c r="J4905" s="66"/>
      <c r="K4905" s="66"/>
      <c r="L4905" s="68"/>
      <c r="M4905" s="63" t="str">
        <f>HYPERLINK("http://nsgreg.nga.mil/genc/view?v=867079&amp;end_month=12&amp;end_day=31&amp;end_year=2016","Correlation")</f>
        <v>Correlation</v>
      </c>
    </row>
    <row r="4906" spans="1:13" x14ac:dyDescent="0.2">
      <c r="A4906" s="113"/>
      <c r="B4906" s="58" t="s">
        <v>12005</v>
      </c>
      <c r="C4906" s="58" t="s">
        <v>2294</v>
      </c>
      <c r="D4906" s="58" t="s">
        <v>12006</v>
      </c>
      <c r="E4906" s="60" t="b">
        <v>1</v>
      </c>
      <c r="F4906" s="80" t="s">
        <v>1346</v>
      </c>
      <c r="G4906" s="58" t="s">
        <v>12005</v>
      </c>
      <c r="H4906" s="58" t="s">
        <v>2294</v>
      </c>
      <c r="I4906" s="64" t="s">
        <v>12006</v>
      </c>
      <c r="J4906" s="66"/>
      <c r="K4906" s="66"/>
      <c r="L4906" s="68"/>
      <c r="M4906" s="63" t="str">
        <f>HYPERLINK("http://nsgreg.nga.mil/genc/view?v=867080&amp;end_month=12&amp;end_day=31&amp;end_year=2016","Correlation")</f>
        <v>Correlation</v>
      </c>
    </row>
    <row r="4907" spans="1:13" x14ac:dyDescent="0.2">
      <c r="A4907" s="113"/>
      <c r="B4907" s="58" t="s">
        <v>1708</v>
      </c>
      <c r="C4907" s="58" t="s">
        <v>2294</v>
      </c>
      <c r="D4907" s="58" t="s">
        <v>12007</v>
      </c>
      <c r="E4907" s="60" t="b">
        <v>1</v>
      </c>
      <c r="F4907" s="80" t="s">
        <v>1346</v>
      </c>
      <c r="G4907" s="58" t="s">
        <v>1708</v>
      </c>
      <c r="H4907" s="58" t="s">
        <v>2294</v>
      </c>
      <c r="I4907" s="64" t="s">
        <v>12007</v>
      </c>
      <c r="J4907" s="66"/>
      <c r="K4907" s="66"/>
      <c r="L4907" s="68"/>
      <c r="M4907" s="63" t="str">
        <f>HYPERLINK("http://nsgreg.nga.mil/genc/view?v=867081&amp;end_month=12&amp;end_day=31&amp;end_year=2016","Correlation")</f>
        <v>Correlation</v>
      </c>
    </row>
    <row r="4908" spans="1:13" x14ac:dyDescent="0.2">
      <c r="A4908" s="113"/>
      <c r="B4908" s="58" t="s">
        <v>12008</v>
      </c>
      <c r="C4908" s="58" t="s">
        <v>2294</v>
      </c>
      <c r="D4908" s="58" t="s">
        <v>12009</v>
      </c>
      <c r="E4908" s="60" t="b">
        <v>1</v>
      </c>
      <c r="F4908" s="80" t="s">
        <v>1346</v>
      </c>
      <c r="G4908" s="58" t="s">
        <v>12008</v>
      </c>
      <c r="H4908" s="58" t="s">
        <v>2294</v>
      </c>
      <c r="I4908" s="64" t="s">
        <v>12009</v>
      </c>
      <c r="J4908" s="66"/>
      <c r="K4908" s="66"/>
      <c r="L4908" s="68"/>
      <c r="M4908" s="63" t="str">
        <f>HYPERLINK("http://nsgreg.nga.mil/genc/view?v=867083&amp;end_month=12&amp;end_day=31&amp;end_year=2016","Correlation")</f>
        <v>Correlation</v>
      </c>
    </row>
    <row r="4909" spans="1:13" x14ac:dyDescent="0.2">
      <c r="A4909" s="113"/>
      <c r="B4909" s="58" t="s">
        <v>12010</v>
      </c>
      <c r="C4909" s="58" t="s">
        <v>2294</v>
      </c>
      <c r="D4909" s="58" t="s">
        <v>12011</v>
      </c>
      <c r="E4909" s="60" t="b">
        <v>1</v>
      </c>
      <c r="F4909" s="80" t="s">
        <v>1346</v>
      </c>
      <c r="G4909" s="58" t="s">
        <v>12010</v>
      </c>
      <c r="H4909" s="58" t="s">
        <v>2294</v>
      </c>
      <c r="I4909" s="64" t="s">
        <v>12011</v>
      </c>
      <c r="J4909" s="66"/>
      <c r="K4909" s="66"/>
      <c r="L4909" s="68"/>
      <c r="M4909" s="63" t="str">
        <f>HYPERLINK("http://nsgreg.nga.mil/genc/view?v=867082&amp;end_month=12&amp;end_day=31&amp;end_year=2016","Correlation")</f>
        <v>Correlation</v>
      </c>
    </row>
    <row r="4910" spans="1:13" x14ac:dyDescent="0.2">
      <c r="A4910" s="113"/>
      <c r="B4910" s="58" t="s">
        <v>12012</v>
      </c>
      <c r="C4910" s="58" t="s">
        <v>2294</v>
      </c>
      <c r="D4910" s="58" t="s">
        <v>12013</v>
      </c>
      <c r="E4910" s="60" t="b">
        <v>1</v>
      </c>
      <c r="F4910" s="80" t="s">
        <v>1346</v>
      </c>
      <c r="G4910" s="58" t="s">
        <v>12012</v>
      </c>
      <c r="H4910" s="58" t="s">
        <v>2294</v>
      </c>
      <c r="I4910" s="64" t="s">
        <v>12013</v>
      </c>
      <c r="J4910" s="66"/>
      <c r="K4910" s="66"/>
      <c r="L4910" s="68"/>
      <c r="M4910" s="63" t="str">
        <f>HYPERLINK("http://nsgreg.nga.mil/genc/view?v=867084&amp;end_month=12&amp;end_day=31&amp;end_year=2016","Correlation")</f>
        <v>Correlation</v>
      </c>
    </row>
    <row r="4911" spans="1:13" x14ac:dyDescent="0.2">
      <c r="A4911" s="113"/>
      <c r="B4911" s="58" t="s">
        <v>3298</v>
      </c>
      <c r="C4911" s="58" t="s">
        <v>2294</v>
      </c>
      <c r="D4911" s="58" t="s">
        <v>12014</v>
      </c>
      <c r="E4911" s="60" t="b">
        <v>1</v>
      </c>
      <c r="F4911" s="80" t="s">
        <v>1346</v>
      </c>
      <c r="G4911" s="58" t="s">
        <v>3298</v>
      </c>
      <c r="H4911" s="58" t="s">
        <v>2294</v>
      </c>
      <c r="I4911" s="64" t="s">
        <v>12014</v>
      </c>
      <c r="J4911" s="66"/>
      <c r="K4911" s="66"/>
      <c r="L4911" s="68"/>
      <c r="M4911" s="63" t="str">
        <f>HYPERLINK("http://nsgreg.nga.mil/genc/view?v=867085&amp;end_month=12&amp;end_day=31&amp;end_year=2016","Correlation")</f>
        <v>Correlation</v>
      </c>
    </row>
    <row r="4912" spans="1:13" x14ac:dyDescent="0.2">
      <c r="A4912" s="113"/>
      <c r="B4912" s="58" t="s">
        <v>12015</v>
      </c>
      <c r="C4912" s="58" t="s">
        <v>2294</v>
      </c>
      <c r="D4912" s="58" t="s">
        <v>12016</v>
      </c>
      <c r="E4912" s="60" t="b">
        <v>1</v>
      </c>
      <c r="F4912" s="80" t="s">
        <v>1346</v>
      </c>
      <c r="G4912" s="58" t="s">
        <v>12015</v>
      </c>
      <c r="H4912" s="58" t="s">
        <v>2294</v>
      </c>
      <c r="I4912" s="64" t="s">
        <v>12016</v>
      </c>
      <c r="J4912" s="66"/>
      <c r="K4912" s="66"/>
      <c r="L4912" s="68"/>
      <c r="M4912" s="63" t="str">
        <f>HYPERLINK("http://nsgreg.nga.mil/genc/view?v=867086&amp;end_month=12&amp;end_day=31&amp;end_year=2016","Correlation")</f>
        <v>Correlation</v>
      </c>
    </row>
    <row r="4913" spans="1:13" x14ac:dyDescent="0.2">
      <c r="A4913" s="113"/>
      <c r="B4913" s="58" t="s">
        <v>12017</v>
      </c>
      <c r="C4913" s="58" t="s">
        <v>2294</v>
      </c>
      <c r="D4913" s="58" t="s">
        <v>12018</v>
      </c>
      <c r="E4913" s="60" t="b">
        <v>1</v>
      </c>
      <c r="F4913" s="80" t="s">
        <v>1346</v>
      </c>
      <c r="G4913" s="58" t="s">
        <v>12017</v>
      </c>
      <c r="H4913" s="58" t="s">
        <v>2294</v>
      </c>
      <c r="I4913" s="64" t="s">
        <v>12018</v>
      </c>
      <c r="J4913" s="66"/>
      <c r="K4913" s="66"/>
      <c r="L4913" s="68"/>
      <c r="M4913" s="63" t="str">
        <f>HYPERLINK("http://nsgreg.nga.mil/genc/view?v=867087&amp;end_month=12&amp;end_day=31&amp;end_year=2016","Correlation")</f>
        <v>Correlation</v>
      </c>
    </row>
    <row r="4914" spans="1:13" x14ac:dyDescent="0.2">
      <c r="A4914" s="114"/>
      <c r="B4914" s="71" t="s">
        <v>12019</v>
      </c>
      <c r="C4914" s="71" t="s">
        <v>2294</v>
      </c>
      <c r="D4914" s="71" t="s">
        <v>12020</v>
      </c>
      <c r="E4914" s="73" t="b">
        <v>1</v>
      </c>
      <c r="F4914" s="81" t="s">
        <v>1346</v>
      </c>
      <c r="G4914" s="71" t="s">
        <v>12019</v>
      </c>
      <c r="H4914" s="71" t="s">
        <v>2294</v>
      </c>
      <c r="I4914" s="74" t="s">
        <v>12020</v>
      </c>
      <c r="J4914" s="76"/>
      <c r="K4914" s="76"/>
      <c r="L4914" s="82"/>
      <c r="M4914" s="77" t="str">
        <f>HYPERLINK("http://nsgreg.nga.mil/genc/view?v=867088&amp;end_month=12&amp;end_day=31&amp;end_year=2016","Correlation")</f>
        <v>Correlation</v>
      </c>
    </row>
    <row r="4915" spans="1:13" x14ac:dyDescent="0.2">
      <c r="A4915" s="112" t="s">
        <v>1350</v>
      </c>
      <c r="B4915" s="50" t="s">
        <v>12021</v>
      </c>
      <c r="C4915" s="50" t="s">
        <v>1413</v>
      </c>
      <c r="D4915" s="50" t="s">
        <v>12022</v>
      </c>
      <c r="E4915" s="52" t="b">
        <v>1</v>
      </c>
      <c r="F4915" s="78" t="s">
        <v>1350</v>
      </c>
      <c r="G4915" s="50" t="s">
        <v>12021</v>
      </c>
      <c r="H4915" s="50" t="s">
        <v>1728</v>
      </c>
      <c r="I4915" s="53" t="s">
        <v>12022</v>
      </c>
      <c r="J4915" s="55"/>
      <c r="K4915" s="55"/>
      <c r="L4915" s="79"/>
      <c r="M4915" s="56" t="str">
        <f>HYPERLINK("http://nsgreg.nga.mil/genc/view?v=867089&amp;end_month=12&amp;end_day=31&amp;end_year=2016","Correlation")</f>
        <v>Correlation</v>
      </c>
    </row>
    <row r="4916" spans="1:13" x14ac:dyDescent="0.2">
      <c r="A4916" s="113"/>
      <c r="B4916" s="58" t="s">
        <v>12023</v>
      </c>
      <c r="C4916" s="58" t="s">
        <v>1413</v>
      </c>
      <c r="D4916" s="58" t="s">
        <v>12024</v>
      </c>
      <c r="E4916" s="60" t="b">
        <v>1</v>
      </c>
      <c r="F4916" s="80" t="s">
        <v>1350</v>
      </c>
      <c r="G4916" s="58" t="s">
        <v>12023</v>
      </c>
      <c r="H4916" s="58" t="s">
        <v>1728</v>
      </c>
      <c r="I4916" s="64" t="s">
        <v>12024</v>
      </c>
      <c r="J4916" s="66"/>
      <c r="K4916" s="66"/>
      <c r="L4916" s="68"/>
      <c r="M4916" s="63" t="str">
        <f>HYPERLINK("http://nsgreg.nga.mil/genc/view?v=867090&amp;end_month=12&amp;end_day=31&amp;end_year=2016","Correlation")</f>
        <v>Correlation</v>
      </c>
    </row>
    <row r="4917" spans="1:13" x14ac:dyDescent="0.2">
      <c r="A4917" s="113"/>
      <c r="B4917" s="58" t="s">
        <v>12025</v>
      </c>
      <c r="C4917" s="58" t="s">
        <v>1413</v>
      </c>
      <c r="D4917" s="58" t="s">
        <v>12026</v>
      </c>
      <c r="E4917" s="60" t="b">
        <v>1</v>
      </c>
      <c r="F4917" s="80" t="s">
        <v>1350</v>
      </c>
      <c r="G4917" s="58" t="s">
        <v>12025</v>
      </c>
      <c r="H4917" s="58" t="s">
        <v>1728</v>
      </c>
      <c r="I4917" s="64" t="s">
        <v>12026</v>
      </c>
      <c r="J4917" s="66"/>
      <c r="K4917" s="66"/>
      <c r="L4917" s="68"/>
      <c r="M4917" s="63" t="str">
        <f>HYPERLINK("http://nsgreg.nga.mil/genc/view?v=867091&amp;end_month=12&amp;end_day=31&amp;end_year=2016","Correlation")</f>
        <v>Correlation</v>
      </c>
    </row>
    <row r="4918" spans="1:13" x14ac:dyDescent="0.2">
      <c r="A4918" s="113"/>
      <c r="B4918" s="58" t="s">
        <v>12027</v>
      </c>
      <c r="C4918" s="58" t="s">
        <v>1413</v>
      </c>
      <c r="D4918" s="58" t="s">
        <v>12028</v>
      </c>
      <c r="E4918" s="60" t="b">
        <v>1</v>
      </c>
      <c r="F4918" s="80" t="s">
        <v>1350</v>
      </c>
      <c r="G4918" s="58" t="s">
        <v>12027</v>
      </c>
      <c r="H4918" s="58" t="s">
        <v>1728</v>
      </c>
      <c r="I4918" s="64" t="s">
        <v>12028</v>
      </c>
      <c r="J4918" s="66"/>
      <c r="K4918" s="66"/>
      <c r="L4918" s="68"/>
      <c r="M4918" s="63" t="str">
        <f>HYPERLINK("http://nsgreg.nga.mil/genc/view?v=867092&amp;end_month=12&amp;end_day=31&amp;end_year=2016","Correlation")</f>
        <v>Correlation</v>
      </c>
    </row>
    <row r="4919" spans="1:13" x14ac:dyDescent="0.2">
      <c r="A4919" s="113"/>
      <c r="B4919" s="58" t="s">
        <v>12029</v>
      </c>
      <c r="C4919" s="58" t="s">
        <v>1413</v>
      </c>
      <c r="D4919" s="58" t="s">
        <v>12030</v>
      </c>
      <c r="E4919" s="60" t="b">
        <v>1</v>
      </c>
      <c r="F4919" s="80" t="s">
        <v>1350</v>
      </c>
      <c r="G4919" s="58" t="s">
        <v>12029</v>
      </c>
      <c r="H4919" s="58" t="s">
        <v>1728</v>
      </c>
      <c r="I4919" s="64" t="s">
        <v>12030</v>
      </c>
      <c r="J4919" s="66"/>
      <c r="K4919" s="66"/>
      <c r="L4919" s="68"/>
      <c r="M4919" s="63" t="str">
        <f>HYPERLINK("http://nsgreg.nga.mil/genc/view?v=867093&amp;end_month=12&amp;end_day=31&amp;end_year=2016","Correlation")</f>
        <v>Correlation</v>
      </c>
    </row>
    <row r="4920" spans="1:13" x14ac:dyDescent="0.2">
      <c r="A4920" s="113"/>
      <c r="B4920" s="58" t="s">
        <v>12031</v>
      </c>
      <c r="C4920" s="58" t="s">
        <v>1413</v>
      </c>
      <c r="D4920" s="58" t="s">
        <v>12032</v>
      </c>
      <c r="E4920" s="60" t="b">
        <v>1</v>
      </c>
      <c r="F4920" s="80" t="s">
        <v>1350</v>
      </c>
      <c r="G4920" s="58" t="s">
        <v>12031</v>
      </c>
      <c r="H4920" s="58" t="s">
        <v>1728</v>
      </c>
      <c r="I4920" s="64" t="s">
        <v>12032</v>
      </c>
      <c r="J4920" s="66"/>
      <c r="K4920" s="66"/>
      <c r="L4920" s="68"/>
      <c r="M4920" s="63" t="str">
        <f>HYPERLINK("http://nsgreg.nga.mil/genc/view?v=867094&amp;end_month=12&amp;end_day=31&amp;end_year=2016","Correlation")</f>
        <v>Correlation</v>
      </c>
    </row>
    <row r="4921" spans="1:13" x14ac:dyDescent="0.2">
      <c r="A4921" s="113"/>
      <c r="B4921" s="58" t="s">
        <v>12033</v>
      </c>
      <c r="C4921" s="58" t="s">
        <v>1413</v>
      </c>
      <c r="D4921" s="58" t="s">
        <v>12034</v>
      </c>
      <c r="E4921" s="60" t="b">
        <v>1</v>
      </c>
      <c r="F4921" s="80" t="s">
        <v>1350</v>
      </c>
      <c r="G4921" s="58" t="s">
        <v>12033</v>
      </c>
      <c r="H4921" s="58" t="s">
        <v>1728</v>
      </c>
      <c r="I4921" s="64" t="s">
        <v>12034</v>
      </c>
      <c r="J4921" s="66"/>
      <c r="K4921" s="66"/>
      <c r="L4921" s="68"/>
      <c r="M4921" s="63" t="str">
        <f>HYPERLINK("http://nsgreg.nga.mil/genc/view?v=867095&amp;end_month=12&amp;end_day=31&amp;end_year=2016","Correlation")</f>
        <v>Correlation</v>
      </c>
    </row>
    <row r="4922" spans="1:13" x14ac:dyDescent="0.2">
      <c r="A4922" s="113"/>
      <c r="B4922" s="58" t="s">
        <v>12035</v>
      </c>
      <c r="C4922" s="58" t="s">
        <v>2408</v>
      </c>
      <c r="D4922" s="58" t="s">
        <v>12036</v>
      </c>
      <c r="E4922" s="60" t="b">
        <v>1</v>
      </c>
      <c r="F4922" s="80" t="s">
        <v>1350</v>
      </c>
      <c r="G4922" s="58" t="s">
        <v>12037</v>
      </c>
      <c r="H4922" s="58" t="s">
        <v>2408</v>
      </c>
      <c r="I4922" s="64" t="s">
        <v>12036</v>
      </c>
      <c r="J4922" s="66"/>
      <c r="K4922" s="66"/>
      <c r="L4922" s="68"/>
      <c r="M4922" s="63" t="str">
        <f>HYPERLINK("http://nsgreg.nga.mil/genc/view?v=867096&amp;end_month=12&amp;end_day=31&amp;end_year=2016","Correlation")</f>
        <v>Correlation</v>
      </c>
    </row>
    <row r="4923" spans="1:13" x14ac:dyDescent="0.2">
      <c r="A4923" s="113"/>
      <c r="B4923" s="58" t="s">
        <v>12038</v>
      </c>
      <c r="C4923" s="58" t="s">
        <v>1413</v>
      </c>
      <c r="D4923" s="58" t="s">
        <v>12039</v>
      </c>
      <c r="E4923" s="60" t="b">
        <v>1</v>
      </c>
      <c r="F4923" s="80" t="s">
        <v>1350</v>
      </c>
      <c r="G4923" s="58" t="s">
        <v>12038</v>
      </c>
      <c r="H4923" s="58" t="s">
        <v>1728</v>
      </c>
      <c r="I4923" s="64" t="s">
        <v>12039</v>
      </c>
      <c r="J4923" s="66"/>
      <c r="K4923" s="66"/>
      <c r="L4923" s="68"/>
      <c r="M4923" s="63" t="str">
        <f>HYPERLINK("http://nsgreg.nga.mil/genc/view?v=867097&amp;end_month=12&amp;end_day=31&amp;end_year=2016","Correlation")</f>
        <v>Correlation</v>
      </c>
    </row>
    <row r="4924" spans="1:13" x14ac:dyDescent="0.2">
      <c r="A4924" s="113"/>
      <c r="B4924" s="58" t="s">
        <v>12040</v>
      </c>
      <c r="C4924" s="58" t="s">
        <v>1413</v>
      </c>
      <c r="D4924" s="58" t="s">
        <v>12041</v>
      </c>
      <c r="E4924" s="60" t="b">
        <v>1</v>
      </c>
      <c r="F4924" s="80" t="s">
        <v>1350</v>
      </c>
      <c r="G4924" s="58" t="s">
        <v>12040</v>
      </c>
      <c r="H4924" s="58" t="s">
        <v>1728</v>
      </c>
      <c r="I4924" s="64" t="s">
        <v>12041</v>
      </c>
      <c r="J4924" s="66"/>
      <c r="K4924" s="66"/>
      <c r="L4924" s="68"/>
      <c r="M4924" s="63" t="str">
        <f>HYPERLINK("http://nsgreg.nga.mil/genc/view?v=867098&amp;end_month=12&amp;end_day=31&amp;end_year=2016","Correlation")</f>
        <v>Correlation</v>
      </c>
    </row>
    <row r="4925" spans="1:13" x14ac:dyDescent="0.2">
      <c r="A4925" s="113"/>
      <c r="B4925" s="58" t="s">
        <v>12042</v>
      </c>
      <c r="C4925" s="58" t="s">
        <v>1413</v>
      </c>
      <c r="D4925" s="58" t="s">
        <v>12043</v>
      </c>
      <c r="E4925" s="60" t="b">
        <v>1</v>
      </c>
      <c r="F4925" s="80" t="s">
        <v>1350</v>
      </c>
      <c r="G4925" s="58" t="s">
        <v>12042</v>
      </c>
      <c r="H4925" s="58" t="s">
        <v>1728</v>
      </c>
      <c r="I4925" s="64" t="s">
        <v>12043</v>
      </c>
      <c r="J4925" s="66"/>
      <c r="K4925" s="66"/>
      <c r="L4925" s="68"/>
      <c r="M4925" s="63" t="str">
        <f>HYPERLINK("http://nsgreg.nga.mil/genc/view?v=867099&amp;end_month=12&amp;end_day=31&amp;end_year=2016","Correlation")</f>
        <v>Correlation</v>
      </c>
    </row>
    <row r="4926" spans="1:13" x14ac:dyDescent="0.2">
      <c r="A4926" s="113"/>
      <c r="B4926" s="58" t="s">
        <v>12044</v>
      </c>
      <c r="C4926" s="58" t="s">
        <v>1681</v>
      </c>
      <c r="D4926" s="58" t="s">
        <v>12045</v>
      </c>
      <c r="E4926" s="60" t="b">
        <v>1</v>
      </c>
      <c r="F4926" s="80" t="s">
        <v>1350</v>
      </c>
      <c r="G4926" s="58" t="s">
        <v>12044</v>
      </c>
      <c r="H4926" s="58" t="s">
        <v>1681</v>
      </c>
      <c r="I4926" s="64" t="s">
        <v>12045</v>
      </c>
      <c r="J4926" s="66"/>
      <c r="K4926" s="66"/>
      <c r="L4926" s="68"/>
      <c r="M4926" s="63" t="str">
        <f>HYPERLINK("http://nsgreg.nga.mil/genc/view?v=867100&amp;end_month=12&amp;end_day=31&amp;end_year=2016","Correlation")</f>
        <v>Correlation</v>
      </c>
    </row>
    <row r="4927" spans="1:13" x14ac:dyDescent="0.2">
      <c r="A4927" s="113"/>
      <c r="B4927" s="58" t="s">
        <v>12044</v>
      </c>
      <c r="C4927" s="58" t="s">
        <v>1413</v>
      </c>
      <c r="D4927" s="58" t="s">
        <v>12046</v>
      </c>
      <c r="E4927" s="60" t="b">
        <v>1</v>
      </c>
      <c r="F4927" s="80" t="s">
        <v>1350</v>
      </c>
      <c r="G4927" s="58" t="s">
        <v>12044</v>
      </c>
      <c r="H4927" s="58" t="s">
        <v>1728</v>
      </c>
      <c r="I4927" s="64" t="s">
        <v>12046</v>
      </c>
      <c r="J4927" s="66"/>
      <c r="K4927" s="66"/>
      <c r="L4927" s="68"/>
      <c r="M4927" s="63" t="str">
        <f>HYPERLINK("http://nsgreg.nga.mil/genc/view?v=867101&amp;end_month=12&amp;end_day=31&amp;end_year=2016","Correlation")</f>
        <v>Correlation</v>
      </c>
    </row>
    <row r="4928" spans="1:13" x14ac:dyDescent="0.2">
      <c r="A4928" s="114"/>
      <c r="B4928" s="71" t="s">
        <v>12047</v>
      </c>
      <c r="C4928" s="71" t="s">
        <v>1413</v>
      </c>
      <c r="D4928" s="71" t="s">
        <v>12048</v>
      </c>
      <c r="E4928" s="73" t="b">
        <v>1</v>
      </c>
      <c r="F4928" s="81" t="s">
        <v>1350</v>
      </c>
      <c r="G4928" s="71" t="s">
        <v>12047</v>
      </c>
      <c r="H4928" s="71" t="s">
        <v>1728</v>
      </c>
      <c r="I4928" s="74" t="s">
        <v>12048</v>
      </c>
      <c r="J4928" s="76"/>
      <c r="K4928" s="76"/>
      <c r="L4928" s="82"/>
      <c r="M4928" s="77" t="str">
        <f>HYPERLINK("http://nsgreg.nga.mil/genc/view?v=867102&amp;end_month=12&amp;end_day=31&amp;end_year=2016","Correlation")</f>
        <v>Correlation</v>
      </c>
    </row>
    <row r="4929" spans="1:13" x14ac:dyDescent="0.2">
      <c r="A4929" s="112" t="s">
        <v>1354</v>
      </c>
      <c r="B4929" s="50" t="s">
        <v>12049</v>
      </c>
      <c r="C4929" s="50" t="s">
        <v>1413</v>
      </c>
      <c r="D4929" s="50" t="s">
        <v>12050</v>
      </c>
      <c r="E4929" s="52" t="b">
        <v>1</v>
      </c>
      <c r="F4929" s="78" t="s">
        <v>1354</v>
      </c>
      <c r="G4929" s="50" t="s">
        <v>12049</v>
      </c>
      <c r="H4929" s="50" t="s">
        <v>1413</v>
      </c>
      <c r="I4929" s="53" t="s">
        <v>12050</v>
      </c>
      <c r="J4929" s="55"/>
      <c r="K4929" s="55"/>
      <c r="L4929" s="79"/>
      <c r="M4929" s="56" t="str">
        <f>HYPERLINK("http://nsgreg.nga.mil/genc/view?v=867197&amp;end_month=12&amp;end_day=31&amp;end_year=2016","Correlation")</f>
        <v>Correlation</v>
      </c>
    </row>
    <row r="4930" spans="1:13" x14ac:dyDescent="0.2">
      <c r="A4930" s="113"/>
      <c r="B4930" s="58" t="s">
        <v>12051</v>
      </c>
      <c r="C4930" s="58" t="s">
        <v>1413</v>
      </c>
      <c r="D4930" s="58" t="s">
        <v>12052</v>
      </c>
      <c r="E4930" s="60" t="b">
        <v>1</v>
      </c>
      <c r="F4930" s="80" t="s">
        <v>1354</v>
      </c>
      <c r="G4930" s="58" t="s">
        <v>12053</v>
      </c>
      <c r="H4930" s="58" t="s">
        <v>1413</v>
      </c>
      <c r="I4930" s="64" t="s">
        <v>12052</v>
      </c>
      <c r="J4930" s="66"/>
      <c r="K4930" s="66"/>
      <c r="L4930" s="68"/>
      <c r="M4930" s="63" t="str">
        <f>HYPERLINK("http://nsgreg.nga.mil/genc/view?v=867198&amp;end_month=12&amp;end_day=31&amp;end_year=2016","Correlation")</f>
        <v>Correlation</v>
      </c>
    </row>
    <row r="4931" spans="1:13" x14ac:dyDescent="0.2">
      <c r="A4931" s="113"/>
      <c r="B4931" s="58" t="s">
        <v>12054</v>
      </c>
      <c r="C4931" s="58" t="s">
        <v>1413</v>
      </c>
      <c r="D4931" s="58" t="s">
        <v>12055</v>
      </c>
      <c r="E4931" s="60" t="b">
        <v>1</v>
      </c>
      <c r="F4931" s="80" t="s">
        <v>1354</v>
      </c>
      <c r="G4931" s="58" t="s">
        <v>12054</v>
      </c>
      <c r="H4931" s="58" t="s">
        <v>1413</v>
      </c>
      <c r="I4931" s="64" t="s">
        <v>12055</v>
      </c>
      <c r="J4931" s="66"/>
      <c r="K4931" s="66"/>
      <c r="L4931" s="68"/>
      <c r="M4931" s="63" t="str">
        <f>HYPERLINK("http://nsgreg.nga.mil/genc/view?v=867199&amp;end_month=12&amp;end_day=31&amp;end_year=2016","Correlation")</f>
        <v>Correlation</v>
      </c>
    </row>
    <row r="4932" spans="1:13" x14ac:dyDescent="0.2">
      <c r="A4932" s="113"/>
      <c r="B4932" s="58" t="s">
        <v>12056</v>
      </c>
      <c r="C4932" s="58" t="s">
        <v>1413</v>
      </c>
      <c r="D4932" s="58" t="s">
        <v>12057</v>
      </c>
      <c r="E4932" s="60" t="b">
        <v>1</v>
      </c>
      <c r="F4932" s="80" t="s">
        <v>1354</v>
      </c>
      <c r="G4932" s="58" t="s">
        <v>12058</v>
      </c>
      <c r="H4932" s="58" t="s">
        <v>1413</v>
      </c>
      <c r="I4932" s="64" t="s">
        <v>12057</v>
      </c>
      <c r="J4932" s="66"/>
      <c r="K4932" s="66"/>
      <c r="L4932" s="68"/>
      <c r="M4932" s="63" t="str">
        <f>HYPERLINK("http://nsgreg.nga.mil/genc/view?v=867200&amp;end_month=12&amp;end_day=31&amp;end_year=2016","Correlation")</f>
        <v>Correlation</v>
      </c>
    </row>
    <row r="4933" spans="1:13" x14ac:dyDescent="0.2">
      <c r="A4933" s="113"/>
      <c r="B4933" s="58" t="s">
        <v>12059</v>
      </c>
      <c r="C4933" s="58" t="s">
        <v>1413</v>
      </c>
      <c r="D4933" s="58" t="s">
        <v>12060</v>
      </c>
      <c r="E4933" s="60" t="b">
        <v>1</v>
      </c>
      <c r="F4933" s="80" t="s">
        <v>1354</v>
      </c>
      <c r="G4933" s="58" t="s">
        <v>12061</v>
      </c>
      <c r="H4933" s="58" t="s">
        <v>1413</v>
      </c>
      <c r="I4933" s="64" t="s">
        <v>12060</v>
      </c>
      <c r="J4933" s="66"/>
      <c r="K4933" s="66"/>
      <c r="L4933" s="68"/>
      <c r="M4933" s="63" t="str">
        <f>HYPERLINK("http://nsgreg.nga.mil/genc/view?v=867201&amp;end_month=12&amp;end_day=31&amp;end_year=2016","Correlation")</f>
        <v>Correlation</v>
      </c>
    </row>
    <row r="4934" spans="1:13" x14ac:dyDescent="0.2">
      <c r="A4934" s="114"/>
      <c r="B4934" s="71" t="s">
        <v>12062</v>
      </c>
      <c r="C4934" s="71" t="s">
        <v>1413</v>
      </c>
      <c r="D4934" s="71" t="s">
        <v>12063</v>
      </c>
      <c r="E4934" s="73" t="b">
        <v>1</v>
      </c>
      <c r="F4934" s="81" t="s">
        <v>1354</v>
      </c>
      <c r="G4934" s="71" t="s">
        <v>12062</v>
      </c>
      <c r="H4934" s="71" t="s">
        <v>1413</v>
      </c>
      <c r="I4934" s="74" t="s">
        <v>12063</v>
      </c>
      <c r="J4934" s="76"/>
      <c r="K4934" s="76"/>
      <c r="L4934" s="82"/>
      <c r="M4934" s="77" t="str">
        <f>HYPERLINK("http://nsgreg.nga.mil/genc/view?v=867202&amp;end_month=12&amp;end_day=31&amp;end_year=2016","Correlation")</f>
        <v>Correlation</v>
      </c>
    </row>
    <row r="4935" spans="1:13" x14ac:dyDescent="0.2">
      <c r="A4935" s="112" t="s">
        <v>1363</v>
      </c>
      <c r="B4935" s="50" t="s">
        <v>2450</v>
      </c>
      <c r="C4935" s="50" t="s">
        <v>1763</v>
      </c>
      <c r="D4935" s="50" t="s">
        <v>12064</v>
      </c>
      <c r="E4935" s="52" t="b">
        <v>1</v>
      </c>
      <c r="F4935" s="78" t="s">
        <v>1363</v>
      </c>
      <c r="G4935" s="50" t="s">
        <v>2450</v>
      </c>
      <c r="H4935" s="50" t="s">
        <v>1763</v>
      </c>
      <c r="I4935" s="53" t="s">
        <v>12064</v>
      </c>
      <c r="J4935" s="55"/>
      <c r="K4935" s="55"/>
      <c r="L4935" s="79"/>
      <c r="M4935" s="56" t="str">
        <f>HYPERLINK("http://nsgreg.nga.mil/genc/view?v=867133&amp;end_month=12&amp;end_day=31&amp;end_year=2016","Correlation")</f>
        <v>Correlation</v>
      </c>
    </row>
    <row r="4936" spans="1:13" x14ac:dyDescent="0.2">
      <c r="A4936" s="113"/>
      <c r="B4936" s="58" t="s">
        <v>12065</v>
      </c>
      <c r="C4936" s="58" t="s">
        <v>1763</v>
      </c>
      <c r="D4936" s="58" t="s">
        <v>12066</v>
      </c>
      <c r="E4936" s="60" t="b">
        <v>1</v>
      </c>
      <c r="F4936" s="80" t="s">
        <v>1363</v>
      </c>
      <c r="G4936" s="58" t="s">
        <v>12065</v>
      </c>
      <c r="H4936" s="58" t="s">
        <v>1763</v>
      </c>
      <c r="I4936" s="64" t="s">
        <v>12066</v>
      </c>
      <c r="J4936" s="66"/>
      <c r="K4936" s="66"/>
      <c r="L4936" s="68"/>
      <c r="M4936" s="63" t="str">
        <f>HYPERLINK("http://nsgreg.nga.mil/genc/view?v=867110&amp;end_month=12&amp;end_day=31&amp;end_year=2016","Correlation")</f>
        <v>Correlation</v>
      </c>
    </row>
    <row r="4937" spans="1:13" x14ac:dyDescent="0.2">
      <c r="A4937" s="113"/>
      <c r="B4937" s="58" t="s">
        <v>12067</v>
      </c>
      <c r="C4937" s="58" t="s">
        <v>1763</v>
      </c>
      <c r="D4937" s="58" t="s">
        <v>12068</v>
      </c>
      <c r="E4937" s="60" t="b">
        <v>1</v>
      </c>
      <c r="F4937" s="80" t="s">
        <v>1363</v>
      </c>
      <c r="G4937" s="58" t="s">
        <v>12067</v>
      </c>
      <c r="H4937" s="58" t="s">
        <v>1763</v>
      </c>
      <c r="I4937" s="64" t="s">
        <v>12068</v>
      </c>
      <c r="J4937" s="66"/>
      <c r="K4937" s="66"/>
      <c r="L4937" s="68"/>
      <c r="M4937" s="63" t="str">
        <f>HYPERLINK("http://nsgreg.nga.mil/genc/view?v=867111&amp;end_month=12&amp;end_day=31&amp;end_year=2016","Correlation")</f>
        <v>Correlation</v>
      </c>
    </row>
    <row r="4938" spans="1:13" x14ac:dyDescent="0.2">
      <c r="A4938" s="113"/>
      <c r="B4938" s="58" t="s">
        <v>12069</v>
      </c>
      <c r="C4938" s="58" t="s">
        <v>1763</v>
      </c>
      <c r="D4938" s="58" t="s">
        <v>12070</v>
      </c>
      <c r="E4938" s="60" t="b">
        <v>1</v>
      </c>
      <c r="F4938" s="80" t="s">
        <v>1363</v>
      </c>
      <c r="G4938" s="58" t="s">
        <v>12069</v>
      </c>
      <c r="H4938" s="58" t="s">
        <v>1763</v>
      </c>
      <c r="I4938" s="64" t="s">
        <v>12070</v>
      </c>
      <c r="J4938" s="66"/>
      <c r="K4938" s="66"/>
      <c r="L4938" s="68"/>
      <c r="M4938" s="63" t="str">
        <f>HYPERLINK("http://nsgreg.nga.mil/genc/view?v=867112&amp;end_month=12&amp;end_day=31&amp;end_year=2016","Correlation")</f>
        <v>Correlation</v>
      </c>
    </row>
    <row r="4939" spans="1:13" x14ac:dyDescent="0.2">
      <c r="A4939" s="113"/>
      <c r="B4939" s="58" t="s">
        <v>12071</v>
      </c>
      <c r="C4939" s="58" t="s">
        <v>1763</v>
      </c>
      <c r="D4939" s="58" t="s">
        <v>12072</v>
      </c>
      <c r="E4939" s="60" t="b">
        <v>1</v>
      </c>
      <c r="F4939" s="80" t="s">
        <v>1363</v>
      </c>
      <c r="G4939" s="58" t="s">
        <v>12071</v>
      </c>
      <c r="H4939" s="58" t="s">
        <v>1763</v>
      </c>
      <c r="I4939" s="64" t="s">
        <v>12072</v>
      </c>
      <c r="J4939" s="66"/>
      <c r="K4939" s="66"/>
      <c r="L4939" s="68"/>
      <c r="M4939" s="63" t="str">
        <f>HYPERLINK("http://nsgreg.nga.mil/genc/view?v=867113&amp;end_month=12&amp;end_day=31&amp;end_year=2016","Correlation")</f>
        <v>Correlation</v>
      </c>
    </row>
    <row r="4940" spans="1:13" x14ac:dyDescent="0.2">
      <c r="A4940" s="113"/>
      <c r="B4940" s="58" t="s">
        <v>3143</v>
      </c>
      <c r="C4940" s="58" t="s">
        <v>1763</v>
      </c>
      <c r="D4940" s="58" t="s">
        <v>12073</v>
      </c>
      <c r="E4940" s="60" t="b">
        <v>1</v>
      </c>
      <c r="F4940" s="80" t="s">
        <v>1363</v>
      </c>
      <c r="G4940" s="58" t="s">
        <v>3143</v>
      </c>
      <c r="H4940" s="58" t="s">
        <v>1763</v>
      </c>
      <c r="I4940" s="64" t="s">
        <v>12073</v>
      </c>
      <c r="J4940" s="66"/>
      <c r="K4940" s="66"/>
      <c r="L4940" s="68"/>
      <c r="M4940" s="63" t="str">
        <f>HYPERLINK("http://nsgreg.nga.mil/genc/view?v=867114&amp;end_month=12&amp;end_day=31&amp;end_year=2016","Correlation")</f>
        <v>Correlation</v>
      </c>
    </row>
    <row r="4941" spans="1:13" x14ac:dyDescent="0.2">
      <c r="A4941" s="113"/>
      <c r="B4941" s="58" t="s">
        <v>12074</v>
      </c>
      <c r="C4941" s="58" t="s">
        <v>1763</v>
      </c>
      <c r="D4941" s="58" t="s">
        <v>12075</v>
      </c>
      <c r="E4941" s="60" t="b">
        <v>1</v>
      </c>
      <c r="F4941" s="80" t="s">
        <v>1363</v>
      </c>
      <c r="G4941" s="58" t="s">
        <v>12074</v>
      </c>
      <c r="H4941" s="58" t="s">
        <v>1763</v>
      </c>
      <c r="I4941" s="64" t="s">
        <v>12075</v>
      </c>
      <c r="J4941" s="66"/>
      <c r="K4941" s="66"/>
      <c r="L4941" s="68"/>
      <c r="M4941" s="63" t="str">
        <f>HYPERLINK("http://nsgreg.nga.mil/genc/view?v=867115&amp;end_month=12&amp;end_day=31&amp;end_year=2016","Correlation")</f>
        <v>Correlation</v>
      </c>
    </row>
    <row r="4942" spans="1:13" x14ac:dyDescent="0.2">
      <c r="A4942" s="113"/>
      <c r="B4942" s="58" t="s">
        <v>12076</v>
      </c>
      <c r="C4942" s="58" t="s">
        <v>1763</v>
      </c>
      <c r="D4942" s="58" t="s">
        <v>12077</v>
      </c>
      <c r="E4942" s="60" t="b">
        <v>1</v>
      </c>
      <c r="F4942" s="80" t="s">
        <v>1363</v>
      </c>
      <c r="G4942" s="58" t="s">
        <v>12076</v>
      </c>
      <c r="H4942" s="58" t="s">
        <v>1763</v>
      </c>
      <c r="I4942" s="64" t="s">
        <v>12077</v>
      </c>
      <c r="J4942" s="66"/>
      <c r="K4942" s="66"/>
      <c r="L4942" s="68"/>
      <c r="M4942" s="63" t="str">
        <f>HYPERLINK("http://nsgreg.nga.mil/genc/view?v=867116&amp;end_month=12&amp;end_day=31&amp;end_year=2016","Correlation")</f>
        <v>Correlation</v>
      </c>
    </row>
    <row r="4943" spans="1:13" x14ac:dyDescent="0.2">
      <c r="A4943" s="113"/>
      <c r="B4943" s="58" t="s">
        <v>12078</v>
      </c>
      <c r="C4943" s="58" t="s">
        <v>1763</v>
      </c>
      <c r="D4943" s="58" t="s">
        <v>12079</v>
      </c>
      <c r="E4943" s="60" t="b">
        <v>1</v>
      </c>
      <c r="F4943" s="80" t="s">
        <v>1363</v>
      </c>
      <c r="G4943" s="58" t="s">
        <v>12078</v>
      </c>
      <c r="H4943" s="58" t="s">
        <v>1763</v>
      </c>
      <c r="I4943" s="64" t="s">
        <v>12079</v>
      </c>
      <c r="J4943" s="66"/>
      <c r="K4943" s="66"/>
      <c r="L4943" s="68"/>
      <c r="M4943" s="63" t="str">
        <f>HYPERLINK("http://nsgreg.nga.mil/genc/view?v=867132&amp;end_month=12&amp;end_day=31&amp;end_year=2016","Correlation")</f>
        <v>Correlation</v>
      </c>
    </row>
    <row r="4944" spans="1:13" x14ac:dyDescent="0.2">
      <c r="A4944" s="113"/>
      <c r="B4944" s="58" t="s">
        <v>12080</v>
      </c>
      <c r="C4944" s="58" t="s">
        <v>12081</v>
      </c>
      <c r="D4944" s="58" t="s">
        <v>12082</v>
      </c>
      <c r="E4944" s="60" t="b">
        <v>1</v>
      </c>
      <c r="F4944" s="80" t="s">
        <v>1363</v>
      </c>
      <c r="G4944" s="58" t="s">
        <v>12080</v>
      </c>
      <c r="H4944" s="58" t="s">
        <v>12083</v>
      </c>
      <c r="I4944" s="64" t="s">
        <v>12082</v>
      </c>
      <c r="J4944" s="66"/>
      <c r="K4944" s="66"/>
      <c r="L4944" s="68"/>
      <c r="M4944" s="63" t="str">
        <f>HYPERLINK("http://nsgreg.nga.mil/genc/view?v=867130&amp;end_month=12&amp;end_day=31&amp;end_year=2016","Correlation")</f>
        <v>Correlation</v>
      </c>
    </row>
    <row r="4945" spans="1:13" x14ac:dyDescent="0.2">
      <c r="A4945" s="113"/>
      <c r="B4945" s="58" t="s">
        <v>12084</v>
      </c>
      <c r="C4945" s="58" t="s">
        <v>3140</v>
      </c>
      <c r="D4945" s="58" t="s">
        <v>12085</v>
      </c>
      <c r="E4945" s="60" t="b">
        <v>1</v>
      </c>
      <c r="F4945" s="80" t="s">
        <v>1363</v>
      </c>
      <c r="G4945" s="58" t="s">
        <v>12084</v>
      </c>
      <c r="H4945" s="58" t="s">
        <v>3140</v>
      </c>
      <c r="I4945" s="64" t="s">
        <v>12085</v>
      </c>
      <c r="J4945" s="66"/>
      <c r="K4945" s="66"/>
      <c r="L4945" s="68"/>
      <c r="M4945" s="63" t="str">
        <f>HYPERLINK("http://nsgreg.nga.mil/genc/view?v=867109&amp;end_month=12&amp;end_day=31&amp;end_year=2016","Correlation")</f>
        <v>Correlation</v>
      </c>
    </row>
    <row r="4946" spans="1:13" x14ac:dyDescent="0.2">
      <c r="A4946" s="113"/>
      <c r="B4946" s="58" t="s">
        <v>12086</v>
      </c>
      <c r="C4946" s="58" t="s">
        <v>1763</v>
      </c>
      <c r="D4946" s="58" t="s">
        <v>12087</v>
      </c>
      <c r="E4946" s="60" t="b">
        <v>1</v>
      </c>
      <c r="F4946" s="80" t="s">
        <v>1363</v>
      </c>
      <c r="G4946" s="58" t="s">
        <v>12086</v>
      </c>
      <c r="H4946" s="58" t="s">
        <v>1763</v>
      </c>
      <c r="I4946" s="64" t="s">
        <v>12087</v>
      </c>
      <c r="J4946" s="66"/>
      <c r="K4946" s="66"/>
      <c r="L4946" s="68"/>
      <c r="M4946" s="63" t="str">
        <f>HYPERLINK("http://nsgreg.nga.mil/genc/view?v=867117&amp;end_month=12&amp;end_day=31&amp;end_year=2016","Correlation")</f>
        <v>Correlation</v>
      </c>
    </row>
    <row r="4947" spans="1:13" x14ac:dyDescent="0.2">
      <c r="A4947" s="113"/>
      <c r="B4947" s="58" t="s">
        <v>12088</v>
      </c>
      <c r="C4947" s="58" t="s">
        <v>1763</v>
      </c>
      <c r="D4947" s="58" t="s">
        <v>12089</v>
      </c>
      <c r="E4947" s="60" t="b">
        <v>1</v>
      </c>
      <c r="F4947" s="80" t="s">
        <v>1363</v>
      </c>
      <c r="G4947" s="58" t="s">
        <v>12088</v>
      </c>
      <c r="H4947" s="58" t="s">
        <v>1763</v>
      </c>
      <c r="I4947" s="64" t="s">
        <v>12089</v>
      </c>
      <c r="J4947" s="66"/>
      <c r="K4947" s="66"/>
      <c r="L4947" s="68"/>
      <c r="M4947" s="63" t="str">
        <f>HYPERLINK("http://nsgreg.nga.mil/genc/view?v=867118&amp;end_month=12&amp;end_day=31&amp;end_year=2016","Correlation")</f>
        <v>Correlation</v>
      </c>
    </row>
    <row r="4948" spans="1:13" x14ac:dyDescent="0.2">
      <c r="A4948" s="113"/>
      <c r="B4948" s="58" t="s">
        <v>12090</v>
      </c>
      <c r="C4948" s="58" t="s">
        <v>1763</v>
      </c>
      <c r="D4948" s="58" t="s">
        <v>12091</v>
      </c>
      <c r="E4948" s="60" t="b">
        <v>1</v>
      </c>
      <c r="F4948" s="80" t="s">
        <v>1363</v>
      </c>
      <c r="G4948" s="58" t="s">
        <v>12090</v>
      </c>
      <c r="H4948" s="58" t="s">
        <v>1763</v>
      </c>
      <c r="I4948" s="64" t="s">
        <v>12091</v>
      </c>
      <c r="J4948" s="66"/>
      <c r="K4948" s="66"/>
      <c r="L4948" s="68"/>
      <c r="M4948" s="63" t="str">
        <f>HYPERLINK("http://nsgreg.nga.mil/genc/view?v=867119&amp;end_month=12&amp;end_day=31&amp;end_year=2016","Correlation")</f>
        <v>Correlation</v>
      </c>
    </row>
    <row r="4949" spans="1:13" x14ac:dyDescent="0.2">
      <c r="A4949" s="113"/>
      <c r="B4949" s="58" t="s">
        <v>12092</v>
      </c>
      <c r="C4949" s="58" t="s">
        <v>1763</v>
      </c>
      <c r="D4949" s="58" t="s">
        <v>12093</v>
      </c>
      <c r="E4949" s="60" t="b">
        <v>1</v>
      </c>
      <c r="F4949" s="80" t="s">
        <v>1363</v>
      </c>
      <c r="G4949" s="58" t="s">
        <v>12092</v>
      </c>
      <c r="H4949" s="58" t="s">
        <v>1763</v>
      </c>
      <c r="I4949" s="64" t="s">
        <v>12093</v>
      </c>
      <c r="J4949" s="66"/>
      <c r="K4949" s="66"/>
      <c r="L4949" s="68"/>
      <c r="M4949" s="63" t="str">
        <f>HYPERLINK("http://nsgreg.nga.mil/genc/view?v=867120&amp;end_month=12&amp;end_day=31&amp;end_year=2016","Correlation")</f>
        <v>Correlation</v>
      </c>
    </row>
    <row r="4950" spans="1:13" x14ac:dyDescent="0.2">
      <c r="A4950" s="113"/>
      <c r="B4950" s="58" t="s">
        <v>12094</v>
      </c>
      <c r="C4950" s="58" t="s">
        <v>1763</v>
      </c>
      <c r="D4950" s="58" t="s">
        <v>12095</v>
      </c>
      <c r="E4950" s="60" t="b">
        <v>1</v>
      </c>
      <c r="F4950" s="80" t="s">
        <v>1363</v>
      </c>
      <c r="G4950" s="58" t="s">
        <v>12094</v>
      </c>
      <c r="H4950" s="58" t="s">
        <v>1763</v>
      </c>
      <c r="I4950" s="64" t="s">
        <v>12095</v>
      </c>
      <c r="J4950" s="66"/>
      <c r="K4950" s="66"/>
      <c r="L4950" s="68"/>
      <c r="M4950" s="63" t="str">
        <f>HYPERLINK("http://nsgreg.nga.mil/genc/view?v=867121&amp;end_month=12&amp;end_day=31&amp;end_year=2016","Correlation")</f>
        <v>Correlation</v>
      </c>
    </row>
    <row r="4951" spans="1:13" x14ac:dyDescent="0.2">
      <c r="A4951" s="113"/>
      <c r="B4951" s="58" t="s">
        <v>12096</v>
      </c>
      <c r="C4951" s="58" t="s">
        <v>1763</v>
      </c>
      <c r="D4951" s="58" t="s">
        <v>12097</v>
      </c>
      <c r="E4951" s="60" t="b">
        <v>1</v>
      </c>
      <c r="F4951" s="80" t="s">
        <v>1363</v>
      </c>
      <c r="G4951" s="58" t="s">
        <v>12096</v>
      </c>
      <c r="H4951" s="58" t="s">
        <v>1763</v>
      </c>
      <c r="I4951" s="64" t="s">
        <v>12097</v>
      </c>
      <c r="J4951" s="66"/>
      <c r="K4951" s="66"/>
      <c r="L4951" s="68"/>
      <c r="M4951" s="63" t="str">
        <f>HYPERLINK("http://nsgreg.nga.mil/genc/view?v=867122&amp;end_month=12&amp;end_day=31&amp;end_year=2016","Correlation")</f>
        <v>Correlation</v>
      </c>
    </row>
    <row r="4952" spans="1:13" x14ac:dyDescent="0.2">
      <c r="A4952" s="113"/>
      <c r="B4952" s="58" t="s">
        <v>12098</v>
      </c>
      <c r="C4952" s="58" t="s">
        <v>1763</v>
      </c>
      <c r="D4952" s="58" t="s">
        <v>12099</v>
      </c>
      <c r="E4952" s="60" t="b">
        <v>1</v>
      </c>
      <c r="F4952" s="80" t="s">
        <v>1363</v>
      </c>
      <c r="G4952" s="58" t="s">
        <v>12098</v>
      </c>
      <c r="H4952" s="58" t="s">
        <v>1763</v>
      </c>
      <c r="I4952" s="64" t="s">
        <v>12099</v>
      </c>
      <c r="J4952" s="66"/>
      <c r="K4952" s="66"/>
      <c r="L4952" s="68"/>
      <c r="M4952" s="63" t="str">
        <f>HYPERLINK("http://nsgreg.nga.mil/genc/view?v=867123&amp;end_month=12&amp;end_day=31&amp;end_year=2016","Correlation")</f>
        <v>Correlation</v>
      </c>
    </row>
    <row r="4953" spans="1:13" x14ac:dyDescent="0.2">
      <c r="A4953" s="113"/>
      <c r="B4953" s="58" t="s">
        <v>12100</v>
      </c>
      <c r="C4953" s="58" t="s">
        <v>1763</v>
      </c>
      <c r="D4953" s="58" t="s">
        <v>12101</v>
      </c>
      <c r="E4953" s="60" t="b">
        <v>1</v>
      </c>
      <c r="F4953" s="80" t="s">
        <v>1363</v>
      </c>
      <c r="G4953" s="58" t="s">
        <v>12100</v>
      </c>
      <c r="H4953" s="58" t="s">
        <v>1763</v>
      </c>
      <c r="I4953" s="64" t="s">
        <v>12101</v>
      </c>
      <c r="J4953" s="66"/>
      <c r="K4953" s="66"/>
      <c r="L4953" s="68"/>
      <c r="M4953" s="63" t="str">
        <f>HYPERLINK("http://nsgreg.nga.mil/genc/view?v=867124&amp;end_month=12&amp;end_day=31&amp;end_year=2016","Correlation")</f>
        <v>Correlation</v>
      </c>
    </row>
    <row r="4954" spans="1:13" x14ac:dyDescent="0.2">
      <c r="A4954" s="113"/>
      <c r="B4954" s="58" t="s">
        <v>3189</v>
      </c>
      <c r="C4954" s="58" t="s">
        <v>1763</v>
      </c>
      <c r="D4954" s="58" t="s">
        <v>12102</v>
      </c>
      <c r="E4954" s="60" t="b">
        <v>1</v>
      </c>
      <c r="F4954" s="80" t="s">
        <v>1363</v>
      </c>
      <c r="G4954" s="58" t="s">
        <v>3189</v>
      </c>
      <c r="H4954" s="58" t="s">
        <v>1763</v>
      </c>
      <c r="I4954" s="64" t="s">
        <v>12102</v>
      </c>
      <c r="J4954" s="66"/>
      <c r="K4954" s="66"/>
      <c r="L4954" s="68"/>
      <c r="M4954" s="63" t="str">
        <f>HYPERLINK("http://nsgreg.nga.mil/genc/view?v=867125&amp;end_month=12&amp;end_day=31&amp;end_year=2016","Correlation")</f>
        <v>Correlation</v>
      </c>
    </row>
    <row r="4955" spans="1:13" x14ac:dyDescent="0.2">
      <c r="A4955" s="113"/>
      <c r="B4955" s="58" t="s">
        <v>12103</v>
      </c>
      <c r="C4955" s="58" t="s">
        <v>1763</v>
      </c>
      <c r="D4955" s="58" t="s">
        <v>12104</v>
      </c>
      <c r="E4955" s="60" t="b">
        <v>1</v>
      </c>
      <c r="F4955" s="80" t="s">
        <v>1363</v>
      </c>
      <c r="G4955" s="58" t="s">
        <v>12103</v>
      </c>
      <c r="H4955" s="58" t="s">
        <v>1763</v>
      </c>
      <c r="I4955" s="64" t="s">
        <v>12104</v>
      </c>
      <c r="J4955" s="66"/>
      <c r="K4955" s="66"/>
      <c r="L4955" s="68"/>
      <c r="M4955" s="63" t="str">
        <f>HYPERLINK("http://nsgreg.nga.mil/genc/view?v=867126&amp;end_month=12&amp;end_day=31&amp;end_year=2016","Correlation")</f>
        <v>Correlation</v>
      </c>
    </row>
    <row r="4956" spans="1:13" x14ac:dyDescent="0.2">
      <c r="A4956" s="113"/>
      <c r="B4956" s="58" t="s">
        <v>12105</v>
      </c>
      <c r="C4956" s="58" t="s">
        <v>1763</v>
      </c>
      <c r="D4956" s="58" t="s">
        <v>12106</v>
      </c>
      <c r="E4956" s="60" t="b">
        <v>1</v>
      </c>
      <c r="F4956" s="80" t="s">
        <v>1363</v>
      </c>
      <c r="G4956" s="58" t="s">
        <v>12105</v>
      </c>
      <c r="H4956" s="58" t="s">
        <v>1763</v>
      </c>
      <c r="I4956" s="64" t="s">
        <v>12106</v>
      </c>
      <c r="J4956" s="66"/>
      <c r="K4956" s="66"/>
      <c r="L4956" s="68"/>
      <c r="M4956" s="63" t="str">
        <f>HYPERLINK("http://nsgreg.nga.mil/genc/view?v=867127&amp;end_month=12&amp;end_day=31&amp;end_year=2016","Correlation")</f>
        <v>Correlation</v>
      </c>
    </row>
    <row r="4957" spans="1:13" x14ac:dyDescent="0.2">
      <c r="A4957" s="113"/>
      <c r="B4957" s="58" t="s">
        <v>12107</v>
      </c>
      <c r="C4957" s="58" t="s">
        <v>1763</v>
      </c>
      <c r="D4957" s="58" t="s">
        <v>12108</v>
      </c>
      <c r="E4957" s="60" t="b">
        <v>1</v>
      </c>
      <c r="F4957" s="80" t="s">
        <v>1363</v>
      </c>
      <c r="G4957" s="58" t="s">
        <v>12107</v>
      </c>
      <c r="H4957" s="58" t="s">
        <v>1763</v>
      </c>
      <c r="I4957" s="64" t="s">
        <v>12108</v>
      </c>
      <c r="J4957" s="66"/>
      <c r="K4957" s="66"/>
      <c r="L4957" s="68"/>
      <c r="M4957" s="63" t="str">
        <f>HYPERLINK("http://nsgreg.nga.mil/genc/view?v=867131&amp;end_month=12&amp;end_day=31&amp;end_year=2016","Correlation")</f>
        <v>Correlation</v>
      </c>
    </row>
    <row r="4958" spans="1:13" x14ac:dyDescent="0.2">
      <c r="A4958" s="113"/>
      <c r="B4958" s="58" t="s">
        <v>12109</v>
      </c>
      <c r="C4958" s="58" t="s">
        <v>1763</v>
      </c>
      <c r="D4958" s="58" t="s">
        <v>12110</v>
      </c>
      <c r="E4958" s="60" t="b">
        <v>1</v>
      </c>
      <c r="F4958" s="80" t="s">
        <v>1363</v>
      </c>
      <c r="G4958" s="58" t="s">
        <v>12109</v>
      </c>
      <c r="H4958" s="58" t="s">
        <v>1763</v>
      </c>
      <c r="I4958" s="64" t="s">
        <v>12110</v>
      </c>
      <c r="J4958" s="66"/>
      <c r="K4958" s="66"/>
      <c r="L4958" s="68"/>
      <c r="M4958" s="63" t="str">
        <f>HYPERLINK("http://nsgreg.nga.mil/genc/view?v=867128&amp;end_month=12&amp;end_day=31&amp;end_year=2016","Correlation")</f>
        <v>Correlation</v>
      </c>
    </row>
    <row r="4959" spans="1:13" x14ac:dyDescent="0.2">
      <c r="A4959" s="114"/>
      <c r="B4959" s="71" t="s">
        <v>12111</v>
      </c>
      <c r="C4959" s="71" t="s">
        <v>1763</v>
      </c>
      <c r="D4959" s="71" t="s">
        <v>12112</v>
      </c>
      <c r="E4959" s="73" t="b">
        <v>1</v>
      </c>
      <c r="F4959" s="81" t="s">
        <v>1363</v>
      </c>
      <c r="G4959" s="71" t="s">
        <v>12111</v>
      </c>
      <c r="H4959" s="71" t="s">
        <v>1763</v>
      </c>
      <c r="I4959" s="74" t="s">
        <v>12112</v>
      </c>
      <c r="J4959" s="76"/>
      <c r="K4959" s="76"/>
      <c r="L4959" s="82"/>
      <c r="M4959" s="77" t="str">
        <f>HYPERLINK("http://nsgreg.nga.mil/genc/view?v=867129&amp;end_month=12&amp;end_day=31&amp;end_year=2016","Correlation")</f>
        <v>Correlation</v>
      </c>
    </row>
    <row r="4960" spans="1:13" x14ac:dyDescent="0.2">
      <c r="A4960" s="112" t="s">
        <v>1368</v>
      </c>
      <c r="B4960" s="50" t="s">
        <v>12113</v>
      </c>
      <c r="C4960" s="50" t="s">
        <v>1413</v>
      </c>
      <c r="D4960" s="50" t="s">
        <v>12114</v>
      </c>
      <c r="E4960" s="52" t="b">
        <v>1</v>
      </c>
      <c r="F4960" s="78" t="s">
        <v>1050</v>
      </c>
      <c r="G4960" s="50" t="s">
        <v>12113</v>
      </c>
      <c r="H4960" s="50" t="s">
        <v>1413</v>
      </c>
      <c r="I4960" s="53" t="s">
        <v>12114</v>
      </c>
      <c r="J4960" s="55"/>
      <c r="K4960" s="55"/>
      <c r="L4960" s="79"/>
      <c r="M4960" s="56" t="str">
        <f>HYPERLINK("http://nsgreg.nga.mil/genc/view?v=867167&amp;end_month=12&amp;end_day=31&amp;end_year=2016","Correlation")</f>
        <v>Correlation</v>
      </c>
    </row>
    <row r="4961" spans="1:13" x14ac:dyDescent="0.2">
      <c r="A4961" s="113"/>
      <c r="B4961" s="58" t="s">
        <v>12115</v>
      </c>
      <c r="C4961" s="58" t="s">
        <v>1413</v>
      </c>
      <c r="D4961" s="58" t="s">
        <v>12116</v>
      </c>
      <c r="E4961" s="60" t="b">
        <v>1</v>
      </c>
      <c r="F4961" s="80" t="s">
        <v>1050</v>
      </c>
      <c r="G4961" s="58" t="s">
        <v>12115</v>
      </c>
      <c r="H4961" s="58" t="s">
        <v>1413</v>
      </c>
      <c r="I4961" s="64" t="s">
        <v>12116</v>
      </c>
      <c r="J4961" s="66"/>
      <c r="K4961" s="66"/>
      <c r="L4961" s="68"/>
      <c r="M4961" s="63" t="str">
        <f>HYPERLINK("http://nsgreg.nga.mil/genc/view?v=867176&amp;end_month=12&amp;end_day=31&amp;end_year=2016","Correlation")</f>
        <v>Correlation</v>
      </c>
    </row>
    <row r="4962" spans="1:13" x14ac:dyDescent="0.2">
      <c r="A4962" s="113"/>
      <c r="B4962" s="58" t="s">
        <v>12117</v>
      </c>
      <c r="C4962" s="58" t="s">
        <v>1413</v>
      </c>
      <c r="D4962" s="58" t="s">
        <v>12118</v>
      </c>
      <c r="E4962" s="60" t="b">
        <v>1</v>
      </c>
      <c r="F4962" s="80" t="s">
        <v>1050</v>
      </c>
      <c r="G4962" s="58" t="s">
        <v>12117</v>
      </c>
      <c r="H4962" s="58" t="s">
        <v>1413</v>
      </c>
      <c r="I4962" s="64" t="s">
        <v>12118</v>
      </c>
      <c r="J4962" s="66"/>
      <c r="K4962" s="66"/>
      <c r="L4962" s="68"/>
      <c r="M4962" s="63" t="str">
        <f>HYPERLINK("http://nsgreg.nga.mil/genc/view?v=867175&amp;end_month=12&amp;end_day=31&amp;end_year=2016","Correlation")</f>
        <v>Correlation</v>
      </c>
    </row>
    <row r="4963" spans="1:13" x14ac:dyDescent="0.2">
      <c r="A4963" s="113"/>
      <c r="B4963" s="58" t="s">
        <v>12119</v>
      </c>
      <c r="C4963" s="58" t="s">
        <v>1413</v>
      </c>
      <c r="D4963" s="58" t="s">
        <v>12120</v>
      </c>
      <c r="E4963" s="60" t="b">
        <v>1</v>
      </c>
      <c r="F4963" s="80" t="s">
        <v>1050</v>
      </c>
      <c r="G4963" s="58" t="s">
        <v>12119</v>
      </c>
      <c r="H4963" s="58" t="s">
        <v>1413</v>
      </c>
      <c r="I4963" s="64" t="s">
        <v>12120</v>
      </c>
      <c r="J4963" s="66"/>
      <c r="K4963" s="66"/>
      <c r="L4963" s="68"/>
      <c r="M4963" s="63" t="str">
        <f>HYPERLINK("http://nsgreg.nga.mil/genc/view?v=867177&amp;end_month=12&amp;end_day=31&amp;end_year=2016","Correlation")</f>
        <v>Correlation</v>
      </c>
    </row>
    <row r="4964" spans="1:13" x14ac:dyDescent="0.2">
      <c r="A4964" s="113"/>
      <c r="B4964" s="58" t="s">
        <v>12121</v>
      </c>
      <c r="C4964" s="58" t="s">
        <v>1413</v>
      </c>
      <c r="D4964" s="58" t="s">
        <v>12122</v>
      </c>
      <c r="E4964" s="60" t="b">
        <v>1</v>
      </c>
      <c r="F4964" s="80" t="s">
        <v>1050</v>
      </c>
      <c r="G4964" s="58" t="s">
        <v>12121</v>
      </c>
      <c r="H4964" s="58" t="s">
        <v>1413</v>
      </c>
      <c r="I4964" s="64" t="s">
        <v>12122</v>
      </c>
      <c r="J4964" s="66"/>
      <c r="K4964" s="66"/>
      <c r="L4964" s="68"/>
      <c r="M4964" s="63" t="str">
        <f>HYPERLINK("http://nsgreg.nga.mil/genc/view?v=867178&amp;end_month=12&amp;end_day=31&amp;end_year=2016","Correlation")</f>
        <v>Correlation</v>
      </c>
    </row>
    <row r="4965" spans="1:13" x14ac:dyDescent="0.2">
      <c r="A4965" s="113"/>
      <c r="B4965" s="58" t="s">
        <v>12123</v>
      </c>
      <c r="C4965" s="58" t="s">
        <v>1413</v>
      </c>
      <c r="D4965" s="58" t="s">
        <v>12124</v>
      </c>
      <c r="E4965" s="60" t="b">
        <v>1</v>
      </c>
      <c r="F4965" s="80" t="s">
        <v>1050</v>
      </c>
      <c r="G4965" s="58" t="s">
        <v>12125</v>
      </c>
      <c r="H4965" s="58" t="s">
        <v>1413</v>
      </c>
      <c r="I4965" s="64" t="s">
        <v>12124</v>
      </c>
      <c r="J4965" s="66"/>
      <c r="K4965" s="66"/>
      <c r="L4965" s="68"/>
      <c r="M4965" s="63" t="str">
        <f>HYPERLINK("http://nsgreg.nga.mil/genc/view?v=867166&amp;end_month=12&amp;end_day=31&amp;end_year=2016","Correlation")</f>
        <v>Correlation</v>
      </c>
    </row>
    <row r="4966" spans="1:13" x14ac:dyDescent="0.2">
      <c r="A4966" s="113"/>
      <c r="B4966" s="58" t="s">
        <v>12126</v>
      </c>
      <c r="C4966" s="58" t="s">
        <v>1413</v>
      </c>
      <c r="D4966" s="58" t="s">
        <v>12127</v>
      </c>
      <c r="E4966" s="60" t="b">
        <v>1</v>
      </c>
      <c r="F4966" s="80" t="s">
        <v>1050</v>
      </c>
      <c r="G4966" s="58" t="s">
        <v>12126</v>
      </c>
      <c r="H4966" s="58" t="s">
        <v>1413</v>
      </c>
      <c r="I4966" s="64" t="s">
        <v>12127</v>
      </c>
      <c r="J4966" s="66"/>
      <c r="K4966" s="66"/>
      <c r="L4966" s="68"/>
      <c r="M4966" s="63" t="str">
        <f>HYPERLINK("http://nsgreg.nga.mil/genc/view?v=867172&amp;end_month=12&amp;end_day=31&amp;end_year=2016","Correlation")</f>
        <v>Correlation</v>
      </c>
    </row>
    <row r="4967" spans="1:13" x14ac:dyDescent="0.2">
      <c r="A4967" s="113"/>
      <c r="B4967" s="58" t="s">
        <v>12128</v>
      </c>
      <c r="C4967" s="58" t="s">
        <v>1413</v>
      </c>
      <c r="D4967" s="58" t="s">
        <v>12129</v>
      </c>
      <c r="E4967" s="60" t="b">
        <v>1</v>
      </c>
      <c r="F4967" s="80" t="s">
        <v>1050</v>
      </c>
      <c r="G4967" s="58" t="s">
        <v>12128</v>
      </c>
      <c r="H4967" s="58" t="s">
        <v>1413</v>
      </c>
      <c r="I4967" s="64" t="s">
        <v>12129</v>
      </c>
      <c r="J4967" s="66"/>
      <c r="K4967" s="66"/>
      <c r="L4967" s="68"/>
      <c r="M4967" s="63" t="str">
        <f>HYPERLINK("http://nsgreg.nga.mil/genc/view?v=867156&amp;end_month=12&amp;end_day=31&amp;end_year=2016","Correlation")</f>
        <v>Correlation</v>
      </c>
    </row>
    <row r="4968" spans="1:13" x14ac:dyDescent="0.2">
      <c r="A4968" s="113"/>
      <c r="B4968" s="58" t="s">
        <v>12130</v>
      </c>
      <c r="C4968" s="58" t="s">
        <v>1413</v>
      </c>
      <c r="D4968" s="58" t="s">
        <v>12131</v>
      </c>
      <c r="E4968" s="60" t="b">
        <v>1</v>
      </c>
      <c r="F4968" s="80" t="s">
        <v>1050</v>
      </c>
      <c r="G4968" s="58" t="s">
        <v>12130</v>
      </c>
      <c r="H4968" s="58" t="s">
        <v>1413</v>
      </c>
      <c r="I4968" s="64" t="s">
        <v>12131</v>
      </c>
      <c r="J4968" s="66"/>
      <c r="K4968" s="66"/>
      <c r="L4968" s="68"/>
      <c r="M4968" s="63" t="str">
        <f>HYPERLINK("http://nsgreg.nga.mil/genc/view?v=867179&amp;end_month=12&amp;end_day=31&amp;end_year=2016","Correlation")</f>
        <v>Correlation</v>
      </c>
    </row>
    <row r="4969" spans="1:13" x14ac:dyDescent="0.2">
      <c r="A4969" s="113"/>
      <c r="B4969" s="58" t="s">
        <v>12132</v>
      </c>
      <c r="C4969" s="58" t="s">
        <v>1413</v>
      </c>
      <c r="D4969" s="58" t="s">
        <v>12133</v>
      </c>
      <c r="E4969" s="60" t="b">
        <v>1</v>
      </c>
      <c r="F4969" s="80" t="s">
        <v>1050</v>
      </c>
      <c r="G4969" s="58" t="s">
        <v>12132</v>
      </c>
      <c r="H4969" s="58" t="s">
        <v>1413</v>
      </c>
      <c r="I4969" s="64" t="s">
        <v>12133</v>
      </c>
      <c r="J4969" s="66"/>
      <c r="K4969" s="66"/>
      <c r="L4969" s="68"/>
      <c r="M4969" s="63" t="str">
        <f>HYPERLINK("http://nsgreg.nga.mil/genc/view?v=867180&amp;end_month=12&amp;end_day=31&amp;end_year=2016","Correlation")</f>
        <v>Correlation</v>
      </c>
    </row>
    <row r="4970" spans="1:13" x14ac:dyDescent="0.2">
      <c r="A4970" s="113"/>
      <c r="B4970" s="58" t="s">
        <v>12134</v>
      </c>
      <c r="C4970" s="58" t="s">
        <v>1413</v>
      </c>
      <c r="D4970" s="58" t="s">
        <v>12135</v>
      </c>
      <c r="E4970" s="60" t="b">
        <v>1</v>
      </c>
      <c r="F4970" s="80" t="s">
        <v>1050</v>
      </c>
      <c r="G4970" s="58" t="s">
        <v>12134</v>
      </c>
      <c r="H4970" s="58" t="s">
        <v>1413</v>
      </c>
      <c r="I4970" s="64" t="s">
        <v>12135</v>
      </c>
      <c r="J4970" s="66"/>
      <c r="K4970" s="66"/>
      <c r="L4970" s="68"/>
      <c r="M4970" s="63" t="str">
        <f>HYPERLINK("http://nsgreg.nga.mil/genc/view?v=867164&amp;end_month=12&amp;end_day=31&amp;end_year=2016","Correlation")</f>
        <v>Correlation</v>
      </c>
    </row>
    <row r="4971" spans="1:13" x14ac:dyDescent="0.2">
      <c r="A4971" s="113"/>
      <c r="B4971" s="58" t="s">
        <v>12136</v>
      </c>
      <c r="C4971" s="58" t="s">
        <v>1413</v>
      </c>
      <c r="D4971" s="58" t="s">
        <v>12137</v>
      </c>
      <c r="E4971" s="60" t="b">
        <v>1</v>
      </c>
      <c r="F4971" s="80" t="s">
        <v>1050</v>
      </c>
      <c r="G4971" s="58" t="s">
        <v>12136</v>
      </c>
      <c r="H4971" s="58" t="s">
        <v>1413</v>
      </c>
      <c r="I4971" s="64" t="s">
        <v>12137</v>
      </c>
      <c r="J4971" s="66"/>
      <c r="K4971" s="66"/>
      <c r="L4971" s="68"/>
      <c r="M4971" s="63" t="str">
        <f>HYPERLINK("http://nsgreg.nga.mil/genc/view?v=867181&amp;end_month=12&amp;end_day=31&amp;end_year=2016","Correlation")</f>
        <v>Correlation</v>
      </c>
    </row>
    <row r="4972" spans="1:13" x14ac:dyDescent="0.2">
      <c r="A4972" s="113"/>
      <c r="B4972" s="58" t="s">
        <v>12138</v>
      </c>
      <c r="C4972" s="58" t="s">
        <v>1816</v>
      </c>
      <c r="D4972" s="58" t="s">
        <v>12139</v>
      </c>
      <c r="E4972" s="60" t="b">
        <v>1</v>
      </c>
      <c r="F4972" s="80" t="s">
        <v>1050</v>
      </c>
      <c r="G4972" s="58" t="s">
        <v>12140</v>
      </c>
      <c r="H4972" s="58" t="s">
        <v>1816</v>
      </c>
      <c r="I4972" s="64" t="s">
        <v>12139</v>
      </c>
      <c r="J4972" s="66"/>
      <c r="K4972" s="66"/>
      <c r="L4972" s="68"/>
      <c r="M4972" s="63" t="str">
        <f>HYPERLINK("http://nsgreg.nga.mil/genc/view?v=867192&amp;end_month=12&amp;end_day=31&amp;end_year=2016","Correlation")</f>
        <v>Correlation</v>
      </c>
    </row>
    <row r="4973" spans="1:13" x14ac:dyDescent="0.2">
      <c r="A4973" s="113"/>
      <c r="B4973" s="58" t="s">
        <v>12141</v>
      </c>
      <c r="C4973" s="58" t="s">
        <v>1413</v>
      </c>
      <c r="D4973" s="58" t="s">
        <v>12142</v>
      </c>
      <c r="E4973" s="60" t="b">
        <v>1</v>
      </c>
      <c r="F4973" s="80" t="s">
        <v>1050</v>
      </c>
      <c r="G4973" s="58" t="s">
        <v>12141</v>
      </c>
      <c r="H4973" s="58" t="s">
        <v>1413</v>
      </c>
      <c r="I4973" s="64" t="s">
        <v>12142</v>
      </c>
      <c r="J4973" s="66"/>
      <c r="K4973" s="66"/>
      <c r="L4973" s="68"/>
      <c r="M4973" s="63" t="str">
        <f>HYPERLINK("http://nsgreg.nga.mil/genc/view?v=867137&amp;end_month=12&amp;end_day=31&amp;end_year=2016","Correlation")</f>
        <v>Correlation</v>
      </c>
    </row>
    <row r="4974" spans="1:13" x14ac:dyDescent="0.2">
      <c r="A4974" s="113"/>
      <c r="B4974" s="58" t="s">
        <v>12143</v>
      </c>
      <c r="C4974" s="58" t="s">
        <v>1413</v>
      </c>
      <c r="D4974" s="58" t="s">
        <v>12144</v>
      </c>
      <c r="E4974" s="60" t="b">
        <v>1</v>
      </c>
      <c r="F4974" s="80" t="s">
        <v>1050</v>
      </c>
      <c r="G4974" s="58" t="s">
        <v>12143</v>
      </c>
      <c r="H4974" s="58" t="s">
        <v>1413</v>
      </c>
      <c r="I4974" s="64" t="s">
        <v>12144</v>
      </c>
      <c r="J4974" s="66"/>
      <c r="K4974" s="66"/>
      <c r="L4974" s="68"/>
      <c r="M4974" s="63" t="str">
        <f>HYPERLINK("http://nsgreg.nga.mil/genc/view?v=867158&amp;end_month=12&amp;end_day=31&amp;end_year=2016","Correlation")</f>
        <v>Correlation</v>
      </c>
    </row>
    <row r="4975" spans="1:13" x14ac:dyDescent="0.2">
      <c r="A4975" s="113"/>
      <c r="B4975" s="58" t="s">
        <v>12145</v>
      </c>
      <c r="C4975" s="58" t="s">
        <v>1413</v>
      </c>
      <c r="D4975" s="58" t="s">
        <v>12146</v>
      </c>
      <c r="E4975" s="60" t="b">
        <v>1</v>
      </c>
      <c r="F4975" s="80" t="s">
        <v>1050</v>
      </c>
      <c r="G4975" s="58" t="s">
        <v>12145</v>
      </c>
      <c r="H4975" s="58" t="s">
        <v>1413</v>
      </c>
      <c r="I4975" s="64" t="s">
        <v>12146</v>
      </c>
      <c r="J4975" s="66"/>
      <c r="K4975" s="66"/>
      <c r="L4975" s="68"/>
      <c r="M4975" s="63" t="str">
        <f>HYPERLINK("http://nsgreg.nga.mil/genc/view?v=867190&amp;end_month=12&amp;end_day=31&amp;end_year=2016","Correlation")</f>
        <v>Correlation</v>
      </c>
    </row>
    <row r="4976" spans="1:13" x14ac:dyDescent="0.2">
      <c r="A4976" s="113"/>
      <c r="B4976" s="58" t="s">
        <v>12147</v>
      </c>
      <c r="C4976" s="58" t="s">
        <v>1816</v>
      </c>
      <c r="D4976" s="58" t="s">
        <v>12148</v>
      </c>
      <c r="E4976" s="60" t="b">
        <v>1</v>
      </c>
      <c r="F4976" s="80" t="s">
        <v>1050</v>
      </c>
      <c r="G4976" s="58" t="s">
        <v>12149</v>
      </c>
      <c r="H4976" s="58" t="s">
        <v>1816</v>
      </c>
      <c r="I4976" s="64" t="s">
        <v>12148</v>
      </c>
      <c r="J4976" s="66"/>
      <c r="K4976" s="66"/>
      <c r="L4976" s="68"/>
      <c r="M4976" s="63" t="str">
        <f>HYPERLINK("http://nsgreg.nga.mil/genc/view?v=867193&amp;end_month=12&amp;end_day=31&amp;end_year=2016","Correlation")</f>
        <v>Correlation</v>
      </c>
    </row>
    <row r="4977" spans="1:13" x14ac:dyDescent="0.2">
      <c r="A4977" s="113"/>
      <c r="B4977" s="58" t="s">
        <v>12150</v>
      </c>
      <c r="C4977" s="58" t="s">
        <v>1413</v>
      </c>
      <c r="D4977" s="58" t="s">
        <v>12151</v>
      </c>
      <c r="E4977" s="60" t="b">
        <v>1</v>
      </c>
      <c r="F4977" s="80" t="s">
        <v>1050</v>
      </c>
      <c r="G4977" s="58" t="s">
        <v>12150</v>
      </c>
      <c r="H4977" s="58" t="s">
        <v>1413</v>
      </c>
      <c r="I4977" s="64" t="s">
        <v>12151</v>
      </c>
      <c r="J4977" s="66"/>
      <c r="K4977" s="66"/>
      <c r="L4977" s="68"/>
      <c r="M4977" s="63" t="str">
        <f>HYPERLINK("http://nsgreg.nga.mil/genc/view?v=867189&amp;end_month=12&amp;end_day=31&amp;end_year=2016","Correlation")</f>
        <v>Correlation</v>
      </c>
    </row>
    <row r="4978" spans="1:13" x14ac:dyDescent="0.2">
      <c r="A4978" s="113"/>
      <c r="B4978" s="58" t="s">
        <v>12152</v>
      </c>
      <c r="C4978" s="58" t="s">
        <v>1413</v>
      </c>
      <c r="D4978" s="58" t="s">
        <v>12153</v>
      </c>
      <c r="E4978" s="60" t="b">
        <v>1</v>
      </c>
      <c r="F4978" s="80" t="s">
        <v>1050</v>
      </c>
      <c r="G4978" s="58" t="s">
        <v>12154</v>
      </c>
      <c r="H4978" s="58" t="s">
        <v>1413</v>
      </c>
      <c r="I4978" s="64" t="s">
        <v>12153</v>
      </c>
      <c r="J4978" s="66"/>
      <c r="K4978" s="66"/>
      <c r="L4978" s="68"/>
      <c r="M4978" s="63" t="str">
        <f>HYPERLINK("http://nsgreg.nga.mil/genc/view?v=867163&amp;end_month=12&amp;end_day=31&amp;end_year=2016","Correlation")</f>
        <v>Correlation</v>
      </c>
    </row>
    <row r="4979" spans="1:13" x14ac:dyDescent="0.2">
      <c r="A4979" s="113"/>
      <c r="B4979" s="58" t="s">
        <v>12155</v>
      </c>
      <c r="C4979" s="58" t="s">
        <v>1413</v>
      </c>
      <c r="D4979" s="58" t="s">
        <v>12156</v>
      </c>
      <c r="E4979" s="60" t="b">
        <v>1</v>
      </c>
      <c r="F4979" s="80" t="s">
        <v>1050</v>
      </c>
      <c r="G4979" s="58" t="s">
        <v>12157</v>
      </c>
      <c r="H4979" s="58" t="s">
        <v>1413</v>
      </c>
      <c r="I4979" s="64" t="s">
        <v>12156</v>
      </c>
      <c r="J4979" s="66"/>
      <c r="K4979" s="66"/>
      <c r="L4979" s="68"/>
      <c r="M4979" s="63" t="str">
        <f>HYPERLINK("http://nsgreg.nga.mil/genc/view?v=867168&amp;end_month=12&amp;end_day=31&amp;end_year=2016","Correlation")</f>
        <v>Correlation</v>
      </c>
    </row>
    <row r="4980" spans="1:13" x14ac:dyDescent="0.2">
      <c r="A4980" s="113"/>
      <c r="B4980" s="58" t="s">
        <v>12158</v>
      </c>
      <c r="C4980" s="58" t="s">
        <v>1413</v>
      </c>
      <c r="D4980" s="58" t="s">
        <v>12159</v>
      </c>
      <c r="E4980" s="60" t="b">
        <v>1</v>
      </c>
      <c r="F4980" s="80" t="s">
        <v>1050</v>
      </c>
      <c r="G4980" s="58" t="s">
        <v>12158</v>
      </c>
      <c r="H4980" s="58" t="s">
        <v>1413</v>
      </c>
      <c r="I4980" s="64" t="s">
        <v>12159</v>
      </c>
      <c r="J4980" s="66"/>
      <c r="K4980" s="66"/>
      <c r="L4980" s="68"/>
      <c r="M4980" s="63" t="str">
        <f>HYPERLINK("http://nsgreg.nga.mil/genc/view?v=867155&amp;end_month=12&amp;end_day=31&amp;end_year=2016","Correlation")</f>
        <v>Correlation</v>
      </c>
    </row>
    <row r="4981" spans="1:13" x14ac:dyDescent="0.2">
      <c r="A4981" s="113"/>
      <c r="B4981" s="58" t="s">
        <v>12160</v>
      </c>
      <c r="C4981" s="58" t="s">
        <v>1413</v>
      </c>
      <c r="D4981" s="58" t="s">
        <v>12161</v>
      </c>
      <c r="E4981" s="60" t="b">
        <v>1</v>
      </c>
      <c r="F4981" s="80" t="s">
        <v>1050</v>
      </c>
      <c r="G4981" s="58" t="s">
        <v>12160</v>
      </c>
      <c r="H4981" s="58" t="s">
        <v>1413</v>
      </c>
      <c r="I4981" s="64" t="s">
        <v>12161</v>
      </c>
      <c r="J4981" s="66"/>
      <c r="K4981" s="66"/>
      <c r="L4981" s="68"/>
      <c r="M4981" s="63" t="str">
        <f>HYPERLINK("http://nsgreg.nga.mil/genc/view?v=867136&amp;end_month=12&amp;end_day=31&amp;end_year=2016","Correlation")</f>
        <v>Correlation</v>
      </c>
    </row>
    <row r="4982" spans="1:13" x14ac:dyDescent="0.2">
      <c r="A4982" s="113"/>
      <c r="B4982" s="58" t="s">
        <v>12162</v>
      </c>
      <c r="C4982" s="58" t="s">
        <v>1413</v>
      </c>
      <c r="D4982" s="58" t="s">
        <v>12163</v>
      </c>
      <c r="E4982" s="60" t="b">
        <v>1</v>
      </c>
      <c r="F4982" s="80" t="s">
        <v>1050</v>
      </c>
      <c r="G4982" s="58" t="s">
        <v>12162</v>
      </c>
      <c r="H4982" s="58" t="s">
        <v>1413</v>
      </c>
      <c r="I4982" s="64" t="s">
        <v>12163</v>
      </c>
      <c r="J4982" s="66"/>
      <c r="K4982" s="66"/>
      <c r="L4982" s="68"/>
      <c r="M4982" s="63" t="str">
        <f>HYPERLINK("http://nsgreg.nga.mil/genc/view?v=867182&amp;end_month=12&amp;end_day=31&amp;end_year=2016","Correlation")</f>
        <v>Correlation</v>
      </c>
    </row>
    <row r="4983" spans="1:13" x14ac:dyDescent="0.2">
      <c r="A4983" s="113"/>
      <c r="B4983" s="58" t="s">
        <v>12164</v>
      </c>
      <c r="C4983" s="58" t="s">
        <v>1816</v>
      </c>
      <c r="D4983" s="58" t="s">
        <v>12165</v>
      </c>
      <c r="E4983" s="60" t="b">
        <v>1</v>
      </c>
      <c r="F4983" s="80" t="s">
        <v>1050</v>
      </c>
      <c r="G4983" s="58" t="s">
        <v>12166</v>
      </c>
      <c r="H4983" s="58" t="s">
        <v>1816</v>
      </c>
      <c r="I4983" s="64" t="s">
        <v>12165</v>
      </c>
      <c r="J4983" s="66"/>
      <c r="K4983" s="66"/>
      <c r="L4983" s="68"/>
      <c r="M4983" s="63" t="str">
        <f>HYPERLINK("http://nsgreg.nga.mil/genc/view?v=867195&amp;end_month=12&amp;end_day=31&amp;end_year=2016","Correlation")</f>
        <v>Correlation</v>
      </c>
    </row>
    <row r="4984" spans="1:13" x14ac:dyDescent="0.2">
      <c r="A4984" s="113"/>
      <c r="B4984" s="58" t="s">
        <v>12167</v>
      </c>
      <c r="C4984" s="58" t="s">
        <v>1413</v>
      </c>
      <c r="D4984" s="58" t="s">
        <v>12168</v>
      </c>
      <c r="E4984" s="60" t="b">
        <v>1</v>
      </c>
      <c r="F4984" s="80" t="s">
        <v>1050</v>
      </c>
      <c r="G4984" s="58" t="s">
        <v>12167</v>
      </c>
      <c r="H4984" s="58" t="s">
        <v>1413</v>
      </c>
      <c r="I4984" s="64" t="s">
        <v>12168</v>
      </c>
      <c r="J4984" s="66"/>
      <c r="K4984" s="66"/>
      <c r="L4984" s="68"/>
      <c r="M4984" s="63" t="str">
        <f>HYPERLINK("http://nsgreg.nga.mil/genc/view?v=867183&amp;end_month=12&amp;end_day=31&amp;end_year=2016","Correlation")</f>
        <v>Correlation</v>
      </c>
    </row>
    <row r="4985" spans="1:13" x14ac:dyDescent="0.2">
      <c r="A4985" s="113"/>
      <c r="B4985" s="58" t="s">
        <v>12169</v>
      </c>
      <c r="C4985" s="58" t="s">
        <v>1816</v>
      </c>
      <c r="D4985" s="58" t="s">
        <v>12170</v>
      </c>
      <c r="E4985" s="60" t="b">
        <v>1</v>
      </c>
      <c r="F4985" s="80" t="s">
        <v>1050</v>
      </c>
      <c r="G4985" s="58" t="s">
        <v>12171</v>
      </c>
      <c r="H4985" s="58" t="s">
        <v>1816</v>
      </c>
      <c r="I4985" s="64" t="s">
        <v>12170</v>
      </c>
      <c r="J4985" s="66"/>
      <c r="K4985" s="66"/>
      <c r="L4985" s="68"/>
      <c r="M4985" s="63" t="str">
        <f>HYPERLINK("http://nsgreg.nga.mil/genc/view?v=867194&amp;end_month=12&amp;end_day=31&amp;end_year=2016","Correlation")</f>
        <v>Correlation</v>
      </c>
    </row>
    <row r="4986" spans="1:13" x14ac:dyDescent="0.2">
      <c r="A4986" s="113"/>
      <c r="B4986" s="58" t="s">
        <v>12172</v>
      </c>
      <c r="C4986" s="58" t="s">
        <v>1413</v>
      </c>
      <c r="D4986" s="58" t="s">
        <v>12173</v>
      </c>
      <c r="E4986" s="60" t="b">
        <v>1</v>
      </c>
      <c r="F4986" s="80" t="s">
        <v>1050</v>
      </c>
      <c r="G4986" s="58" t="s">
        <v>12172</v>
      </c>
      <c r="H4986" s="58" t="s">
        <v>1413</v>
      </c>
      <c r="I4986" s="64" t="s">
        <v>12173</v>
      </c>
      <c r="J4986" s="66"/>
      <c r="K4986" s="66"/>
      <c r="L4986" s="68"/>
      <c r="M4986" s="63" t="str">
        <f>HYPERLINK("http://nsgreg.nga.mil/genc/view?v=867148&amp;end_month=12&amp;end_day=31&amp;end_year=2016","Correlation")</f>
        <v>Correlation</v>
      </c>
    </row>
    <row r="4987" spans="1:13" x14ac:dyDescent="0.2">
      <c r="A4987" s="113"/>
      <c r="B4987" s="58" t="s">
        <v>12174</v>
      </c>
      <c r="C4987" s="58" t="s">
        <v>1413</v>
      </c>
      <c r="D4987" s="58" t="s">
        <v>12175</v>
      </c>
      <c r="E4987" s="60" t="b">
        <v>1</v>
      </c>
      <c r="F4987" s="80" t="s">
        <v>1050</v>
      </c>
      <c r="G4987" s="58" t="s">
        <v>12174</v>
      </c>
      <c r="H4987" s="58" t="s">
        <v>1413</v>
      </c>
      <c r="I4987" s="64" t="s">
        <v>12175</v>
      </c>
      <c r="J4987" s="66"/>
      <c r="K4987" s="66"/>
      <c r="L4987" s="68"/>
      <c r="M4987" s="63" t="str">
        <f>HYPERLINK("http://nsgreg.nga.mil/genc/view?v=867191&amp;end_month=12&amp;end_day=31&amp;end_year=2016","Correlation")</f>
        <v>Correlation</v>
      </c>
    </row>
    <row r="4988" spans="1:13" x14ac:dyDescent="0.2">
      <c r="A4988" s="113"/>
      <c r="B4988" s="58" t="s">
        <v>12176</v>
      </c>
      <c r="C4988" s="58" t="s">
        <v>1413</v>
      </c>
      <c r="D4988" s="58" t="s">
        <v>12177</v>
      </c>
      <c r="E4988" s="60" t="b">
        <v>1</v>
      </c>
      <c r="F4988" s="80" t="s">
        <v>1050</v>
      </c>
      <c r="G4988" s="58" t="s">
        <v>12176</v>
      </c>
      <c r="H4988" s="58" t="s">
        <v>1413</v>
      </c>
      <c r="I4988" s="64" t="s">
        <v>12177</v>
      </c>
      <c r="J4988" s="66"/>
      <c r="K4988" s="66"/>
      <c r="L4988" s="68"/>
      <c r="M4988" s="63" t="str">
        <f>HYPERLINK("http://nsgreg.nga.mil/genc/view?v=867143&amp;end_month=12&amp;end_day=31&amp;end_year=2016","Correlation")</f>
        <v>Correlation</v>
      </c>
    </row>
    <row r="4989" spans="1:13" x14ac:dyDescent="0.2">
      <c r="A4989" s="113"/>
      <c r="B4989" s="58" t="s">
        <v>12178</v>
      </c>
      <c r="C4989" s="58" t="s">
        <v>1816</v>
      </c>
      <c r="D4989" s="58" t="s">
        <v>12179</v>
      </c>
      <c r="E4989" s="60" t="b">
        <v>1</v>
      </c>
      <c r="F4989" s="80" t="s">
        <v>1050</v>
      </c>
      <c r="G4989" s="58" t="s">
        <v>12180</v>
      </c>
      <c r="H4989" s="58" t="s">
        <v>1816</v>
      </c>
      <c r="I4989" s="64" t="s">
        <v>12179</v>
      </c>
      <c r="J4989" s="66"/>
      <c r="K4989" s="66"/>
      <c r="L4989" s="68"/>
      <c r="M4989" s="63" t="str">
        <f>HYPERLINK("http://nsgreg.nga.mil/genc/view?v=867196&amp;end_month=12&amp;end_day=31&amp;end_year=2016","Correlation")</f>
        <v>Correlation</v>
      </c>
    </row>
    <row r="4990" spans="1:13" x14ac:dyDescent="0.2">
      <c r="A4990" s="113"/>
      <c r="B4990" s="58" t="s">
        <v>12181</v>
      </c>
      <c r="C4990" s="58" t="s">
        <v>1413</v>
      </c>
      <c r="D4990" s="58" t="s">
        <v>12182</v>
      </c>
      <c r="E4990" s="60" t="b">
        <v>1</v>
      </c>
      <c r="F4990" s="80" t="s">
        <v>1050</v>
      </c>
      <c r="G4990" s="58" t="s">
        <v>12181</v>
      </c>
      <c r="H4990" s="58" t="s">
        <v>1413</v>
      </c>
      <c r="I4990" s="64" t="s">
        <v>12182</v>
      </c>
      <c r="J4990" s="66"/>
      <c r="K4990" s="66"/>
      <c r="L4990" s="68"/>
      <c r="M4990" s="63" t="str">
        <f>HYPERLINK("http://nsgreg.nga.mil/genc/view?v=867184&amp;end_month=12&amp;end_day=31&amp;end_year=2016","Correlation")</f>
        <v>Correlation</v>
      </c>
    </row>
    <row r="4991" spans="1:13" x14ac:dyDescent="0.2">
      <c r="A4991" s="113"/>
      <c r="B4991" s="58" t="s">
        <v>12183</v>
      </c>
      <c r="C4991" s="58" t="s">
        <v>1413</v>
      </c>
      <c r="D4991" s="58" t="s">
        <v>12184</v>
      </c>
      <c r="E4991" s="60" t="b">
        <v>1</v>
      </c>
      <c r="F4991" s="80" t="s">
        <v>1050</v>
      </c>
      <c r="G4991" s="58" t="s">
        <v>12183</v>
      </c>
      <c r="H4991" s="58" t="s">
        <v>1413</v>
      </c>
      <c r="I4991" s="64" t="s">
        <v>12184</v>
      </c>
      <c r="J4991" s="66"/>
      <c r="K4991" s="66"/>
      <c r="L4991" s="68"/>
      <c r="M4991" s="63" t="str">
        <f>HYPERLINK("http://nsgreg.nga.mil/genc/view?v=867159&amp;end_month=12&amp;end_day=31&amp;end_year=2016","Correlation")</f>
        <v>Correlation</v>
      </c>
    </row>
    <row r="4992" spans="1:13" x14ac:dyDescent="0.2">
      <c r="A4992" s="113"/>
      <c r="B4992" s="58" t="s">
        <v>12185</v>
      </c>
      <c r="C4992" s="58" t="s">
        <v>1413</v>
      </c>
      <c r="D4992" s="58" t="s">
        <v>12186</v>
      </c>
      <c r="E4992" s="60" t="b">
        <v>1</v>
      </c>
      <c r="F4992" s="80" t="s">
        <v>1050</v>
      </c>
      <c r="G4992" s="58" t="s">
        <v>12185</v>
      </c>
      <c r="H4992" s="58" t="s">
        <v>1413</v>
      </c>
      <c r="I4992" s="64" t="s">
        <v>12186</v>
      </c>
      <c r="J4992" s="66"/>
      <c r="K4992" s="66"/>
      <c r="L4992" s="68"/>
      <c r="M4992" s="63" t="str">
        <f>HYPERLINK("http://nsgreg.nga.mil/genc/view?v=867170&amp;end_month=12&amp;end_day=31&amp;end_year=2016","Correlation")</f>
        <v>Correlation</v>
      </c>
    </row>
    <row r="4993" spans="1:13" x14ac:dyDescent="0.2">
      <c r="A4993" s="113"/>
      <c r="B4993" s="58" t="s">
        <v>12187</v>
      </c>
      <c r="C4993" s="58" t="s">
        <v>1413</v>
      </c>
      <c r="D4993" s="58" t="s">
        <v>12188</v>
      </c>
      <c r="E4993" s="60" t="b">
        <v>1</v>
      </c>
      <c r="F4993" s="80" t="s">
        <v>1050</v>
      </c>
      <c r="G4993" s="58" t="s">
        <v>12187</v>
      </c>
      <c r="H4993" s="58" t="s">
        <v>1413</v>
      </c>
      <c r="I4993" s="64" t="s">
        <v>12188</v>
      </c>
      <c r="J4993" s="66"/>
      <c r="K4993" s="66"/>
      <c r="L4993" s="68"/>
      <c r="M4993" s="63" t="str">
        <f>HYPERLINK("http://nsgreg.nga.mil/genc/view?v=867153&amp;end_month=12&amp;end_day=31&amp;end_year=2016","Correlation")</f>
        <v>Correlation</v>
      </c>
    </row>
    <row r="4994" spans="1:13" x14ac:dyDescent="0.2">
      <c r="A4994" s="113"/>
      <c r="B4994" s="58" t="s">
        <v>12189</v>
      </c>
      <c r="C4994" s="58" t="s">
        <v>1413</v>
      </c>
      <c r="D4994" s="58" t="s">
        <v>12190</v>
      </c>
      <c r="E4994" s="60" t="b">
        <v>1</v>
      </c>
      <c r="F4994" s="80" t="s">
        <v>1050</v>
      </c>
      <c r="G4994" s="58" t="s">
        <v>12189</v>
      </c>
      <c r="H4994" s="58" t="s">
        <v>1413</v>
      </c>
      <c r="I4994" s="64" t="s">
        <v>12190</v>
      </c>
      <c r="J4994" s="66"/>
      <c r="K4994" s="66"/>
      <c r="L4994" s="68"/>
      <c r="M4994" s="63" t="str">
        <f>HYPERLINK("http://nsgreg.nga.mil/genc/view?v=867134&amp;end_month=12&amp;end_day=31&amp;end_year=2016","Correlation")</f>
        <v>Correlation</v>
      </c>
    </row>
    <row r="4995" spans="1:13" x14ac:dyDescent="0.2">
      <c r="A4995" s="113"/>
      <c r="B4995" s="58" t="s">
        <v>12191</v>
      </c>
      <c r="C4995" s="58" t="s">
        <v>1413</v>
      </c>
      <c r="D4995" s="58" t="s">
        <v>12192</v>
      </c>
      <c r="E4995" s="60" t="b">
        <v>1</v>
      </c>
      <c r="F4995" s="80" t="s">
        <v>1050</v>
      </c>
      <c r="G4995" s="58" t="s">
        <v>12193</v>
      </c>
      <c r="H4995" s="58" t="s">
        <v>1413</v>
      </c>
      <c r="I4995" s="64" t="s">
        <v>12192</v>
      </c>
      <c r="J4995" s="66"/>
      <c r="K4995" s="66"/>
      <c r="L4995" s="68"/>
      <c r="M4995" s="63" t="str">
        <f>HYPERLINK("http://nsgreg.nga.mil/genc/view?v=867160&amp;end_month=12&amp;end_day=31&amp;end_year=2016","Correlation")</f>
        <v>Correlation</v>
      </c>
    </row>
    <row r="4996" spans="1:13" x14ac:dyDescent="0.2">
      <c r="A4996" s="113"/>
      <c r="B4996" s="58" t="s">
        <v>12194</v>
      </c>
      <c r="C4996" s="58" t="s">
        <v>1413</v>
      </c>
      <c r="D4996" s="58" t="s">
        <v>12195</v>
      </c>
      <c r="E4996" s="60" t="b">
        <v>1</v>
      </c>
      <c r="F4996" s="80" t="s">
        <v>1050</v>
      </c>
      <c r="G4996" s="58" t="s">
        <v>12194</v>
      </c>
      <c r="H4996" s="58" t="s">
        <v>1413</v>
      </c>
      <c r="I4996" s="64" t="s">
        <v>12195</v>
      </c>
      <c r="J4996" s="66"/>
      <c r="K4996" s="66"/>
      <c r="L4996" s="68"/>
      <c r="M4996" s="63" t="str">
        <f>HYPERLINK("http://nsgreg.nga.mil/genc/view?v=867141&amp;end_month=12&amp;end_day=31&amp;end_year=2016","Correlation")</f>
        <v>Correlation</v>
      </c>
    </row>
    <row r="4997" spans="1:13" x14ac:dyDescent="0.2">
      <c r="A4997" s="113"/>
      <c r="B4997" s="58" t="s">
        <v>12196</v>
      </c>
      <c r="C4997" s="58" t="s">
        <v>1413</v>
      </c>
      <c r="D4997" s="58" t="s">
        <v>12197</v>
      </c>
      <c r="E4997" s="60" t="b">
        <v>1</v>
      </c>
      <c r="F4997" s="80" t="s">
        <v>1050</v>
      </c>
      <c r="G4997" s="58" t="s">
        <v>12196</v>
      </c>
      <c r="H4997" s="58" t="s">
        <v>1413</v>
      </c>
      <c r="I4997" s="64" t="s">
        <v>12197</v>
      </c>
      <c r="J4997" s="66"/>
      <c r="K4997" s="66"/>
      <c r="L4997" s="68"/>
      <c r="M4997" s="63" t="str">
        <f>HYPERLINK("http://nsgreg.nga.mil/genc/view?v=867135&amp;end_month=12&amp;end_day=31&amp;end_year=2016","Correlation")</f>
        <v>Correlation</v>
      </c>
    </row>
    <row r="4998" spans="1:13" x14ac:dyDescent="0.2">
      <c r="A4998" s="113"/>
      <c r="B4998" s="58" t="s">
        <v>12198</v>
      </c>
      <c r="C4998" s="58" t="s">
        <v>1413</v>
      </c>
      <c r="D4998" s="58" t="s">
        <v>12199</v>
      </c>
      <c r="E4998" s="60" t="b">
        <v>1</v>
      </c>
      <c r="F4998" s="80" t="s">
        <v>1050</v>
      </c>
      <c r="G4998" s="58" t="s">
        <v>12198</v>
      </c>
      <c r="H4998" s="58" t="s">
        <v>1413</v>
      </c>
      <c r="I4998" s="64" t="s">
        <v>12199</v>
      </c>
      <c r="J4998" s="66"/>
      <c r="K4998" s="66"/>
      <c r="L4998" s="68"/>
      <c r="M4998" s="63" t="str">
        <f>HYPERLINK("http://nsgreg.nga.mil/genc/view?v=867165&amp;end_month=12&amp;end_day=31&amp;end_year=2016","Correlation")</f>
        <v>Correlation</v>
      </c>
    </row>
    <row r="4999" spans="1:13" x14ac:dyDescent="0.2">
      <c r="A4999" s="113"/>
      <c r="B4999" s="58" t="s">
        <v>12200</v>
      </c>
      <c r="C4999" s="58" t="s">
        <v>1413</v>
      </c>
      <c r="D4999" s="58" t="s">
        <v>12201</v>
      </c>
      <c r="E4999" s="60" t="b">
        <v>1</v>
      </c>
      <c r="F4999" s="80" t="s">
        <v>1050</v>
      </c>
      <c r="G4999" s="58" t="s">
        <v>12202</v>
      </c>
      <c r="H4999" s="58" t="s">
        <v>1413</v>
      </c>
      <c r="I4999" s="64" t="s">
        <v>12201</v>
      </c>
      <c r="J4999" s="66"/>
      <c r="K4999" s="66"/>
      <c r="L4999" s="68"/>
      <c r="M4999" s="63" t="str">
        <f>HYPERLINK("http://nsgreg.nga.mil/genc/view?v=867185&amp;end_month=12&amp;end_day=31&amp;end_year=2016","Correlation")</f>
        <v>Correlation</v>
      </c>
    </row>
    <row r="5000" spans="1:13" x14ac:dyDescent="0.2">
      <c r="A5000" s="113"/>
      <c r="B5000" s="58" t="s">
        <v>12203</v>
      </c>
      <c r="C5000" s="58" t="s">
        <v>1413</v>
      </c>
      <c r="D5000" s="58" t="s">
        <v>12204</v>
      </c>
      <c r="E5000" s="60" t="b">
        <v>1</v>
      </c>
      <c r="F5000" s="80" t="s">
        <v>1050</v>
      </c>
      <c r="G5000" s="58" t="s">
        <v>12203</v>
      </c>
      <c r="H5000" s="58" t="s">
        <v>1413</v>
      </c>
      <c r="I5000" s="64" t="s">
        <v>12204</v>
      </c>
      <c r="J5000" s="66"/>
      <c r="K5000" s="66"/>
      <c r="L5000" s="68"/>
      <c r="M5000" s="63" t="str">
        <f>HYPERLINK("http://nsgreg.nga.mil/genc/view?v=867147&amp;end_month=12&amp;end_day=31&amp;end_year=2016","Correlation")</f>
        <v>Correlation</v>
      </c>
    </row>
    <row r="5001" spans="1:13" x14ac:dyDescent="0.2">
      <c r="A5001" s="113"/>
      <c r="B5001" s="58" t="s">
        <v>12205</v>
      </c>
      <c r="C5001" s="58" t="s">
        <v>1413</v>
      </c>
      <c r="D5001" s="58" t="s">
        <v>12206</v>
      </c>
      <c r="E5001" s="60" t="b">
        <v>1</v>
      </c>
      <c r="F5001" s="80" t="s">
        <v>1050</v>
      </c>
      <c r="G5001" s="58" t="s">
        <v>12205</v>
      </c>
      <c r="H5001" s="58" t="s">
        <v>1413</v>
      </c>
      <c r="I5001" s="64" t="s">
        <v>12206</v>
      </c>
      <c r="J5001" s="66"/>
      <c r="K5001" s="66"/>
      <c r="L5001" s="68"/>
      <c r="M5001" s="63" t="str">
        <f>HYPERLINK("http://nsgreg.nga.mil/genc/view?v=867144&amp;end_month=12&amp;end_day=31&amp;end_year=2016","Correlation")</f>
        <v>Correlation</v>
      </c>
    </row>
    <row r="5002" spans="1:13" x14ac:dyDescent="0.2">
      <c r="A5002" s="113"/>
      <c r="B5002" s="58" t="s">
        <v>12207</v>
      </c>
      <c r="C5002" s="58" t="s">
        <v>1413</v>
      </c>
      <c r="D5002" s="58" t="s">
        <v>12208</v>
      </c>
      <c r="E5002" s="60" t="b">
        <v>1</v>
      </c>
      <c r="F5002" s="80" t="s">
        <v>1050</v>
      </c>
      <c r="G5002" s="58" t="s">
        <v>12207</v>
      </c>
      <c r="H5002" s="58" t="s">
        <v>1413</v>
      </c>
      <c r="I5002" s="64" t="s">
        <v>12208</v>
      </c>
      <c r="J5002" s="66"/>
      <c r="K5002" s="66"/>
      <c r="L5002" s="68"/>
      <c r="M5002" s="63" t="str">
        <f>HYPERLINK("http://nsgreg.nga.mil/genc/view?v=867161&amp;end_month=12&amp;end_day=31&amp;end_year=2016","Correlation")</f>
        <v>Correlation</v>
      </c>
    </row>
    <row r="5003" spans="1:13" x14ac:dyDescent="0.2">
      <c r="A5003" s="113"/>
      <c r="B5003" s="58" t="s">
        <v>12209</v>
      </c>
      <c r="C5003" s="58" t="s">
        <v>1413</v>
      </c>
      <c r="D5003" s="58" t="s">
        <v>12210</v>
      </c>
      <c r="E5003" s="60" t="b">
        <v>1</v>
      </c>
      <c r="F5003" s="80" t="s">
        <v>1050</v>
      </c>
      <c r="G5003" s="58" t="s">
        <v>12209</v>
      </c>
      <c r="H5003" s="58" t="s">
        <v>1413</v>
      </c>
      <c r="I5003" s="64" t="s">
        <v>12210</v>
      </c>
      <c r="J5003" s="66"/>
      <c r="K5003" s="66"/>
      <c r="L5003" s="68"/>
      <c r="M5003" s="63" t="str">
        <f>HYPERLINK("http://nsgreg.nga.mil/genc/view?v=867186&amp;end_month=12&amp;end_day=31&amp;end_year=2016","Correlation")</f>
        <v>Correlation</v>
      </c>
    </row>
    <row r="5004" spans="1:13" x14ac:dyDescent="0.2">
      <c r="A5004" s="113"/>
      <c r="B5004" s="58" t="s">
        <v>12211</v>
      </c>
      <c r="C5004" s="58" t="s">
        <v>1413</v>
      </c>
      <c r="D5004" s="58" t="s">
        <v>12212</v>
      </c>
      <c r="E5004" s="60" t="b">
        <v>1</v>
      </c>
      <c r="F5004" s="80" t="s">
        <v>1050</v>
      </c>
      <c r="G5004" s="58" t="s">
        <v>12211</v>
      </c>
      <c r="H5004" s="58" t="s">
        <v>1413</v>
      </c>
      <c r="I5004" s="64" t="s">
        <v>12212</v>
      </c>
      <c r="J5004" s="66"/>
      <c r="K5004" s="66"/>
      <c r="L5004" s="68"/>
      <c r="M5004" s="63" t="str">
        <f>HYPERLINK("http://nsgreg.nga.mil/genc/view?v=867157&amp;end_month=12&amp;end_day=31&amp;end_year=2016","Correlation")</f>
        <v>Correlation</v>
      </c>
    </row>
    <row r="5005" spans="1:13" x14ac:dyDescent="0.2">
      <c r="A5005" s="113"/>
      <c r="B5005" s="58" t="s">
        <v>12213</v>
      </c>
      <c r="C5005" s="58" t="s">
        <v>1413</v>
      </c>
      <c r="D5005" s="58" t="s">
        <v>12214</v>
      </c>
      <c r="E5005" s="60" t="b">
        <v>1</v>
      </c>
      <c r="F5005" s="80" t="s">
        <v>1050</v>
      </c>
      <c r="G5005" s="58" t="s">
        <v>12213</v>
      </c>
      <c r="H5005" s="58" t="s">
        <v>1413</v>
      </c>
      <c r="I5005" s="64" t="s">
        <v>12214</v>
      </c>
      <c r="J5005" s="66"/>
      <c r="K5005" s="66"/>
      <c r="L5005" s="68"/>
      <c r="M5005" s="63" t="str">
        <f>HYPERLINK("http://nsgreg.nga.mil/genc/view?v=867149&amp;end_month=12&amp;end_day=31&amp;end_year=2016","Correlation")</f>
        <v>Correlation</v>
      </c>
    </row>
    <row r="5006" spans="1:13" x14ac:dyDescent="0.2">
      <c r="A5006" s="113"/>
      <c r="B5006" s="58" t="s">
        <v>12215</v>
      </c>
      <c r="C5006" s="58" t="s">
        <v>1413</v>
      </c>
      <c r="D5006" s="58" t="s">
        <v>12216</v>
      </c>
      <c r="E5006" s="60" t="b">
        <v>1</v>
      </c>
      <c r="F5006" s="80" t="s">
        <v>1050</v>
      </c>
      <c r="G5006" s="58" t="s">
        <v>12215</v>
      </c>
      <c r="H5006" s="58" t="s">
        <v>1413</v>
      </c>
      <c r="I5006" s="64" t="s">
        <v>12216</v>
      </c>
      <c r="J5006" s="66"/>
      <c r="K5006" s="66"/>
      <c r="L5006" s="68"/>
      <c r="M5006" s="63" t="str">
        <f>HYPERLINK("http://nsgreg.nga.mil/genc/view?v=867152&amp;end_month=12&amp;end_day=31&amp;end_year=2016","Correlation")</f>
        <v>Correlation</v>
      </c>
    </row>
    <row r="5007" spans="1:13" x14ac:dyDescent="0.2">
      <c r="A5007" s="113"/>
      <c r="B5007" s="58" t="s">
        <v>12217</v>
      </c>
      <c r="C5007" s="58" t="s">
        <v>1413</v>
      </c>
      <c r="D5007" s="58" t="s">
        <v>12218</v>
      </c>
      <c r="E5007" s="60" t="b">
        <v>1</v>
      </c>
      <c r="F5007" s="80" t="s">
        <v>1050</v>
      </c>
      <c r="G5007" s="58" t="s">
        <v>12217</v>
      </c>
      <c r="H5007" s="58" t="s">
        <v>1413</v>
      </c>
      <c r="I5007" s="64" t="s">
        <v>12218</v>
      </c>
      <c r="J5007" s="66"/>
      <c r="K5007" s="66"/>
      <c r="L5007" s="68"/>
      <c r="M5007" s="63" t="str">
        <f>HYPERLINK("http://nsgreg.nga.mil/genc/view?v=867154&amp;end_month=12&amp;end_day=31&amp;end_year=2016","Correlation")</f>
        <v>Correlation</v>
      </c>
    </row>
    <row r="5008" spans="1:13" x14ac:dyDescent="0.2">
      <c r="A5008" s="113"/>
      <c r="B5008" s="58" t="s">
        <v>12219</v>
      </c>
      <c r="C5008" s="58" t="s">
        <v>1413</v>
      </c>
      <c r="D5008" s="58" t="s">
        <v>12220</v>
      </c>
      <c r="E5008" s="60" t="b">
        <v>1</v>
      </c>
      <c r="F5008" s="80" t="s">
        <v>1050</v>
      </c>
      <c r="G5008" s="58" t="s">
        <v>12219</v>
      </c>
      <c r="H5008" s="58" t="s">
        <v>1413</v>
      </c>
      <c r="I5008" s="64" t="s">
        <v>12220</v>
      </c>
      <c r="J5008" s="66"/>
      <c r="K5008" s="66"/>
      <c r="L5008" s="68"/>
      <c r="M5008" s="63" t="str">
        <f>HYPERLINK("http://nsgreg.nga.mil/genc/view?v=867142&amp;end_month=12&amp;end_day=31&amp;end_year=2016","Correlation")</f>
        <v>Correlation</v>
      </c>
    </row>
    <row r="5009" spans="1:13" x14ac:dyDescent="0.2">
      <c r="A5009" s="113"/>
      <c r="B5009" s="58" t="s">
        <v>12221</v>
      </c>
      <c r="C5009" s="58" t="s">
        <v>1413</v>
      </c>
      <c r="D5009" s="58" t="s">
        <v>12222</v>
      </c>
      <c r="E5009" s="60" t="b">
        <v>1</v>
      </c>
      <c r="F5009" s="80" t="s">
        <v>1050</v>
      </c>
      <c r="G5009" s="58" t="s">
        <v>12221</v>
      </c>
      <c r="H5009" s="58" t="s">
        <v>1413</v>
      </c>
      <c r="I5009" s="64" t="s">
        <v>12222</v>
      </c>
      <c r="J5009" s="66"/>
      <c r="K5009" s="66"/>
      <c r="L5009" s="68"/>
      <c r="M5009" s="63" t="str">
        <f>HYPERLINK("http://nsgreg.nga.mil/genc/view?v=867150&amp;end_month=12&amp;end_day=31&amp;end_year=2016","Correlation")</f>
        <v>Correlation</v>
      </c>
    </row>
    <row r="5010" spans="1:13" x14ac:dyDescent="0.2">
      <c r="A5010" s="113"/>
      <c r="B5010" s="58" t="s">
        <v>12223</v>
      </c>
      <c r="C5010" s="58" t="s">
        <v>1413</v>
      </c>
      <c r="D5010" s="58" t="s">
        <v>12224</v>
      </c>
      <c r="E5010" s="60" t="b">
        <v>1</v>
      </c>
      <c r="F5010" s="80" t="s">
        <v>1050</v>
      </c>
      <c r="G5010" s="58" t="s">
        <v>12223</v>
      </c>
      <c r="H5010" s="58" t="s">
        <v>1413</v>
      </c>
      <c r="I5010" s="64" t="s">
        <v>12224</v>
      </c>
      <c r="J5010" s="66"/>
      <c r="K5010" s="66"/>
      <c r="L5010" s="68"/>
      <c r="M5010" s="63" t="str">
        <f>HYPERLINK("http://nsgreg.nga.mil/genc/view?v=867174&amp;end_month=12&amp;end_day=31&amp;end_year=2016","Correlation")</f>
        <v>Correlation</v>
      </c>
    </row>
    <row r="5011" spans="1:13" x14ac:dyDescent="0.2">
      <c r="A5011" s="113"/>
      <c r="B5011" s="58" t="s">
        <v>12225</v>
      </c>
      <c r="C5011" s="58" t="s">
        <v>1413</v>
      </c>
      <c r="D5011" s="58" t="s">
        <v>12226</v>
      </c>
      <c r="E5011" s="60" t="b">
        <v>1</v>
      </c>
      <c r="F5011" s="80" t="s">
        <v>1050</v>
      </c>
      <c r="G5011" s="58" t="s">
        <v>12225</v>
      </c>
      <c r="H5011" s="58" t="s">
        <v>1413</v>
      </c>
      <c r="I5011" s="64" t="s">
        <v>12226</v>
      </c>
      <c r="J5011" s="66"/>
      <c r="K5011" s="66"/>
      <c r="L5011" s="68"/>
      <c r="M5011" s="63" t="str">
        <f>HYPERLINK("http://nsgreg.nga.mil/genc/view?v=867138&amp;end_month=12&amp;end_day=31&amp;end_year=2016","Correlation")</f>
        <v>Correlation</v>
      </c>
    </row>
    <row r="5012" spans="1:13" x14ac:dyDescent="0.2">
      <c r="A5012" s="113"/>
      <c r="B5012" s="58" t="s">
        <v>12227</v>
      </c>
      <c r="C5012" s="58" t="s">
        <v>1413</v>
      </c>
      <c r="D5012" s="58" t="s">
        <v>12228</v>
      </c>
      <c r="E5012" s="60" t="b">
        <v>1</v>
      </c>
      <c r="F5012" s="80" t="s">
        <v>1050</v>
      </c>
      <c r="G5012" s="58" t="s">
        <v>12227</v>
      </c>
      <c r="H5012" s="58" t="s">
        <v>1413</v>
      </c>
      <c r="I5012" s="64" t="s">
        <v>12228</v>
      </c>
      <c r="J5012" s="66"/>
      <c r="K5012" s="66"/>
      <c r="L5012" s="68"/>
      <c r="M5012" s="63" t="str">
        <f>HYPERLINK("http://nsgreg.nga.mil/genc/view?v=867162&amp;end_month=12&amp;end_day=31&amp;end_year=2016","Correlation")</f>
        <v>Correlation</v>
      </c>
    </row>
    <row r="5013" spans="1:13" x14ac:dyDescent="0.2">
      <c r="A5013" s="113"/>
      <c r="B5013" s="58" t="s">
        <v>12229</v>
      </c>
      <c r="C5013" s="58" t="s">
        <v>1413</v>
      </c>
      <c r="D5013" s="58" t="s">
        <v>12230</v>
      </c>
      <c r="E5013" s="60" t="b">
        <v>1</v>
      </c>
      <c r="F5013" s="80" t="s">
        <v>1050</v>
      </c>
      <c r="G5013" s="58" t="s">
        <v>12229</v>
      </c>
      <c r="H5013" s="58" t="s">
        <v>1413</v>
      </c>
      <c r="I5013" s="64" t="s">
        <v>12230</v>
      </c>
      <c r="J5013" s="66"/>
      <c r="K5013" s="66"/>
      <c r="L5013" s="68"/>
      <c r="M5013" s="63" t="str">
        <f>HYPERLINK("http://nsgreg.nga.mil/genc/view?v=867145&amp;end_month=12&amp;end_day=31&amp;end_year=2016","Correlation")</f>
        <v>Correlation</v>
      </c>
    </row>
    <row r="5014" spans="1:13" x14ac:dyDescent="0.2">
      <c r="A5014" s="113"/>
      <c r="B5014" s="58" t="s">
        <v>12231</v>
      </c>
      <c r="C5014" s="58" t="s">
        <v>1413</v>
      </c>
      <c r="D5014" s="58" t="s">
        <v>12232</v>
      </c>
      <c r="E5014" s="60" t="b">
        <v>1</v>
      </c>
      <c r="F5014" s="80" t="s">
        <v>1050</v>
      </c>
      <c r="G5014" s="58" t="s">
        <v>12231</v>
      </c>
      <c r="H5014" s="58" t="s">
        <v>1413</v>
      </c>
      <c r="I5014" s="64" t="s">
        <v>12232</v>
      </c>
      <c r="J5014" s="66"/>
      <c r="K5014" s="66"/>
      <c r="L5014" s="68"/>
      <c r="M5014" s="63" t="str">
        <f>HYPERLINK("http://nsgreg.nga.mil/genc/view?v=867187&amp;end_month=12&amp;end_day=31&amp;end_year=2016","Correlation")</f>
        <v>Correlation</v>
      </c>
    </row>
    <row r="5015" spans="1:13" x14ac:dyDescent="0.2">
      <c r="A5015" s="113"/>
      <c r="B5015" s="58" t="s">
        <v>12233</v>
      </c>
      <c r="C5015" s="58" t="s">
        <v>1413</v>
      </c>
      <c r="D5015" s="58" t="s">
        <v>12234</v>
      </c>
      <c r="E5015" s="60" t="b">
        <v>1</v>
      </c>
      <c r="F5015" s="80" t="s">
        <v>1050</v>
      </c>
      <c r="G5015" s="58" t="s">
        <v>12233</v>
      </c>
      <c r="H5015" s="58" t="s">
        <v>1413</v>
      </c>
      <c r="I5015" s="64" t="s">
        <v>12234</v>
      </c>
      <c r="J5015" s="66"/>
      <c r="K5015" s="66"/>
      <c r="L5015" s="68"/>
      <c r="M5015" s="63" t="str">
        <f>HYPERLINK("http://nsgreg.nga.mil/genc/view?v=867146&amp;end_month=12&amp;end_day=31&amp;end_year=2016","Correlation")</f>
        <v>Correlation</v>
      </c>
    </row>
    <row r="5016" spans="1:13" x14ac:dyDescent="0.2">
      <c r="A5016" s="113"/>
      <c r="B5016" s="58" t="s">
        <v>12235</v>
      </c>
      <c r="C5016" s="58" t="s">
        <v>1413</v>
      </c>
      <c r="D5016" s="58" t="s">
        <v>12236</v>
      </c>
      <c r="E5016" s="60" t="b">
        <v>1</v>
      </c>
      <c r="F5016" s="80" t="s">
        <v>1050</v>
      </c>
      <c r="G5016" s="58" t="s">
        <v>12235</v>
      </c>
      <c r="H5016" s="58" t="s">
        <v>1413</v>
      </c>
      <c r="I5016" s="64" t="s">
        <v>12236</v>
      </c>
      <c r="J5016" s="66"/>
      <c r="K5016" s="66"/>
      <c r="L5016" s="68"/>
      <c r="M5016" s="63" t="str">
        <f>HYPERLINK("http://nsgreg.nga.mil/genc/view?v=867151&amp;end_month=12&amp;end_day=31&amp;end_year=2016","Correlation")</f>
        <v>Correlation</v>
      </c>
    </row>
    <row r="5017" spans="1:13" x14ac:dyDescent="0.2">
      <c r="A5017" s="113"/>
      <c r="B5017" s="58" t="s">
        <v>12237</v>
      </c>
      <c r="C5017" s="58" t="s">
        <v>1413</v>
      </c>
      <c r="D5017" s="58" t="s">
        <v>12238</v>
      </c>
      <c r="E5017" s="60" t="b">
        <v>1</v>
      </c>
      <c r="F5017" s="80" t="s">
        <v>1050</v>
      </c>
      <c r="G5017" s="58" t="s">
        <v>12237</v>
      </c>
      <c r="H5017" s="58" t="s">
        <v>1413</v>
      </c>
      <c r="I5017" s="64" t="s">
        <v>12238</v>
      </c>
      <c r="J5017" s="66"/>
      <c r="K5017" s="66"/>
      <c r="L5017" s="68"/>
      <c r="M5017" s="63" t="str">
        <f>HYPERLINK("http://nsgreg.nga.mil/genc/view?v=867169&amp;end_month=12&amp;end_day=31&amp;end_year=2016","Correlation")</f>
        <v>Correlation</v>
      </c>
    </row>
    <row r="5018" spans="1:13" x14ac:dyDescent="0.2">
      <c r="A5018" s="113"/>
      <c r="B5018" s="58" t="s">
        <v>12239</v>
      </c>
      <c r="C5018" s="58" t="s">
        <v>1413</v>
      </c>
      <c r="D5018" s="58" t="s">
        <v>12240</v>
      </c>
      <c r="E5018" s="60" t="b">
        <v>1</v>
      </c>
      <c r="F5018" s="80" t="s">
        <v>1050</v>
      </c>
      <c r="G5018" s="58" t="s">
        <v>12239</v>
      </c>
      <c r="H5018" s="58" t="s">
        <v>1413</v>
      </c>
      <c r="I5018" s="64" t="s">
        <v>12240</v>
      </c>
      <c r="J5018" s="66"/>
      <c r="K5018" s="66"/>
      <c r="L5018" s="68"/>
      <c r="M5018" s="63" t="str">
        <f>HYPERLINK("http://nsgreg.nga.mil/genc/view?v=867173&amp;end_month=12&amp;end_day=31&amp;end_year=2016","Correlation")</f>
        <v>Correlation</v>
      </c>
    </row>
    <row r="5019" spans="1:13" x14ac:dyDescent="0.2">
      <c r="A5019" s="113"/>
      <c r="B5019" s="58" t="s">
        <v>12241</v>
      </c>
      <c r="C5019" s="58" t="s">
        <v>1413</v>
      </c>
      <c r="D5019" s="58" t="s">
        <v>12242</v>
      </c>
      <c r="E5019" s="60" t="b">
        <v>1</v>
      </c>
      <c r="F5019" s="80" t="s">
        <v>1050</v>
      </c>
      <c r="G5019" s="58" t="s">
        <v>12241</v>
      </c>
      <c r="H5019" s="58" t="s">
        <v>1413</v>
      </c>
      <c r="I5019" s="64" t="s">
        <v>12242</v>
      </c>
      <c r="J5019" s="66"/>
      <c r="K5019" s="66"/>
      <c r="L5019" s="68"/>
      <c r="M5019" s="63" t="str">
        <f>HYPERLINK("http://nsgreg.nga.mil/genc/view?v=867140&amp;end_month=12&amp;end_day=31&amp;end_year=2016","Correlation")</f>
        <v>Correlation</v>
      </c>
    </row>
    <row r="5020" spans="1:13" x14ac:dyDescent="0.2">
      <c r="A5020" s="113"/>
      <c r="B5020" s="58" t="s">
        <v>12243</v>
      </c>
      <c r="C5020" s="58" t="s">
        <v>1413</v>
      </c>
      <c r="D5020" s="58" t="s">
        <v>12244</v>
      </c>
      <c r="E5020" s="60" t="b">
        <v>1</v>
      </c>
      <c r="F5020" s="80" t="s">
        <v>1050</v>
      </c>
      <c r="G5020" s="58" t="s">
        <v>12243</v>
      </c>
      <c r="H5020" s="58" t="s">
        <v>1413</v>
      </c>
      <c r="I5020" s="64" t="s">
        <v>12244</v>
      </c>
      <c r="J5020" s="66"/>
      <c r="K5020" s="66"/>
      <c r="L5020" s="68"/>
      <c r="M5020" s="63" t="str">
        <f>HYPERLINK("http://nsgreg.nga.mil/genc/view?v=867171&amp;end_month=12&amp;end_day=31&amp;end_year=2016","Correlation")</f>
        <v>Correlation</v>
      </c>
    </row>
    <row r="5021" spans="1:13" x14ac:dyDescent="0.2">
      <c r="A5021" s="113"/>
      <c r="B5021" s="58" t="s">
        <v>12245</v>
      </c>
      <c r="C5021" s="58" t="s">
        <v>1413</v>
      </c>
      <c r="D5021" s="58" t="s">
        <v>12246</v>
      </c>
      <c r="E5021" s="60" t="b">
        <v>1</v>
      </c>
      <c r="F5021" s="80" t="s">
        <v>1050</v>
      </c>
      <c r="G5021" s="58" t="s">
        <v>12245</v>
      </c>
      <c r="H5021" s="58" t="s">
        <v>1413</v>
      </c>
      <c r="I5021" s="64" t="s">
        <v>12246</v>
      </c>
      <c r="J5021" s="66"/>
      <c r="K5021" s="66"/>
      <c r="L5021" s="68"/>
      <c r="M5021" s="63" t="str">
        <f>HYPERLINK("http://nsgreg.nga.mil/genc/view?v=867188&amp;end_month=12&amp;end_day=31&amp;end_year=2016","Correlation")</f>
        <v>Correlation</v>
      </c>
    </row>
    <row r="5022" spans="1:13" x14ac:dyDescent="0.2">
      <c r="A5022" s="114"/>
      <c r="B5022" s="71" t="s">
        <v>12247</v>
      </c>
      <c r="C5022" s="71" t="s">
        <v>1413</v>
      </c>
      <c r="D5022" s="71" t="s">
        <v>12248</v>
      </c>
      <c r="E5022" s="73" t="b">
        <v>1</v>
      </c>
      <c r="F5022" s="81" t="s">
        <v>1050</v>
      </c>
      <c r="G5022" s="71" t="s">
        <v>12247</v>
      </c>
      <c r="H5022" s="71" t="s">
        <v>1413</v>
      </c>
      <c r="I5022" s="74" t="s">
        <v>12248</v>
      </c>
      <c r="J5022" s="76"/>
      <c r="K5022" s="76"/>
      <c r="L5022" s="82"/>
      <c r="M5022" s="77" t="str">
        <f>HYPERLINK("http://nsgreg.nga.mil/genc/view?v=867139&amp;end_month=12&amp;end_day=31&amp;end_year=2016","Correlation")</f>
        <v>Correlation</v>
      </c>
    </row>
    <row r="5023" spans="1:13" x14ac:dyDescent="0.2">
      <c r="A5023" s="112" t="s">
        <v>1385</v>
      </c>
      <c r="B5023" s="50" t="s">
        <v>12249</v>
      </c>
      <c r="C5023" s="50" t="s">
        <v>12250</v>
      </c>
      <c r="D5023" s="50" t="s">
        <v>12251</v>
      </c>
      <c r="E5023" s="52" t="b">
        <v>1</v>
      </c>
      <c r="F5023" s="78" t="s">
        <v>1385</v>
      </c>
      <c r="G5023" s="50" t="s">
        <v>12249</v>
      </c>
      <c r="H5023" s="50" t="s">
        <v>12250</v>
      </c>
      <c r="I5023" s="53" t="s">
        <v>12251</v>
      </c>
      <c r="J5023" s="55"/>
      <c r="K5023" s="55"/>
      <c r="L5023" s="79"/>
      <c r="M5023" s="56" t="str">
        <f>HYPERLINK("http://nsgreg.nga.mil/genc/view?v=867203&amp;end_month=12&amp;end_day=31&amp;end_year=2016","Correlation")</f>
        <v>Correlation</v>
      </c>
    </row>
    <row r="5024" spans="1:13" x14ac:dyDescent="0.2">
      <c r="A5024" s="113"/>
      <c r="B5024" s="58" t="s">
        <v>12252</v>
      </c>
      <c r="C5024" s="58" t="s">
        <v>12250</v>
      </c>
      <c r="D5024" s="58" t="s">
        <v>12253</v>
      </c>
      <c r="E5024" s="60" t="b">
        <v>1</v>
      </c>
      <c r="F5024" s="80" t="s">
        <v>1385</v>
      </c>
      <c r="G5024" s="58" t="s">
        <v>12252</v>
      </c>
      <c r="H5024" s="58" t="s">
        <v>12250</v>
      </c>
      <c r="I5024" s="64" t="s">
        <v>12253</v>
      </c>
      <c r="J5024" s="66"/>
      <c r="K5024" s="66"/>
      <c r="L5024" s="68"/>
      <c r="M5024" s="63" t="str">
        <f>HYPERLINK("http://nsgreg.nga.mil/genc/view?v=867204&amp;end_month=12&amp;end_day=31&amp;end_year=2016","Correlation")</f>
        <v>Correlation</v>
      </c>
    </row>
    <row r="5025" spans="1:13" x14ac:dyDescent="0.2">
      <c r="A5025" s="114"/>
      <c r="B5025" s="71" t="s">
        <v>12254</v>
      </c>
      <c r="C5025" s="71" t="s">
        <v>12250</v>
      </c>
      <c r="D5025" s="71" t="s">
        <v>12255</v>
      </c>
      <c r="E5025" s="73" t="b">
        <v>1</v>
      </c>
      <c r="F5025" s="81" t="s">
        <v>1385</v>
      </c>
      <c r="G5025" s="71" t="s">
        <v>12254</v>
      </c>
      <c r="H5025" s="71" t="s">
        <v>12250</v>
      </c>
      <c r="I5025" s="74" t="s">
        <v>12255</v>
      </c>
      <c r="J5025" s="76"/>
      <c r="K5025" s="76"/>
      <c r="L5025" s="82"/>
      <c r="M5025" s="77" t="str">
        <f>HYPERLINK("http://nsgreg.nga.mil/genc/view?v=867205&amp;end_month=12&amp;end_day=31&amp;end_year=2016","Correlation")</f>
        <v>Correlation</v>
      </c>
    </row>
    <row r="5026" spans="1:13" x14ac:dyDescent="0.2">
      <c r="A5026" s="112" t="s">
        <v>1399</v>
      </c>
      <c r="B5026" s="50" t="s">
        <v>12256</v>
      </c>
      <c r="C5026" s="50" t="s">
        <v>2030</v>
      </c>
      <c r="D5026" s="50" t="s">
        <v>12257</v>
      </c>
      <c r="E5026" s="52" t="b">
        <v>1</v>
      </c>
      <c r="F5026" s="78" t="s">
        <v>1399</v>
      </c>
      <c r="G5026" s="50" t="s">
        <v>12256</v>
      </c>
      <c r="H5026" s="50" t="s">
        <v>2030</v>
      </c>
      <c r="I5026" s="53" t="s">
        <v>12257</v>
      </c>
      <c r="J5026" s="55"/>
      <c r="K5026" s="55"/>
      <c r="L5026" s="79"/>
      <c r="M5026" s="56" t="str">
        <f>HYPERLINK("http://nsgreg.nga.mil/genc/view?v=867255&amp;end_month=12&amp;end_day=31&amp;end_year=2016","Correlation")</f>
        <v>Correlation</v>
      </c>
    </row>
    <row r="5027" spans="1:13" x14ac:dyDescent="0.2">
      <c r="A5027" s="113"/>
      <c r="B5027" s="58" t="s">
        <v>12258</v>
      </c>
      <c r="C5027" s="58" t="s">
        <v>2030</v>
      </c>
      <c r="D5027" s="58" t="s">
        <v>12259</v>
      </c>
      <c r="E5027" s="60" t="b">
        <v>1</v>
      </c>
      <c r="F5027" s="80" t="s">
        <v>1399</v>
      </c>
      <c r="G5027" s="58" t="s">
        <v>12258</v>
      </c>
      <c r="H5027" s="58" t="s">
        <v>2030</v>
      </c>
      <c r="I5027" s="64" t="s">
        <v>12259</v>
      </c>
      <c r="J5027" s="66"/>
      <c r="K5027" s="66"/>
      <c r="L5027" s="68"/>
      <c r="M5027" s="63" t="str">
        <f>HYPERLINK("http://nsgreg.nga.mil/genc/view?v=867256&amp;end_month=12&amp;end_day=31&amp;end_year=2016","Correlation")</f>
        <v>Correlation</v>
      </c>
    </row>
    <row r="5028" spans="1:13" x14ac:dyDescent="0.2">
      <c r="A5028" s="113"/>
      <c r="B5028" s="58" t="s">
        <v>12260</v>
      </c>
      <c r="C5028" s="58" t="s">
        <v>2030</v>
      </c>
      <c r="D5028" s="58" t="s">
        <v>12261</v>
      </c>
      <c r="E5028" s="60" t="b">
        <v>1</v>
      </c>
      <c r="F5028" s="80" t="s">
        <v>1399</v>
      </c>
      <c r="G5028" s="58" t="s">
        <v>12260</v>
      </c>
      <c r="H5028" s="58" t="s">
        <v>2030</v>
      </c>
      <c r="I5028" s="64" t="s">
        <v>12261</v>
      </c>
      <c r="J5028" s="66"/>
      <c r="K5028" s="66"/>
      <c r="L5028" s="68"/>
      <c r="M5028" s="63" t="str">
        <f>HYPERLINK("http://nsgreg.nga.mil/genc/view?v=867259&amp;end_month=12&amp;end_day=31&amp;end_year=2016","Correlation")</f>
        <v>Correlation</v>
      </c>
    </row>
    <row r="5029" spans="1:13" x14ac:dyDescent="0.2">
      <c r="A5029" s="113"/>
      <c r="B5029" s="58" t="s">
        <v>12262</v>
      </c>
      <c r="C5029" s="58" t="s">
        <v>2030</v>
      </c>
      <c r="D5029" s="58" t="s">
        <v>12263</v>
      </c>
      <c r="E5029" s="60" t="b">
        <v>1</v>
      </c>
      <c r="F5029" s="80" t="s">
        <v>1399</v>
      </c>
      <c r="G5029" s="58" t="s">
        <v>12262</v>
      </c>
      <c r="H5029" s="58" t="s">
        <v>2030</v>
      </c>
      <c r="I5029" s="64" t="s">
        <v>12263</v>
      </c>
      <c r="J5029" s="66"/>
      <c r="K5029" s="66"/>
      <c r="L5029" s="68"/>
      <c r="M5029" s="63" t="str">
        <f>HYPERLINK("http://nsgreg.nga.mil/genc/view?v=867258&amp;end_month=12&amp;end_day=31&amp;end_year=2016","Correlation")</f>
        <v>Correlation</v>
      </c>
    </row>
    <row r="5030" spans="1:13" x14ac:dyDescent="0.2">
      <c r="A5030" s="113"/>
      <c r="B5030" s="58" t="s">
        <v>12264</v>
      </c>
      <c r="C5030" s="58" t="s">
        <v>2030</v>
      </c>
      <c r="D5030" s="58" t="s">
        <v>12265</v>
      </c>
      <c r="E5030" s="60" t="b">
        <v>1</v>
      </c>
      <c r="F5030" s="80" t="s">
        <v>1399</v>
      </c>
      <c r="G5030" s="58" t="s">
        <v>12264</v>
      </c>
      <c r="H5030" s="58" t="s">
        <v>2030</v>
      </c>
      <c r="I5030" s="64" t="s">
        <v>12265</v>
      </c>
      <c r="J5030" s="66"/>
      <c r="K5030" s="66"/>
      <c r="L5030" s="68"/>
      <c r="M5030" s="63" t="str">
        <f>HYPERLINK("http://nsgreg.nga.mil/genc/view?v=867263&amp;end_month=12&amp;end_day=31&amp;end_year=2016","Correlation")</f>
        <v>Correlation</v>
      </c>
    </row>
    <row r="5031" spans="1:13" x14ac:dyDescent="0.2">
      <c r="A5031" s="113"/>
      <c r="B5031" s="58" t="s">
        <v>9045</v>
      </c>
      <c r="C5031" s="58" t="s">
        <v>2030</v>
      </c>
      <c r="D5031" s="58" t="s">
        <v>12266</v>
      </c>
      <c r="E5031" s="60" t="b">
        <v>1</v>
      </c>
      <c r="F5031" s="80" t="s">
        <v>1399</v>
      </c>
      <c r="G5031" s="58" t="s">
        <v>9045</v>
      </c>
      <c r="H5031" s="58" t="s">
        <v>2030</v>
      </c>
      <c r="I5031" s="64" t="s">
        <v>12266</v>
      </c>
      <c r="J5031" s="66"/>
      <c r="K5031" s="66"/>
      <c r="L5031" s="68"/>
      <c r="M5031" s="63" t="str">
        <f>HYPERLINK("http://nsgreg.nga.mil/genc/view?v=867265&amp;end_month=12&amp;end_day=31&amp;end_year=2016","Correlation")</f>
        <v>Correlation</v>
      </c>
    </row>
    <row r="5032" spans="1:13" x14ac:dyDescent="0.2">
      <c r="A5032" s="113"/>
      <c r="B5032" s="58" t="s">
        <v>12267</v>
      </c>
      <c r="C5032" s="58" t="s">
        <v>2030</v>
      </c>
      <c r="D5032" s="58" t="s">
        <v>12268</v>
      </c>
      <c r="E5032" s="60" t="b">
        <v>1</v>
      </c>
      <c r="F5032" s="80" t="s">
        <v>1399</v>
      </c>
      <c r="G5032" s="58" t="s">
        <v>12267</v>
      </c>
      <c r="H5032" s="58" t="s">
        <v>2030</v>
      </c>
      <c r="I5032" s="64" t="s">
        <v>12268</v>
      </c>
      <c r="J5032" s="66"/>
      <c r="K5032" s="66"/>
      <c r="L5032" s="68"/>
      <c r="M5032" s="63" t="str">
        <f>HYPERLINK("http://nsgreg.nga.mil/genc/view?v=867268&amp;end_month=12&amp;end_day=31&amp;end_year=2016","Correlation")</f>
        <v>Correlation</v>
      </c>
    </row>
    <row r="5033" spans="1:13" x14ac:dyDescent="0.2">
      <c r="A5033" s="113"/>
      <c r="B5033" s="58" t="s">
        <v>12269</v>
      </c>
      <c r="C5033" s="58" t="s">
        <v>2030</v>
      </c>
      <c r="D5033" s="58" t="s">
        <v>12270</v>
      </c>
      <c r="E5033" s="60" t="b">
        <v>1</v>
      </c>
      <c r="F5033" s="80" t="s">
        <v>1399</v>
      </c>
      <c r="G5033" s="58" t="s">
        <v>12269</v>
      </c>
      <c r="H5033" s="58" t="s">
        <v>2030</v>
      </c>
      <c r="I5033" s="64" t="s">
        <v>12270</v>
      </c>
      <c r="J5033" s="66"/>
      <c r="K5033" s="66"/>
      <c r="L5033" s="68"/>
      <c r="M5033" s="63" t="str">
        <f>HYPERLINK("http://nsgreg.nga.mil/genc/view?v=867269&amp;end_month=12&amp;end_day=31&amp;end_year=2016","Correlation")</f>
        <v>Correlation</v>
      </c>
    </row>
    <row r="5034" spans="1:13" x14ac:dyDescent="0.2">
      <c r="A5034" s="113"/>
      <c r="B5034" s="58" t="s">
        <v>12271</v>
      </c>
      <c r="C5034" s="58" t="s">
        <v>2030</v>
      </c>
      <c r="D5034" s="58" t="s">
        <v>12272</v>
      </c>
      <c r="E5034" s="60" t="b">
        <v>1</v>
      </c>
      <c r="F5034" s="80" t="s">
        <v>1399</v>
      </c>
      <c r="G5034" s="58" t="s">
        <v>12271</v>
      </c>
      <c r="H5034" s="58" t="s">
        <v>1816</v>
      </c>
      <c r="I5034" s="64" t="s">
        <v>12272</v>
      </c>
      <c r="J5034" s="66"/>
      <c r="K5034" s="66"/>
      <c r="L5034" s="68"/>
      <c r="M5034" s="63" t="str">
        <f>HYPERLINK("http://nsgreg.nga.mil/genc/view?v=867271&amp;end_month=12&amp;end_day=31&amp;end_year=2016","Correlation")</f>
        <v>Correlation</v>
      </c>
    </row>
    <row r="5035" spans="1:13" x14ac:dyDescent="0.2">
      <c r="A5035" s="113"/>
      <c r="B5035" s="58" t="s">
        <v>12273</v>
      </c>
      <c r="C5035" s="58" t="s">
        <v>2030</v>
      </c>
      <c r="D5035" s="58" t="s">
        <v>12274</v>
      </c>
      <c r="E5035" s="60" t="b">
        <v>1</v>
      </c>
      <c r="F5035" s="80" t="s">
        <v>1399</v>
      </c>
      <c r="G5035" s="58" t="s">
        <v>12273</v>
      </c>
      <c r="H5035" s="58" t="s">
        <v>2030</v>
      </c>
      <c r="I5035" s="64" t="s">
        <v>12274</v>
      </c>
      <c r="J5035" s="66"/>
      <c r="K5035" s="66"/>
      <c r="L5035" s="68"/>
      <c r="M5035" s="63" t="str">
        <f>HYPERLINK("http://nsgreg.nga.mil/genc/view?v=867257&amp;end_month=12&amp;end_day=31&amp;end_year=2016","Correlation")</f>
        <v>Correlation</v>
      </c>
    </row>
    <row r="5036" spans="1:13" x14ac:dyDescent="0.2">
      <c r="A5036" s="113"/>
      <c r="B5036" s="58" t="s">
        <v>12275</v>
      </c>
      <c r="C5036" s="58" t="s">
        <v>2030</v>
      </c>
      <c r="D5036" s="58" t="s">
        <v>12276</v>
      </c>
      <c r="E5036" s="60" t="b">
        <v>1</v>
      </c>
      <c r="F5036" s="80" t="s">
        <v>1399</v>
      </c>
      <c r="G5036" s="58" t="s">
        <v>12275</v>
      </c>
      <c r="H5036" s="58" t="s">
        <v>2030</v>
      </c>
      <c r="I5036" s="64" t="s">
        <v>12276</v>
      </c>
      <c r="J5036" s="66"/>
      <c r="K5036" s="66"/>
      <c r="L5036" s="68"/>
      <c r="M5036" s="63" t="str">
        <f>HYPERLINK("http://nsgreg.nga.mil/genc/view?v=867275&amp;end_month=12&amp;end_day=31&amp;end_year=2016","Correlation")</f>
        <v>Correlation</v>
      </c>
    </row>
    <row r="5037" spans="1:13" x14ac:dyDescent="0.2">
      <c r="A5037" s="113"/>
      <c r="B5037" s="58" t="s">
        <v>12277</v>
      </c>
      <c r="C5037" s="58" t="s">
        <v>2030</v>
      </c>
      <c r="D5037" s="58" t="s">
        <v>12278</v>
      </c>
      <c r="E5037" s="60" t="b">
        <v>1</v>
      </c>
      <c r="F5037" s="80" t="s">
        <v>1399</v>
      </c>
      <c r="G5037" s="58" t="s">
        <v>12277</v>
      </c>
      <c r="H5037" s="58" t="s">
        <v>2030</v>
      </c>
      <c r="I5037" s="64" t="s">
        <v>12278</v>
      </c>
      <c r="J5037" s="66"/>
      <c r="K5037" s="66"/>
      <c r="L5037" s="68"/>
      <c r="M5037" s="63" t="str">
        <f>HYPERLINK("http://nsgreg.nga.mil/genc/view?v=867260&amp;end_month=12&amp;end_day=31&amp;end_year=2016","Correlation")</f>
        <v>Correlation</v>
      </c>
    </row>
    <row r="5038" spans="1:13" x14ac:dyDescent="0.2">
      <c r="A5038" s="113"/>
      <c r="B5038" s="58" t="s">
        <v>12279</v>
      </c>
      <c r="C5038" s="58" t="s">
        <v>2030</v>
      </c>
      <c r="D5038" s="58" t="s">
        <v>12280</v>
      </c>
      <c r="E5038" s="60" t="b">
        <v>1</v>
      </c>
      <c r="F5038" s="80" t="s">
        <v>1399</v>
      </c>
      <c r="G5038" s="58" t="s">
        <v>12279</v>
      </c>
      <c r="H5038" s="58" t="s">
        <v>2030</v>
      </c>
      <c r="I5038" s="64" t="s">
        <v>12280</v>
      </c>
      <c r="J5038" s="66"/>
      <c r="K5038" s="66"/>
      <c r="L5038" s="68"/>
      <c r="M5038" s="63" t="str">
        <f>HYPERLINK("http://nsgreg.nga.mil/genc/view?v=867261&amp;end_month=12&amp;end_day=31&amp;end_year=2016","Correlation")</f>
        <v>Correlation</v>
      </c>
    </row>
    <row r="5039" spans="1:13" x14ac:dyDescent="0.2">
      <c r="A5039" s="113"/>
      <c r="B5039" s="58" t="s">
        <v>12281</v>
      </c>
      <c r="C5039" s="58" t="s">
        <v>2030</v>
      </c>
      <c r="D5039" s="58" t="s">
        <v>12282</v>
      </c>
      <c r="E5039" s="60" t="b">
        <v>1</v>
      </c>
      <c r="F5039" s="80" t="s">
        <v>1399</v>
      </c>
      <c r="G5039" s="58" t="s">
        <v>12281</v>
      </c>
      <c r="H5039" s="58" t="s">
        <v>2030</v>
      </c>
      <c r="I5039" s="64" t="s">
        <v>12282</v>
      </c>
      <c r="J5039" s="66"/>
      <c r="K5039" s="66"/>
      <c r="L5039" s="68"/>
      <c r="M5039" s="63" t="str">
        <f>HYPERLINK("http://nsgreg.nga.mil/genc/view?v=867262&amp;end_month=12&amp;end_day=31&amp;end_year=2016","Correlation")</f>
        <v>Correlation</v>
      </c>
    </row>
    <row r="5040" spans="1:13" x14ac:dyDescent="0.2">
      <c r="A5040" s="113"/>
      <c r="B5040" s="58" t="s">
        <v>12283</v>
      </c>
      <c r="C5040" s="58" t="s">
        <v>2030</v>
      </c>
      <c r="D5040" s="58" t="s">
        <v>12284</v>
      </c>
      <c r="E5040" s="60" t="b">
        <v>1</v>
      </c>
      <c r="F5040" s="80" t="s">
        <v>1399</v>
      </c>
      <c r="G5040" s="58" t="s">
        <v>12283</v>
      </c>
      <c r="H5040" s="58" t="s">
        <v>2030</v>
      </c>
      <c r="I5040" s="64" t="s">
        <v>12284</v>
      </c>
      <c r="J5040" s="66"/>
      <c r="K5040" s="66"/>
      <c r="L5040" s="68"/>
      <c r="M5040" s="63" t="str">
        <f>HYPERLINK("http://nsgreg.nga.mil/genc/view?v=867264&amp;end_month=12&amp;end_day=31&amp;end_year=2016","Correlation")</f>
        <v>Correlation</v>
      </c>
    </row>
    <row r="5041" spans="1:13" x14ac:dyDescent="0.2">
      <c r="A5041" s="113"/>
      <c r="B5041" s="58" t="s">
        <v>12285</v>
      </c>
      <c r="C5041" s="58" t="s">
        <v>2030</v>
      </c>
      <c r="D5041" s="58" t="s">
        <v>12286</v>
      </c>
      <c r="E5041" s="60" t="b">
        <v>1</v>
      </c>
      <c r="F5041" s="80" t="s">
        <v>1399</v>
      </c>
      <c r="G5041" s="58" t="s">
        <v>12285</v>
      </c>
      <c r="H5041" s="58" t="s">
        <v>2030</v>
      </c>
      <c r="I5041" s="64" t="s">
        <v>12286</v>
      </c>
      <c r="J5041" s="66"/>
      <c r="K5041" s="66"/>
      <c r="L5041" s="68"/>
      <c r="M5041" s="63" t="str">
        <f>HYPERLINK("http://nsgreg.nga.mil/genc/view?v=867266&amp;end_month=12&amp;end_day=31&amp;end_year=2016","Correlation")</f>
        <v>Correlation</v>
      </c>
    </row>
    <row r="5042" spans="1:13" x14ac:dyDescent="0.2">
      <c r="A5042" s="113"/>
      <c r="B5042" s="58" t="s">
        <v>12287</v>
      </c>
      <c r="C5042" s="58" t="s">
        <v>2030</v>
      </c>
      <c r="D5042" s="58" t="s">
        <v>12288</v>
      </c>
      <c r="E5042" s="60" t="b">
        <v>1</v>
      </c>
      <c r="F5042" s="80" t="s">
        <v>1399</v>
      </c>
      <c r="G5042" s="58" t="s">
        <v>12287</v>
      </c>
      <c r="H5042" s="58" t="s">
        <v>2030</v>
      </c>
      <c r="I5042" s="64" t="s">
        <v>12288</v>
      </c>
      <c r="J5042" s="66"/>
      <c r="K5042" s="66"/>
      <c r="L5042" s="68"/>
      <c r="M5042" s="63" t="str">
        <f>HYPERLINK("http://nsgreg.nga.mil/genc/view?v=867267&amp;end_month=12&amp;end_day=31&amp;end_year=2016","Correlation")</f>
        <v>Correlation</v>
      </c>
    </row>
    <row r="5043" spans="1:13" x14ac:dyDescent="0.2">
      <c r="A5043" s="113"/>
      <c r="B5043" s="58" t="s">
        <v>12289</v>
      </c>
      <c r="C5043" s="58" t="s">
        <v>2030</v>
      </c>
      <c r="D5043" s="58" t="s">
        <v>12290</v>
      </c>
      <c r="E5043" s="60" t="b">
        <v>1</v>
      </c>
      <c r="F5043" s="80" t="s">
        <v>1399</v>
      </c>
      <c r="G5043" s="58" t="s">
        <v>12289</v>
      </c>
      <c r="H5043" s="58" t="s">
        <v>2030</v>
      </c>
      <c r="I5043" s="64" t="s">
        <v>12290</v>
      </c>
      <c r="J5043" s="66"/>
      <c r="K5043" s="66"/>
      <c r="L5043" s="68"/>
      <c r="M5043" s="63" t="str">
        <f>HYPERLINK("http://nsgreg.nga.mil/genc/view?v=867270&amp;end_month=12&amp;end_day=31&amp;end_year=2016","Correlation")</f>
        <v>Correlation</v>
      </c>
    </row>
    <row r="5044" spans="1:13" x14ac:dyDescent="0.2">
      <c r="A5044" s="113"/>
      <c r="B5044" s="58" t="s">
        <v>12291</v>
      </c>
      <c r="C5044" s="58" t="s">
        <v>2030</v>
      </c>
      <c r="D5044" s="58" t="s">
        <v>12292</v>
      </c>
      <c r="E5044" s="60" t="b">
        <v>1</v>
      </c>
      <c r="F5044" s="80" t="s">
        <v>1399</v>
      </c>
      <c r="G5044" s="58" t="s">
        <v>12293</v>
      </c>
      <c r="H5044" s="58" t="s">
        <v>2030</v>
      </c>
      <c r="I5044" s="64" t="s">
        <v>12292</v>
      </c>
      <c r="J5044" s="66"/>
      <c r="K5044" s="66"/>
      <c r="L5044" s="68"/>
      <c r="M5044" s="63" t="str">
        <f>HYPERLINK("http://nsgreg.nga.mil/genc/view?v=867272&amp;end_month=12&amp;end_day=31&amp;end_year=2016","Correlation")</f>
        <v>Correlation</v>
      </c>
    </row>
    <row r="5045" spans="1:13" x14ac:dyDescent="0.2">
      <c r="A5045" s="113"/>
      <c r="B5045" s="58" t="s">
        <v>12294</v>
      </c>
      <c r="C5045" s="58" t="s">
        <v>2030</v>
      </c>
      <c r="D5045" s="58" t="s">
        <v>12295</v>
      </c>
      <c r="E5045" s="60" t="b">
        <v>1</v>
      </c>
      <c r="F5045" s="80" t="s">
        <v>1399</v>
      </c>
      <c r="G5045" s="58" t="s">
        <v>12296</v>
      </c>
      <c r="H5045" s="58" t="s">
        <v>2030</v>
      </c>
      <c r="I5045" s="64" t="s">
        <v>12295</v>
      </c>
      <c r="J5045" s="66"/>
      <c r="K5045" s="66"/>
      <c r="L5045" s="68"/>
      <c r="M5045" s="63" t="str">
        <f>HYPERLINK("http://nsgreg.nga.mil/genc/view?v=867274&amp;end_month=12&amp;end_day=31&amp;end_year=2016","Correlation")</f>
        <v>Correlation</v>
      </c>
    </row>
    <row r="5046" spans="1:13" x14ac:dyDescent="0.2">
      <c r="A5046" s="113"/>
      <c r="B5046" s="58" t="s">
        <v>12297</v>
      </c>
      <c r="C5046" s="58" t="s">
        <v>2030</v>
      </c>
      <c r="D5046" s="58" t="s">
        <v>12298</v>
      </c>
      <c r="E5046" s="60" t="b">
        <v>1</v>
      </c>
      <c r="F5046" s="80" t="s">
        <v>1399</v>
      </c>
      <c r="G5046" s="58" t="s">
        <v>12297</v>
      </c>
      <c r="H5046" s="58" t="s">
        <v>2030</v>
      </c>
      <c r="I5046" s="64" t="s">
        <v>12298</v>
      </c>
      <c r="J5046" s="66"/>
      <c r="K5046" s="66"/>
      <c r="L5046" s="68"/>
      <c r="M5046" s="63" t="str">
        <f>HYPERLINK("http://nsgreg.nga.mil/genc/view?v=867273&amp;end_month=12&amp;end_day=31&amp;end_year=2016","Correlation")</f>
        <v>Correlation</v>
      </c>
    </row>
    <row r="5047" spans="1:13" x14ac:dyDescent="0.2">
      <c r="A5047" s="114"/>
      <c r="B5047" s="71" t="s">
        <v>12299</v>
      </c>
      <c r="C5047" s="71" t="s">
        <v>2030</v>
      </c>
      <c r="D5047" s="71" t="s">
        <v>12300</v>
      </c>
      <c r="E5047" s="73" t="b">
        <v>1</v>
      </c>
      <c r="F5047" s="81" t="s">
        <v>1399</v>
      </c>
      <c r="G5047" s="71" t="s">
        <v>12301</v>
      </c>
      <c r="H5047" s="71" t="s">
        <v>2030</v>
      </c>
      <c r="I5047" s="74" t="s">
        <v>12300</v>
      </c>
      <c r="J5047" s="76"/>
      <c r="K5047" s="76"/>
      <c r="L5047" s="82"/>
      <c r="M5047" s="77" t="str">
        <f>HYPERLINK("http://nsgreg.nga.mil/genc/view?v=867276&amp;end_month=12&amp;end_day=31&amp;end_year=2016","Correlation")</f>
        <v>Correlation</v>
      </c>
    </row>
    <row r="5048" spans="1:13" x14ac:dyDescent="0.2">
      <c r="A5048" s="112" t="s">
        <v>1403</v>
      </c>
      <c r="B5048" s="50" t="s">
        <v>2411</v>
      </c>
      <c r="C5048" s="50" t="s">
        <v>1413</v>
      </c>
      <c r="D5048" s="50" t="s">
        <v>12302</v>
      </c>
      <c r="E5048" s="52" t="b">
        <v>1</v>
      </c>
      <c r="F5048" s="78" t="s">
        <v>1403</v>
      </c>
      <c r="G5048" s="50" t="s">
        <v>2411</v>
      </c>
      <c r="H5048" s="50" t="s">
        <v>1413</v>
      </c>
      <c r="I5048" s="53" t="s">
        <v>12302</v>
      </c>
      <c r="J5048" s="55"/>
      <c r="K5048" s="55"/>
      <c r="L5048" s="79"/>
      <c r="M5048" s="56" t="str">
        <f>HYPERLINK("http://nsgreg.nga.mil/genc/view?v=867287&amp;end_month=12&amp;end_day=31&amp;end_year=2016","Correlation")</f>
        <v>Correlation</v>
      </c>
    </row>
    <row r="5049" spans="1:13" x14ac:dyDescent="0.2">
      <c r="A5049" s="113"/>
      <c r="B5049" s="58" t="s">
        <v>12303</v>
      </c>
      <c r="C5049" s="58" t="s">
        <v>1413</v>
      </c>
      <c r="D5049" s="58" t="s">
        <v>12304</v>
      </c>
      <c r="E5049" s="60" t="b">
        <v>1</v>
      </c>
      <c r="F5049" s="80" t="s">
        <v>1403</v>
      </c>
      <c r="G5049" s="58" t="s">
        <v>12303</v>
      </c>
      <c r="H5049" s="58" t="s">
        <v>1413</v>
      </c>
      <c r="I5049" s="64" t="s">
        <v>12304</v>
      </c>
      <c r="J5049" s="66"/>
      <c r="K5049" s="66"/>
      <c r="L5049" s="68"/>
      <c r="M5049" s="63" t="str">
        <f>HYPERLINK("http://nsgreg.nga.mil/genc/view?v=867293&amp;end_month=12&amp;end_day=31&amp;end_year=2016","Correlation")</f>
        <v>Correlation</v>
      </c>
    </row>
    <row r="5050" spans="1:13" x14ac:dyDescent="0.2">
      <c r="A5050" s="113"/>
      <c r="B5050" s="58" t="s">
        <v>4055</v>
      </c>
      <c r="C5050" s="58" t="s">
        <v>1413</v>
      </c>
      <c r="D5050" s="58" t="s">
        <v>12305</v>
      </c>
      <c r="E5050" s="60" t="b">
        <v>1</v>
      </c>
      <c r="F5050" s="80" t="s">
        <v>1403</v>
      </c>
      <c r="G5050" s="58" t="s">
        <v>4055</v>
      </c>
      <c r="H5050" s="58" t="s">
        <v>1413</v>
      </c>
      <c r="I5050" s="64" t="s">
        <v>12305</v>
      </c>
      <c r="J5050" s="66"/>
      <c r="K5050" s="66"/>
      <c r="L5050" s="68"/>
      <c r="M5050" s="63" t="str">
        <f>HYPERLINK("http://nsgreg.nga.mil/genc/view?v=867288&amp;end_month=12&amp;end_day=31&amp;end_year=2016","Correlation")</f>
        <v>Correlation</v>
      </c>
    </row>
    <row r="5051" spans="1:13" x14ac:dyDescent="0.2">
      <c r="A5051" s="113"/>
      <c r="B5051" s="58" t="s">
        <v>12306</v>
      </c>
      <c r="C5051" s="58" t="s">
        <v>1413</v>
      </c>
      <c r="D5051" s="58" t="s">
        <v>12307</v>
      </c>
      <c r="E5051" s="60" t="b">
        <v>1</v>
      </c>
      <c r="F5051" s="80" t="s">
        <v>1403</v>
      </c>
      <c r="G5051" s="58" t="s">
        <v>12306</v>
      </c>
      <c r="H5051" s="58" t="s">
        <v>1413</v>
      </c>
      <c r="I5051" s="64" t="s">
        <v>12307</v>
      </c>
      <c r="J5051" s="66"/>
      <c r="K5051" s="66"/>
      <c r="L5051" s="68"/>
      <c r="M5051" s="63" t="str">
        <f>HYPERLINK("http://nsgreg.nga.mil/genc/view?v=867289&amp;end_month=12&amp;end_day=31&amp;end_year=2016","Correlation")</f>
        <v>Correlation</v>
      </c>
    </row>
    <row r="5052" spans="1:13" x14ac:dyDescent="0.2">
      <c r="A5052" s="113"/>
      <c r="B5052" s="58" t="s">
        <v>12308</v>
      </c>
      <c r="C5052" s="58" t="s">
        <v>1413</v>
      </c>
      <c r="D5052" s="58" t="s">
        <v>12309</v>
      </c>
      <c r="E5052" s="60" t="b">
        <v>1</v>
      </c>
      <c r="F5052" s="80" t="s">
        <v>1403</v>
      </c>
      <c r="G5052" s="58" t="s">
        <v>12308</v>
      </c>
      <c r="H5052" s="58" t="s">
        <v>1413</v>
      </c>
      <c r="I5052" s="64" t="s">
        <v>12309</v>
      </c>
      <c r="J5052" s="66"/>
      <c r="K5052" s="66"/>
      <c r="L5052" s="68"/>
      <c r="M5052" s="63" t="str">
        <f>HYPERLINK("http://nsgreg.nga.mil/genc/view?v=867294&amp;end_month=12&amp;end_day=31&amp;end_year=2016","Correlation")</f>
        <v>Correlation</v>
      </c>
    </row>
    <row r="5053" spans="1:13" x14ac:dyDescent="0.2">
      <c r="A5053" s="113"/>
      <c r="B5053" s="58" t="s">
        <v>12310</v>
      </c>
      <c r="C5053" s="58" t="s">
        <v>1413</v>
      </c>
      <c r="D5053" s="58" t="s">
        <v>12311</v>
      </c>
      <c r="E5053" s="60" t="b">
        <v>1</v>
      </c>
      <c r="F5053" s="80" t="s">
        <v>1403</v>
      </c>
      <c r="G5053" s="58" t="s">
        <v>12310</v>
      </c>
      <c r="H5053" s="58" t="s">
        <v>1413</v>
      </c>
      <c r="I5053" s="64" t="s">
        <v>12311</v>
      </c>
      <c r="J5053" s="66"/>
      <c r="K5053" s="66"/>
      <c r="L5053" s="68"/>
      <c r="M5053" s="63" t="str">
        <f>HYPERLINK("http://nsgreg.nga.mil/genc/view?v=867295&amp;end_month=12&amp;end_day=31&amp;end_year=2016","Correlation")</f>
        <v>Correlation</v>
      </c>
    </row>
    <row r="5054" spans="1:13" x14ac:dyDescent="0.2">
      <c r="A5054" s="113"/>
      <c r="B5054" s="58" t="s">
        <v>4071</v>
      </c>
      <c r="C5054" s="58" t="s">
        <v>1413</v>
      </c>
      <c r="D5054" s="58" t="s">
        <v>12312</v>
      </c>
      <c r="E5054" s="60" t="b">
        <v>1</v>
      </c>
      <c r="F5054" s="80" t="s">
        <v>1403</v>
      </c>
      <c r="G5054" s="58" t="s">
        <v>4071</v>
      </c>
      <c r="H5054" s="58" t="s">
        <v>1413</v>
      </c>
      <c r="I5054" s="64" t="s">
        <v>12312</v>
      </c>
      <c r="J5054" s="66"/>
      <c r="K5054" s="66"/>
      <c r="L5054" s="68"/>
      <c r="M5054" s="63" t="str">
        <f>HYPERLINK("http://nsgreg.nga.mil/genc/view?v=867290&amp;end_month=12&amp;end_day=31&amp;end_year=2016","Correlation")</f>
        <v>Correlation</v>
      </c>
    </row>
    <row r="5055" spans="1:13" x14ac:dyDescent="0.2">
      <c r="A5055" s="113"/>
      <c r="B5055" s="58" t="s">
        <v>12313</v>
      </c>
      <c r="C5055" s="58" t="s">
        <v>1413</v>
      </c>
      <c r="D5055" s="58" t="s">
        <v>12314</v>
      </c>
      <c r="E5055" s="60" t="b">
        <v>1</v>
      </c>
      <c r="F5055" s="80" t="s">
        <v>1403</v>
      </c>
      <c r="G5055" s="58" t="s">
        <v>12313</v>
      </c>
      <c r="H5055" s="58" t="s">
        <v>1413</v>
      </c>
      <c r="I5055" s="64" t="s">
        <v>12314</v>
      </c>
      <c r="J5055" s="66"/>
      <c r="K5055" s="66"/>
      <c r="L5055" s="68"/>
      <c r="M5055" s="63" t="str">
        <f>HYPERLINK("http://nsgreg.nga.mil/genc/view?v=867291&amp;end_month=12&amp;end_day=31&amp;end_year=2016","Correlation")</f>
        <v>Correlation</v>
      </c>
    </row>
    <row r="5056" spans="1:13" x14ac:dyDescent="0.2">
      <c r="A5056" s="113"/>
      <c r="B5056" s="58" t="s">
        <v>2440</v>
      </c>
      <c r="C5056" s="58" t="s">
        <v>1413</v>
      </c>
      <c r="D5056" s="58" t="s">
        <v>12315</v>
      </c>
      <c r="E5056" s="60" t="b">
        <v>1</v>
      </c>
      <c r="F5056" s="80" t="s">
        <v>1403</v>
      </c>
      <c r="G5056" s="58" t="s">
        <v>2440</v>
      </c>
      <c r="H5056" s="58" t="s">
        <v>1413</v>
      </c>
      <c r="I5056" s="64" t="s">
        <v>12315</v>
      </c>
      <c r="J5056" s="66"/>
      <c r="K5056" s="66"/>
      <c r="L5056" s="68"/>
      <c r="M5056" s="63" t="str">
        <f>HYPERLINK("http://nsgreg.nga.mil/genc/view?v=867292&amp;end_month=12&amp;end_day=31&amp;end_year=2016","Correlation")</f>
        <v>Correlation</v>
      </c>
    </row>
    <row r="5057" spans="1:13" x14ac:dyDescent="0.2">
      <c r="A5057" s="114"/>
      <c r="B5057" s="71" t="s">
        <v>4083</v>
      </c>
      <c r="C5057" s="71" t="s">
        <v>1413</v>
      </c>
      <c r="D5057" s="71" t="s">
        <v>12316</v>
      </c>
      <c r="E5057" s="73" t="b">
        <v>1</v>
      </c>
      <c r="F5057" s="81" t="s">
        <v>1403</v>
      </c>
      <c r="G5057" s="71" t="s">
        <v>4083</v>
      </c>
      <c r="H5057" s="71" t="s">
        <v>1413</v>
      </c>
      <c r="I5057" s="74" t="s">
        <v>12316</v>
      </c>
      <c r="J5057" s="76"/>
      <c r="K5057" s="76"/>
      <c r="L5057" s="82"/>
      <c r="M5057" s="77" t="str">
        <f>HYPERLINK("http://nsgreg.nga.mil/genc/view?v=867286&amp;end_month=12&amp;end_day=31&amp;end_year=2016","Correlation")</f>
        <v>Correlation</v>
      </c>
    </row>
    <row r="5058" spans="1:13" x14ac:dyDescent="0.2">
      <c r="A5058" s="112" t="s">
        <v>1407</v>
      </c>
      <c r="B5058" s="58" t="s">
        <v>12317</v>
      </c>
      <c r="C5058" s="58" t="s">
        <v>1413</v>
      </c>
      <c r="D5058" s="58" t="s">
        <v>12318</v>
      </c>
      <c r="E5058" s="60" t="b">
        <v>1</v>
      </c>
      <c r="F5058" s="80" t="s">
        <v>1407</v>
      </c>
      <c r="G5058" s="58" t="s">
        <v>12317</v>
      </c>
      <c r="H5058" s="58" t="s">
        <v>1413</v>
      </c>
      <c r="I5058" s="64" t="s">
        <v>12318</v>
      </c>
      <c r="J5058" s="66"/>
      <c r="K5058" s="66"/>
      <c r="L5058" s="68"/>
      <c r="M5058" s="63" t="str">
        <f>HYPERLINK("http://nsgreg.nga.mil/genc/view?v=867296&amp;end_month=12&amp;end_day=31&amp;end_year=2016","Correlation")</f>
        <v>Correlation</v>
      </c>
    </row>
    <row r="5059" spans="1:13" x14ac:dyDescent="0.2">
      <c r="A5059" s="113"/>
      <c r="B5059" s="58" t="s">
        <v>12319</v>
      </c>
      <c r="C5059" s="58" t="s">
        <v>1413</v>
      </c>
      <c r="D5059" s="58" t="s">
        <v>12320</v>
      </c>
      <c r="E5059" s="60" t="b">
        <v>1</v>
      </c>
      <c r="F5059" s="80" t="s">
        <v>1407</v>
      </c>
      <c r="G5059" s="58" t="s">
        <v>12319</v>
      </c>
      <c r="H5059" s="58" t="s">
        <v>1413</v>
      </c>
      <c r="I5059" s="64" t="s">
        <v>12320</v>
      </c>
      <c r="J5059" s="66"/>
      <c r="K5059" s="66"/>
      <c r="L5059" s="68"/>
      <c r="M5059" s="63" t="str">
        <f>HYPERLINK("http://nsgreg.nga.mil/genc/view?v=867297&amp;end_month=12&amp;end_day=31&amp;end_year=2016","Correlation")</f>
        <v>Correlation</v>
      </c>
    </row>
    <row r="5060" spans="1:13" x14ac:dyDescent="0.2">
      <c r="A5060" s="113"/>
      <c r="B5060" s="58" t="s">
        <v>12321</v>
      </c>
      <c r="C5060" s="58" t="s">
        <v>1413</v>
      </c>
      <c r="D5060" s="58" t="s">
        <v>12322</v>
      </c>
      <c r="E5060" s="60" t="b">
        <v>1</v>
      </c>
      <c r="F5060" s="80" t="s">
        <v>1407</v>
      </c>
      <c r="G5060" s="58" t="s">
        <v>12321</v>
      </c>
      <c r="H5060" s="58" t="s">
        <v>1413</v>
      </c>
      <c r="I5060" s="64" t="s">
        <v>12322</v>
      </c>
      <c r="J5060" s="66"/>
      <c r="K5060" s="66"/>
      <c r="L5060" s="68"/>
      <c r="M5060" s="63" t="str">
        <f>HYPERLINK("http://nsgreg.nga.mil/genc/view?v=867298&amp;end_month=12&amp;end_day=31&amp;end_year=2016","Correlation")</f>
        <v>Correlation</v>
      </c>
    </row>
    <row r="5061" spans="1:13" x14ac:dyDescent="0.2">
      <c r="A5061" s="113"/>
      <c r="B5061" s="58" t="s">
        <v>12323</v>
      </c>
      <c r="C5061" s="58" t="s">
        <v>1413</v>
      </c>
      <c r="D5061" s="58" t="s">
        <v>12324</v>
      </c>
      <c r="E5061" s="60" t="b">
        <v>1</v>
      </c>
      <c r="F5061" s="80" t="s">
        <v>1407</v>
      </c>
      <c r="G5061" s="58" t="s">
        <v>12323</v>
      </c>
      <c r="H5061" s="58" t="s">
        <v>1413</v>
      </c>
      <c r="I5061" s="64" t="s">
        <v>12324</v>
      </c>
      <c r="J5061" s="66"/>
      <c r="K5061" s="66"/>
      <c r="L5061" s="68"/>
      <c r="M5061" s="63" t="str">
        <f>HYPERLINK("http://nsgreg.nga.mil/genc/view?v=867299&amp;end_month=12&amp;end_day=31&amp;end_year=2016","Correlation")</f>
        <v>Correlation</v>
      </c>
    </row>
    <row r="5062" spans="1:13" x14ac:dyDescent="0.2">
      <c r="A5062" s="113"/>
      <c r="B5062" s="58" t="s">
        <v>12325</v>
      </c>
      <c r="C5062" s="58" t="s">
        <v>1413</v>
      </c>
      <c r="D5062" s="58" t="s">
        <v>12326</v>
      </c>
      <c r="E5062" s="60" t="b">
        <v>1</v>
      </c>
      <c r="F5062" s="80" t="s">
        <v>1407</v>
      </c>
      <c r="G5062" s="58" t="s">
        <v>12325</v>
      </c>
      <c r="H5062" s="58" t="s">
        <v>1413</v>
      </c>
      <c r="I5062" s="64" t="s">
        <v>12326</v>
      </c>
      <c r="J5062" s="66"/>
      <c r="K5062" s="66"/>
      <c r="L5062" s="68"/>
      <c r="M5062" s="63" t="str">
        <f>HYPERLINK("http://nsgreg.nga.mil/genc/view?v=867300&amp;end_month=12&amp;end_day=31&amp;end_year=2016","Correlation")</f>
        <v>Correlation</v>
      </c>
    </row>
    <row r="5063" spans="1:13" x14ac:dyDescent="0.2">
      <c r="A5063" s="113"/>
      <c r="B5063" s="58" t="s">
        <v>12327</v>
      </c>
      <c r="C5063" s="58" t="s">
        <v>1413</v>
      </c>
      <c r="D5063" s="58" t="s">
        <v>12328</v>
      </c>
      <c r="E5063" s="60" t="b">
        <v>1</v>
      </c>
      <c r="F5063" s="80" t="s">
        <v>1407</v>
      </c>
      <c r="G5063" s="58" t="s">
        <v>12327</v>
      </c>
      <c r="H5063" s="58" t="s">
        <v>1413</v>
      </c>
      <c r="I5063" s="64" t="s">
        <v>12328</v>
      </c>
      <c r="J5063" s="66"/>
      <c r="K5063" s="66"/>
      <c r="L5063" s="68"/>
      <c r="M5063" s="63" t="str">
        <f>HYPERLINK("http://nsgreg.nga.mil/genc/view?v=867305&amp;end_month=12&amp;end_day=31&amp;end_year=2016","Correlation")</f>
        <v>Correlation</v>
      </c>
    </row>
    <row r="5064" spans="1:13" x14ac:dyDescent="0.2">
      <c r="A5064" s="113"/>
      <c r="B5064" s="58" t="s">
        <v>12329</v>
      </c>
      <c r="C5064" s="58" t="s">
        <v>1413</v>
      </c>
      <c r="D5064" s="58" t="s">
        <v>12330</v>
      </c>
      <c r="E5064" s="60" t="b">
        <v>1</v>
      </c>
      <c r="F5064" s="80" t="s">
        <v>1407</v>
      </c>
      <c r="G5064" s="58" t="s">
        <v>12329</v>
      </c>
      <c r="H5064" s="58" t="s">
        <v>1413</v>
      </c>
      <c r="I5064" s="64" t="s">
        <v>12330</v>
      </c>
      <c r="J5064" s="66"/>
      <c r="K5064" s="66"/>
      <c r="L5064" s="68"/>
      <c r="M5064" s="63" t="str">
        <f>HYPERLINK("http://nsgreg.nga.mil/genc/view?v=867304&amp;end_month=12&amp;end_day=31&amp;end_year=2016","Correlation")</f>
        <v>Correlation</v>
      </c>
    </row>
    <row r="5065" spans="1:13" x14ac:dyDescent="0.2">
      <c r="A5065" s="113"/>
      <c r="B5065" s="58" t="s">
        <v>12331</v>
      </c>
      <c r="C5065" s="58" t="s">
        <v>1413</v>
      </c>
      <c r="D5065" s="58" t="s">
        <v>12332</v>
      </c>
      <c r="E5065" s="60" t="b">
        <v>1</v>
      </c>
      <c r="F5065" s="80" t="s">
        <v>1407</v>
      </c>
      <c r="G5065" s="58" t="s">
        <v>12331</v>
      </c>
      <c r="H5065" s="58" t="s">
        <v>1413</v>
      </c>
      <c r="I5065" s="64" t="s">
        <v>12332</v>
      </c>
      <c r="J5065" s="66"/>
      <c r="K5065" s="66"/>
      <c r="L5065" s="68"/>
      <c r="M5065" s="63" t="str">
        <f>HYPERLINK("http://nsgreg.nga.mil/genc/view?v=867302&amp;end_month=12&amp;end_day=31&amp;end_year=2016","Correlation")</f>
        <v>Correlation</v>
      </c>
    </row>
    <row r="5066" spans="1:13" x14ac:dyDescent="0.2">
      <c r="A5066" s="113"/>
      <c r="B5066" s="58" t="s">
        <v>12333</v>
      </c>
      <c r="C5066" s="58" t="s">
        <v>1413</v>
      </c>
      <c r="D5066" s="58" t="s">
        <v>12334</v>
      </c>
      <c r="E5066" s="60" t="b">
        <v>1</v>
      </c>
      <c r="F5066" s="80" t="s">
        <v>1407</v>
      </c>
      <c r="G5066" s="58" t="s">
        <v>12333</v>
      </c>
      <c r="H5066" s="58" t="s">
        <v>1413</v>
      </c>
      <c r="I5066" s="64" t="s">
        <v>12334</v>
      </c>
      <c r="J5066" s="66"/>
      <c r="K5066" s="66"/>
      <c r="L5066" s="68"/>
      <c r="M5066" s="63" t="str">
        <f>HYPERLINK("http://nsgreg.nga.mil/genc/view?v=867303&amp;end_month=12&amp;end_day=31&amp;end_year=2016","Correlation")</f>
        <v>Correlation</v>
      </c>
    </row>
    <row r="5067" spans="1:13" x14ac:dyDescent="0.2">
      <c r="A5067" s="114"/>
      <c r="B5067" s="71" t="s">
        <v>12335</v>
      </c>
      <c r="C5067" s="71" t="s">
        <v>1413</v>
      </c>
      <c r="D5067" s="71" t="s">
        <v>12336</v>
      </c>
      <c r="E5067" s="73" t="b">
        <v>1</v>
      </c>
      <c r="F5067" s="81" t="s">
        <v>1407</v>
      </c>
      <c r="G5067" s="71" t="s">
        <v>12335</v>
      </c>
      <c r="H5067" s="71" t="s">
        <v>1413</v>
      </c>
      <c r="I5067" s="74" t="s">
        <v>12336</v>
      </c>
      <c r="J5067" s="76"/>
      <c r="K5067" s="76"/>
      <c r="L5067" s="82"/>
      <c r="M5067" s="77" t="str">
        <f>HYPERLINK("http://nsgreg.nga.mil/genc/view?v=867301&amp;end_month=12&amp;end_day=31&amp;end_year=2016","Correlation")</f>
        <v>Correlation</v>
      </c>
    </row>
  </sheetData>
  <autoFilter ref="A4:L4"/>
  <mergeCells count="210">
    <mergeCell ref="I2:I4"/>
    <mergeCell ref="A1:M1"/>
    <mergeCell ref="D2:D4"/>
    <mergeCell ref="J2:J4"/>
    <mergeCell ref="K2:K4"/>
    <mergeCell ref="L2:L4"/>
    <mergeCell ref="E3:E4"/>
    <mergeCell ref="M3:M4"/>
    <mergeCell ref="A124:A131"/>
    <mergeCell ref="A132:A155"/>
    <mergeCell ref="A156:A166"/>
    <mergeCell ref="A167:A174"/>
    <mergeCell ref="A175:A183"/>
    <mergeCell ref="A5:A38"/>
    <mergeCell ref="A39:A50"/>
    <mergeCell ref="A51:A98"/>
    <mergeCell ref="A99:A105"/>
    <mergeCell ref="A106:A123"/>
    <mergeCell ref="A380:A386"/>
    <mergeCell ref="A387:A399"/>
    <mergeCell ref="A400:A405"/>
    <mergeCell ref="A406:A417"/>
    <mergeCell ref="A418:A428"/>
    <mergeCell ref="A184:A261"/>
    <mergeCell ref="A262:A292"/>
    <mergeCell ref="A293:A296"/>
    <mergeCell ref="A297:A368"/>
    <mergeCell ref="A369:A379"/>
    <mergeCell ref="A480:A506"/>
    <mergeCell ref="A507:A510"/>
    <mergeCell ref="A511:A538"/>
    <mergeCell ref="A539:A596"/>
    <mergeCell ref="A597:A611"/>
    <mergeCell ref="A429:A448"/>
    <mergeCell ref="A449:A457"/>
    <mergeCell ref="A458:A460"/>
    <mergeCell ref="A461:A463"/>
    <mergeCell ref="A464:A479"/>
    <mergeCell ref="A702:A718"/>
    <mergeCell ref="A719:A741"/>
    <mergeCell ref="A742:A756"/>
    <mergeCell ref="A757:A787"/>
    <mergeCell ref="A788:A820"/>
    <mergeCell ref="A612:A629"/>
    <mergeCell ref="A630:A653"/>
    <mergeCell ref="A654:A678"/>
    <mergeCell ref="A679:A688"/>
    <mergeCell ref="A689:A701"/>
    <mergeCell ref="A883:A903"/>
    <mergeCell ref="A904:A919"/>
    <mergeCell ref="A920:A925"/>
    <mergeCell ref="A926:A1037"/>
    <mergeCell ref="A1038:A1042"/>
    <mergeCell ref="A821:A823"/>
    <mergeCell ref="A824:A835"/>
    <mergeCell ref="A836:A861"/>
    <mergeCell ref="A862:A868"/>
    <mergeCell ref="A869:A882"/>
    <mergeCell ref="A1152:A1165"/>
    <mergeCell ref="A1166:A1174"/>
    <mergeCell ref="A1175:A1180"/>
    <mergeCell ref="A1181:A1195"/>
    <mergeCell ref="A1196:A1206"/>
    <mergeCell ref="A1043:A1048"/>
    <mergeCell ref="A1049:A1058"/>
    <mergeCell ref="A1059:A1100"/>
    <mergeCell ref="A1101:A1124"/>
    <mergeCell ref="A1125:A1151"/>
    <mergeCell ref="A1368:A1374"/>
    <mergeCell ref="A1375:A1386"/>
    <mergeCell ref="A1387:A1402"/>
    <mergeCell ref="A1403:A1412"/>
    <mergeCell ref="A1413:A1426"/>
    <mergeCell ref="A1207:A1225"/>
    <mergeCell ref="A1226:A1244"/>
    <mergeCell ref="A1245:A1353"/>
    <mergeCell ref="A1354:A1358"/>
    <mergeCell ref="A1359:A1367"/>
    <mergeCell ref="A1513:A1522"/>
    <mergeCell ref="A1523:A1532"/>
    <mergeCell ref="A1533:A1550"/>
    <mergeCell ref="A1551:A1593"/>
    <mergeCell ref="A1594:A1601"/>
    <mergeCell ref="A1427:A1430"/>
    <mergeCell ref="A1431:A1437"/>
    <mergeCell ref="A1438:A1459"/>
    <mergeCell ref="A1460:A1500"/>
    <mergeCell ref="A1501:A1512"/>
    <mergeCell ref="A1763:A1768"/>
    <mergeCell ref="A1769:A1898"/>
    <mergeCell ref="A1899:A1912"/>
    <mergeCell ref="A1913:A1959"/>
    <mergeCell ref="A1960:A1971"/>
    <mergeCell ref="A1602:A1637"/>
    <mergeCell ref="A1638:A1678"/>
    <mergeCell ref="A1679:A1709"/>
    <mergeCell ref="A1710:A1727"/>
    <mergeCell ref="A1728:A1762"/>
    <mergeCell ref="A2101:A2106"/>
    <mergeCell ref="A2107:A2115"/>
    <mergeCell ref="A2116:A2133"/>
    <mergeCell ref="A2134:A2252"/>
    <mergeCell ref="A2253:A2260"/>
    <mergeCell ref="A1972:A1987"/>
    <mergeCell ref="A1988:A2034"/>
    <mergeCell ref="A2035:A2045"/>
    <mergeCell ref="A2046:A2062"/>
    <mergeCell ref="A2063:A2100"/>
    <mergeCell ref="A2389:A2400"/>
    <mergeCell ref="A2401:A2471"/>
    <mergeCell ref="A2472:A2477"/>
    <mergeCell ref="A2478:A2508"/>
    <mergeCell ref="A2509:A2524"/>
    <mergeCell ref="A2261:A2270"/>
    <mergeCell ref="A2271:A2285"/>
    <mergeCell ref="A2286:A2307"/>
    <mergeCell ref="A2308:A2318"/>
    <mergeCell ref="A2319:A2388"/>
    <mergeCell ref="A2671:A2687"/>
    <mergeCell ref="A2688:A2719"/>
    <mergeCell ref="A2720:A2723"/>
    <mergeCell ref="A2724:A2760"/>
    <mergeCell ref="A2761:A2777"/>
    <mergeCell ref="A2525:A2552"/>
    <mergeCell ref="A2553:A2561"/>
    <mergeCell ref="A2562:A2629"/>
    <mergeCell ref="A2630:A2655"/>
    <mergeCell ref="A2656:A2670"/>
    <mergeCell ref="A2848:A2861"/>
    <mergeCell ref="A2862:A2875"/>
    <mergeCell ref="A2876:A2894"/>
    <mergeCell ref="A2895:A2906"/>
    <mergeCell ref="A2907:A2909"/>
    <mergeCell ref="A2778:A2799"/>
    <mergeCell ref="A2800:A2822"/>
    <mergeCell ref="A2823:A2825"/>
    <mergeCell ref="A2826:A2836"/>
    <mergeCell ref="A2837:A2847"/>
    <mergeCell ref="A3008:A3018"/>
    <mergeCell ref="A3019:A3026"/>
    <mergeCell ref="A3027:A3042"/>
    <mergeCell ref="A3043:A3055"/>
    <mergeCell ref="A3056:A3077"/>
    <mergeCell ref="A2910:A2926"/>
    <mergeCell ref="A2927:A2943"/>
    <mergeCell ref="A2944:A2951"/>
    <mergeCell ref="A2952:A2988"/>
    <mergeCell ref="A2989:A3007"/>
    <mergeCell ref="A3294:A3301"/>
    <mergeCell ref="A3302:A3343"/>
    <mergeCell ref="A3344:A3426"/>
    <mergeCell ref="A3427:A3431"/>
    <mergeCell ref="A3432:A3434"/>
    <mergeCell ref="A3078:A3095"/>
    <mergeCell ref="A3096:A3121"/>
    <mergeCell ref="A3122:A3257"/>
    <mergeCell ref="A3258:A3273"/>
    <mergeCell ref="A3274:A3293"/>
    <mergeCell ref="A3487:A3488"/>
    <mergeCell ref="A3489:A3501"/>
    <mergeCell ref="A3502:A3515"/>
    <mergeCell ref="A3516:A3685"/>
    <mergeCell ref="A3686:A3710"/>
    <mergeCell ref="A3435:A3450"/>
    <mergeCell ref="A3451:A3460"/>
    <mergeCell ref="A3461:A3466"/>
    <mergeCell ref="A3467:A3477"/>
    <mergeCell ref="A3478:A3486"/>
    <mergeCell ref="A3950:A3967"/>
    <mergeCell ref="A3968:A3976"/>
    <mergeCell ref="A3977:A3986"/>
    <mergeCell ref="A3987:A4055"/>
    <mergeCell ref="A4056:A4089"/>
    <mergeCell ref="A3711:A3714"/>
    <mergeCell ref="A3715:A3719"/>
    <mergeCell ref="A3720:A3727"/>
    <mergeCell ref="A3728:A3939"/>
    <mergeCell ref="A3940:A3949"/>
    <mergeCell ref="A4169:A4182"/>
    <mergeCell ref="A4183:A4204"/>
    <mergeCell ref="A4205:A4209"/>
    <mergeCell ref="A4210:A4239"/>
    <mergeCell ref="A4240:A4316"/>
    <mergeCell ref="A4090:A4107"/>
    <mergeCell ref="A4108:A4117"/>
    <mergeCell ref="A4118:A4121"/>
    <mergeCell ref="A4122:A4142"/>
    <mergeCell ref="A4143:A4168"/>
    <mergeCell ref="A4379:A4459"/>
    <mergeCell ref="A4460:A4465"/>
    <mergeCell ref="A4466:A4473"/>
    <mergeCell ref="A4474:A4589"/>
    <mergeCell ref="A4590:A4616"/>
    <mergeCell ref="A4317:A4329"/>
    <mergeCell ref="A4330:A4334"/>
    <mergeCell ref="A4335:A4339"/>
    <mergeCell ref="A4340:A4354"/>
    <mergeCell ref="A4355:A4378"/>
    <mergeCell ref="A5048:A5057"/>
    <mergeCell ref="A5058:A5067"/>
    <mergeCell ref="A4929:A4934"/>
    <mergeCell ref="A4935:A4959"/>
    <mergeCell ref="A4960:A5022"/>
    <mergeCell ref="A5023:A5025"/>
    <mergeCell ref="A5026:A5047"/>
    <mergeCell ref="A4617:A4623"/>
    <mergeCell ref="A4624:A4844"/>
    <mergeCell ref="A4845:A4895"/>
    <mergeCell ref="A4896:A4914"/>
    <mergeCell ref="A4915:A4928"/>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K282"/>
  <sheetViews>
    <sheetView workbookViewId="0">
      <pane ySplit="4" topLeftCell="A5" activePane="bottomLeft" state="frozen"/>
      <selection pane="bottomLeft" activeCell="E2" sqref="E2"/>
    </sheetView>
  </sheetViews>
  <sheetFormatPr defaultRowHeight="11.25" x14ac:dyDescent="0.2"/>
  <cols>
    <col min="1" max="1" width="48.5" style="1" bestFit="1" customWidth="1"/>
    <col min="2" max="3" width="6" style="1" customWidth="1"/>
    <col min="4" max="4" width="6" style="2" customWidth="1"/>
    <col min="5" max="5" width="8.5" style="23" bestFit="1" customWidth="1"/>
    <col min="6" max="6" width="48.5" style="1" customWidth="1"/>
    <col min="7" max="8" width="6" style="24" customWidth="1"/>
    <col min="9" max="9" width="6.5" style="25" customWidth="1"/>
    <col min="10" max="10" width="6.83203125" style="24" customWidth="1"/>
    <col min="11" max="11" width="9.83203125" style="1" customWidth="1"/>
    <col min="12" max="16384" width="9.33203125" style="1"/>
  </cols>
  <sheetData>
    <row r="1" spans="1:11" ht="21.75" customHeight="1" x14ac:dyDescent="0.2">
      <c r="A1" s="103" t="s">
        <v>158</v>
      </c>
      <c r="B1" s="104"/>
      <c r="C1" s="104"/>
      <c r="D1" s="104"/>
      <c r="E1" s="104"/>
      <c r="F1" s="104"/>
      <c r="G1" s="104"/>
      <c r="H1" s="104"/>
      <c r="I1" s="104"/>
      <c r="J1" s="104"/>
      <c r="K1" s="105"/>
    </row>
    <row r="2" spans="1:11" ht="15" customHeight="1" x14ac:dyDescent="0.2">
      <c r="A2" s="19" t="s">
        <v>22</v>
      </c>
      <c r="B2" s="110" t="s">
        <v>3</v>
      </c>
      <c r="C2" s="110" t="s">
        <v>4</v>
      </c>
      <c r="D2" s="111" t="s">
        <v>5</v>
      </c>
      <c r="E2" s="21" t="s">
        <v>7</v>
      </c>
      <c r="F2" s="20" t="s">
        <v>23</v>
      </c>
      <c r="G2" s="108" t="s">
        <v>0</v>
      </c>
      <c r="H2" s="108" t="s">
        <v>1</v>
      </c>
      <c r="I2" s="109" t="s">
        <v>2</v>
      </c>
      <c r="J2" s="116" t="s">
        <v>70</v>
      </c>
      <c r="K2" s="115" t="s">
        <v>28</v>
      </c>
    </row>
    <row r="3" spans="1:11" ht="21.75" customHeight="1" x14ac:dyDescent="0.25">
      <c r="A3" s="14" t="s">
        <v>67</v>
      </c>
      <c r="B3" s="110"/>
      <c r="C3" s="110"/>
      <c r="D3" s="111"/>
      <c r="E3" s="106" t="s">
        <v>6</v>
      </c>
      <c r="F3" s="16" t="s">
        <v>66</v>
      </c>
      <c r="G3" s="108"/>
      <c r="H3" s="108"/>
      <c r="I3" s="109"/>
      <c r="J3" s="116"/>
      <c r="K3" s="102"/>
    </row>
    <row r="4" spans="1:11" ht="29.25" customHeight="1" x14ac:dyDescent="0.2">
      <c r="A4" s="9" t="s">
        <v>73</v>
      </c>
      <c r="B4" s="110"/>
      <c r="C4" s="110"/>
      <c r="D4" s="111"/>
      <c r="E4" s="106"/>
      <c r="F4" s="10" t="s">
        <v>68</v>
      </c>
      <c r="G4" s="108"/>
      <c r="H4" s="108"/>
      <c r="I4" s="109"/>
      <c r="J4" s="116"/>
      <c r="K4" s="102"/>
    </row>
    <row r="5" spans="1:11" x14ac:dyDescent="0.2">
      <c r="A5" s="49" t="s">
        <v>159</v>
      </c>
      <c r="B5" s="50" t="s">
        <v>160</v>
      </c>
      <c r="C5" s="50" t="s">
        <v>161</v>
      </c>
      <c r="D5" s="51" t="s">
        <v>162</v>
      </c>
      <c r="E5" s="52" t="b">
        <v>1</v>
      </c>
      <c r="F5" s="50" t="s">
        <v>159</v>
      </c>
      <c r="G5" s="53" t="s">
        <v>160</v>
      </c>
      <c r="H5" s="53" t="s">
        <v>161</v>
      </c>
      <c r="I5" s="54" t="s">
        <v>162</v>
      </c>
      <c r="J5" s="55"/>
      <c r="K5" s="56" t="str">
        <f>HYPERLINK("http://nsgreg.nga.mil/genc/view?v=867306&amp;end_month=12&amp;end_day=31&amp;end_year=2016","Correlation")</f>
        <v>Correlation</v>
      </c>
    </row>
    <row r="6" spans="1:11" x14ac:dyDescent="0.2">
      <c r="A6" s="57" t="s">
        <v>564</v>
      </c>
      <c r="B6" s="58" t="s">
        <v>565</v>
      </c>
      <c r="C6" s="58" t="s">
        <v>566</v>
      </c>
      <c r="D6" s="59" t="s">
        <v>567</v>
      </c>
      <c r="E6" s="60" t="b">
        <v>1</v>
      </c>
      <c r="F6" s="58" t="s">
        <v>560</v>
      </c>
      <c r="G6" s="64" t="s">
        <v>561</v>
      </c>
      <c r="H6" s="64" t="s">
        <v>562</v>
      </c>
      <c r="I6" s="65" t="s">
        <v>563</v>
      </c>
      <c r="J6" s="66"/>
      <c r="K6" s="63" t="str">
        <f>HYPERLINK("http://nsgreg.nga.mil/genc/view?v=867307&amp;end_month=12&amp;end_day=31&amp;end_year=2016","Correlation")</f>
        <v>Correlation</v>
      </c>
    </row>
    <row r="7" spans="1:11" x14ac:dyDescent="0.2">
      <c r="A7" s="57" t="s">
        <v>168</v>
      </c>
      <c r="B7" s="58" t="s">
        <v>169</v>
      </c>
      <c r="C7" s="58" t="s">
        <v>170</v>
      </c>
      <c r="D7" s="59" t="s">
        <v>171</v>
      </c>
      <c r="E7" s="60" t="b">
        <v>1</v>
      </c>
      <c r="F7" s="58" t="s">
        <v>168</v>
      </c>
      <c r="G7" s="64" t="s">
        <v>169</v>
      </c>
      <c r="H7" s="64" t="s">
        <v>170</v>
      </c>
      <c r="I7" s="65" t="s">
        <v>171</v>
      </c>
      <c r="J7" s="66"/>
      <c r="K7" s="63" t="str">
        <f>HYPERLINK("http://nsgreg.nga.mil/genc/view?v=867308&amp;end_month=12&amp;end_day=31&amp;end_year=2016","Correlation")</f>
        <v>Correlation</v>
      </c>
    </row>
    <row r="8" spans="1:11" x14ac:dyDescent="0.2">
      <c r="A8" s="57" t="s">
        <v>172</v>
      </c>
      <c r="B8" s="58" t="s">
        <v>173</v>
      </c>
      <c r="C8" s="58" t="s">
        <v>174</v>
      </c>
      <c r="D8" s="59" t="s">
        <v>175</v>
      </c>
      <c r="E8" s="60" t="b">
        <v>1</v>
      </c>
      <c r="F8" s="58" t="s">
        <v>172</v>
      </c>
      <c r="G8" s="64" t="s">
        <v>173</v>
      </c>
      <c r="H8" s="64" t="s">
        <v>174</v>
      </c>
      <c r="I8" s="65" t="s">
        <v>175</v>
      </c>
      <c r="J8" s="66"/>
      <c r="K8" s="63" t="str">
        <f>HYPERLINK("http://nsgreg.nga.mil/genc/view?v=867309&amp;end_month=12&amp;end_day=31&amp;end_year=2016","Correlation")</f>
        <v>Correlation</v>
      </c>
    </row>
    <row r="9" spans="1:11" x14ac:dyDescent="0.2">
      <c r="A9" s="57" t="s">
        <v>176</v>
      </c>
      <c r="B9" s="58" t="s">
        <v>177</v>
      </c>
      <c r="C9" s="58" t="s">
        <v>178</v>
      </c>
      <c r="D9" s="59" t="s">
        <v>179</v>
      </c>
      <c r="E9" s="60" t="b">
        <v>1</v>
      </c>
      <c r="F9" s="58" t="s">
        <v>176</v>
      </c>
      <c r="G9" s="64" t="s">
        <v>177</v>
      </c>
      <c r="H9" s="64" t="s">
        <v>178</v>
      </c>
      <c r="I9" s="65" t="s">
        <v>179</v>
      </c>
      <c r="J9" s="66"/>
      <c r="K9" s="63" t="str">
        <f>HYPERLINK("http://nsgreg.nga.mil/genc/view?v=867310&amp;end_month=12&amp;end_day=31&amp;end_year=2016","Correlation")</f>
        <v>Correlation</v>
      </c>
    </row>
    <row r="10" spans="1:11" x14ac:dyDescent="0.2">
      <c r="A10" s="57" t="s">
        <v>182</v>
      </c>
      <c r="B10" s="58" t="s">
        <v>183</v>
      </c>
      <c r="C10" s="58" t="s">
        <v>184</v>
      </c>
      <c r="D10" s="59" t="s">
        <v>185</v>
      </c>
      <c r="E10" s="60" t="b">
        <v>1</v>
      </c>
      <c r="F10" s="58" t="s">
        <v>182</v>
      </c>
      <c r="G10" s="64" t="s">
        <v>183</v>
      </c>
      <c r="H10" s="64" t="s">
        <v>184</v>
      </c>
      <c r="I10" s="65" t="s">
        <v>185</v>
      </c>
      <c r="J10" s="66"/>
      <c r="K10" s="63" t="str">
        <f>HYPERLINK("http://nsgreg.nga.mil/genc/view?v=867311&amp;end_month=12&amp;end_day=31&amp;end_year=2016","Correlation")</f>
        <v>Correlation</v>
      </c>
    </row>
    <row r="11" spans="1:11" x14ac:dyDescent="0.2">
      <c r="A11" s="57" t="s">
        <v>186</v>
      </c>
      <c r="B11" s="58" t="s">
        <v>187</v>
      </c>
      <c r="C11" s="58" t="s">
        <v>188</v>
      </c>
      <c r="D11" s="59" t="s">
        <v>189</v>
      </c>
      <c r="E11" s="60" t="b">
        <v>1</v>
      </c>
      <c r="F11" s="58" t="s">
        <v>186</v>
      </c>
      <c r="G11" s="64" t="s">
        <v>187</v>
      </c>
      <c r="H11" s="64" t="s">
        <v>188</v>
      </c>
      <c r="I11" s="65" t="s">
        <v>189</v>
      </c>
      <c r="J11" s="66"/>
      <c r="K11" s="63" t="str">
        <f>HYPERLINK("http://nsgreg.nga.mil/genc/view?v=867312&amp;end_month=12&amp;end_day=31&amp;end_year=2016","Correlation")</f>
        <v>Correlation</v>
      </c>
    </row>
    <row r="12" spans="1:11" x14ac:dyDescent="0.2">
      <c r="A12" s="57" t="s">
        <v>190</v>
      </c>
      <c r="B12" s="58" t="s">
        <v>191</v>
      </c>
      <c r="C12" s="58" t="s">
        <v>192</v>
      </c>
      <c r="D12" s="59" t="s">
        <v>193</v>
      </c>
      <c r="E12" s="60" t="b">
        <v>1</v>
      </c>
      <c r="F12" s="58" t="s">
        <v>190</v>
      </c>
      <c r="G12" s="64" t="s">
        <v>191</v>
      </c>
      <c r="H12" s="64" t="s">
        <v>192</v>
      </c>
      <c r="I12" s="65" t="s">
        <v>193</v>
      </c>
      <c r="J12" s="66"/>
      <c r="K12" s="63" t="str">
        <f>HYPERLINK("http://nsgreg.nga.mil/genc/view?v=867313&amp;end_month=12&amp;end_day=31&amp;end_year=2016","Correlation")</f>
        <v>Correlation</v>
      </c>
    </row>
    <row r="13" spans="1:11" x14ac:dyDescent="0.2">
      <c r="A13" s="57" t="s">
        <v>194</v>
      </c>
      <c r="B13" s="58" t="s">
        <v>195</v>
      </c>
      <c r="C13" s="58" t="s">
        <v>196</v>
      </c>
      <c r="D13" s="59" t="s">
        <v>197</v>
      </c>
      <c r="E13" s="60" t="b">
        <v>1</v>
      </c>
      <c r="F13" s="58" t="s">
        <v>194</v>
      </c>
      <c r="G13" s="64" t="s">
        <v>195</v>
      </c>
      <c r="H13" s="64" t="s">
        <v>196</v>
      </c>
      <c r="I13" s="65" t="s">
        <v>197</v>
      </c>
      <c r="J13" s="66"/>
      <c r="K13" s="63" t="str">
        <f>HYPERLINK("http://nsgreg.nga.mil/genc/view?v=867314&amp;end_month=12&amp;end_day=31&amp;end_year=2016","Correlation")</f>
        <v>Correlation</v>
      </c>
    </row>
    <row r="14" spans="1:11" x14ac:dyDescent="0.2">
      <c r="A14" s="57" t="s">
        <v>198</v>
      </c>
      <c r="B14" s="58" t="s">
        <v>199</v>
      </c>
      <c r="C14" s="58" t="s">
        <v>200</v>
      </c>
      <c r="D14" s="59" t="s">
        <v>201</v>
      </c>
      <c r="E14" s="60" t="b">
        <v>1</v>
      </c>
      <c r="F14" s="58" t="s">
        <v>198</v>
      </c>
      <c r="G14" s="64" t="s">
        <v>199</v>
      </c>
      <c r="H14" s="64" t="s">
        <v>200</v>
      </c>
      <c r="I14" s="65" t="s">
        <v>201</v>
      </c>
      <c r="J14" s="66"/>
      <c r="K14" s="63" t="str">
        <f>HYPERLINK("http://nsgreg.nga.mil/genc/view?v=867315&amp;end_month=12&amp;end_day=31&amp;end_year=2016","Correlation")</f>
        <v>Correlation</v>
      </c>
    </row>
    <row r="15" spans="1:11" x14ac:dyDescent="0.2">
      <c r="A15" s="57" t="s">
        <v>202</v>
      </c>
      <c r="B15" s="58" t="s">
        <v>203</v>
      </c>
      <c r="C15" s="58" t="s">
        <v>204</v>
      </c>
      <c r="D15" s="59" t="s">
        <v>205</v>
      </c>
      <c r="E15" s="60" t="b">
        <v>1</v>
      </c>
      <c r="F15" s="58" t="s">
        <v>202</v>
      </c>
      <c r="G15" s="64" t="s">
        <v>203</v>
      </c>
      <c r="H15" s="64" t="s">
        <v>204</v>
      </c>
      <c r="I15" s="65" t="s">
        <v>205</v>
      </c>
      <c r="J15" s="66"/>
      <c r="K15" s="63" t="str">
        <f>HYPERLINK("http://nsgreg.nga.mil/genc/view?v=867316&amp;end_month=12&amp;end_day=31&amp;end_year=2016","Correlation")</f>
        <v>Correlation</v>
      </c>
    </row>
    <row r="16" spans="1:11" x14ac:dyDescent="0.2">
      <c r="A16" s="57" t="s">
        <v>206</v>
      </c>
      <c r="B16" s="58" t="s">
        <v>207</v>
      </c>
      <c r="C16" s="58" t="s">
        <v>208</v>
      </c>
      <c r="D16" s="59" t="s">
        <v>209</v>
      </c>
      <c r="E16" s="60" t="b">
        <v>1</v>
      </c>
      <c r="F16" s="58" t="s">
        <v>206</v>
      </c>
      <c r="G16" s="64" t="s">
        <v>207</v>
      </c>
      <c r="H16" s="64" t="s">
        <v>208</v>
      </c>
      <c r="I16" s="65" t="s">
        <v>209</v>
      </c>
      <c r="J16" s="66"/>
      <c r="K16" s="63" t="str">
        <f>HYPERLINK("http://nsgreg.nga.mil/genc/view?v=867317&amp;end_month=12&amp;end_day=31&amp;end_year=2016","Correlation")</f>
        <v>Correlation</v>
      </c>
    </row>
    <row r="17" spans="1:11" x14ac:dyDescent="0.2">
      <c r="A17" s="57" t="s">
        <v>210</v>
      </c>
      <c r="B17" s="58" t="s">
        <v>211</v>
      </c>
      <c r="C17" s="58" t="s">
        <v>212</v>
      </c>
      <c r="D17" s="59" t="s">
        <v>213</v>
      </c>
      <c r="E17" s="60" t="b">
        <v>1</v>
      </c>
      <c r="F17" s="58" t="s">
        <v>210</v>
      </c>
      <c r="G17" s="64" t="s">
        <v>211</v>
      </c>
      <c r="H17" s="64" t="s">
        <v>212</v>
      </c>
      <c r="I17" s="65" t="s">
        <v>213</v>
      </c>
      <c r="J17" s="66"/>
      <c r="K17" s="63" t="str">
        <f>HYPERLINK("http://nsgreg.nga.mil/genc/view?v=867318&amp;end_month=12&amp;end_day=31&amp;end_year=2016","Correlation")</f>
        <v>Correlation</v>
      </c>
    </row>
    <row r="18" spans="1:11" x14ac:dyDescent="0.2">
      <c r="A18" s="99" t="s">
        <v>220</v>
      </c>
      <c r="B18" s="100" t="s">
        <v>221</v>
      </c>
      <c r="C18" s="100" t="s">
        <v>222</v>
      </c>
      <c r="D18" s="101" t="s">
        <v>223</v>
      </c>
      <c r="E18" s="60" t="b">
        <v>1</v>
      </c>
      <c r="F18" s="58" t="s">
        <v>220</v>
      </c>
      <c r="G18" s="64" t="s">
        <v>221</v>
      </c>
      <c r="H18" s="64" t="s">
        <v>222</v>
      </c>
      <c r="I18" s="65" t="s">
        <v>223</v>
      </c>
      <c r="J18" s="66"/>
      <c r="K18" s="63" t="str">
        <f>HYPERLINK("http://nsgreg.nga.mil/genc/view?v=867319&amp;end_month=12&amp;end_day=31&amp;end_year=2016","Correlation")</f>
        <v>Correlation</v>
      </c>
    </row>
    <row r="19" spans="1:11" x14ac:dyDescent="0.2">
      <c r="A19" s="99"/>
      <c r="B19" s="100"/>
      <c r="C19" s="100"/>
      <c r="D19" s="101"/>
      <c r="E19" s="67" t="b">
        <v>0</v>
      </c>
      <c r="F19" s="58" t="s">
        <v>216</v>
      </c>
      <c r="G19" s="64" t="s">
        <v>217</v>
      </c>
      <c r="H19" s="64" t="s">
        <v>218</v>
      </c>
      <c r="I19" s="65" t="s">
        <v>219</v>
      </c>
      <c r="J19" s="66"/>
      <c r="K19" s="63" t="str">
        <f>HYPERLINK("http://nsgreg.nga.mil/genc/view?v=867320&amp;end_month=12&amp;end_day=31&amp;end_year=2016","Correlation")</f>
        <v>Correlation</v>
      </c>
    </row>
    <row r="20" spans="1:11" x14ac:dyDescent="0.2">
      <c r="A20" s="99"/>
      <c r="B20" s="100"/>
      <c r="C20" s="100"/>
      <c r="D20" s="101"/>
      <c r="E20" s="67" t="b">
        <v>0</v>
      </c>
      <c r="F20" s="58" t="s">
        <v>436</v>
      </c>
      <c r="G20" s="64" t="s">
        <v>437</v>
      </c>
      <c r="H20" s="64" t="s">
        <v>438</v>
      </c>
      <c r="I20" s="65" t="s">
        <v>439</v>
      </c>
      <c r="J20" s="66"/>
      <c r="K20" s="63" t="str">
        <f>HYPERLINK("http://nsgreg.nga.mil/genc/view?v=867321&amp;end_month=12&amp;end_day=31&amp;end_year=2016","Correlation")</f>
        <v>Correlation</v>
      </c>
    </row>
    <row r="21" spans="1:11" x14ac:dyDescent="0.2">
      <c r="A21" s="57" t="s">
        <v>224</v>
      </c>
      <c r="B21" s="58" t="s">
        <v>225</v>
      </c>
      <c r="C21" s="58" t="s">
        <v>226</v>
      </c>
      <c r="D21" s="59" t="s">
        <v>227</v>
      </c>
      <c r="E21" s="60" t="b">
        <v>1</v>
      </c>
      <c r="F21" s="58" t="s">
        <v>224</v>
      </c>
      <c r="G21" s="64" t="s">
        <v>225</v>
      </c>
      <c r="H21" s="64" t="s">
        <v>226</v>
      </c>
      <c r="I21" s="65" t="s">
        <v>227</v>
      </c>
      <c r="J21" s="66"/>
      <c r="K21" s="63" t="str">
        <f>HYPERLINK("http://nsgreg.nga.mil/genc/view?v=867322&amp;end_month=12&amp;end_day=31&amp;end_year=2016","Correlation")</f>
        <v>Correlation</v>
      </c>
    </row>
    <row r="22" spans="1:11" x14ac:dyDescent="0.2">
      <c r="A22" s="57" t="s">
        <v>228</v>
      </c>
      <c r="B22" s="58" t="s">
        <v>229</v>
      </c>
      <c r="C22" s="58" t="s">
        <v>230</v>
      </c>
      <c r="D22" s="59" t="s">
        <v>231</v>
      </c>
      <c r="E22" s="60" t="b">
        <v>1</v>
      </c>
      <c r="F22" s="58" t="s">
        <v>228</v>
      </c>
      <c r="G22" s="64" t="s">
        <v>229</v>
      </c>
      <c r="H22" s="64" t="s">
        <v>230</v>
      </c>
      <c r="I22" s="65" t="s">
        <v>231</v>
      </c>
      <c r="J22" s="66"/>
      <c r="K22" s="63" t="str">
        <f>HYPERLINK("http://nsgreg.nga.mil/genc/view?v=867323&amp;end_month=12&amp;end_day=31&amp;end_year=2016","Correlation")</f>
        <v>Correlation</v>
      </c>
    </row>
    <row r="23" spans="1:11" x14ac:dyDescent="0.2">
      <c r="A23" s="57" t="s">
        <v>236</v>
      </c>
      <c r="B23" s="58" t="s">
        <v>233</v>
      </c>
      <c r="C23" s="58" t="s">
        <v>234</v>
      </c>
      <c r="D23" s="59" t="s">
        <v>235</v>
      </c>
      <c r="E23" s="60" t="b">
        <v>1</v>
      </c>
      <c r="F23" s="58" t="s">
        <v>232</v>
      </c>
      <c r="G23" s="64" t="s">
        <v>233</v>
      </c>
      <c r="H23" s="64" t="s">
        <v>234</v>
      </c>
      <c r="I23" s="65" t="s">
        <v>235</v>
      </c>
      <c r="J23" s="66"/>
      <c r="K23" s="63" t="str">
        <f>HYPERLINK("http://nsgreg.nga.mil/genc/view?v=867324&amp;end_month=12&amp;end_day=31&amp;end_year=2016","Correlation")</f>
        <v>Correlation</v>
      </c>
    </row>
    <row r="24" spans="1:11" x14ac:dyDescent="0.2">
      <c r="A24" s="57" t="s">
        <v>237</v>
      </c>
      <c r="B24" s="58" t="s">
        <v>238</v>
      </c>
      <c r="C24" s="58" t="s">
        <v>239</v>
      </c>
      <c r="D24" s="59" t="s">
        <v>240</v>
      </c>
      <c r="E24" s="60" t="b">
        <v>1</v>
      </c>
      <c r="F24" s="58" t="s">
        <v>237</v>
      </c>
      <c r="G24" s="64" t="s">
        <v>238</v>
      </c>
      <c r="H24" s="64" t="s">
        <v>239</v>
      </c>
      <c r="I24" s="65" t="s">
        <v>240</v>
      </c>
      <c r="J24" s="66"/>
      <c r="K24" s="63" t="str">
        <f>HYPERLINK("http://nsgreg.nga.mil/genc/view?v=867325&amp;end_month=12&amp;end_day=31&amp;end_year=2016","Correlation")</f>
        <v>Correlation</v>
      </c>
    </row>
    <row r="25" spans="1:11" x14ac:dyDescent="0.2">
      <c r="A25" s="57" t="s">
        <v>253</v>
      </c>
      <c r="B25" s="58" t="s">
        <v>254</v>
      </c>
      <c r="C25" s="58" t="s">
        <v>255</v>
      </c>
      <c r="D25" s="59" t="s">
        <v>256</v>
      </c>
      <c r="E25" s="60" t="b">
        <v>1</v>
      </c>
      <c r="F25" s="58" t="s">
        <v>253</v>
      </c>
      <c r="G25" s="64" t="s">
        <v>254</v>
      </c>
      <c r="H25" s="64" t="s">
        <v>255</v>
      </c>
      <c r="I25" s="65" t="s">
        <v>256</v>
      </c>
      <c r="J25" s="66"/>
      <c r="K25" s="63" t="str">
        <f>HYPERLINK("http://nsgreg.nga.mil/genc/view?v=867326&amp;end_month=12&amp;end_day=31&amp;end_year=2016","Correlation")</f>
        <v>Correlation</v>
      </c>
    </row>
    <row r="26" spans="1:11" x14ac:dyDescent="0.2">
      <c r="A26" s="57" t="s">
        <v>257</v>
      </c>
      <c r="B26" s="58" t="s">
        <v>258</v>
      </c>
      <c r="C26" s="58" t="s">
        <v>259</v>
      </c>
      <c r="D26" s="59" t="s">
        <v>260</v>
      </c>
      <c r="E26" s="60" t="b">
        <v>1</v>
      </c>
      <c r="F26" s="58" t="s">
        <v>257</v>
      </c>
      <c r="G26" s="64" t="s">
        <v>258</v>
      </c>
      <c r="H26" s="64" t="s">
        <v>259</v>
      </c>
      <c r="I26" s="65" t="s">
        <v>260</v>
      </c>
      <c r="J26" s="66"/>
      <c r="K26" s="63" t="str">
        <f>HYPERLINK("http://nsgreg.nga.mil/genc/view?v=867327&amp;end_month=12&amp;end_day=31&amp;end_year=2016","Correlation")</f>
        <v>Correlation</v>
      </c>
    </row>
    <row r="27" spans="1:11" x14ac:dyDescent="0.2">
      <c r="A27" s="57" t="s">
        <v>271</v>
      </c>
      <c r="B27" s="58" t="s">
        <v>272</v>
      </c>
      <c r="C27" s="58" t="s">
        <v>273</v>
      </c>
      <c r="D27" s="59" t="s">
        <v>274</v>
      </c>
      <c r="E27" s="60" t="b">
        <v>1</v>
      </c>
      <c r="F27" s="58" t="s">
        <v>271</v>
      </c>
      <c r="G27" s="64" t="s">
        <v>272</v>
      </c>
      <c r="H27" s="64" t="s">
        <v>273</v>
      </c>
      <c r="I27" s="65" t="s">
        <v>274</v>
      </c>
      <c r="J27" s="66"/>
      <c r="K27" s="63" t="str">
        <f>HYPERLINK("http://nsgreg.nga.mil/genc/view?v=867328&amp;end_month=12&amp;end_day=31&amp;end_year=2016","Correlation")</f>
        <v>Correlation</v>
      </c>
    </row>
    <row r="28" spans="1:11" x14ac:dyDescent="0.2">
      <c r="A28" s="57" t="s">
        <v>275</v>
      </c>
      <c r="B28" s="58" t="s">
        <v>276</v>
      </c>
      <c r="C28" s="58" t="s">
        <v>277</v>
      </c>
      <c r="D28" s="59" t="s">
        <v>278</v>
      </c>
      <c r="E28" s="60" t="b">
        <v>1</v>
      </c>
      <c r="F28" s="58" t="s">
        <v>275</v>
      </c>
      <c r="G28" s="64" t="s">
        <v>276</v>
      </c>
      <c r="H28" s="64" t="s">
        <v>277</v>
      </c>
      <c r="I28" s="65" t="s">
        <v>278</v>
      </c>
      <c r="J28" s="66"/>
      <c r="K28" s="63" t="str">
        <f>HYPERLINK("http://nsgreg.nga.mil/genc/view?v=867329&amp;end_month=12&amp;end_day=31&amp;end_year=2016","Correlation")</f>
        <v>Correlation</v>
      </c>
    </row>
    <row r="29" spans="1:11" x14ac:dyDescent="0.2">
      <c r="A29" s="57" t="s">
        <v>279</v>
      </c>
      <c r="B29" s="58" t="s">
        <v>280</v>
      </c>
      <c r="C29" s="58" t="s">
        <v>281</v>
      </c>
      <c r="D29" s="59" t="s">
        <v>282</v>
      </c>
      <c r="E29" s="60" t="b">
        <v>1</v>
      </c>
      <c r="F29" s="58" t="s">
        <v>279</v>
      </c>
      <c r="G29" s="64" t="s">
        <v>280</v>
      </c>
      <c r="H29" s="64" t="s">
        <v>281</v>
      </c>
      <c r="I29" s="65" t="s">
        <v>282</v>
      </c>
      <c r="J29" s="66"/>
      <c r="K29" s="63" t="str">
        <f>HYPERLINK("http://nsgreg.nga.mil/genc/view?v=867330&amp;end_month=12&amp;end_day=31&amp;end_year=2016","Correlation")</f>
        <v>Correlation</v>
      </c>
    </row>
    <row r="30" spans="1:11" x14ac:dyDescent="0.2">
      <c r="A30" s="57" t="s">
        <v>283</v>
      </c>
      <c r="B30" s="58" t="s">
        <v>284</v>
      </c>
      <c r="C30" s="58" t="s">
        <v>285</v>
      </c>
      <c r="D30" s="59" t="s">
        <v>286</v>
      </c>
      <c r="E30" s="60" t="b">
        <v>1</v>
      </c>
      <c r="F30" s="58" t="s">
        <v>283</v>
      </c>
      <c r="G30" s="64" t="s">
        <v>284</v>
      </c>
      <c r="H30" s="64" t="s">
        <v>285</v>
      </c>
      <c r="I30" s="65" t="s">
        <v>286</v>
      </c>
      <c r="J30" s="66"/>
      <c r="K30" s="63" t="str">
        <f>HYPERLINK("http://nsgreg.nga.mil/genc/view?v=867331&amp;end_month=12&amp;end_day=31&amp;end_year=2016","Correlation")</f>
        <v>Correlation</v>
      </c>
    </row>
    <row r="31" spans="1:11" x14ac:dyDescent="0.2">
      <c r="A31" s="57" t="s">
        <v>287</v>
      </c>
      <c r="B31" s="58" t="s">
        <v>288</v>
      </c>
      <c r="C31" s="58" t="s">
        <v>289</v>
      </c>
      <c r="D31" s="59" t="s">
        <v>290</v>
      </c>
      <c r="E31" s="60" t="b">
        <v>1</v>
      </c>
      <c r="F31" s="58" t="s">
        <v>287</v>
      </c>
      <c r="G31" s="64" t="s">
        <v>288</v>
      </c>
      <c r="H31" s="64" t="s">
        <v>289</v>
      </c>
      <c r="I31" s="65" t="s">
        <v>290</v>
      </c>
      <c r="J31" s="66"/>
      <c r="K31" s="63" t="str">
        <f>HYPERLINK("http://nsgreg.nga.mil/genc/view?v=867332&amp;end_month=12&amp;end_day=31&amp;end_year=2016","Correlation")</f>
        <v>Correlation</v>
      </c>
    </row>
    <row r="32" spans="1:11" x14ac:dyDescent="0.2">
      <c r="A32" s="57" t="s">
        <v>291</v>
      </c>
      <c r="B32" s="58" t="s">
        <v>292</v>
      </c>
      <c r="C32" s="58" t="s">
        <v>293</v>
      </c>
      <c r="D32" s="59" t="s">
        <v>294</v>
      </c>
      <c r="E32" s="60" t="b">
        <v>1</v>
      </c>
      <c r="F32" s="58" t="s">
        <v>291</v>
      </c>
      <c r="G32" s="64" t="s">
        <v>292</v>
      </c>
      <c r="H32" s="64" t="s">
        <v>293</v>
      </c>
      <c r="I32" s="65" t="s">
        <v>294</v>
      </c>
      <c r="J32" s="66"/>
      <c r="K32" s="63" t="str">
        <f>HYPERLINK("http://nsgreg.nga.mil/genc/view?v=867333&amp;end_month=12&amp;end_day=31&amp;end_year=2016","Correlation")</f>
        <v>Correlation</v>
      </c>
    </row>
    <row r="33" spans="1:11" x14ac:dyDescent="0.2">
      <c r="A33" s="57" t="s">
        <v>299</v>
      </c>
      <c r="B33" s="58" t="s">
        <v>296</v>
      </c>
      <c r="C33" s="58" t="s">
        <v>297</v>
      </c>
      <c r="D33" s="59" t="s">
        <v>298</v>
      </c>
      <c r="E33" s="60" t="b">
        <v>1</v>
      </c>
      <c r="F33" s="58" t="s">
        <v>295</v>
      </c>
      <c r="G33" s="64" t="s">
        <v>296</v>
      </c>
      <c r="H33" s="64" t="s">
        <v>297</v>
      </c>
      <c r="I33" s="65" t="s">
        <v>298</v>
      </c>
      <c r="J33" s="66"/>
      <c r="K33" s="63" t="str">
        <f>HYPERLINK("http://nsgreg.nga.mil/genc/view?v=867334&amp;end_month=12&amp;end_day=31&amp;end_year=2016","Correlation")</f>
        <v>Correlation</v>
      </c>
    </row>
    <row r="34" spans="1:11" x14ac:dyDescent="0.2">
      <c r="A34" s="57" t="s">
        <v>304</v>
      </c>
      <c r="B34" s="58" t="s">
        <v>301</v>
      </c>
      <c r="C34" s="58" t="s">
        <v>302</v>
      </c>
      <c r="D34" s="59" t="s">
        <v>303</v>
      </c>
      <c r="E34" s="60" t="b">
        <v>1</v>
      </c>
      <c r="F34" s="58" t="s">
        <v>300</v>
      </c>
      <c r="G34" s="64" t="s">
        <v>301</v>
      </c>
      <c r="H34" s="64" t="s">
        <v>302</v>
      </c>
      <c r="I34" s="65" t="s">
        <v>303</v>
      </c>
      <c r="J34" s="66"/>
      <c r="K34" s="63" t="str">
        <f>HYPERLINK("http://nsgreg.nga.mil/genc/view?v=867335&amp;end_month=12&amp;end_day=31&amp;end_year=2016","Correlation")</f>
        <v>Correlation</v>
      </c>
    </row>
    <row r="35" spans="1:11" x14ac:dyDescent="0.2">
      <c r="A35" s="57" t="s">
        <v>318</v>
      </c>
      <c r="B35" s="58" t="s">
        <v>319</v>
      </c>
      <c r="C35" s="58" t="s">
        <v>320</v>
      </c>
      <c r="D35" s="59" t="s">
        <v>321</v>
      </c>
      <c r="E35" s="60" t="b">
        <v>1</v>
      </c>
      <c r="F35" s="58" t="s">
        <v>318</v>
      </c>
      <c r="G35" s="64" t="s">
        <v>319</v>
      </c>
      <c r="H35" s="64" t="s">
        <v>320</v>
      </c>
      <c r="I35" s="65" t="s">
        <v>321</v>
      </c>
      <c r="J35" s="66"/>
      <c r="K35" s="63" t="str">
        <f>HYPERLINK("http://nsgreg.nga.mil/genc/view?v=867336&amp;end_month=12&amp;end_day=31&amp;end_year=2016","Correlation")</f>
        <v>Correlation</v>
      </c>
    </row>
    <row r="36" spans="1:11" x14ac:dyDescent="0.2">
      <c r="A36" s="57" t="s">
        <v>322</v>
      </c>
      <c r="B36" s="58" t="s">
        <v>323</v>
      </c>
      <c r="C36" s="58" t="s">
        <v>324</v>
      </c>
      <c r="D36" s="59" t="s">
        <v>325</v>
      </c>
      <c r="E36" s="60" t="b">
        <v>1</v>
      </c>
      <c r="F36" s="58" t="s">
        <v>322</v>
      </c>
      <c r="G36" s="64" t="s">
        <v>323</v>
      </c>
      <c r="H36" s="64" t="s">
        <v>324</v>
      </c>
      <c r="I36" s="65" t="s">
        <v>325</v>
      </c>
      <c r="J36" s="66"/>
      <c r="K36" s="63" t="str">
        <f>HYPERLINK("http://nsgreg.nga.mil/genc/view?v=867337&amp;end_month=12&amp;end_day=31&amp;end_year=2016","Correlation")</f>
        <v>Correlation</v>
      </c>
    </row>
    <row r="37" spans="1:11" x14ac:dyDescent="0.2">
      <c r="A37" s="57" t="s">
        <v>326</v>
      </c>
      <c r="B37" s="58" t="s">
        <v>327</v>
      </c>
      <c r="C37" s="58" t="s">
        <v>328</v>
      </c>
      <c r="D37" s="59" t="s">
        <v>329</v>
      </c>
      <c r="E37" s="60" t="b">
        <v>1</v>
      </c>
      <c r="F37" s="58" t="s">
        <v>326</v>
      </c>
      <c r="G37" s="64" t="s">
        <v>327</v>
      </c>
      <c r="H37" s="64" t="s">
        <v>328</v>
      </c>
      <c r="I37" s="65" t="s">
        <v>329</v>
      </c>
      <c r="J37" s="66"/>
      <c r="K37" s="63" t="str">
        <f>HYPERLINK("http://nsgreg.nga.mil/genc/view?v=867338&amp;end_month=12&amp;end_day=31&amp;end_year=2016","Correlation")</f>
        <v>Correlation</v>
      </c>
    </row>
    <row r="38" spans="1:11" x14ac:dyDescent="0.2">
      <c r="A38" s="57" t="s">
        <v>330</v>
      </c>
      <c r="B38" s="58" t="s">
        <v>331</v>
      </c>
      <c r="C38" s="58" t="s">
        <v>332</v>
      </c>
      <c r="D38" s="59" t="s">
        <v>333</v>
      </c>
      <c r="E38" s="60" t="b">
        <v>1</v>
      </c>
      <c r="F38" s="58" t="s">
        <v>330</v>
      </c>
      <c r="G38" s="64" t="s">
        <v>331</v>
      </c>
      <c r="H38" s="64" t="s">
        <v>332</v>
      </c>
      <c r="I38" s="65" t="s">
        <v>333</v>
      </c>
      <c r="J38" s="66"/>
      <c r="K38" s="63" t="str">
        <f>HYPERLINK("http://nsgreg.nga.mil/genc/view?v=867339&amp;end_month=12&amp;end_day=31&amp;end_year=2016","Correlation")</f>
        <v>Correlation</v>
      </c>
    </row>
    <row r="39" spans="1:11" x14ac:dyDescent="0.2">
      <c r="A39" s="99" t="s">
        <v>334</v>
      </c>
      <c r="B39" s="100" t="s">
        <v>335</v>
      </c>
      <c r="C39" s="100" t="s">
        <v>336</v>
      </c>
      <c r="D39" s="101" t="s">
        <v>337</v>
      </c>
      <c r="E39" s="60" t="b">
        <v>1</v>
      </c>
      <c r="F39" s="58" t="s">
        <v>334</v>
      </c>
      <c r="G39" s="64" t="s">
        <v>335</v>
      </c>
      <c r="H39" s="64" t="s">
        <v>336</v>
      </c>
      <c r="I39" s="65" t="s">
        <v>337</v>
      </c>
      <c r="J39" s="66"/>
      <c r="K39" s="63" t="str">
        <f>HYPERLINK("http://nsgreg.nga.mil/genc/view?v=867340&amp;end_month=12&amp;end_day=31&amp;end_year=2016","Correlation")</f>
        <v>Correlation</v>
      </c>
    </row>
    <row r="40" spans="1:11" x14ac:dyDescent="0.2">
      <c r="A40" s="99"/>
      <c r="B40" s="100"/>
      <c r="C40" s="100"/>
      <c r="D40" s="101"/>
      <c r="E40" s="67" t="b">
        <v>0</v>
      </c>
      <c r="F40" s="58" t="s">
        <v>479</v>
      </c>
      <c r="G40" s="64" t="s">
        <v>480</v>
      </c>
      <c r="H40" s="64" t="s">
        <v>481</v>
      </c>
      <c r="I40" s="65" t="s">
        <v>482</v>
      </c>
      <c r="J40" s="66"/>
      <c r="K40" s="63" t="str">
        <f>HYPERLINK("http://nsgreg.nga.mil/genc/view?v=867341&amp;end_month=12&amp;end_day=31&amp;end_year=2016","Correlation")</f>
        <v>Correlation</v>
      </c>
    </row>
    <row r="41" spans="1:11" x14ac:dyDescent="0.2">
      <c r="A41" s="57" t="s">
        <v>342</v>
      </c>
      <c r="B41" s="58" t="s">
        <v>339</v>
      </c>
      <c r="C41" s="58" t="s">
        <v>340</v>
      </c>
      <c r="D41" s="59" t="s">
        <v>341</v>
      </c>
      <c r="E41" s="60" t="b">
        <v>1</v>
      </c>
      <c r="F41" s="58" t="s">
        <v>338</v>
      </c>
      <c r="G41" s="64" t="s">
        <v>339</v>
      </c>
      <c r="H41" s="64" t="s">
        <v>340</v>
      </c>
      <c r="I41" s="65" t="s">
        <v>341</v>
      </c>
      <c r="J41" s="66"/>
      <c r="K41" s="63" t="str">
        <f>HYPERLINK("http://nsgreg.nga.mil/genc/view?v=867342&amp;end_month=12&amp;end_day=31&amp;end_year=2016","Correlation")</f>
        <v>Correlation</v>
      </c>
    </row>
    <row r="42" spans="1:11" x14ac:dyDescent="0.2">
      <c r="A42" s="57" t="s">
        <v>343</v>
      </c>
      <c r="B42" s="58" t="s">
        <v>344</v>
      </c>
      <c r="C42" s="58" t="s">
        <v>345</v>
      </c>
      <c r="D42" s="59" t="s">
        <v>346</v>
      </c>
      <c r="E42" s="60" t="b">
        <v>1</v>
      </c>
      <c r="F42" s="58" t="s">
        <v>343</v>
      </c>
      <c r="G42" s="64" t="s">
        <v>344</v>
      </c>
      <c r="H42" s="64" t="s">
        <v>345</v>
      </c>
      <c r="I42" s="65" t="s">
        <v>346</v>
      </c>
      <c r="J42" s="66"/>
      <c r="K42" s="63" t="str">
        <f>HYPERLINK("http://nsgreg.nga.mil/genc/view?v=867343&amp;end_month=12&amp;end_day=31&amp;end_year=2016","Correlation")</f>
        <v>Correlation</v>
      </c>
    </row>
    <row r="43" spans="1:11" x14ac:dyDescent="0.2">
      <c r="A43" s="57" t="s">
        <v>347</v>
      </c>
      <c r="B43" s="58" t="s">
        <v>348</v>
      </c>
      <c r="C43" s="58" t="s">
        <v>349</v>
      </c>
      <c r="D43" s="59" t="s">
        <v>350</v>
      </c>
      <c r="E43" s="60" t="b">
        <v>1</v>
      </c>
      <c r="F43" s="58" t="s">
        <v>347</v>
      </c>
      <c r="G43" s="64" t="s">
        <v>348</v>
      </c>
      <c r="H43" s="64" t="s">
        <v>349</v>
      </c>
      <c r="I43" s="65" t="s">
        <v>350</v>
      </c>
      <c r="J43" s="66"/>
      <c r="K43" s="63" t="str">
        <f>HYPERLINK("http://nsgreg.nga.mil/genc/view?v=867344&amp;end_month=12&amp;end_day=31&amp;end_year=2016","Correlation")</f>
        <v>Correlation</v>
      </c>
    </row>
    <row r="44" spans="1:11" x14ac:dyDescent="0.2">
      <c r="A44" s="57" t="s">
        <v>356</v>
      </c>
      <c r="B44" s="58" t="s">
        <v>357</v>
      </c>
      <c r="C44" s="58" t="s">
        <v>358</v>
      </c>
      <c r="D44" s="59" t="s">
        <v>359</v>
      </c>
      <c r="E44" s="60" t="b">
        <v>1</v>
      </c>
      <c r="F44" s="58" t="s">
        <v>356</v>
      </c>
      <c r="G44" s="64" t="s">
        <v>357</v>
      </c>
      <c r="H44" s="64" t="s">
        <v>358</v>
      </c>
      <c r="I44" s="65" t="s">
        <v>359</v>
      </c>
      <c r="J44" s="66"/>
      <c r="K44" s="63" t="str">
        <f>HYPERLINK("http://nsgreg.nga.mil/genc/view?v=867345&amp;end_month=12&amp;end_day=31&amp;end_year=2016","Correlation")</f>
        <v>Correlation</v>
      </c>
    </row>
    <row r="45" spans="1:11" x14ac:dyDescent="0.2">
      <c r="A45" s="57" t="s">
        <v>360</v>
      </c>
      <c r="B45" s="58" t="s">
        <v>361</v>
      </c>
      <c r="C45" s="58" t="s">
        <v>362</v>
      </c>
      <c r="D45" s="59" t="s">
        <v>363</v>
      </c>
      <c r="E45" s="60" t="b">
        <v>1</v>
      </c>
      <c r="F45" s="58" t="s">
        <v>360</v>
      </c>
      <c r="G45" s="64" t="s">
        <v>361</v>
      </c>
      <c r="H45" s="64" t="s">
        <v>362</v>
      </c>
      <c r="I45" s="65" t="s">
        <v>363</v>
      </c>
      <c r="J45" s="66"/>
      <c r="K45" s="63" t="str">
        <f>HYPERLINK("http://nsgreg.nga.mil/genc/view?v=867346&amp;end_month=12&amp;end_day=31&amp;end_year=2016","Correlation")</f>
        <v>Correlation</v>
      </c>
    </row>
    <row r="46" spans="1:11" x14ac:dyDescent="0.2">
      <c r="A46" s="57" t="s">
        <v>364</v>
      </c>
      <c r="B46" s="58" t="s">
        <v>365</v>
      </c>
      <c r="C46" s="58" t="s">
        <v>366</v>
      </c>
      <c r="D46" s="59" t="s">
        <v>367</v>
      </c>
      <c r="E46" s="60" t="b">
        <v>1</v>
      </c>
      <c r="F46" s="58" t="s">
        <v>364</v>
      </c>
      <c r="G46" s="64" t="s">
        <v>365</v>
      </c>
      <c r="H46" s="64" t="s">
        <v>366</v>
      </c>
      <c r="I46" s="65" t="s">
        <v>367</v>
      </c>
      <c r="J46" s="66"/>
      <c r="K46" s="63" t="str">
        <f>HYPERLINK("http://nsgreg.nga.mil/genc/view?v=867347&amp;end_month=12&amp;end_day=31&amp;end_year=2016","Correlation")</f>
        <v>Correlation</v>
      </c>
    </row>
    <row r="47" spans="1:11" x14ac:dyDescent="0.2">
      <c r="A47" s="57" t="s">
        <v>368</v>
      </c>
      <c r="B47" s="58" t="s">
        <v>369</v>
      </c>
      <c r="C47" s="58" t="s">
        <v>370</v>
      </c>
      <c r="D47" s="59" t="s">
        <v>371</v>
      </c>
      <c r="E47" s="60" t="b">
        <v>1</v>
      </c>
      <c r="F47" s="58" t="s">
        <v>368</v>
      </c>
      <c r="G47" s="64" t="s">
        <v>369</v>
      </c>
      <c r="H47" s="64" t="s">
        <v>370</v>
      </c>
      <c r="I47" s="65" t="s">
        <v>371</v>
      </c>
      <c r="J47" s="66"/>
      <c r="K47" s="63" t="str">
        <f>HYPERLINK("http://nsgreg.nga.mil/genc/view?v=867348&amp;end_month=12&amp;end_day=31&amp;end_year=2016","Correlation")</f>
        <v>Correlation</v>
      </c>
    </row>
    <row r="48" spans="1:11" x14ac:dyDescent="0.2">
      <c r="A48" s="57" t="s">
        <v>372</v>
      </c>
      <c r="B48" s="58" t="s">
        <v>373</v>
      </c>
      <c r="C48" s="58" t="s">
        <v>374</v>
      </c>
      <c r="D48" s="59" t="s">
        <v>375</v>
      </c>
      <c r="E48" s="60" t="b">
        <v>1</v>
      </c>
      <c r="F48" s="58" t="s">
        <v>372</v>
      </c>
      <c r="G48" s="64" t="s">
        <v>373</v>
      </c>
      <c r="H48" s="64" t="s">
        <v>374</v>
      </c>
      <c r="I48" s="65" t="s">
        <v>375</v>
      </c>
      <c r="J48" s="66"/>
      <c r="K48" s="63" t="str">
        <f>HYPERLINK("http://nsgreg.nga.mil/genc/view?v=867349&amp;end_month=12&amp;end_day=31&amp;end_year=2016","Correlation")</f>
        <v>Correlation</v>
      </c>
    </row>
    <row r="49" spans="1:11" x14ac:dyDescent="0.2">
      <c r="A49" s="57" t="s">
        <v>376</v>
      </c>
      <c r="B49" s="58" t="s">
        <v>377</v>
      </c>
      <c r="C49" s="58" t="s">
        <v>378</v>
      </c>
      <c r="D49" s="59" t="s">
        <v>379</v>
      </c>
      <c r="E49" s="60" t="b">
        <v>1</v>
      </c>
      <c r="F49" s="58" t="s">
        <v>376</v>
      </c>
      <c r="G49" s="64" t="s">
        <v>377</v>
      </c>
      <c r="H49" s="64" t="s">
        <v>378</v>
      </c>
      <c r="I49" s="65" t="s">
        <v>379</v>
      </c>
      <c r="J49" s="66"/>
      <c r="K49" s="63" t="str">
        <f>HYPERLINK("http://nsgreg.nga.mil/genc/view?v=867350&amp;end_month=12&amp;end_day=31&amp;end_year=2016","Correlation")</f>
        <v>Correlation</v>
      </c>
    </row>
    <row r="50" spans="1:11" x14ac:dyDescent="0.2">
      <c r="A50" s="57" t="s">
        <v>380</v>
      </c>
      <c r="B50" s="58" t="s">
        <v>381</v>
      </c>
      <c r="C50" s="58" t="s">
        <v>382</v>
      </c>
      <c r="D50" s="59" t="s">
        <v>383</v>
      </c>
      <c r="E50" s="60" t="b">
        <v>1</v>
      </c>
      <c r="F50" s="58" t="s">
        <v>380</v>
      </c>
      <c r="G50" s="64" t="s">
        <v>381</v>
      </c>
      <c r="H50" s="64" t="s">
        <v>382</v>
      </c>
      <c r="I50" s="65" t="s">
        <v>383</v>
      </c>
      <c r="J50" s="66"/>
      <c r="K50" s="63" t="str">
        <f>HYPERLINK("http://nsgreg.nga.mil/genc/view?v=867351&amp;end_month=12&amp;end_day=31&amp;end_year=2016","Correlation")</f>
        <v>Correlation</v>
      </c>
    </row>
    <row r="51" spans="1:11" x14ac:dyDescent="0.2">
      <c r="A51" s="57" t="s">
        <v>384</v>
      </c>
      <c r="B51" s="58" t="s">
        <v>385</v>
      </c>
      <c r="C51" s="58" t="s">
        <v>386</v>
      </c>
      <c r="D51" s="59" t="s">
        <v>387</v>
      </c>
      <c r="E51" s="60" t="b">
        <v>1</v>
      </c>
      <c r="F51" s="58" t="s">
        <v>384</v>
      </c>
      <c r="G51" s="64" t="s">
        <v>385</v>
      </c>
      <c r="H51" s="64" t="s">
        <v>386</v>
      </c>
      <c r="I51" s="65" t="s">
        <v>387</v>
      </c>
      <c r="J51" s="66"/>
      <c r="K51" s="63" t="str">
        <f>HYPERLINK("http://nsgreg.nga.mil/genc/view?v=867352&amp;end_month=12&amp;end_day=31&amp;end_year=2016","Correlation")</f>
        <v>Correlation</v>
      </c>
    </row>
    <row r="52" spans="1:11" x14ac:dyDescent="0.2">
      <c r="A52" s="57" t="s">
        <v>388</v>
      </c>
      <c r="B52" s="58" t="s">
        <v>389</v>
      </c>
      <c r="C52" s="58" t="s">
        <v>390</v>
      </c>
      <c r="D52" s="59" t="s">
        <v>391</v>
      </c>
      <c r="E52" s="60" t="b">
        <v>1</v>
      </c>
      <c r="F52" s="58" t="s">
        <v>388</v>
      </c>
      <c r="G52" s="64" t="s">
        <v>389</v>
      </c>
      <c r="H52" s="64" t="s">
        <v>390</v>
      </c>
      <c r="I52" s="65" t="s">
        <v>391</v>
      </c>
      <c r="J52" s="66"/>
      <c r="K52" s="63" t="str">
        <f>HYPERLINK("http://nsgreg.nga.mil/genc/view?v=867353&amp;end_month=12&amp;end_day=31&amp;end_year=2016","Correlation")</f>
        <v>Correlation</v>
      </c>
    </row>
    <row r="53" spans="1:11" x14ac:dyDescent="0.2">
      <c r="A53" s="99" t="s">
        <v>392</v>
      </c>
      <c r="B53" s="100" t="s">
        <v>393</v>
      </c>
      <c r="C53" s="100" t="s">
        <v>394</v>
      </c>
      <c r="D53" s="101" t="s">
        <v>395</v>
      </c>
      <c r="E53" s="60" t="b">
        <v>1</v>
      </c>
      <c r="F53" s="58" t="s">
        <v>392</v>
      </c>
      <c r="G53" s="64" t="s">
        <v>393</v>
      </c>
      <c r="H53" s="64" t="s">
        <v>394</v>
      </c>
      <c r="I53" s="65" t="s">
        <v>395</v>
      </c>
      <c r="J53" s="66"/>
      <c r="K53" s="63" t="str">
        <f>HYPERLINK("http://nsgreg.nga.mil/genc/view?v=867354&amp;end_month=12&amp;end_day=31&amp;end_year=2016","Correlation")</f>
        <v>Correlation</v>
      </c>
    </row>
    <row r="54" spans="1:11" x14ac:dyDescent="0.2">
      <c r="A54" s="99"/>
      <c r="B54" s="100"/>
      <c r="C54" s="100"/>
      <c r="D54" s="101"/>
      <c r="E54" s="67" t="b">
        <v>0</v>
      </c>
      <c r="F54" s="58" t="s">
        <v>1042</v>
      </c>
      <c r="G54" s="64" t="s">
        <v>1043</v>
      </c>
      <c r="H54" s="64" t="s">
        <v>1044</v>
      </c>
      <c r="I54" s="65" t="s">
        <v>1045</v>
      </c>
      <c r="J54" s="66"/>
      <c r="K54" s="63" t="str">
        <f>HYPERLINK("http://nsgreg.nga.mil/genc/view?v=867355&amp;end_month=12&amp;end_day=31&amp;end_year=2016","Correlation")</f>
        <v>Correlation</v>
      </c>
    </row>
    <row r="55" spans="1:11" x14ac:dyDescent="0.2">
      <c r="A55" s="99"/>
      <c r="B55" s="100"/>
      <c r="C55" s="100"/>
      <c r="D55" s="101"/>
      <c r="E55" s="67" t="b">
        <v>0</v>
      </c>
      <c r="F55" s="58" t="s">
        <v>1223</v>
      </c>
      <c r="G55" s="64" t="s">
        <v>1224</v>
      </c>
      <c r="H55" s="64" t="s">
        <v>1225</v>
      </c>
      <c r="I55" s="65" t="s">
        <v>1226</v>
      </c>
      <c r="J55" s="66"/>
      <c r="K55" s="63" t="str">
        <f>HYPERLINK("http://nsgreg.nga.mil/genc/view?v=867356&amp;end_month=12&amp;end_day=31&amp;end_year=2016","Correlation")</f>
        <v>Correlation</v>
      </c>
    </row>
    <row r="56" spans="1:11" x14ac:dyDescent="0.2">
      <c r="A56" s="57" t="s">
        <v>396</v>
      </c>
      <c r="B56" s="58" t="s">
        <v>397</v>
      </c>
      <c r="C56" s="58" t="s">
        <v>398</v>
      </c>
      <c r="D56" s="59" t="s">
        <v>399</v>
      </c>
      <c r="E56" s="60" t="b">
        <v>1</v>
      </c>
      <c r="F56" s="58" t="s">
        <v>396</v>
      </c>
      <c r="G56" s="64" t="s">
        <v>397</v>
      </c>
      <c r="H56" s="64" t="s">
        <v>398</v>
      </c>
      <c r="I56" s="65" t="s">
        <v>399</v>
      </c>
      <c r="J56" s="66"/>
      <c r="K56" s="63" t="str">
        <f>HYPERLINK("http://nsgreg.nga.mil/genc/view?v=867357&amp;end_month=12&amp;end_day=31&amp;end_year=2016","Correlation")</f>
        <v>Correlation</v>
      </c>
    </row>
    <row r="57" spans="1:11" x14ac:dyDescent="0.2">
      <c r="A57" s="57" t="s">
        <v>410</v>
      </c>
      <c r="B57" s="58" t="s">
        <v>411</v>
      </c>
      <c r="C57" s="58" t="s">
        <v>412</v>
      </c>
      <c r="D57" s="59" t="s">
        <v>413</v>
      </c>
      <c r="E57" s="60" t="b">
        <v>1</v>
      </c>
      <c r="F57" s="58" t="s">
        <v>410</v>
      </c>
      <c r="G57" s="64" t="s">
        <v>411</v>
      </c>
      <c r="H57" s="64" t="s">
        <v>412</v>
      </c>
      <c r="I57" s="65" t="s">
        <v>413</v>
      </c>
      <c r="J57" s="66"/>
      <c r="K57" s="63" t="str">
        <f>HYPERLINK("http://nsgreg.nga.mil/genc/view?v=867358&amp;end_month=12&amp;end_day=31&amp;end_year=2016","Correlation")</f>
        <v>Correlation</v>
      </c>
    </row>
    <row r="58" spans="1:11" x14ac:dyDescent="0.2">
      <c r="A58" s="57" t="s">
        <v>414</v>
      </c>
      <c r="B58" s="58" t="s">
        <v>415</v>
      </c>
      <c r="C58" s="58" t="s">
        <v>416</v>
      </c>
      <c r="D58" s="59" t="s">
        <v>417</v>
      </c>
      <c r="E58" s="60" t="b">
        <v>1</v>
      </c>
      <c r="F58" s="58" t="s">
        <v>414</v>
      </c>
      <c r="G58" s="64" t="s">
        <v>415</v>
      </c>
      <c r="H58" s="64" t="s">
        <v>416</v>
      </c>
      <c r="I58" s="65" t="s">
        <v>417</v>
      </c>
      <c r="J58" s="66"/>
      <c r="K58" s="63" t="str">
        <f>HYPERLINK("http://nsgreg.nga.mil/genc/view?v=867359&amp;end_month=12&amp;end_day=31&amp;end_year=2016","Correlation")</f>
        <v>Correlation</v>
      </c>
    </row>
    <row r="59" spans="1:11" x14ac:dyDescent="0.2">
      <c r="A59" s="57" t="s">
        <v>418</v>
      </c>
      <c r="B59" s="58" t="s">
        <v>419</v>
      </c>
      <c r="C59" s="58" t="s">
        <v>420</v>
      </c>
      <c r="D59" s="59" t="s">
        <v>421</v>
      </c>
      <c r="E59" s="60" t="b">
        <v>1</v>
      </c>
      <c r="F59" s="58" t="s">
        <v>418</v>
      </c>
      <c r="G59" s="64" t="s">
        <v>419</v>
      </c>
      <c r="H59" s="64" t="s">
        <v>420</v>
      </c>
      <c r="I59" s="65" t="s">
        <v>421</v>
      </c>
      <c r="J59" s="66"/>
      <c r="K59" s="63" t="str">
        <f>HYPERLINK("http://nsgreg.nga.mil/genc/view?v=867360&amp;end_month=12&amp;end_day=31&amp;end_year=2016","Correlation")</f>
        <v>Correlation</v>
      </c>
    </row>
    <row r="60" spans="1:11" x14ac:dyDescent="0.2">
      <c r="A60" s="57" t="s">
        <v>426</v>
      </c>
      <c r="B60" s="58" t="s">
        <v>423</v>
      </c>
      <c r="C60" s="58" t="s">
        <v>424</v>
      </c>
      <c r="D60" s="59" t="s">
        <v>425</v>
      </c>
      <c r="E60" s="60" t="b">
        <v>1</v>
      </c>
      <c r="F60" s="58" t="s">
        <v>422</v>
      </c>
      <c r="G60" s="64" t="s">
        <v>423</v>
      </c>
      <c r="H60" s="64" t="s">
        <v>424</v>
      </c>
      <c r="I60" s="65" t="s">
        <v>425</v>
      </c>
      <c r="J60" s="66"/>
      <c r="K60" s="63" t="str">
        <f>HYPERLINK("http://nsgreg.nga.mil/genc/view?v=867361&amp;end_month=12&amp;end_day=31&amp;end_year=2016","Correlation")</f>
        <v>Correlation</v>
      </c>
    </row>
    <row r="61" spans="1:11" x14ac:dyDescent="0.2">
      <c r="A61" s="57" t="s">
        <v>431</v>
      </c>
      <c r="B61" s="58" t="s">
        <v>428</v>
      </c>
      <c r="C61" s="58" t="s">
        <v>429</v>
      </c>
      <c r="D61" s="59" t="s">
        <v>430</v>
      </c>
      <c r="E61" s="60" t="b">
        <v>1</v>
      </c>
      <c r="F61" s="58" t="s">
        <v>427</v>
      </c>
      <c r="G61" s="64" t="s">
        <v>428</v>
      </c>
      <c r="H61" s="64" t="s">
        <v>429</v>
      </c>
      <c r="I61" s="65" t="s">
        <v>430</v>
      </c>
      <c r="J61" s="66"/>
      <c r="K61" s="63" t="str">
        <f>HYPERLINK("http://nsgreg.nga.mil/genc/view?v=867362&amp;end_month=12&amp;end_day=31&amp;end_year=2016","Correlation")</f>
        <v>Correlation</v>
      </c>
    </row>
    <row r="62" spans="1:11" x14ac:dyDescent="0.2">
      <c r="A62" s="57" t="s">
        <v>432</v>
      </c>
      <c r="B62" s="58" t="s">
        <v>433</v>
      </c>
      <c r="C62" s="58" t="s">
        <v>434</v>
      </c>
      <c r="D62" s="59" t="s">
        <v>435</v>
      </c>
      <c r="E62" s="60" t="b">
        <v>1</v>
      </c>
      <c r="F62" s="58" t="s">
        <v>432</v>
      </c>
      <c r="G62" s="64" t="s">
        <v>433</v>
      </c>
      <c r="H62" s="64" t="s">
        <v>434</v>
      </c>
      <c r="I62" s="65" t="s">
        <v>435</v>
      </c>
      <c r="J62" s="66"/>
      <c r="K62" s="63" t="str">
        <f>HYPERLINK("http://nsgreg.nga.mil/genc/view?v=867363&amp;end_month=12&amp;end_day=31&amp;end_year=2016","Correlation")</f>
        <v>Correlation</v>
      </c>
    </row>
    <row r="63" spans="1:11" x14ac:dyDescent="0.2">
      <c r="A63" s="57" t="s">
        <v>440</v>
      </c>
      <c r="B63" s="58" t="s">
        <v>441</v>
      </c>
      <c r="C63" s="58" t="s">
        <v>442</v>
      </c>
      <c r="D63" s="59" t="s">
        <v>443</v>
      </c>
      <c r="E63" s="60" t="b">
        <v>1</v>
      </c>
      <c r="F63" s="58" t="s">
        <v>440</v>
      </c>
      <c r="G63" s="64" t="s">
        <v>441</v>
      </c>
      <c r="H63" s="64" t="s">
        <v>442</v>
      </c>
      <c r="I63" s="65" t="s">
        <v>443</v>
      </c>
      <c r="J63" s="66"/>
      <c r="K63" s="63" t="str">
        <f>HYPERLINK("http://nsgreg.nga.mil/genc/view?v=867364&amp;end_month=12&amp;end_day=31&amp;end_year=2016","Correlation")</f>
        <v>Correlation</v>
      </c>
    </row>
    <row r="64" spans="1:11" x14ac:dyDescent="0.2">
      <c r="A64" s="57" t="s">
        <v>448</v>
      </c>
      <c r="B64" s="58" t="s">
        <v>445</v>
      </c>
      <c r="C64" s="58" t="s">
        <v>446</v>
      </c>
      <c r="D64" s="59" t="s">
        <v>447</v>
      </c>
      <c r="E64" s="60" t="b">
        <v>1</v>
      </c>
      <c r="F64" s="58" t="s">
        <v>444</v>
      </c>
      <c r="G64" s="64" t="s">
        <v>445</v>
      </c>
      <c r="H64" s="64" t="s">
        <v>446</v>
      </c>
      <c r="I64" s="65" t="s">
        <v>447</v>
      </c>
      <c r="J64" s="66"/>
      <c r="K64" s="63" t="str">
        <f>HYPERLINK("http://nsgreg.nga.mil/genc/view?v=867365&amp;end_month=12&amp;end_day=31&amp;end_year=2016","Correlation")</f>
        <v>Correlation</v>
      </c>
    </row>
    <row r="65" spans="1:11" x14ac:dyDescent="0.2">
      <c r="A65" s="57" t="s">
        <v>449</v>
      </c>
      <c r="B65" s="58" t="s">
        <v>450</v>
      </c>
      <c r="C65" s="58" t="s">
        <v>451</v>
      </c>
      <c r="D65" s="59" t="s">
        <v>452</v>
      </c>
      <c r="E65" s="60" t="b">
        <v>1</v>
      </c>
      <c r="F65" s="58" t="s">
        <v>449</v>
      </c>
      <c r="G65" s="64" t="s">
        <v>450</v>
      </c>
      <c r="H65" s="64" t="s">
        <v>451</v>
      </c>
      <c r="I65" s="65" t="s">
        <v>452</v>
      </c>
      <c r="J65" s="66"/>
      <c r="K65" s="63" t="str">
        <f>HYPERLINK("http://nsgreg.nga.mil/genc/view?v=867366&amp;end_month=12&amp;end_day=31&amp;end_year=2016","Correlation")</f>
        <v>Correlation</v>
      </c>
    </row>
    <row r="66" spans="1:11" x14ac:dyDescent="0.2">
      <c r="A66" s="99" t="s">
        <v>453</v>
      </c>
      <c r="B66" s="100" t="s">
        <v>454</v>
      </c>
      <c r="C66" s="100" t="s">
        <v>455</v>
      </c>
      <c r="D66" s="101" t="s">
        <v>456</v>
      </c>
      <c r="E66" s="60" t="b">
        <v>1</v>
      </c>
      <c r="F66" s="58" t="s">
        <v>453</v>
      </c>
      <c r="G66" s="64" t="s">
        <v>454</v>
      </c>
      <c r="H66" s="64" t="s">
        <v>455</v>
      </c>
      <c r="I66" s="65" t="s">
        <v>456</v>
      </c>
      <c r="J66" s="66"/>
      <c r="K66" s="63" t="str">
        <f>HYPERLINK("http://nsgreg.nga.mil/genc/view?v=867367&amp;end_month=12&amp;end_day=31&amp;end_year=2016","Correlation")</f>
        <v>Correlation</v>
      </c>
    </row>
    <row r="67" spans="1:11" x14ac:dyDescent="0.2">
      <c r="A67" s="99"/>
      <c r="B67" s="100"/>
      <c r="C67" s="100"/>
      <c r="D67" s="101"/>
      <c r="E67" s="67" t="b">
        <v>0</v>
      </c>
      <c r="F67" s="58" t="s">
        <v>643</v>
      </c>
      <c r="G67" s="64" t="s">
        <v>644</v>
      </c>
      <c r="H67" s="64" t="s">
        <v>645</v>
      </c>
      <c r="I67" s="65" t="s">
        <v>646</v>
      </c>
      <c r="J67" s="66"/>
      <c r="K67" s="63" t="str">
        <f>HYPERLINK("http://nsgreg.nga.mil/genc/view?v=867368&amp;end_month=12&amp;end_day=31&amp;end_year=2016","Correlation")</f>
        <v>Correlation</v>
      </c>
    </row>
    <row r="68" spans="1:11" x14ac:dyDescent="0.2">
      <c r="A68" s="57" t="s">
        <v>457</v>
      </c>
      <c r="B68" s="58" t="s">
        <v>458</v>
      </c>
      <c r="C68" s="58" t="s">
        <v>459</v>
      </c>
      <c r="D68" s="59" t="s">
        <v>460</v>
      </c>
      <c r="E68" s="60" t="b">
        <v>1</v>
      </c>
      <c r="F68" s="58" t="s">
        <v>457</v>
      </c>
      <c r="G68" s="64" t="s">
        <v>458</v>
      </c>
      <c r="H68" s="64" t="s">
        <v>459</v>
      </c>
      <c r="I68" s="65" t="s">
        <v>460</v>
      </c>
      <c r="J68" s="66"/>
      <c r="K68" s="63" t="str">
        <f>HYPERLINK("http://nsgreg.nga.mil/genc/view?v=867369&amp;end_month=12&amp;end_day=31&amp;end_year=2016","Correlation")</f>
        <v>Correlation</v>
      </c>
    </row>
    <row r="69" spans="1:11" x14ac:dyDescent="0.2">
      <c r="A69" s="57" t="s">
        <v>463</v>
      </c>
      <c r="B69" s="58" t="s">
        <v>464</v>
      </c>
      <c r="C69" s="58" t="s">
        <v>465</v>
      </c>
      <c r="D69" s="59" t="s">
        <v>466</v>
      </c>
      <c r="E69" s="60" t="b">
        <v>1</v>
      </c>
      <c r="F69" s="58" t="s">
        <v>463</v>
      </c>
      <c r="G69" s="64" t="s">
        <v>464</v>
      </c>
      <c r="H69" s="64" t="s">
        <v>465</v>
      </c>
      <c r="I69" s="65" t="s">
        <v>466</v>
      </c>
      <c r="J69" s="66"/>
      <c r="K69" s="63" t="str">
        <f>HYPERLINK("http://nsgreg.nga.mil/genc/view?v=867370&amp;end_month=12&amp;end_day=31&amp;end_year=2016","Correlation")</f>
        <v>Correlation</v>
      </c>
    </row>
    <row r="70" spans="1:11" x14ac:dyDescent="0.2">
      <c r="A70" s="57" t="s">
        <v>467</v>
      </c>
      <c r="B70" s="58" t="s">
        <v>468</v>
      </c>
      <c r="C70" s="58" t="s">
        <v>469</v>
      </c>
      <c r="D70" s="59" t="s">
        <v>470</v>
      </c>
      <c r="E70" s="60" t="b">
        <v>1</v>
      </c>
      <c r="F70" s="58" t="s">
        <v>467</v>
      </c>
      <c r="G70" s="64" t="s">
        <v>468</v>
      </c>
      <c r="H70" s="64" t="s">
        <v>469</v>
      </c>
      <c r="I70" s="65" t="s">
        <v>470</v>
      </c>
      <c r="J70" s="66"/>
      <c r="K70" s="63" t="str">
        <f>HYPERLINK("http://nsgreg.nga.mil/genc/view?v=867371&amp;end_month=12&amp;end_day=31&amp;end_year=2016","Correlation")</f>
        <v>Correlation</v>
      </c>
    </row>
    <row r="71" spans="1:11" x14ac:dyDescent="0.2">
      <c r="A71" s="57" t="s">
        <v>471</v>
      </c>
      <c r="B71" s="58" t="s">
        <v>472</v>
      </c>
      <c r="C71" s="58" t="s">
        <v>473</v>
      </c>
      <c r="D71" s="59" t="s">
        <v>474</v>
      </c>
      <c r="E71" s="60" t="b">
        <v>1</v>
      </c>
      <c r="F71" s="58" t="s">
        <v>471</v>
      </c>
      <c r="G71" s="64" t="s">
        <v>472</v>
      </c>
      <c r="H71" s="64" t="s">
        <v>473</v>
      </c>
      <c r="I71" s="65" t="s">
        <v>474</v>
      </c>
      <c r="J71" s="66"/>
      <c r="K71" s="63" t="str">
        <f>HYPERLINK("http://nsgreg.nga.mil/genc/view?v=867372&amp;end_month=12&amp;end_day=31&amp;end_year=2016","Correlation")</f>
        <v>Correlation</v>
      </c>
    </row>
    <row r="72" spans="1:11" x14ac:dyDescent="0.2">
      <c r="A72" s="57" t="s">
        <v>483</v>
      </c>
      <c r="B72" s="58" t="s">
        <v>484</v>
      </c>
      <c r="C72" s="58" t="s">
        <v>485</v>
      </c>
      <c r="D72" s="59" t="s">
        <v>486</v>
      </c>
      <c r="E72" s="60" t="b">
        <v>1</v>
      </c>
      <c r="F72" s="58" t="s">
        <v>483</v>
      </c>
      <c r="G72" s="64" t="s">
        <v>484</v>
      </c>
      <c r="H72" s="64" t="s">
        <v>485</v>
      </c>
      <c r="I72" s="65" t="s">
        <v>486</v>
      </c>
      <c r="J72" s="66"/>
      <c r="K72" s="63" t="str">
        <f>HYPERLINK("http://nsgreg.nga.mil/genc/view?v=867373&amp;end_month=12&amp;end_day=31&amp;end_year=2016","Correlation")</f>
        <v>Correlation</v>
      </c>
    </row>
    <row r="73" spans="1:11" x14ac:dyDescent="0.2">
      <c r="A73" s="57" t="s">
        <v>487</v>
      </c>
      <c r="B73" s="58" t="s">
        <v>488</v>
      </c>
      <c r="C73" s="58" t="s">
        <v>489</v>
      </c>
      <c r="D73" s="59" t="s">
        <v>490</v>
      </c>
      <c r="E73" s="60" t="b">
        <v>1</v>
      </c>
      <c r="F73" s="58" t="s">
        <v>487</v>
      </c>
      <c r="G73" s="64" t="s">
        <v>488</v>
      </c>
      <c r="H73" s="64" t="s">
        <v>489</v>
      </c>
      <c r="I73" s="65" t="s">
        <v>490</v>
      </c>
      <c r="J73" s="66"/>
      <c r="K73" s="63" t="str">
        <f>HYPERLINK("http://nsgreg.nga.mil/genc/view?v=867374&amp;end_month=12&amp;end_day=31&amp;end_year=2016","Correlation")</f>
        <v>Correlation</v>
      </c>
    </row>
    <row r="74" spans="1:11" x14ac:dyDescent="0.2">
      <c r="A74" s="57" t="s">
        <v>491</v>
      </c>
      <c r="B74" s="58" t="s">
        <v>492</v>
      </c>
      <c r="C74" s="58" t="s">
        <v>493</v>
      </c>
      <c r="D74" s="59" t="s">
        <v>494</v>
      </c>
      <c r="E74" s="60" t="b">
        <v>1</v>
      </c>
      <c r="F74" s="58" t="s">
        <v>491</v>
      </c>
      <c r="G74" s="64" t="s">
        <v>492</v>
      </c>
      <c r="H74" s="64" t="s">
        <v>493</v>
      </c>
      <c r="I74" s="65" t="s">
        <v>494</v>
      </c>
      <c r="J74" s="66"/>
      <c r="K74" s="63" t="str">
        <f>HYPERLINK("http://nsgreg.nga.mil/genc/view?v=867375&amp;end_month=12&amp;end_day=31&amp;end_year=2016","Correlation")</f>
        <v>Correlation</v>
      </c>
    </row>
    <row r="75" spans="1:11" x14ac:dyDescent="0.2">
      <c r="A75" s="57" t="s">
        <v>495</v>
      </c>
      <c r="B75" s="58" t="s">
        <v>496</v>
      </c>
      <c r="C75" s="58" t="s">
        <v>497</v>
      </c>
      <c r="D75" s="59" t="s">
        <v>498</v>
      </c>
      <c r="E75" s="60" t="b">
        <v>1</v>
      </c>
      <c r="F75" s="58" t="s">
        <v>495</v>
      </c>
      <c r="G75" s="64" t="s">
        <v>496</v>
      </c>
      <c r="H75" s="64" t="s">
        <v>497</v>
      </c>
      <c r="I75" s="65" t="s">
        <v>498</v>
      </c>
      <c r="J75" s="66"/>
      <c r="K75" s="63" t="str">
        <f>HYPERLINK("http://nsgreg.nga.mil/genc/view?v=867376&amp;end_month=12&amp;end_day=31&amp;end_year=2016","Correlation")</f>
        <v>Correlation</v>
      </c>
    </row>
    <row r="76" spans="1:11" x14ac:dyDescent="0.2">
      <c r="A76" s="57" t="s">
        <v>499</v>
      </c>
      <c r="B76" s="58" t="s">
        <v>500</v>
      </c>
      <c r="C76" s="58" t="s">
        <v>501</v>
      </c>
      <c r="D76" s="59" t="s">
        <v>502</v>
      </c>
      <c r="E76" s="60" t="b">
        <v>1</v>
      </c>
      <c r="F76" s="58" t="s">
        <v>499</v>
      </c>
      <c r="G76" s="64" t="s">
        <v>500</v>
      </c>
      <c r="H76" s="64" t="s">
        <v>501</v>
      </c>
      <c r="I76" s="65" t="s">
        <v>502</v>
      </c>
      <c r="J76" s="66"/>
      <c r="K76" s="63" t="str">
        <f>HYPERLINK("http://nsgreg.nga.mil/genc/view?v=867377&amp;end_month=12&amp;end_day=31&amp;end_year=2016","Correlation")</f>
        <v>Correlation</v>
      </c>
    </row>
    <row r="77" spans="1:11" x14ac:dyDescent="0.2">
      <c r="A77" s="57" t="s">
        <v>503</v>
      </c>
      <c r="B77" s="58" t="s">
        <v>504</v>
      </c>
      <c r="C77" s="58" t="s">
        <v>505</v>
      </c>
      <c r="D77" s="59" t="s">
        <v>506</v>
      </c>
      <c r="E77" s="60" t="b">
        <v>1</v>
      </c>
      <c r="F77" s="58" t="s">
        <v>503</v>
      </c>
      <c r="G77" s="64" t="s">
        <v>504</v>
      </c>
      <c r="H77" s="64" t="s">
        <v>505</v>
      </c>
      <c r="I77" s="65" t="s">
        <v>506</v>
      </c>
      <c r="J77" s="66"/>
      <c r="K77" s="63" t="str">
        <f>HYPERLINK("http://nsgreg.nga.mil/genc/view?v=867378&amp;end_month=12&amp;end_day=31&amp;end_year=2016","Correlation")</f>
        <v>Correlation</v>
      </c>
    </row>
    <row r="78" spans="1:11" x14ac:dyDescent="0.2">
      <c r="A78" s="57" t="s">
        <v>527</v>
      </c>
      <c r="B78" s="58" t="s">
        <v>528</v>
      </c>
      <c r="C78" s="58" t="s">
        <v>529</v>
      </c>
      <c r="D78" s="59" t="s">
        <v>530</v>
      </c>
      <c r="E78" s="60" t="b">
        <v>1</v>
      </c>
      <c r="F78" s="58" t="s">
        <v>527</v>
      </c>
      <c r="G78" s="64" t="s">
        <v>528</v>
      </c>
      <c r="H78" s="64" t="s">
        <v>529</v>
      </c>
      <c r="I78" s="65" t="s">
        <v>530</v>
      </c>
      <c r="J78" s="66"/>
      <c r="K78" s="63" t="str">
        <f>HYPERLINK("http://nsgreg.nga.mil/genc/view?v=867379&amp;end_month=12&amp;end_day=31&amp;end_year=2016","Correlation")</f>
        <v>Correlation</v>
      </c>
    </row>
    <row r="79" spans="1:11" x14ac:dyDescent="0.2">
      <c r="A79" s="57" t="s">
        <v>531</v>
      </c>
      <c r="B79" s="58" t="s">
        <v>532</v>
      </c>
      <c r="C79" s="58" t="s">
        <v>533</v>
      </c>
      <c r="D79" s="59" t="s">
        <v>534</v>
      </c>
      <c r="E79" s="60" t="b">
        <v>1</v>
      </c>
      <c r="F79" s="58" t="s">
        <v>531</v>
      </c>
      <c r="G79" s="64" t="s">
        <v>532</v>
      </c>
      <c r="H79" s="64" t="s">
        <v>533</v>
      </c>
      <c r="I79" s="65" t="s">
        <v>534</v>
      </c>
      <c r="J79" s="66"/>
      <c r="K79" s="63" t="str">
        <f>HYPERLINK("http://nsgreg.nga.mil/genc/view?v=867380&amp;end_month=12&amp;end_day=31&amp;end_year=2016","Correlation")</f>
        <v>Correlation</v>
      </c>
    </row>
    <row r="80" spans="1:11" x14ac:dyDescent="0.2">
      <c r="A80" s="57" t="s">
        <v>535</v>
      </c>
      <c r="B80" s="58" t="s">
        <v>536</v>
      </c>
      <c r="C80" s="58" t="s">
        <v>537</v>
      </c>
      <c r="D80" s="59" t="s">
        <v>538</v>
      </c>
      <c r="E80" s="60" t="b">
        <v>1</v>
      </c>
      <c r="F80" s="58" t="s">
        <v>535</v>
      </c>
      <c r="G80" s="64" t="s">
        <v>536</v>
      </c>
      <c r="H80" s="64" t="s">
        <v>537</v>
      </c>
      <c r="I80" s="65" t="s">
        <v>538</v>
      </c>
      <c r="J80" s="66"/>
      <c r="K80" s="63" t="str">
        <f>HYPERLINK("http://nsgreg.nga.mil/genc/view?v=867381&amp;end_month=12&amp;end_day=31&amp;end_year=2016","Correlation")</f>
        <v>Correlation</v>
      </c>
    </row>
    <row r="81" spans="1:11" x14ac:dyDescent="0.2">
      <c r="A81" s="57" t="s">
        <v>539</v>
      </c>
      <c r="B81" s="58" t="s">
        <v>540</v>
      </c>
      <c r="C81" s="58" t="s">
        <v>541</v>
      </c>
      <c r="D81" s="59" t="s">
        <v>542</v>
      </c>
      <c r="E81" s="60" t="b">
        <v>1</v>
      </c>
      <c r="F81" s="58" t="s">
        <v>539</v>
      </c>
      <c r="G81" s="64" t="s">
        <v>540</v>
      </c>
      <c r="H81" s="64" t="s">
        <v>541</v>
      </c>
      <c r="I81" s="65" t="s">
        <v>542</v>
      </c>
      <c r="J81" s="66"/>
      <c r="K81" s="63" t="str">
        <f>HYPERLINK("http://nsgreg.nga.mil/genc/view?v=867382&amp;end_month=12&amp;end_day=31&amp;end_year=2016","Correlation")</f>
        <v>Correlation</v>
      </c>
    </row>
    <row r="82" spans="1:11" x14ac:dyDescent="0.2">
      <c r="A82" s="57" t="s">
        <v>551</v>
      </c>
      <c r="B82" s="58" t="s">
        <v>548</v>
      </c>
      <c r="C82" s="58" t="s">
        <v>549</v>
      </c>
      <c r="D82" s="59" t="s">
        <v>550</v>
      </c>
      <c r="E82" s="60" t="b">
        <v>1</v>
      </c>
      <c r="F82" s="58" t="s">
        <v>547</v>
      </c>
      <c r="G82" s="64" t="s">
        <v>548</v>
      </c>
      <c r="H82" s="64" t="s">
        <v>549</v>
      </c>
      <c r="I82" s="65" t="s">
        <v>550</v>
      </c>
      <c r="J82" s="66"/>
      <c r="K82" s="63" t="str">
        <f>HYPERLINK("http://nsgreg.nga.mil/genc/view?v=867383&amp;end_month=12&amp;end_day=31&amp;end_year=2016","Correlation")</f>
        <v>Correlation</v>
      </c>
    </row>
    <row r="83" spans="1:11" x14ac:dyDescent="0.2">
      <c r="A83" s="57" t="s">
        <v>552</v>
      </c>
      <c r="B83" s="58" t="s">
        <v>553</v>
      </c>
      <c r="C83" s="58" t="s">
        <v>554</v>
      </c>
      <c r="D83" s="59" t="s">
        <v>555</v>
      </c>
      <c r="E83" s="60" t="b">
        <v>1</v>
      </c>
      <c r="F83" s="58" t="s">
        <v>552</v>
      </c>
      <c r="G83" s="64" t="s">
        <v>553</v>
      </c>
      <c r="H83" s="64" t="s">
        <v>554</v>
      </c>
      <c r="I83" s="65" t="s">
        <v>555</v>
      </c>
      <c r="J83" s="66"/>
      <c r="K83" s="63" t="str">
        <f>HYPERLINK("http://nsgreg.nga.mil/genc/view?v=867384&amp;end_month=12&amp;end_day=31&amp;end_year=2016","Correlation")</f>
        <v>Correlation</v>
      </c>
    </row>
    <row r="84" spans="1:11" x14ac:dyDescent="0.2">
      <c r="A84" s="57" t="s">
        <v>556</v>
      </c>
      <c r="B84" s="58" t="s">
        <v>557</v>
      </c>
      <c r="C84" s="58" t="s">
        <v>558</v>
      </c>
      <c r="D84" s="59" t="s">
        <v>559</v>
      </c>
      <c r="E84" s="60" t="b">
        <v>1</v>
      </c>
      <c r="F84" s="58" t="s">
        <v>556</v>
      </c>
      <c r="G84" s="64" t="s">
        <v>557</v>
      </c>
      <c r="H84" s="64" t="s">
        <v>558</v>
      </c>
      <c r="I84" s="65" t="s">
        <v>559</v>
      </c>
      <c r="J84" s="66"/>
      <c r="K84" s="63" t="str">
        <f>HYPERLINK("http://nsgreg.nga.mil/genc/view?v=867385&amp;end_month=12&amp;end_day=31&amp;end_year=2016","Correlation")</f>
        <v>Correlation</v>
      </c>
    </row>
    <row r="85" spans="1:11" x14ac:dyDescent="0.2">
      <c r="A85" s="57" t="s">
        <v>560</v>
      </c>
      <c r="B85" s="58" t="s">
        <v>561</v>
      </c>
      <c r="C85" s="58" t="s">
        <v>562</v>
      </c>
      <c r="D85" s="59" t="s">
        <v>563</v>
      </c>
      <c r="E85" s="60" t="b">
        <v>1</v>
      </c>
      <c r="F85" s="58" t="s">
        <v>560</v>
      </c>
      <c r="G85" s="64" t="s">
        <v>561</v>
      </c>
      <c r="H85" s="64" t="s">
        <v>562</v>
      </c>
      <c r="I85" s="65" t="s">
        <v>563</v>
      </c>
      <c r="J85" s="66"/>
      <c r="K85" s="63" t="str">
        <f>HYPERLINK("http://nsgreg.nga.mil/genc/view?v=867386&amp;end_month=12&amp;end_day=31&amp;end_year=2016","Correlation")</f>
        <v>Correlation</v>
      </c>
    </row>
    <row r="86" spans="1:11" x14ac:dyDescent="0.2">
      <c r="A86" s="99" t="s">
        <v>404</v>
      </c>
      <c r="B86" s="100" t="s">
        <v>405</v>
      </c>
      <c r="C86" s="100" t="s">
        <v>406</v>
      </c>
      <c r="D86" s="101" t="s">
        <v>407</v>
      </c>
      <c r="E86" s="60" t="b">
        <v>1</v>
      </c>
      <c r="F86" s="58" t="s">
        <v>404</v>
      </c>
      <c r="G86" s="64" t="s">
        <v>405</v>
      </c>
      <c r="H86" s="64" t="s">
        <v>406</v>
      </c>
      <c r="I86" s="65" t="s">
        <v>407</v>
      </c>
      <c r="J86" s="66"/>
      <c r="K86" s="63" t="str">
        <f>HYPERLINK("http://nsgreg.nga.mil/genc/view?v=867387&amp;end_month=12&amp;end_day=31&amp;end_year=2016","Correlation")</f>
        <v>Correlation</v>
      </c>
    </row>
    <row r="87" spans="1:11" x14ac:dyDescent="0.2">
      <c r="A87" s="99"/>
      <c r="B87" s="100"/>
      <c r="C87" s="100"/>
      <c r="D87" s="101"/>
      <c r="E87" s="67" t="b">
        <v>0</v>
      </c>
      <c r="F87" s="58" t="s">
        <v>400</v>
      </c>
      <c r="G87" s="64" t="s">
        <v>401</v>
      </c>
      <c r="H87" s="64" t="s">
        <v>402</v>
      </c>
      <c r="I87" s="65" t="s">
        <v>403</v>
      </c>
      <c r="J87" s="66"/>
      <c r="K87" s="63" t="str">
        <f>HYPERLINK("http://nsgreg.nga.mil/genc/view?v=867388&amp;end_month=12&amp;end_day=31&amp;end_year=2016","Correlation")</f>
        <v>Correlation</v>
      </c>
    </row>
    <row r="88" spans="1:11" x14ac:dyDescent="0.2">
      <c r="A88" s="57" t="s">
        <v>568</v>
      </c>
      <c r="B88" s="58" t="s">
        <v>569</v>
      </c>
      <c r="C88" s="58" t="s">
        <v>570</v>
      </c>
      <c r="D88" s="59" t="s">
        <v>571</v>
      </c>
      <c r="E88" s="60" t="b">
        <v>1</v>
      </c>
      <c r="F88" s="58" t="s">
        <v>568</v>
      </c>
      <c r="G88" s="64" t="s">
        <v>569</v>
      </c>
      <c r="H88" s="64" t="s">
        <v>570</v>
      </c>
      <c r="I88" s="65" t="s">
        <v>571</v>
      </c>
      <c r="J88" s="66"/>
      <c r="K88" s="63" t="str">
        <f>HYPERLINK("http://nsgreg.nga.mil/genc/view?v=867389&amp;end_month=12&amp;end_day=31&amp;end_year=2016","Correlation")</f>
        <v>Correlation</v>
      </c>
    </row>
    <row r="89" spans="1:11" x14ac:dyDescent="0.2">
      <c r="A89" s="57" t="s">
        <v>574</v>
      </c>
      <c r="B89" s="58" t="s">
        <v>575</v>
      </c>
      <c r="C89" s="58" t="s">
        <v>576</v>
      </c>
      <c r="D89" s="59" t="s">
        <v>577</v>
      </c>
      <c r="E89" s="60" t="b">
        <v>1</v>
      </c>
      <c r="F89" s="58" t="s">
        <v>574</v>
      </c>
      <c r="G89" s="64" t="s">
        <v>575</v>
      </c>
      <c r="H89" s="64" t="s">
        <v>576</v>
      </c>
      <c r="I89" s="65" t="s">
        <v>577</v>
      </c>
      <c r="J89" s="66"/>
      <c r="K89" s="63" t="str">
        <f>HYPERLINK("http://nsgreg.nga.mil/genc/view?v=867390&amp;end_month=12&amp;end_day=31&amp;end_year=2016","Correlation")</f>
        <v>Correlation</v>
      </c>
    </row>
    <row r="90" spans="1:11" x14ac:dyDescent="0.2">
      <c r="A90" s="99" t="s">
        <v>265</v>
      </c>
      <c r="B90" s="100" t="s">
        <v>266</v>
      </c>
      <c r="C90" s="100" t="s">
        <v>267</v>
      </c>
      <c r="D90" s="101" t="s">
        <v>268</v>
      </c>
      <c r="E90" s="60" t="b">
        <v>1</v>
      </c>
      <c r="F90" s="58" t="s">
        <v>580</v>
      </c>
      <c r="G90" s="64" t="s">
        <v>266</v>
      </c>
      <c r="H90" s="64" t="s">
        <v>267</v>
      </c>
      <c r="I90" s="65" t="s">
        <v>268</v>
      </c>
      <c r="J90" s="66"/>
      <c r="K90" s="63" t="str">
        <f>HYPERLINK("http://nsgreg.nga.mil/genc/view?v=867391&amp;end_month=12&amp;end_day=31&amp;end_year=2016","Correlation")</f>
        <v>Correlation</v>
      </c>
    </row>
    <row r="91" spans="1:11" x14ac:dyDescent="0.2">
      <c r="A91" s="99"/>
      <c r="B91" s="100"/>
      <c r="C91" s="100"/>
      <c r="D91" s="101"/>
      <c r="E91" s="67" t="b">
        <v>0</v>
      </c>
      <c r="F91" s="58" t="s">
        <v>261</v>
      </c>
      <c r="G91" s="64" t="s">
        <v>262</v>
      </c>
      <c r="H91" s="64" t="s">
        <v>263</v>
      </c>
      <c r="I91" s="65" t="s">
        <v>264</v>
      </c>
      <c r="J91" s="66"/>
      <c r="K91" s="63" t="str">
        <f>HYPERLINK("http://nsgreg.nga.mil/genc/view?v=867392&amp;end_month=12&amp;end_day=31&amp;end_year=2016","Correlation")</f>
        <v>Correlation</v>
      </c>
    </row>
    <row r="92" spans="1:11" x14ac:dyDescent="0.2">
      <c r="A92" s="99"/>
      <c r="B92" s="100"/>
      <c r="C92" s="100"/>
      <c r="D92" s="101"/>
      <c r="E92" s="67" t="b">
        <v>0</v>
      </c>
      <c r="F92" s="58" t="s">
        <v>543</v>
      </c>
      <c r="G92" s="64" t="s">
        <v>544</v>
      </c>
      <c r="H92" s="64" t="s">
        <v>545</v>
      </c>
      <c r="I92" s="65" t="s">
        <v>546</v>
      </c>
      <c r="J92" s="66"/>
      <c r="K92" s="63" t="str">
        <f>HYPERLINK("http://nsgreg.nga.mil/genc/view?v=867393&amp;end_month=12&amp;end_day=31&amp;end_year=2016","Correlation")</f>
        <v>Correlation</v>
      </c>
    </row>
    <row r="93" spans="1:11" x14ac:dyDescent="0.2">
      <c r="A93" s="99"/>
      <c r="B93" s="100"/>
      <c r="C93" s="100"/>
      <c r="D93" s="101"/>
      <c r="E93" s="67" t="b">
        <v>0</v>
      </c>
      <c r="F93" s="58" t="s">
        <v>614</v>
      </c>
      <c r="G93" s="64" t="s">
        <v>615</v>
      </c>
      <c r="H93" s="64" t="s">
        <v>616</v>
      </c>
      <c r="I93" s="65" t="s">
        <v>617</v>
      </c>
      <c r="J93" s="66"/>
      <c r="K93" s="63" t="str">
        <f>HYPERLINK("http://nsgreg.nga.mil/genc/view?v=867394&amp;end_month=12&amp;end_day=31&amp;end_year=2016","Correlation")</f>
        <v>Correlation</v>
      </c>
    </row>
    <row r="94" spans="1:11" x14ac:dyDescent="0.2">
      <c r="A94" s="99"/>
      <c r="B94" s="100"/>
      <c r="C94" s="100"/>
      <c r="D94" s="101"/>
      <c r="E94" s="67" t="b">
        <v>0</v>
      </c>
      <c r="F94" s="58" t="s">
        <v>770</v>
      </c>
      <c r="G94" s="64" t="s">
        <v>771</v>
      </c>
      <c r="H94" s="64" t="s">
        <v>772</v>
      </c>
      <c r="I94" s="65" t="s">
        <v>773</v>
      </c>
      <c r="J94" s="66"/>
      <c r="K94" s="63" t="str">
        <f>HYPERLINK("http://nsgreg.nga.mil/genc/view?v=867395&amp;end_month=12&amp;end_day=31&amp;end_year=2016","Correlation")</f>
        <v>Correlation</v>
      </c>
    </row>
    <row r="95" spans="1:11" x14ac:dyDescent="0.2">
      <c r="A95" s="99"/>
      <c r="B95" s="100"/>
      <c r="C95" s="100"/>
      <c r="D95" s="101"/>
      <c r="E95" s="67" t="b">
        <v>0</v>
      </c>
      <c r="F95" s="58" t="s">
        <v>1296</v>
      </c>
      <c r="G95" s="64" t="s">
        <v>1297</v>
      </c>
      <c r="H95" s="64" t="s">
        <v>1298</v>
      </c>
      <c r="I95" s="65" t="s">
        <v>1299</v>
      </c>
      <c r="J95" s="66"/>
      <c r="K95" s="63" t="str">
        <f>HYPERLINK("http://nsgreg.nga.mil/genc/view?v=867396&amp;end_month=12&amp;end_day=31&amp;end_year=2016","Correlation")</f>
        <v>Correlation</v>
      </c>
    </row>
    <row r="96" spans="1:11" x14ac:dyDescent="0.2">
      <c r="A96" s="57" t="s">
        <v>581</v>
      </c>
      <c r="B96" s="58" t="s">
        <v>582</v>
      </c>
      <c r="C96" s="58" t="s">
        <v>583</v>
      </c>
      <c r="D96" s="59" t="s">
        <v>584</v>
      </c>
      <c r="E96" s="60" t="b">
        <v>1</v>
      </c>
      <c r="F96" s="58" t="s">
        <v>581</v>
      </c>
      <c r="G96" s="64" t="s">
        <v>582</v>
      </c>
      <c r="H96" s="64" t="s">
        <v>583</v>
      </c>
      <c r="I96" s="65" t="s">
        <v>584</v>
      </c>
      <c r="J96" s="66"/>
      <c r="K96" s="63" t="str">
        <f>HYPERLINK("http://nsgreg.nga.mil/genc/view?v=867397&amp;end_month=12&amp;end_day=31&amp;end_year=2016","Correlation")</f>
        <v>Correlation</v>
      </c>
    </row>
    <row r="97" spans="1:11" x14ac:dyDescent="0.2">
      <c r="A97" s="57" t="s">
        <v>589</v>
      </c>
      <c r="B97" s="58" t="s">
        <v>586</v>
      </c>
      <c r="C97" s="58" t="s">
        <v>587</v>
      </c>
      <c r="D97" s="59" t="s">
        <v>588</v>
      </c>
      <c r="E97" s="60" t="b">
        <v>1</v>
      </c>
      <c r="F97" s="58" t="s">
        <v>585</v>
      </c>
      <c r="G97" s="64" t="s">
        <v>586</v>
      </c>
      <c r="H97" s="64" t="s">
        <v>587</v>
      </c>
      <c r="I97" s="65" t="s">
        <v>588</v>
      </c>
      <c r="J97" s="66"/>
      <c r="K97" s="63" t="str">
        <f>HYPERLINK("http://nsgreg.nga.mil/genc/view?v=867398&amp;end_month=12&amp;end_day=31&amp;end_year=2016","Correlation")</f>
        <v>Correlation</v>
      </c>
    </row>
    <row r="98" spans="1:11" x14ac:dyDescent="0.2">
      <c r="A98" s="57" t="s">
        <v>598</v>
      </c>
      <c r="B98" s="58" t="s">
        <v>599</v>
      </c>
      <c r="C98" s="58" t="s">
        <v>600</v>
      </c>
      <c r="D98" s="59" t="s">
        <v>601</v>
      </c>
      <c r="E98" s="60" t="b">
        <v>1</v>
      </c>
      <c r="F98" s="58" t="s">
        <v>598</v>
      </c>
      <c r="G98" s="64" t="s">
        <v>599</v>
      </c>
      <c r="H98" s="64" t="s">
        <v>600</v>
      </c>
      <c r="I98" s="65" t="s">
        <v>601</v>
      </c>
      <c r="J98" s="66"/>
      <c r="K98" s="63" t="str">
        <f>HYPERLINK("http://nsgreg.nga.mil/genc/view?v=867399&amp;end_month=12&amp;end_day=31&amp;end_year=2016","Correlation")</f>
        <v>Correlation</v>
      </c>
    </row>
    <row r="99" spans="1:11" x14ac:dyDescent="0.2">
      <c r="A99" s="57" t="s">
        <v>602</v>
      </c>
      <c r="B99" s="58" t="s">
        <v>603</v>
      </c>
      <c r="C99" s="58" t="s">
        <v>604</v>
      </c>
      <c r="D99" s="59" t="s">
        <v>605</v>
      </c>
      <c r="E99" s="60" t="b">
        <v>1</v>
      </c>
      <c r="F99" s="58" t="s">
        <v>602</v>
      </c>
      <c r="G99" s="64" t="s">
        <v>603</v>
      </c>
      <c r="H99" s="64" t="s">
        <v>604</v>
      </c>
      <c r="I99" s="65" t="s">
        <v>605</v>
      </c>
      <c r="J99" s="66"/>
      <c r="K99" s="63" t="str">
        <f>HYPERLINK("http://nsgreg.nga.mil/genc/view?v=867400&amp;end_month=12&amp;end_day=31&amp;end_year=2016","Correlation")</f>
        <v>Correlation</v>
      </c>
    </row>
    <row r="100" spans="1:11" x14ac:dyDescent="0.2">
      <c r="A100" s="57" t="s">
        <v>606</v>
      </c>
      <c r="B100" s="58" t="s">
        <v>607</v>
      </c>
      <c r="C100" s="58" t="s">
        <v>608</v>
      </c>
      <c r="D100" s="59" t="s">
        <v>609</v>
      </c>
      <c r="E100" s="60" t="b">
        <v>1</v>
      </c>
      <c r="F100" s="58" t="s">
        <v>606</v>
      </c>
      <c r="G100" s="64" t="s">
        <v>607</v>
      </c>
      <c r="H100" s="64" t="s">
        <v>608</v>
      </c>
      <c r="I100" s="65" t="s">
        <v>609</v>
      </c>
      <c r="J100" s="66"/>
      <c r="K100" s="63" t="str">
        <f>HYPERLINK("http://nsgreg.nga.mil/genc/view?v=867401&amp;end_month=12&amp;end_day=31&amp;end_year=2016","Correlation")</f>
        <v>Correlation</v>
      </c>
    </row>
    <row r="101" spans="1:11" x14ac:dyDescent="0.2">
      <c r="A101" s="57" t="s">
        <v>610</v>
      </c>
      <c r="B101" s="58" t="s">
        <v>611</v>
      </c>
      <c r="C101" s="58" t="s">
        <v>612</v>
      </c>
      <c r="D101" s="59" t="s">
        <v>613</v>
      </c>
      <c r="E101" s="60" t="b">
        <v>1</v>
      </c>
      <c r="F101" s="58" t="s">
        <v>610</v>
      </c>
      <c r="G101" s="64" t="s">
        <v>611</v>
      </c>
      <c r="H101" s="64" t="s">
        <v>612</v>
      </c>
      <c r="I101" s="65" t="s">
        <v>613</v>
      </c>
      <c r="J101" s="66"/>
      <c r="K101" s="63" t="str">
        <f>HYPERLINK("http://nsgreg.nga.mil/genc/view?v=867402&amp;end_month=12&amp;end_day=31&amp;end_year=2016","Correlation")</f>
        <v>Correlation</v>
      </c>
    </row>
    <row r="102" spans="1:11" x14ac:dyDescent="0.2">
      <c r="A102" s="57" t="s">
        <v>618</v>
      </c>
      <c r="B102" s="58" t="s">
        <v>619</v>
      </c>
      <c r="C102" s="58" t="s">
        <v>620</v>
      </c>
      <c r="D102" s="59" t="s">
        <v>621</v>
      </c>
      <c r="E102" s="60" t="b">
        <v>1</v>
      </c>
      <c r="F102" s="58" t="s">
        <v>618</v>
      </c>
      <c r="G102" s="64" t="s">
        <v>619</v>
      </c>
      <c r="H102" s="64" t="s">
        <v>620</v>
      </c>
      <c r="I102" s="65" t="s">
        <v>621</v>
      </c>
      <c r="J102" s="66"/>
      <c r="K102" s="63" t="str">
        <f>HYPERLINK("http://nsgreg.nga.mil/genc/view?v=867403&amp;end_month=12&amp;end_day=31&amp;end_year=2016","Correlation")</f>
        <v>Correlation</v>
      </c>
    </row>
    <row r="103" spans="1:11" x14ac:dyDescent="0.2">
      <c r="A103" s="57" t="s">
        <v>622</v>
      </c>
      <c r="B103" s="58" t="s">
        <v>623</v>
      </c>
      <c r="C103" s="58" t="s">
        <v>624</v>
      </c>
      <c r="D103" s="59" t="s">
        <v>625</v>
      </c>
      <c r="E103" s="60" t="b">
        <v>1</v>
      </c>
      <c r="F103" s="58" t="s">
        <v>622</v>
      </c>
      <c r="G103" s="64" t="s">
        <v>623</v>
      </c>
      <c r="H103" s="64" t="s">
        <v>624</v>
      </c>
      <c r="I103" s="65" t="s">
        <v>625</v>
      </c>
      <c r="J103" s="66"/>
      <c r="K103" s="63" t="str">
        <f>HYPERLINK("http://nsgreg.nga.mil/genc/view?v=867404&amp;end_month=12&amp;end_day=31&amp;end_year=2016","Correlation")</f>
        <v>Correlation</v>
      </c>
    </row>
    <row r="104" spans="1:11" x14ac:dyDescent="0.2">
      <c r="A104" s="57" t="s">
        <v>626</v>
      </c>
      <c r="B104" s="58" t="s">
        <v>627</v>
      </c>
      <c r="C104" s="58" t="s">
        <v>628</v>
      </c>
      <c r="D104" s="59" t="s">
        <v>629</v>
      </c>
      <c r="E104" s="60" t="b">
        <v>1</v>
      </c>
      <c r="F104" s="58" t="s">
        <v>626</v>
      </c>
      <c r="G104" s="64" t="s">
        <v>627</v>
      </c>
      <c r="H104" s="64" t="s">
        <v>628</v>
      </c>
      <c r="I104" s="65" t="s">
        <v>629</v>
      </c>
      <c r="J104" s="66"/>
      <c r="K104" s="63" t="str">
        <f>HYPERLINK("http://nsgreg.nga.mil/genc/view?v=867405&amp;end_month=12&amp;end_day=31&amp;end_year=2016","Correlation")</f>
        <v>Correlation</v>
      </c>
    </row>
    <row r="105" spans="1:11" x14ac:dyDescent="0.2">
      <c r="A105" s="57" t="s">
        <v>630</v>
      </c>
      <c r="B105" s="58" t="s">
        <v>631</v>
      </c>
      <c r="C105" s="58" t="s">
        <v>632</v>
      </c>
      <c r="D105" s="59" t="s">
        <v>633</v>
      </c>
      <c r="E105" s="60" t="b">
        <v>1</v>
      </c>
      <c r="F105" s="58" t="s">
        <v>630</v>
      </c>
      <c r="G105" s="64" t="s">
        <v>631</v>
      </c>
      <c r="H105" s="64" t="s">
        <v>632</v>
      </c>
      <c r="I105" s="65" t="s">
        <v>633</v>
      </c>
      <c r="J105" s="66"/>
      <c r="K105" s="63" t="str">
        <f>HYPERLINK("http://nsgreg.nga.mil/genc/view?v=867406&amp;end_month=12&amp;end_day=31&amp;end_year=2016","Correlation")</f>
        <v>Correlation</v>
      </c>
    </row>
    <row r="106" spans="1:11" x14ac:dyDescent="0.2">
      <c r="A106" s="57" t="s">
        <v>637</v>
      </c>
      <c r="B106" s="58" t="s">
        <v>638</v>
      </c>
      <c r="C106" s="58" t="s">
        <v>639</v>
      </c>
      <c r="D106" s="59" t="s">
        <v>640</v>
      </c>
      <c r="E106" s="60" t="b">
        <v>1</v>
      </c>
      <c r="F106" s="58" t="s">
        <v>637</v>
      </c>
      <c r="G106" s="64" t="s">
        <v>638</v>
      </c>
      <c r="H106" s="64" t="s">
        <v>639</v>
      </c>
      <c r="I106" s="65" t="s">
        <v>640</v>
      </c>
      <c r="J106" s="66"/>
      <c r="K106" s="63" t="str">
        <f>HYPERLINK("http://nsgreg.nga.mil/genc/view?v=867407&amp;end_month=12&amp;end_day=31&amp;end_year=2016","Correlation")</f>
        <v>Correlation</v>
      </c>
    </row>
    <row r="107" spans="1:11" x14ac:dyDescent="0.2">
      <c r="A107" s="57" t="s">
        <v>647</v>
      </c>
      <c r="B107" s="58" t="s">
        <v>648</v>
      </c>
      <c r="C107" s="58" t="s">
        <v>649</v>
      </c>
      <c r="D107" s="59" t="s">
        <v>650</v>
      </c>
      <c r="E107" s="60" t="b">
        <v>1</v>
      </c>
      <c r="F107" s="58" t="s">
        <v>647</v>
      </c>
      <c r="G107" s="64" t="s">
        <v>648</v>
      </c>
      <c r="H107" s="64" t="s">
        <v>649</v>
      </c>
      <c r="I107" s="65" t="s">
        <v>650</v>
      </c>
      <c r="J107" s="66"/>
      <c r="K107" s="63" t="str">
        <f>HYPERLINK("http://nsgreg.nga.mil/genc/view?v=867408&amp;end_month=12&amp;end_day=31&amp;end_year=2016","Correlation")</f>
        <v>Correlation</v>
      </c>
    </row>
    <row r="108" spans="1:11" x14ac:dyDescent="0.2">
      <c r="A108" s="57" t="s">
        <v>651</v>
      </c>
      <c r="B108" s="58" t="s">
        <v>652</v>
      </c>
      <c r="C108" s="58" t="s">
        <v>653</v>
      </c>
      <c r="D108" s="59" t="s">
        <v>654</v>
      </c>
      <c r="E108" s="60" t="b">
        <v>1</v>
      </c>
      <c r="F108" s="58" t="s">
        <v>651</v>
      </c>
      <c r="G108" s="64" t="s">
        <v>652</v>
      </c>
      <c r="H108" s="64" t="s">
        <v>653</v>
      </c>
      <c r="I108" s="65" t="s">
        <v>654</v>
      </c>
      <c r="J108" s="66"/>
      <c r="K108" s="63" t="str">
        <f>HYPERLINK("http://nsgreg.nga.mil/genc/view?v=867409&amp;end_month=12&amp;end_day=31&amp;end_year=2016","Correlation")</f>
        <v>Correlation</v>
      </c>
    </row>
    <row r="109" spans="1:11" x14ac:dyDescent="0.2">
      <c r="A109" s="57" t="s">
        <v>655</v>
      </c>
      <c r="B109" s="58" t="s">
        <v>656</v>
      </c>
      <c r="C109" s="58" t="s">
        <v>657</v>
      </c>
      <c r="D109" s="59" t="s">
        <v>658</v>
      </c>
      <c r="E109" s="60" t="b">
        <v>1</v>
      </c>
      <c r="F109" s="58" t="s">
        <v>655</v>
      </c>
      <c r="G109" s="64" t="s">
        <v>656</v>
      </c>
      <c r="H109" s="64" t="s">
        <v>657</v>
      </c>
      <c r="I109" s="65" t="s">
        <v>658</v>
      </c>
      <c r="J109" s="66"/>
      <c r="K109" s="63" t="str">
        <f>HYPERLINK("http://nsgreg.nga.mil/genc/view?v=867410&amp;end_month=12&amp;end_day=31&amp;end_year=2016","Correlation")</f>
        <v>Correlation</v>
      </c>
    </row>
    <row r="110" spans="1:11" x14ac:dyDescent="0.2">
      <c r="A110" s="57" t="s">
        <v>659</v>
      </c>
      <c r="B110" s="58" t="s">
        <v>660</v>
      </c>
      <c r="C110" s="58" t="s">
        <v>661</v>
      </c>
      <c r="D110" s="59" t="s">
        <v>662</v>
      </c>
      <c r="E110" s="60" t="b">
        <v>1</v>
      </c>
      <c r="F110" s="58" t="s">
        <v>659</v>
      </c>
      <c r="G110" s="64" t="s">
        <v>660</v>
      </c>
      <c r="H110" s="64" t="s">
        <v>661</v>
      </c>
      <c r="I110" s="65" t="s">
        <v>662</v>
      </c>
      <c r="J110" s="66"/>
      <c r="K110" s="63" t="str">
        <f>HYPERLINK("http://nsgreg.nga.mil/genc/view?v=867411&amp;end_month=12&amp;end_day=31&amp;end_year=2016","Correlation")</f>
        <v>Correlation</v>
      </c>
    </row>
    <row r="111" spans="1:11" x14ac:dyDescent="0.2">
      <c r="A111" s="57" t="s">
        <v>663</v>
      </c>
      <c r="B111" s="58" t="s">
        <v>664</v>
      </c>
      <c r="C111" s="58" t="s">
        <v>665</v>
      </c>
      <c r="D111" s="59" t="s">
        <v>666</v>
      </c>
      <c r="E111" s="60" t="b">
        <v>1</v>
      </c>
      <c r="F111" s="58" t="s">
        <v>663</v>
      </c>
      <c r="G111" s="64" t="s">
        <v>664</v>
      </c>
      <c r="H111" s="64" t="s">
        <v>665</v>
      </c>
      <c r="I111" s="65" t="s">
        <v>666</v>
      </c>
      <c r="J111" s="66"/>
      <c r="K111" s="63" t="str">
        <f>HYPERLINK("http://nsgreg.nga.mil/genc/view?v=867412&amp;end_month=12&amp;end_day=31&amp;end_year=2016","Correlation")</f>
        <v>Correlation</v>
      </c>
    </row>
    <row r="112" spans="1:11" x14ac:dyDescent="0.2">
      <c r="A112" s="57" t="s">
        <v>667</v>
      </c>
      <c r="B112" s="58" t="s">
        <v>668</v>
      </c>
      <c r="C112" s="58" t="s">
        <v>669</v>
      </c>
      <c r="D112" s="59" t="s">
        <v>670</v>
      </c>
      <c r="E112" s="60" t="b">
        <v>1</v>
      </c>
      <c r="F112" s="58" t="s">
        <v>667</v>
      </c>
      <c r="G112" s="64" t="s">
        <v>668</v>
      </c>
      <c r="H112" s="64" t="s">
        <v>669</v>
      </c>
      <c r="I112" s="65" t="s">
        <v>670</v>
      </c>
      <c r="J112" s="66"/>
      <c r="K112" s="63" t="str">
        <f>HYPERLINK("http://nsgreg.nga.mil/genc/view?v=867413&amp;end_month=12&amp;end_day=31&amp;end_year=2016","Correlation")</f>
        <v>Correlation</v>
      </c>
    </row>
    <row r="113" spans="1:11" x14ac:dyDescent="0.2">
      <c r="A113" s="57" t="s">
        <v>671</v>
      </c>
      <c r="B113" s="58" t="s">
        <v>672</v>
      </c>
      <c r="C113" s="58" t="s">
        <v>673</v>
      </c>
      <c r="D113" s="59" t="s">
        <v>674</v>
      </c>
      <c r="E113" s="60" t="b">
        <v>1</v>
      </c>
      <c r="F113" s="58" t="s">
        <v>671</v>
      </c>
      <c r="G113" s="64" t="s">
        <v>672</v>
      </c>
      <c r="H113" s="64" t="s">
        <v>673</v>
      </c>
      <c r="I113" s="65" t="s">
        <v>674</v>
      </c>
      <c r="J113" s="66"/>
      <c r="K113" s="63" t="str">
        <f>HYPERLINK("http://nsgreg.nga.mil/genc/view?v=867414&amp;end_month=12&amp;end_day=31&amp;end_year=2016","Correlation")</f>
        <v>Correlation</v>
      </c>
    </row>
    <row r="114" spans="1:11" x14ac:dyDescent="0.2">
      <c r="A114" s="57" t="s">
        <v>1362</v>
      </c>
      <c r="B114" s="58" t="s">
        <v>1359</v>
      </c>
      <c r="C114" s="58" t="s">
        <v>1360</v>
      </c>
      <c r="D114" s="59" t="s">
        <v>1361</v>
      </c>
      <c r="E114" s="60" t="b">
        <v>1</v>
      </c>
      <c r="F114" s="58" t="s">
        <v>1358</v>
      </c>
      <c r="G114" s="64" t="s">
        <v>1359</v>
      </c>
      <c r="H114" s="64" t="s">
        <v>1360</v>
      </c>
      <c r="I114" s="65" t="s">
        <v>1361</v>
      </c>
      <c r="J114" s="66"/>
      <c r="K114" s="63" t="str">
        <f>HYPERLINK("http://nsgreg.nga.mil/genc/view?v=867415&amp;end_month=12&amp;end_day=31&amp;end_year=2016","Correlation")</f>
        <v>Correlation</v>
      </c>
    </row>
    <row r="115" spans="1:11" x14ac:dyDescent="0.2">
      <c r="A115" s="57" t="s">
        <v>675</v>
      </c>
      <c r="B115" s="58" t="s">
        <v>676</v>
      </c>
      <c r="C115" s="58" t="s">
        <v>677</v>
      </c>
      <c r="D115" s="59" t="s">
        <v>678</v>
      </c>
      <c r="E115" s="60" t="b">
        <v>1</v>
      </c>
      <c r="F115" s="58" t="s">
        <v>675</v>
      </c>
      <c r="G115" s="64" t="s">
        <v>676</v>
      </c>
      <c r="H115" s="64" t="s">
        <v>677</v>
      </c>
      <c r="I115" s="65" t="s">
        <v>678</v>
      </c>
      <c r="J115" s="66"/>
      <c r="K115" s="63" t="str">
        <f>HYPERLINK("http://nsgreg.nga.mil/genc/view?v=867416&amp;end_month=12&amp;end_day=31&amp;end_year=2016","Correlation")</f>
        <v>Correlation</v>
      </c>
    </row>
    <row r="116" spans="1:11" x14ac:dyDescent="0.2">
      <c r="A116" s="57" t="s">
        <v>679</v>
      </c>
      <c r="B116" s="58" t="s">
        <v>680</v>
      </c>
      <c r="C116" s="58" t="s">
        <v>681</v>
      </c>
      <c r="D116" s="59" t="s">
        <v>682</v>
      </c>
      <c r="E116" s="60" t="b">
        <v>1</v>
      </c>
      <c r="F116" s="58" t="s">
        <v>679</v>
      </c>
      <c r="G116" s="64" t="s">
        <v>680</v>
      </c>
      <c r="H116" s="64" t="s">
        <v>681</v>
      </c>
      <c r="I116" s="65" t="s">
        <v>682</v>
      </c>
      <c r="J116" s="66"/>
      <c r="K116" s="63" t="str">
        <f>HYPERLINK("http://nsgreg.nga.mil/genc/view?v=867417&amp;end_month=12&amp;end_day=31&amp;end_year=2016","Correlation")</f>
        <v>Correlation</v>
      </c>
    </row>
    <row r="117" spans="1:11" x14ac:dyDescent="0.2">
      <c r="A117" s="57" t="s">
        <v>691</v>
      </c>
      <c r="B117" s="58" t="s">
        <v>692</v>
      </c>
      <c r="C117" s="58" t="s">
        <v>693</v>
      </c>
      <c r="D117" s="59" t="s">
        <v>694</v>
      </c>
      <c r="E117" s="60" t="b">
        <v>1</v>
      </c>
      <c r="F117" s="58" t="s">
        <v>691</v>
      </c>
      <c r="G117" s="64" t="s">
        <v>692</v>
      </c>
      <c r="H117" s="64" t="s">
        <v>693</v>
      </c>
      <c r="I117" s="65" t="s">
        <v>694</v>
      </c>
      <c r="J117" s="66"/>
      <c r="K117" s="63" t="str">
        <f>HYPERLINK("http://nsgreg.nga.mil/genc/view?v=867418&amp;end_month=12&amp;end_day=31&amp;end_year=2016","Correlation")</f>
        <v>Correlation</v>
      </c>
    </row>
    <row r="118" spans="1:11" x14ac:dyDescent="0.2">
      <c r="A118" s="57" t="s">
        <v>695</v>
      </c>
      <c r="B118" s="58" t="s">
        <v>696</v>
      </c>
      <c r="C118" s="58" t="s">
        <v>697</v>
      </c>
      <c r="D118" s="59" t="s">
        <v>698</v>
      </c>
      <c r="E118" s="60" t="b">
        <v>1</v>
      </c>
      <c r="F118" s="58" t="s">
        <v>695</v>
      </c>
      <c r="G118" s="64" t="s">
        <v>696</v>
      </c>
      <c r="H118" s="64" t="s">
        <v>697</v>
      </c>
      <c r="I118" s="65" t="s">
        <v>698</v>
      </c>
      <c r="J118" s="66"/>
      <c r="K118" s="63" t="str">
        <f>HYPERLINK("http://nsgreg.nga.mil/genc/view?v=867419&amp;end_month=12&amp;end_day=31&amp;end_year=2016","Correlation")</f>
        <v>Correlation</v>
      </c>
    </row>
    <row r="119" spans="1:11" x14ac:dyDescent="0.2">
      <c r="A119" s="57" t="s">
        <v>699</v>
      </c>
      <c r="B119" s="58" t="s">
        <v>700</v>
      </c>
      <c r="C119" s="58" t="s">
        <v>701</v>
      </c>
      <c r="D119" s="59" t="s">
        <v>702</v>
      </c>
      <c r="E119" s="60" t="b">
        <v>1</v>
      </c>
      <c r="F119" s="58" t="s">
        <v>699</v>
      </c>
      <c r="G119" s="64" t="s">
        <v>700</v>
      </c>
      <c r="H119" s="64" t="s">
        <v>701</v>
      </c>
      <c r="I119" s="65" t="s">
        <v>702</v>
      </c>
      <c r="J119" s="66"/>
      <c r="K119" s="63" t="str">
        <f>HYPERLINK("http://nsgreg.nga.mil/genc/view?v=867420&amp;end_month=12&amp;end_day=31&amp;end_year=2016","Correlation")</f>
        <v>Correlation</v>
      </c>
    </row>
    <row r="120" spans="1:11" x14ac:dyDescent="0.2">
      <c r="A120" s="57" t="s">
        <v>703</v>
      </c>
      <c r="B120" s="58" t="s">
        <v>704</v>
      </c>
      <c r="C120" s="58" t="s">
        <v>705</v>
      </c>
      <c r="D120" s="59" t="s">
        <v>706</v>
      </c>
      <c r="E120" s="60" t="b">
        <v>1</v>
      </c>
      <c r="F120" s="58" t="s">
        <v>703</v>
      </c>
      <c r="G120" s="64" t="s">
        <v>704</v>
      </c>
      <c r="H120" s="64" t="s">
        <v>705</v>
      </c>
      <c r="I120" s="65" t="s">
        <v>706</v>
      </c>
      <c r="J120" s="66"/>
      <c r="K120" s="63" t="str">
        <f>HYPERLINK("http://nsgreg.nga.mil/genc/view?v=867421&amp;end_month=12&amp;end_day=31&amp;end_year=2016","Correlation")</f>
        <v>Correlation</v>
      </c>
    </row>
    <row r="121" spans="1:11" x14ac:dyDescent="0.2">
      <c r="A121" s="57" t="s">
        <v>711</v>
      </c>
      <c r="B121" s="58" t="s">
        <v>708</v>
      </c>
      <c r="C121" s="58" t="s">
        <v>709</v>
      </c>
      <c r="D121" s="59" t="s">
        <v>710</v>
      </c>
      <c r="E121" s="60" t="b">
        <v>1</v>
      </c>
      <c r="F121" s="58" t="s">
        <v>707</v>
      </c>
      <c r="G121" s="64" t="s">
        <v>708</v>
      </c>
      <c r="H121" s="64" t="s">
        <v>709</v>
      </c>
      <c r="I121" s="65" t="s">
        <v>710</v>
      </c>
      <c r="J121" s="66"/>
      <c r="K121" s="63" t="str">
        <f>HYPERLINK("http://nsgreg.nga.mil/genc/view?v=867422&amp;end_month=12&amp;end_day=31&amp;end_year=2016","Correlation")</f>
        <v>Correlation</v>
      </c>
    </row>
    <row r="122" spans="1:11" x14ac:dyDescent="0.2">
      <c r="A122" s="57" t="s">
        <v>712</v>
      </c>
      <c r="B122" s="58" t="s">
        <v>713</v>
      </c>
      <c r="C122" s="58" t="s">
        <v>714</v>
      </c>
      <c r="D122" s="59" t="s">
        <v>715</v>
      </c>
      <c r="E122" s="60" t="b">
        <v>1</v>
      </c>
      <c r="F122" s="58" t="s">
        <v>712</v>
      </c>
      <c r="G122" s="64" t="s">
        <v>713</v>
      </c>
      <c r="H122" s="64" t="s">
        <v>714</v>
      </c>
      <c r="I122" s="65" t="s">
        <v>715</v>
      </c>
      <c r="J122" s="66"/>
      <c r="K122" s="63" t="str">
        <f>HYPERLINK("http://nsgreg.nga.mil/genc/view?v=867423&amp;end_month=12&amp;end_day=31&amp;end_year=2016","Correlation")</f>
        <v>Correlation</v>
      </c>
    </row>
    <row r="123" spans="1:11" x14ac:dyDescent="0.2">
      <c r="A123" s="57" t="s">
        <v>716</v>
      </c>
      <c r="B123" s="58" t="s">
        <v>717</v>
      </c>
      <c r="C123" s="58" t="s">
        <v>718</v>
      </c>
      <c r="D123" s="59" t="s">
        <v>719</v>
      </c>
      <c r="E123" s="60" t="b">
        <v>1</v>
      </c>
      <c r="F123" s="58" t="s">
        <v>716</v>
      </c>
      <c r="G123" s="64" t="s">
        <v>717</v>
      </c>
      <c r="H123" s="64" t="s">
        <v>718</v>
      </c>
      <c r="I123" s="65" t="s">
        <v>719</v>
      </c>
      <c r="J123" s="66"/>
      <c r="K123" s="63" t="str">
        <f>HYPERLINK("http://nsgreg.nga.mil/genc/view?v=867424&amp;end_month=12&amp;end_day=31&amp;end_year=2016","Correlation")</f>
        <v>Correlation</v>
      </c>
    </row>
    <row r="124" spans="1:11" x14ac:dyDescent="0.2">
      <c r="A124" s="57" t="s">
        <v>720</v>
      </c>
      <c r="B124" s="58" t="s">
        <v>721</v>
      </c>
      <c r="C124" s="58" t="s">
        <v>722</v>
      </c>
      <c r="D124" s="59" t="s">
        <v>723</v>
      </c>
      <c r="E124" s="60" t="b">
        <v>1</v>
      </c>
      <c r="F124" s="58" t="s">
        <v>720</v>
      </c>
      <c r="G124" s="64" t="s">
        <v>721</v>
      </c>
      <c r="H124" s="64" t="s">
        <v>722</v>
      </c>
      <c r="I124" s="65" t="s">
        <v>723</v>
      </c>
      <c r="J124" s="66"/>
      <c r="K124" s="63" t="str">
        <f>HYPERLINK("http://nsgreg.nga.mil/genc/view?v=867425&amp;end_month=12&amp;end_day=31&amp;end_year=2016","Correlation")</f>
        <v>Correlation</v>
      </c>
    </row>
    <row r="125" spans="1:11" x14ac:dyDescent="0.2">
      <c r="A125" s="57" t="s">
        <v>724</v>
      </c>
      <c r="B125" s="58" t="s">
        <v>725</v>
      </c>
      <c r="C125" s="58" t="s">
        <v>726</v>
      </c>
      <c r="D125" s="59" t="s">
        <v>727</v>
      </c>
      <c r="E125" s="60" t="b">
        <v>1</v>
      </c>
      <c r="F125" s="58" t="s">
        <v>724</v>
      </c>
      <c r="G125" s="64" t="s">
        <v>725</v>
      </c>
      <c r="H125" s="64" t="s">
        <v>726</v>
      </c>
      <c r="I125" s="65" t="s">
        <v>727</v>
      </c>
      <c r="J125" s="66"/>
      <c r="K125" s="63" t="str">
        <f>HYPERLINK("http://nsgreg.nga.mil/genc/view?v=867426&amp;end_month=12&amp;end_day=31&amp;end_year=2016","Correlation")</f>
        <v>Correlation</v>
      </c>
    </row>
    <row r="126" spans="1:11" x14ac:dyDescent="0.2">
      <c r="A126" s="57" t="s">
        <v>728</v>
      </c>
      <c r="B126" s="58" t="s">
        <v>729</v>
      </c>
      <c r="C126" s="58" t="s">
        <v>730</v>
      </c>
      <c r="D126" s="59" t="s">
        <v>731</v>
      </c>
      <c r="E126" s="60" t="b">
        <v>1</v>
      </c>
      <c r="F126" s="58" t="s">
        <v>728</v>
      </c>
      <c r="G126" s="64" t="s">
        <v>729</v>
      </c>
      <c r="H126" s="64" t="s">
        <v>730</v>
      </c>
      <c r="I126" s="65" t="s">
        <v>731</v>
      </c>
      <c r="J126" s="66"/>
      <c r="K126" s="63" t="str">
        <f>HYPERLINK("http://nsgreg.nga.mil/genc/view?v=867427&amp;end_month=12&amp;end_day=31&amp;end_year=2016","Correlation")</f>
        <v>Correlation</v>
      </c>
    </row>
    <row r="127" spans="1:11" x14ac:dyDescent="0.2">
      <c r="A127" s="57" t="s">
        <v>732</v>
      </c>
      <c r="B127" s="58" t="s">
        <v>733</v>
      </c>
      <c r="C127" s="58" t="s">
        <v>734</v>
      </c>
      <c r="D127" s="59" t="s">
        <v>735</v>
      </c>
      <c r="E127" s="60" t="b">
        <v>1</v>
      </c>
      <c r="F127" s="58" t="s">
        <v>732</v>
      </c>
      <c r="G127" s="64" t="s">
        <v>733</v>
      </c>
      <c r="H127" s="64" t="s">
        <v>734</v>
      </c>
      <c r="I127" s="65" t="s">
        <v>735</v>
      </c>
      <c r="J127" s="66"/>
      <c r="K127" s="63" t="str">
        <f>HYPERLINK("http://nsgreg.nga.mil/genc/view?v=867428&amp;end_month=12&amp;end_day=31&amp;end_year=2016","Correlation")</f>
        <v>Correlation</v>
      </c>
    </row>
    <row r="128" spans="1:11" x14ac:dyDescent="0.2">
      <c r="A128" s="57" t="s">
        <v>746</v>
      </c>
      <c r="B128" s="58" t="s">
        <v>747</v>
      </c>
      <c r="C128" s="58" t="s">
        <v>748</v>
      </c>
      <c r="D128" s="59" t="s">
        <v>749</v>
      </c>
      <c r="E128" s="60" t="b">
        <v>1</v>
      </c>
      <c r="F128" s="58" t="s">
        <v>746</v>
      </c>
      <c r="G128" s="64" t="s">
        <v>747</v>
      </c>
      <c r="H128" s="64" t="s">
        <v>748</v>
      </c>
      <c r="I128" s="65" t="s">
        <v>749</v>
      </c>
      <c r="J128" s="66"/>
      <c r="K128" s="63" t="str">
        <f>HYPERLINK("http://nsgreg.nga.mil/genc/view?v=867429&amp;end_month=12&amp;end_day=31&amp;end_year=2016","Correlation")</f>
        <v>Correlation</v>
      </c>
    </row>
    <row r="129" spans="1:11" x14ac:dyDescent="0.2">
      <c r="A129" s="57" t="s">
        <v>756</v>
      </c>
      <c r="B129" s="58" t="s">
        <v>757</v>
      </c>
      <c r="C129" s="58" t="s">
        <v>758</v>
      </c>
      <c r="D129" s="59" t="s">
        <v>759</v>
      </c>
      <c r="E129" s="60" t="b">
        <v>1</v>
      </c>
      <c r="F129" s="58" t="s">
        <v>756</v>
      </c>
      <c r="G129" s="64" t="s">
        <v>757</v>
      </c>
      <c r="H129" s="64" t="s">
        <v>758</v>
      </c>
      <c r="I129" s="65" t="s">
        <v>759</v>
      </c>
      <c r="J129" s="66"/>
      <c r="K129" s="63" t="str">
        <f>HYPERLINK("http://nsgreg.nga.mil/genc/view?v=867430&amp;end_month=12&amp;end_day=31&amp;end_year=2016","Correlation")</f>
        <v>Correlation</v>
      </c>
    </row>
    <row r="130" spans="1:11" x14ac:dyDescent="0.2">
      <c r="A130" s="57" t="s">
        <v>766</v>
      </c>
      <c r="B130" s="58" t="s">
        <v>767</v>
      </c>
      <c r="C130" s="58" t="s">
        <v>768</v>
      </c>
      <c r="D130" s="59" t="s">
        <v>769</v>
      </c>
      <c r="E130" s="60" t="b">
        <v>1</v>
      </c>
      <c r="F130" s="58" t="s">
        <v>766</v>
      </c>
      <c r="G130" s="64" t="s">
        <v>767</v>
      </c>
      <c r="H130" s="64" t="s">
        <v>768</v>
      </c>
      <c r="I130" s="65" t="s">
        <v>769</v>
      </c>
      <c r="J130" s="66"/>
      <c r="K130" s="63" t="str">
        <f>HYPERLINK("http://nsgreg.nga.mil/genc/view?v=867431&amp;end_month=12&amp;end_day=31&amp;end_year=2016","Correlation")</f>
        <v>Correlation</v>
      </c>
    </row>
    <row r="131" spans="1:11" x14ac:dyDescent="0.2">
      <c r="A131" s="57" t="s">
        <v>774</v>
      </c>
      <c r="B131" s="58" t="s">
        <v>775</v>
      </c>
      <c r="C131" s="58" t="s">
        <v>776</v>
      </c>
      <c r="D131" s="59" t="s">
        <v>777</v>
      </c>
      <c r="E131" s="60" t="b">
        <v>1</v>
      </c>
      <c r="F131" s="58" t="s">
        <v>774</v>
      </c>
      <c r="G131" s="64" t="s">
        <v>775</v>
      </c>
      <c r="H131" s="64" t="s">
        <v>776</v>
      </c>
      <c r="I131" s="65" t="s">
        <v>777</v>
      </c>
      <c r="J131" s="66"/>
      <c r="K131" s="63" t="str">
        <f>HYPERLINK("http://nsgreg.nga.mil/genc/view?v=867432&amp;end_month=12&amp;end_day=31&amp;end_year=2016","Correlation")</f>
        <v>Correlation</v>
      </c>
    </row>
    <row r="132" spans="1:11" x14ac:dyDescent="0.2">
      <c r="A132" s="57" t="s">
        <v>778</v>
      </c>
      <c r="B132" s="58" t="s">
        <v>779</v>
      </c>
      <c r="C132" s="58" t="s">
        <v>780</v>
      </c>
      <c r="D132" s="59" t="s">
        <v>781</v>
      </c>
      <c r="E132" s="60" t="b">
        <v>1</v>
      </c>
      <c r="F132" s="58" t="s">
        <v>778</v>
      </c>
      <c r="G132" s="64" t="s">
        <v>779</v>
      </c>
      <c r="H132" s="64" t="s">
        <v>780</v>
      </c>
      <c r="I132" s="65" t="s">
        <v>781</v>
      </c>
      <c r="J132" s="66"/>
      <c r="K132" s="63" t="str">
        <f>HYPERLINK("http://nsgreg.nga.mil/genc/view?v=867433&amp;end_month=12&amp;end_day=31&amp;end_year=2016","Correlation")</f>
        <v>Correlation</v>
      </c>
    </row>
    <row r="133" spans="1:11" x14ac:dyDescent="0.2">
      <c r="A133" s="57" t="s">
        <v>788</v>
      </c>
      <c r="B133" s="58" t="s">
        <v>789</v>
      </c>
      <c r="C133" s="58" t="s">
        <v>790</v>
      </c>
      <c r="D133" s="59" t="s">
        <v>791</v>
      </c>
      <c r="E133" s="60" t="b">
        <v>1</v>
      </c>
      <c r="F133" s="58" t="s">
        <v>788</v>
      </c>
      <c r="G133" s="64" t="s">
        <v>789</v>
      </c>
      <c r="H133" s="64" t="s">
        <v>790</v>
      </c>
      <c r="I133" s="65" t="s">
        <v>791</v>
      </c>
      <c r="J133" s="66"/>
      <c r="K133" s="63" t="str">
        <f>HYPERLINK("http://nsgreg.nga.mil/genc/view?v=867434&amp;end_month=12&amp;end_day=31&amp;end_year=2016","Correlation")</f>
        <v>Correlation</v>
      </c>
    </row>
    <row r="134" spans="1:11" x14ac:dyDescent="0.2">
      <c r="A134" s="57" t="s">
        <v>796</v>
      </c>
      <c r="B134" s="58" t="s">
        <v>793</v>
      </c>
      <c r="C134" s="58" t="s">
        <v>794</v>
      </c>
      <c r="D134" s="59" t="s">
        <v>795</v>
      </c>
      <c r="E134" s="60" t="b">
        <v>1</v>
      </c>
      <c r="F134" s="58" t="s">
        <v>792</v>
      </c>
      <c r="G134" s="64" t="s">
        <v>793</v>
      </c>
      <c r="H134" s="64" t="s">
        <v>794</v>
      </c>
      <c r="I134" s="65" t="s">
        <v>795</v>
      </c>
      <c r="J134" s="66"/>
      <c r="K134" s="63" t="str">
        <f>HYPERLINK("http://nsgreg.nga.mil/genc/view?v=867435&amp;end_month=12&amp;end_day=31&amp;end_year=2016","Correlation")</f>
        <v>Correlation</v>
      </c>
    </row>
    <row r="135" spans="1:11" x14ac:dyDescent="0.2">
      <c r="A135" s="57" t="s">
        <v>801</v>
      </c>
      <c r="B135" s="58" t="s">
        <v>798</v>
      </c>
      <c r="C135" s="58" t="s">
        <v>799</v>
      </c>
      <c r="D135" s="59" t="s">
        <v>800</v>
      </c>
      <c r="E135" s="60" t="b">
        <v>1</v>
      </c>
      <c r="F135" s="58" t="s">
        <v>797</v>
      </c>
      <c r="G135" s="64" t="s">
        <v>798</v>
      </c>
      <c r="H135" s="64" t="s">
        <v>799</v>
      </c>
      <c r="I135" s="65" t="s">
        <v>800</v>
      </c>
      <c r="J135" s="66"/>
      <c r="K135" s="63" t="str">
        <f>HYPERLINK("http://nsgreg.nga.mil/genc/view?v=867436&amp;end_month=12&amp;end_day=31&amp;end_year=2016","Correlation")</f>
        <v>Correlation</v>
      </c>
    </row>
    <row r="136" spans="1:11" x14ac:dyDescent="0.2">
      <c r="A136" s="57" t="s">
        <v>808</v>
      </c>
      <c r="B136" s="58" t="s">
        <v>809</v>
      </c>
      <c r="C136" s="58" t="s">
        <v>810</v>
      </c>
      <c r="D136" s="59" t="s">
        <v>811</v>
      </c>
      <c r="E136" s="60" t="b">
        <v>1</v>
      </c>
      <c r="F136" s="58" t="s">
        <v>808</v>
      </c>
      <c r="G136" s="64" t="s">
        <v>809</v>
      </c>
      <c r="H136" s="64" t="s">
        <v>810</v>
      </c>
      <c r="I136" s="65" t="s">
        <v>811</v>
      </c>
      <c r="J136" s="66"/>
      <c r="K136" s="63" t="str">
        <f>HYPERLINK("http://nsgreg.nga.mil/genc/view?v=867438&amp;end_month=12&amp;end_day=31&amp;end_year=2016","Correlation")</f>
        <v>Correlation</v>
      </c>
    </row>
    <row r="137" spans="1:11" x14ac:dyDescent="0.2">
      <c r="A137" s="57" t="s">
        <v>812</v>
      </c>
      <c r="B137" s="58" t="s">
        <v>813</v>
      </c>
      <c r="C137" s="58" t="s">
        <v>814</v>
      </c>
      <c r="D137" s="59" t="s">
        <v>815</v>
      </c>
      <c r="E137" s="60" t="b">
        <v>1</v>
      </c>
      <c r="F137" s="58" t="s">
        <v>812</v>
      </c>
      <c r="G137" s="64" t="s">
        <v>813</v>
      </c>
      <c r="H137" s="64" t="s">
        <v>814</v>
      </c>
      <c r="I137" s="65" t="s">
        <v>815</v>
      </c>
      <c r="J137" s="66"/>
      <c r="K137" s="63" t="str">
        <f>HYPERLINK("http://nsgreg.nga.mil/genc/view?v=867439&amp;end_month=12&amp;end_day=31&amp;end_year=2016","Correlation")</f>
        <v>Correlation</v>
      </c>
    </row>
    <row r="138" spans="1:11" x14ac:dyDescent="0.2">
      <c r="A138" s="57" t="s">
        <v>820</v>
      </c>
      <c r="B138" s="58" t="s">
        <v>817</v>
      </c>
      <c r="C138" s="58" t="s">
        <v>818</v>
      </c>
      <c r="D138" s="59" t="s">
        <v>819</v>
      </c>
      <c r="E138" s="60" t="b">
        <v>1</v>
      </c>
      <c r="F138" s="58" t="s">
        <v>816</v>
      </c>
      <c r="G138" s="64" t="s">
        <v>817</v>
      </c>
      <c r="H138" s="64" t="s">
        <v>818</v>
      </c>
      <c r="I138" s="65" t="s">
        <v>819</v>
      </c>
      <c r="J138" s="66"/>
      <c r="K138" s="63" t="str">
        <f>HYPERLINK("http://nsgreg.nga.mil/genc/view?v=867440&amp;end_month=12&amp;end_day=31&amp;end_year=2016","Correlation")</f>
        <v>Correlation</v>
      </c>
    </row>
    <row r="139" spans="1:11" x14ac:dyDescent="0.2">
      <c r="A139" s="57" t="s">
        <v>821</v>
      </c>
      <c r="B139" s="58" t="s">
        <v>822</v>
      </c>
      <c r="C139" s="58" t="s">
        <v>823</v>
      </c>
      <c r="D139" s="59" t="s">
        <v>824</v>
      </c>
      <c r="E139" s="60" t="b">
        <v>1</v>
      </c>
      <c r="F139" s="58" t="s">
        <v>821</v>
      </c>
      <c r="G139" s="64" t="s">
        <v>822</v>
      </c>
      <c r="H139" s="64" t="s">
        <v>823</v>
      </c>
      <c r="I139" s="65" t="s">
        <v>824</v>
      </c>
      <c r="J139" s="66"/>
      <c r="K139" s="63" t="str">
        <f>HYPERLINK("http://nsgreg.nga.mil/genc/view?v=867441&amp;end_month=12&amp;end_day=31&amp;end_year=2016","Correlation")</f>
        <v>Correlation</v>
      </c>
    </row>
    <row r="140" spans="1:11" x14ac:dyDescent="0.2">
      <c r="A140" s="57" t="s">
        <v>825</v>
      </c>
      <c r="B140" s="58" t="s">
        <v>826</v>
      </c>
      <c r="C140" s="58" t="s">
        <v>827</v>
      </c>
      <c r="D140" s="59" t="s">
        <v>828</v>
      </c>
      <c r="E140" s="60" t="b">
        <v>1</v>
      </c>
      <c r="F140" s="58" t="s">
        <v>825</v>
      </c>
      <c r="G140" s="64" t="s">
        <v>826</v>
      </c>
      <c r="H140" s="64" t="s">
        <v>827</v>
      </c>
      <c r="I140" s="65" t="s">
        <v>828</v>
      </c>
      <c r="J140" s="66"/>
      <c r="K140" s="63" t="str">
        <f>HYPERLINK("http://nsgreg.nga.mil/genc/view?v=867442&amp;end_month=12&amp;end_day=31&amp;end_year=2016","Correlation")</f>
        <v>Correlation</v>
      </c>
    </row>
    <row r="141" spans="1:11" x14ac:dyDescent="0.2">
      <c r="A141" s="57" t="s">
        <v>829</v>
      </c>
      <c r="B141" s="58" t="s">
        <v>830</v>
      </c>
      <c r="C141" s="58" t="s">
        <v>831</v>
      </c>
      <c r="D141" s="59" t="s">
        <v>832</v>
      </c>
      <c r="E141" s="60" t="b">
        <v>1</v>
      </c>
      <c r="F141" s="58" t="s">
        <v>829</v>
      </c>
      <c r="G141" s="64" t="s">
        <v>830</v>
      </c>
      <c r="H141" s="64" t="s">
        <v>831</v>
      </c>
      <c r="I141" s="65" t="s">
        <v>832</v>
      </c>
      <c r="J141" s="66"/>
      <c r="K141" s="63" t="str">
        <f>HYPERLINK("http://nsgreg.nga.mil/genc/view?v=867443&amp;end_month=12&amp;end_day=31&amp;end_year=2016","Correlation")</f>
        <v>Correlation</v>
      </c>
    </row>
    <row r="142" spans="1:11" x14ac:dyDescent="0.2">
      <c r="A142" s="57" t="s">
        <v>833</v>
      </c>
      <c r="B142" s="58" t="s">
        <v>834</v>
      </c>
      <c r="C142" s="58" t="s">
        <v>835</v>
      </c>
      <c r="D142" s="59" t="s">
        <v>836</v>
      </c>
      <c r="E142" s="60" t="b">
        <v>1</v>
      </c>
      <c r="F142" s="58" t="s">
        <v>833</v>
      </c>
      <c r="G142" s="64" t="s">
        <v>834</v>
      </c>
      <c r="H142" s="64" t="s">
        <v>835</v>
      </c>
      <c r="I142" s="65" t="s">
        <v>836</v>
      </c>
      <c r="J142" s="66"/>
      <c r="K142" s="63" t="str">
        <f>HYPERLINK("http://nsgreg.nga.mil/genc/view?v=867444&amp;end_month=12&amp;end_day=31&amp;end_year=2016","Correlation")</f>
        <v>Correlation</v>
      </c>
    </row>
    <row r="143" spans="1:11" x14ac:dyDescent="0.2">
      <c r="A143" s="57" t="s">
        <v>837</v>
      </c>
      <c r="B143" s="58" t="s">
        <v>838</v>
      </c>
      <c r="C143" s="58" t="s">
        <v>839</v>
      </c>
      <c r="D143" s="59" t="s">
        <v>840</v>
      </c>
      <c r="E143" s="60" t="b">
        <v>1</v>
      </c>
      <c r="F143" s="58" t="s">
        <v>837</v>
      </c>
      <c r="G143" s="64" t="s">
        <v>838</v>
      </c>
      <c r="H143" s="64" t="s">
        <v>839</v>
      </c>
      <c r="I143" s="65" t="s">
        <v>840</v>
      </c>
      <c r="J143" s="66"/>
      <c r="K143" s="63" t="str">
        <f>HYPERLINK("http://nsgreg.nga.mil/genc/view?v=867445&amp;end_month=12&amp;end_day=31&amp;end_year=2016","Correlation")</f>
        <v>Correlation</v>
      </c>
    </row>
    <row r="144" spans="1:11" x14ac:dyDescent="0.2">
      <c r="A144" s="57" t="s">
        <v>841</v>
      </c>
      <c r="B144" s="58" t="s">
        <v>842</v>
      </c>
      <c r="C144" s="58" t="s">
        <v>843</v>
      </c>
      <c r="D144" s="59" t="s">
        <v>844</v>
      </c>
      <c r="E144" s="60" t="b">
        <v>1</v>
      </c>
      <c r="F144" s="58" t="s">
        <v>841</v>
      </c>
      <c r="G144" s="64" t="s">
        <v>842</v>
      </c>
      <c r="H144" s="64" t="s">
        <v>843</v>
      </c>
      <c r="I144" s="65" t="s">
        <v>844</v>
      </c>
      <c r="J144" s="66"/>
      <c r="K144" s="63" t="str">
        <f>HYPERLINK("http://nsgreg.nga.mil/genc/view?v=867446&amp;end_month=12&amp;end_day=31&amp;end_year=2016","Correlation")</f>
        <v>Correlation</v>
      </c>
    </row>
    <row r="145" spans="1:11" x14ac:dyDescent="0.2">
      <c r="A145" s="57" t="s">
        <v>845</v>
      </c>
      <c r="B145" s="58" t="s">
        <v>846</v>
      </c>
      <c r="C145" s="58" t="s">
        <v>847</v>
      </c>
      <c r="D145" s="59" t="s">
        <v>848</v>
      </c>
      <c r="E145" s="60" t="b">
        <v>1</v>
      </c>
      <c r="F145" s="58" t="s">
        <v>845</v>
      </c>
      <c r="G145" s="64" t="s">
        <v>846</v>
      </c>
      <c r="H145" s="64" t="s">
        <v>847</v>
      </c>
      <c r="I145" s="65" t="s">
        <v>848</v>
      </c>
      <c r="J145" s="66"/>
      <c r="K145" s="63" t="str">
        <f>HYPERLINK("http://nsgreg.nga.mil/genc/view?v=867447&amp;end_month=12&amp;end_day=31&amp;end_year=2016","Correlation")</f>
        <v>Correlation</v>
      </c>
    </row>
    <row r="146" spans="1:11" x14ac:dyDescent="0.2">
      <c r="A146" s="57" t="s">
        <v>849</v>
      </c>
      <c r="B146" s="58" t="s">
        <v>850</v>
      </c>
      <c r="C146" s="58" t="s">
        <v>851</v>
      </c>
      <c r="D146" s="59" t="s">
        <v>852</v>
      </c>
      <c r="E146" s="60" t="b">
        <v>1</v>
      </c>
      <c r="F146" s="58" t="s">
        <v>849</v>
      </c>
      <c r="G146" s="64" t="s">
        <v>850</v>
      </c>
      <c r="H146" s="64" t="s">
        <v>851</v>
      </c>
      <c r="I146" s="65" t="s">
        <v>852</v>
      </c>
      <c r="J146" s="66"/>
      <c r="K146" s="63" t="str">
        <f>HYPERLINK("http://nsgreg.nga.mil/genc/view?v=867448&amp;end_month=12&amp;end_day=31&amp;end_year=2016","Correlation")</f>
        <v>Correlation</v>
      </c>
    </row>
    <row r="147" spans="1:11" x14ac:dyDescent="0.2">
      <c r="A147" s="57" t="s">
        <v>857</v>
      </c>
      <c r="B147" s="58" t="s">
        <v>854</v>
      </c>
      <c r="C147" s="58" t="s">
        <v>855</v>
      </c>
      <c r="D147" s="59" t="s">
        <v>856</v>
      </c>
      <c r="E147" s="60" t="b">
        <v>1</v>
      </c>
      <c r="F147" s="58" t="s">
        <v>853</v>
      </c>
      <c r="G147" s="64" t="s">
        <v>854</v>
      </c>
      <c r="H147" s="64" t="s">
        <v>855</v>
      </c>
      <c r="I147" s="65" t="s">
        <v>856</v>
      </c>
      <c r="J147" s="66"/>
      <c r="K147" s="63" t="str">
        <f>HYPERLINK("http://nsgreg.nga.mil/genc/view?v=867449&amp;end_month=12&amp;end_day=31&amp;end_year=2016","Correlation")</f>
        <v>Correlation</v>
      </c>
    </row>
    <row r="148" spans="1:11" x14ac:dyDescent="0.2">
      <c r="A148" s="57" t="s">
        <v>864</v>
      </c>
      <c r="B148" s="58" t="s">
        <v>861</v>
      </c>
      <c r="C148" s="58" t="s">
        <v>862</v>
      </c>
      <c r="D148" s="59" t="s">
        <v>863</v>
      </c>
      <c r="E148" s="60" t="b">
        <v>1</v>
      </c>
      <c r="F148" s="58" t="s">
        <v>860</v>
      </c>
      <c r="G148" s="64" t="s">
        <v>861</v>
      </c>
      <c r="H148" s="64" t="s">
        <v>862</v>
      </c>
      <c r="I148" s="65" t="s">
        <v>863</v>
      </c>
      <c r="J148" s="66"/>
      <c r="K148" s="63" t="str">
        <f>HYPERLINK("http://nsgreg.nga.mil/genc/view?v=867450&amp;end_month=12&amp;end_day=31&amp;end_year=2016","Correlation")</f>
        <v>Correlation</v>
      </c>
    </row>
    <row r="149" spans="1:11" x14ac:dyDescent="0.2">
      <c r="A149" s="57" t="s">
        <v>865</v>
      </c>
      <c r="B149" s="58" t="s">
        <v>866</v>
      </c>
      <c r="C149" s="58" t="s">
        <v>867</v>
      </c>
      <c r="D149" s="59" t="s">
        <v>868</v>
      </c>
      <c r="E149" s="60" t="b">
        <v>1</v>
      </c>
      <c r="F149" s="58" t="s">
        <v>865</v>
      </c>
      <c r="G149" s="64" t="s">
        <v>866</v>
      </c>
      <c r="H149" s="64" t="s">
        <v>867</v>
      </c>
      <c r="I149" s="65" t="s">
        <v>868</v>
      </c>
      <c r="J149" s="66"/>
      <c r="K149" s="63" t="str">
        <f>HYPERLINK("http://nsgreg.nga.mil/genc/view?v=867451&amp;end_month=12&amp;end_day=31&amp;end_year=2016","Correlation")</f>
        <v>Correlation</v>
      </c>
    </row>
    <row r="150" spans="1:11" x14ac:dyDescent="0.2">
      <c r="A150" s="57" t="s">
        <v>869</v>
      </c>
      <c r="B150" s="58" t="s">
        <v>870</v>
      </c>
      <c r="C150" s="58" t="s">
        <v>871</v>
      </c>
      <c r="D150" s="59" t="s">
        <v>872</v>
      </c>
      <c r="E150" s="60" t="b">
        <v>1</v>
      </c>
      <c r="F150" s="58" t="s">
        <v>869</v>
      </c>
      <c r="G150" s="64" t="s">
        <v>870</v>
      </c>
      <c r="H150" s="64" t="s">
        <v>871</v>
      </c>
      <c r="I150" s="65" t="s">
        <v>872</v>
      </c>
      <c r="J150" s="66"/>
      <c r="K150" s="63" t="str">
        <f>HYPERLINK("http://nsgreg.nga.mil/genc/view?v=867452&amp;end_month=12&amp;end_day=31&amp;end_year=2016","Correlation")</f>
        <v>Correlation</v>
      </c>
    </row>
    <row r="151" spans="1:11" x14ac:dyDescent="0.2">
      <c r="A151" s="99" t="s">
        <v>873</v>
      </c>
      <c r="B151" s="100" t="s">
        <v>874</v>
      </c>
      <c r="C151" s="100" t="s">
        <v>875</v>
      </c>
      <c r="D151" s="101" t="s">
        <v>876</v>
      </c>
      <c r="E151" s="60" t="b">
        <v>1</v>
      </c>
      <c r="F151" s="58" t="s">
        <v>873</v>
      </c>
      <c r="G151" s="64" t="s">
        <v>874</v>
      </c>
      <c r="H151" s="64" t="s">
        <v>875</v>
      </c>
      <c r="I151" s="65" t="s">
        <v>876</v>
      </c>
      <c r="J151" s="66"/>
      <c r="K151" s="63" t="str">
        <f>HYPERLINK("http://nsgreg.nga.mil/genc/view?v=867453&amp;end_month=12&amp;end_day=31&amp;end_year=2016","Correlation")</f>
        <v>Correlation</v>
      </c>
    </row>
    <row r="152" spans="1:11" x14ac:dyDescent="0.2">
      <c r="A152" s="99"/>
      <c r="B152" s="100"/>
      <c r="C152" s="100"/>
      <c r="D152" s="101"/>
      <c r="E152" s="67" t="b">
        <v>0</v>
      </c>
      <c r="F152" s="58" t="s">
        <v>1223</v>
      </c>
      <c r="G152" s="64" t="s">
        <v>1224</v>
      </c>
      <c r="H152" s="64" t="s">
        <v>1225</v>
      </c>
      <c r="I152" s="65" t="s">
        <v>1226</v>
      </c>
      <c r="J152" s="66"/>
      <c r="K152" s="63" t="str">
        <f>HYPERLINK("http://nsgreg.nga.mil/genc/view?v=867454&amp;end_month=12&amp;end_day=31&amp;end_year=2016","Correlation")</f>
        <v>Correlation</v>
      </c>
    </row>
    <row r="153" spans="1:11" x14ac:dyDescent="0.2">
      <c r="A153" s="57" t="s">
        <v>877</v>
      </c>
      <c r="B153" s="58" t="s">
        <v>878</v>
      </c>
      <c r="C153" s="58" t="s">
        <v>879</v>
      </c>
      <c r="D153" s="59" t="s">
        <v>880</v>
      </c>
      <c r="E153" s="60" t="b">
        <v>1</v>
      </c>
      <c r="F153" s="58" t="s">
        <v>877</v>
      </c>
      <c r="G153" s="64" t="s">
        <v>878</v>
      </c>
      <c r="H153" s="64" t="s">
        <v>879</v>
      </c>
      <c r="I153" s="65" t="s">
        <v>880</v>
      </c>
      <c r="J153" s="66"/>
      <c r="K153" s="63" t="str">
        <f>HYPERLINK("http://nsgreg.nga.mil/genc/view?v=867455&amp;end_month=12&amp;end_day=31&amp;end_year=2016","Correlation")</f>
        <v>Correlation</v>
      </c>
    </row>
    <row r="154" spans="1:11" x14ac:dyDescent="0.2">
      <c r="A154" s="57" t="s">
        <v>881</v>
      </c>
      <c r="B154" s="58" t="s">
        <v>882</v>
      </c>
      <c r="C154" s="58" t="s">
        <v>883</v>
      </c>
      <c r="D154" s="59" t="s">
        <v>884</v>
      </c>
      <c r="E154" s="60" t="b">
        <v>1</v>
      </c>
      <c r="F154" s="58" t="s">
        <v>881</v>
      </c>
      <c r="G154" s="64" t="s">
        <v>882</v>
      </c>
      <c r="H154" s="64" t="s">
        <v>883</v>
      </c>
      <c r="I154" s="65" t="s">
        <v>884</v>
      </c>
      <c r="J154" s="66"/>
      <c r="K154" s="63" t="str">
        <f>HYPERLINK("http://nsgreg.nga.mil/genc/view?v=867456&amp;end_month=12&amp;end_day=31&amp;end_year=2016","Correlation")</f>
        <v>Correlation</v>
      </c>
    </row>
    <row r="155" spans="1:11" x14ac:dyDescent="0.2">
      <c r="A155" s="57" t="s">
        <v>885</v>
      </c>
      <c r="B155" s="58" t="s">
        <v>886</v>
      </c>
      <c r="C155" s="58" t="s">
        <v>887</v>
      </c>
      <c r="D155" s="59" t="s">
        <v>888</v>
      </c>
      <c r="E155" s="60" t="b">
        <v>1</v>
      </c>
      <c r="F155" s="58" t="s">
        <v>885</v>
      </c>
      <c r="G155" s="64" t="s">
        <v>886</v>
      </c>
      <c r="H155" s="64" t="s">
        <v>887</v>
      </c>
      <c r="I155" s="65" t="s">
        <v>888</v>
      </c>
      <c r="J155" s="66"/>
      <c r="K155" s="63" t="str">
        <f>HYPERLINK("http://nsgreg.nga.mil/genc/view?v=867457&amp;end_month=12&amp;end_day=31&amp;end_year=2016","Correlation")</f>
        <v>Correlation</v>
      </c>
    </row>
    <row r="156" spans="1:11" x14ac:dyDescent="0.2">
      <c r="A156" s="57" t="s">
        <v>889</v>
      </c>
      <c r="B156" s="58" t="s">
        <v>890</v>
      </c>
      <c r="C156" s="58" t="s">
        <v>891</v>
      </c>
      <c r="D156" s="59" t="s">
        <v>892</v>
      </c>
      <c r="E156" s="60" t="b">
        <v>1</v>
      </c>
      <c r="F156" s="58" t="s">
        <v>889</v>
      </c>
      <c r="G156" s="64" t="s">
        <v>890</v>
      </c>
      <c r="H156" s="64" t="s">
        <v>891</v>
      </c>
      <c r="I156" s="65" t="s">
        <v>892</v>
      </c>
      <c r="J156" s="66"/>
      <c r="K156" s="63" t="str">
        <f>HYPERLINK("http://nsgreg.nga.mil/genc/view?v=867458&amp;end_month=12&amp;end_day=31&amp;end_year=2016","Correlation")</f>
        <v>Correlation</v>
      </c>
    </row>
    <row r="157" spans="1:11" x14ac:dyDescent="0.2">
      <c r="A157" s="57" t="s">
        <v>893</v>
      </c>
      <c r="B157" s="58" t="s">
        <v>894</v>
      </c>
      <c r="C157" s="58" t="s">
        <v>895</v>
      </c>
      <c r="D157" s="59" t="s">
        <v>896</v>
      </c>
      <c r="E157" s="60" t="b">
        <v>1</v>
      </c>
      <c r="F157" s="58" t="s">
        <v>893</v>
      </c>
      <c r="G157" s="64" t="s">
        <v>894</v>
      </c>
      <c r="H157" s="64" t="s">
        <v>895</v>
      </c>
      <c r="I157" s="65" t="s">
        <v>896</v>
      </c>
      <c r="J157" s="66"/>
      <c r="K157" s="63" t="str">
        <f>HYPERLINK("http://nsgreg.nga.mil/genc/view?v=867459&amp;end_month=12&amp;end_day=31&amp;end_year=2016","Correlation")</f>
        <v>Correlation</v>
      </c>
    </row>
    <row r="158" spans="1:11" x14ac:dyDescent="0.2">
      <c r="A158" s="57" t="s">
        <v>899</v>
      </c>
      <c r="B158" s="58" t="s">
        <v>900</v>
      </c>
      <c r="C158" s="58" t="s">
        <v>901</v>
      </c>
      <c r="D158" s="59" t="s">
        <v>902</v>
      </c>
      <c r="E158" s="60" t="b">
        <v>1</v>
      </c>
      <c r="F158" s="58" t="s">
        <v>899</v>
      </c>
      <c r="G158" s="64" t="s">
        <v>900</v>
      </c>
      <c r="H158" s="64" t="s">
        <v>901</v>
      </c>
      <c r="I158" s="65" t="s">
        <v>902</v>
      </c>
      <c r="J158" s="66"/>
      <c r="K158" s="63" t="str">
        <f>HYPERLINK("http://nsgreg.nga.mil/genc/view?v=867460&amp;end_month=12&amp;end_day=31&amp;end_year=2016","Correlation")</f>
        <v>Correlation</v>
      </c>
    </row>
    <row r="159" spans="1:11" x14ac:dyDescent="0.2">
      <c r="A159" s="57" t="s">
        <v>903</v>
      </c>
      <c r="B159" s="58" t="s">
        <v>904</v>
      </c>
      <c r="C159" s="58" t="s">
        <v>905</v>
      </c>
      <c r="D159" s="59" t="s">
        <v>906</v>
      </c>
      <c r="E159" s="60" t="b">
        <v>1</v>
      </c>
      <c r="F159" s="58" t="s">
        <v>903</v>
      </c>
      <c r="G159" s="64" t="s">
        <v>904</v>
      </c>
      <c r="H159" s="64" t="s">
        <v>905</v>
      </c>
      <c r="I159" s="65" t="s">
        <v>906</v>
      </c>
      <c r="J159" s="66"/>
      <c r="K159" s="63" t="str">
        <f>HYPERLINK("http://nsgreg.nga.mil/genc/view?v=867461&amp;end_month=12&amp;end_day=31&amp;end_year=2016","Correlation")</f>
        <v>Correlation</v>
      </c>
    </row>
    <row r="160" spans="1:11" x14ac:dyDescent="0.2">
      <c r="A160" s="57" t="s">
        <v>907</v>
      </c>
      <c r="B160" s="58" t="s">
        <v>908</v>
      </c>
      <c r="C160" s="58" t="s">
        <v>909</v>
      </c>
      <c r="D160" s="59" t="s">
        <v>910</v>
      </c>
      <c r="E160" s="60" t="b">
        <v>1</v>
      </c>
      <c r="F160" s="58" t="s">
        <v>907</v>
      </c>
      <c r="G160" s="64" t="s">
        <v>908</v>
      </c>
      <c r="H160" s="64" t="s">
        <v>909</v>
      </c>
      <c r="I160" s="65" t="s">
        <v>910</v>
      </c>
      <c r="J160" s="66"/>
      <c r="K160" s="63" t="str">
        <f>HYPERLINK("http://nsgreg.nga.mil/genc/view?v=867462&amp;end_month=12&amp;end_day=31&amp;end_year=2016","Correlation")</f>
        <v>Correlation</v>
      </c>
    </row>
    <row r="161" spans="1:11" x14ac:dyDescent="0.2">
      <c r="A161" s="57" t="s">
        <v>914</v>
      </c>
      <c r="B161" s="58" t="s">
        <v>915</v>
      </c>
      <c r="C161" s="58" t="s">
        <v>916</v>
      </c>
      <c r="D161" s="59" t="s">
        <v>917</v>
      </c>
      <c r="E161" s="60" t="b">
        <v>1</v>
      </c>
      <c r="F161" s="58" t="s">
        <v>914</v>
      </c>
      <c r="G161" s="64" t="s">
        <v>915</v>
      </c>
      <c r="H161" s="64" t="s">
        <v>916</v>
      </c>
      <c r="I161" s="65" t="s">
        <v>917</v>
      </c>
      <c r="J161" s="66"/>
      <c r="K161" s="63" t="str">
        <f>HYPERLINK("http://nsgreg.nga.mil/genc/view?v=867463&amp;end_month=12&amp;end_day=31&amp;end_year=2016","Correlation")</f>
        <v>Correlation</v>
      </c>
    </row>
    <row r="162" spans="1:11" x14ac:dyDescent="0.2">
      <c r="A162" s="57" t="s">
        <v>922</v>
      </c>
      <c r="B162" s="58" t="s">
        <v>919</v>
      </c>
      <c r="C162" s="58" t="s">
        <v>920</v>
      </c>
      <c r="D162" s="59" t="s">
        <v>921</v>
      </c>
      <c r="E162" s="60" t="b">
        <v>1</v>
      </c>
      <c r="F162" s="58" t="s">
        <v>918</v>
      </c>
      <c r="G162" s="64" t="s">
        <v>919</v>
      </c>
      <c r="H162" s="64" t="s">
        <v>920</v>
      </c>
      <c r="I162" s="65" t="s">
        <v>921</v>
      </c>
      <c r="J162" s="66"/>
      <c r="K162" s="63" t="str">
        <f>HYPERLINK("http://nsgreg.nga.mil/genc/view?v=867464&amp;end_month=12&amp;end_day=31&amp;end_year=2016","Correlation")</f>
        <v>Correlation</v>
      </c>
    </row>
    <row r="163" spans="1:11" x14ac:dyDescent="0.2">
      <c r="A163" s="57" t="s">
        <v>933</v>
      </c>
      <c r="B163" s="58" t="s">
        <v>930</v>
      </c>
      <c r="C163" s="58" t="s">
        <v>931</v>
      </c>
      <c r="D163" s="59" t="s">
        <v>932</v>
      </c>
      <c r="E163" s="60" t="b">
        <v>1</v>
      </c>
      <c r="F163" s="58" t="s">
        <v>929</v>
      </c>
      <c r="G163" s="64" t="s">
        <v>930</v>
      </c>
      <c r="H163" s="64" t="s">
        <v>931</v>
      </c>
      <c r="I163" s="65" t="s">
        <v>932</v>
      </c>
      <c r="J163" s="66"/>
      <c r="K163" s="63" t="str">
        <f>HYPERLINK("http://nsgreg.nga.mil/genc/view?v=867465&amp;end_month=12&amp;end_day=31&amp;end_year=2016","Correlation")</f>
        <v>Correlation</v>
      </c>
    </row>
    <row r="164" spans="1:11" x14ac:dyDescent="0.2">
      <c r="A164" s="57" t="s">
        <v>934</v>
      </c>
      <c r="B164" s="58" t="s">
        <v>935</v>
      </c>
      <c r="C164" s="58" t="s">
        <v>936</v>
      </c>
      <c r="D164" s="59" t="s">
        <v>937</v>
      </c>
      <c r="E164" s="60" t="b">
        <v>1</v>
      </c>
      <c r="F164" s="58" t="s">
        <v>934</v>
      </c>
      <c r="G164" s="64" t="s">
        <v>935</v>
      </c>
      <c r="H164" s="64" t="s">
        <v>936</v>
      </c>
      <c r="I164" s="65" t="s">
        <v>937</v>
      </c>
      <c r="J164" s="66"/>
      <c r="K164" s="63" t="str">
        <f>HYPERLINK("http://nsgreg.nga.mil/genc/view?v=867466&amp;end_month=12&amp;end_day=31&amp;end_year=2016","Correlation")</f>
        <v>Correlation</v>
      </c>
    </row>
    <row r="165" spans="1:11" x14ac:dyDescent="0.2">
      <c r="A165" s="57" t="s">
        <v>938</v>
      </c>
      <c r="B165" s="58" t="s">
        <v>939</v>
      </c>
      <c r="C165" s="58" t="s">
        <v>940</v>
      </c>
      <c r="D165" s="59" t="s">
        <v>941</v>
      </c>
      <c r="E165" s="60" t="b">
        <v>1</v>
      </c>
      <c r="F165" s="58" t="s">
        <v>938</v>
      </c>
      <c r="G165" s="64" t="s">
        <v>939</v>
      </c>
      <c r="H165" s="64" t="s">
        <v>940</v>
      </c>
      <c r="I165" s="65" t="s">
        <v>941</v>
      </c>
      <c r="J165" s="66"/>
      <c r="K165" s="63" t="str">
        <f>HYPERLINK("http://nsgreg.nga.mil/genc/view?v=867467&amp;end_month=12&amp;end_day=31&amp;end_year=2016","Correlation")</f>
        <v>Correlation</v>
      </c>
    </row>
    <row r="166" spans="1:11" x14ac:dyDescent="0.2">
      <c r="A166" s="57" t="s">
        <v>942</v>
      </c>
      <c r="B166" s="58" t="s">
        <v>943</v>
      </c>
      <c r="C166" s="58" t="s">
        <v>944</v>
      </c>
      <c r="D166" s="59" t="s">
        <v>945</v>
      </c>
      <c r="E166" s="60" t="b">
        <v>1</v>
      </c>
      <c r="F166" s="58" t="s">
        <v>942</v>
      </c>
      <c r="G166" s="64" t="s">
        <v>943</v>
      </c>
      <c r="H166" s="64" t="s">
        <v>944</v>
      </c>
      <c r="I166" s="65" t="s">
        <v>945</v>
      </c>
      <c r="J166" s="66"/>
      <c r="K166" s="63" t="str">
        <f>HYPERLINK("http://nsgreg.nga.mil/genc/view?v=867468&amp;end_month=12&amp;end_day=31&amp;end_year=2016","Correlation")</f>
        <v>Correlation</v>
      </c>
    </row>
    <row r="167" spans="1:11" x14ac:dyDescent="0.2">
      <c r="A167" s="57" t="s">
        <v>946</v>
      </c>
      <c r="B167" s="58" t="s">
        <v>947</v>
      </c>
      <c r="C167" s="58" t="s">
        <v>948</v>
      </c>
      <c r="D167" s="59" t="s">
        <v>949</v>
      </c>
      <c r="E167" s="60" t="b">
        <v>1</v>
      </c>
      <c r="F167" s="58" t="s">
        <v>946</v>
      </c>
      <c r="G167" s="64" t="s">
        <v>947</v>
      </c>
      <c r="H167" s="64" t="s">
        <v>948</v>
      </c>
      <c r="I167" s="65" t="s">
        <v>949</v>
      </c>
      <c r="J167" s="66"/>
      <c r="K167" s="63" t="str">
        <f>HYPERLINK("http://nsgreg.nga.mil/genc/view?v=867469&amp;end_month=12&amp;end_day=31&amp;end_year=2016","Correlation")</f>
        <v>Correlation</v>
      </c>
    </row>
    <row r="168" spans="1:11" x14ac:dyDescent="0.2">
      <c r="A168" s="57" t="s">
        <v>950</v>
      </c>
      <c r="B168" s="58" t="s">
        <v>951</v>
      </c>
      <c r="C168" s="58" t="s">
        <v>952</v>
      </c>
      <c r="D168" s="59" t="s">
        <v>953</v>
      </c>
      <c r="E168" s="60" t="b">
        <v>1</v>
      </c>
      <c r="F168" s="58" t="s">
        <v>950</v>
      </c>
      <c r="G168" s="64" t="s">
        <v>951</v>
      </c>
      <c r="H168" s="64" t="s">
        <v>952</v>
      </c>
      <c r="I168" s="65" t="s">
        <v>953</v>
      </c>
      <c r="J168" s="66"/>
      <c r="K168" s="63" t="str">
        <f>HYPERLINK("http://nsgreg.nga.mil/genc/view?v=867470&amp;end_month=12&amp;end_day=31&amp;end_year=2016","Correlation")</f>
        <v>Correlation</v>
      </c>
    </row>
    <row r="169" spans="1:11" x14ac:dyDescent="0.2">
      <c r="A169" s="57" t="s">
        <v>954</v>
      </c>
      <c r="B169" s="58" t="s">
        <v>955</v>
      </c>
      <c r="C169" s="58" t="s">
        <v>956</v>
      </c>
      <c r="D169" s="59" t="s">
        <v>957</v>
      </c>
      <c r="E169" s="60" t="b">
        <v>1</v>
      </c>
      <c r="F169" s="58" t="s">
        <v>954</v>
      </c>
      <c r="G169" s="64" t="s">
        <v>955</v>
      </c>
      <c r="H169" s="64" t="s">
        <v>956</v>
      </c>
      <c r="I169" s="65" t="s">
        <v>957</v>
      </c>
      <c r="J169" s="66"/>
      <c r="K169" s="63" t="str">
        <f>HYPERLINK("http://nsgreg.nga.mil/genc/view?v=867471&amp;end_month=12&amp;end_day=31&amp;end_year=2016","Correlation")</f>
        <v>Correlation</v>
      </c>
    </row>
    <row r="170" spans="1:11" x14ac:dyDescent="0.2">
      <c r="A170" s="57" t="s">
        <v>355</v>
      </c>
      <c r="B170" s="58" t="s">
        <v>352</v>
      </c>
      <c r="C170" s="58" t="s">
        <v>353</v>
      </c>
      <c r="D170" s="59" t="s">
        <v>354</v>
      </c>
      <c r="E170" s="60" t="b">
        <v>1</v>
      </c>
      <c r="F170" s="58" t="s">
        <v>351</v>
      </c>
      <c r="G170" s="64" t="s">
        <v>352</v>
      </c>
      <c r="H170" s="64" t="s">
        <v>353</v>
      </c>
      <c r="I170" s="65" t="s">
        <v>354</v>
      </c>
      <c r="J170" s="66"/>
      <c r="K170" s="63" t="str">
        <f>HYPERLINK("http://nsgreg.nga.mil/genc/view?v=867472&amp;end_month=12&amp;end_day=31&amp;end_year=2016","Correlation")</f>
        <v>Correlation</v>
      </c>
    </row>
    <row r="171" spans="1:11" x14ac:dyDescent="0.2">
      <c r="A171" s="57" t="s">
        <v>958</v>
      </c>
      <c r="B171" s="58" t="s">
        <v>959</v>
      </c>
      <c r="C171" s="58" t="s">
        <v>960</v>
      </c>
      <c r="D171" s="59" t="s">
        <v>961</v>
      </c>
      <c r="E171" s="60" t="b">
        <v>1</v>
      </c>
      <c r="F171" s="58" t="s">
        <v>958</v>
      </c>
      <c r="G171" s="64" t="s">
        <v>959</v>
      </c>
      <c r="H171" s="64" t="s">
        <v>960</v>
      </c>
      <c r="I171" s="65" t="s">
        <v>961</v>
      </c>
      <c r="J171" s="66"/>
      <c r="K171" s="63" t="str">
        <f>HYPERLINK("http://nsgreg.nga.mil/genc/view?v=867473&amp;end_month=12&amp;end_day=31&amp;end_year=2016","Correlation")</f>
        <v>Correlation</v>
      </c>
    </row>
    <row r="172" spans="1:11" x14ac:dyDescent="0.2">
      <c r="A172" s="57" t="s">
        <v>962</v>
      </c>
      <c r="B172" s="58" t="s">
        <v>963</v>
      </c>
      <c r="C172" s="58" t="s">
        <v>964</v>
      </c>
      <c r="D172" s="59" t="s">
        <v>965</v>
      </c>
      <c r="E172" s="60" t="b">
        <v>1</v>
      </c>
      <c r="F172" s="58" t="s">
        <v>962</v>
      </c>
      <c r="G172" s="64" t="s">
        <v>963</v>
      </c>
      <c r="H172" s="64" t="s">
        <v>964</v>
      </c>
      <c r="I172" s="65" t="s">
        <v>965</v>
      </c>
      <c r="J172" s="66"/>
      <c r="K172" s="63" t="str">
        <f>HYPERLINK("http://nsgreg.nga.mil/genc/view?v=867474&amp;end_month=12&amp;end_day=31&amp;end_year=2016","Correlation")</f>
        <v>Correlation</v>
      </c>
    </row>
    <row r="173" spans="1:11" x14ac:dyDescent="0.2">
      <c r="A173" s="57" t="s">
        <v>972</v>
      </c>
      <c r="B173" s="58" t="s">
        <v>973</v>
      </c>
      <c r="C173" s="58" t="s">
        <v>974</v>
      </c>
      <c r="D173" s="59" t="s">
        <v>975</v>
      </c>
      <c r="E173" s="60" t="b">
        <v>1</v>
      </c>
      <c r="F173" s="58" t="s">
        <v>972</v>
      </c>
      <c r="G173" s="64" t="s">
        <v>973</v>
      </c>
      <c r="H173" s="64" t="s">
        <v>974</v>
      </c>
      <c r="I173" s="65" t="s">
        <v>975</v>
      </c>
      <c r="J173" s="66"/>
      <c r="K173" s="63" t="str">
        <f>HYPERLINK("http://nsgreg.nga.mil/genc/view?v=867475&amp;end_month=12&amp;end_day=31&amp;end_year=2016","Correlation")</f>
        <v>Correlation</v>
      </c>
    </row>
    <row r="174" spans="1:11" x14ac:dyDescent="0.2">
      <c r="A174" s="99" t="s">
        <v>305</v>
      </c>
      <c r="B174" s="100" t="s">
        <v>306</v>
      </c>
      <c r="C174" s="100" t="s">
        <v>307</v>
      </c>
      <c r="D174" s="101" t="s">
        <v>308</v>
      </c>
      <c r="E174" s="60" t="b">
        <v>1</v>
      </c>
      <c r="F174" s="58" t="s">
        <v>305</v>
      </c>
      <c r="G174" s="64" t="s">
        <v>306</v>
      </c>
      <c r="H174" s="64" t="s">
        <v>307</v>
      </c>
      <c r="I174" s="65" t="s">
        <v>308</v>
      </c>
      <c r="J174" s="66"/>
      <c r="K174" s="63" t="str">
        <f>HYPERLINK("http://nsgreg.nga.mil/genc/view?v=867476&amp;end_month=12&amp;end_day=31&amp;end_year=2016","Correlation")</f>
        <v>Correlation</v>
      </c>
    </row>
    <row r="175" spans="1:11" x14ac:dyDescent="0.2">
      <c r="A175" s="99"/>
      <c r="B175" s="100"/>
      <c r="C175" s="100"/>
      <c r="D175" s="101"/>
      <c r="E175" s="67" t="b">
        <v>0</v>
      </c>
      <c r="F175" s="58" t="s">
        <v>300</v>
      </c>
      <c r="G175" s="64" t="s">
        <v>301</v>
      </c>
      <c r="H175" s="64" t="s">
        <v>302</v>
      </c>
      <c r="I175" s="65" t="s">
        <v>303</v>
      </c>
      <c r="J175" s="66"/>
      <c r="K175" s="63" t="str">
        <f>HYPERLINK("http://nsgreg.nga.mil/genc/view?v=867477&amp;end_month=12&amp;end_day=31&amp;end_year=2016","Correlation")</f>
        <v>Correlation</v>
      </c>
    </row>
    <row r="176" spans="1:11" x14ac:dyDescent="0.2">
      <c r="A176" s="57" t="s">
        <v>976</v>
      </c>
      <c r="B176" s="58" t="s">
        <v>977</v>
      </c>
      <c r="C176" s="58" t="s">
        <v>978</v>
      </c>
      <c r="D176" s="59" t="s">
        <v>979</v>
      </c>
      <c r="E176" s="60" t="b">
        <v>1</v>
      </c>
      <c r="F176" s="58" t="s">
        <v>976</v>
      </c>
      <c r="G176" s="64" t="s">
        <v>977</v>
      </c>
      <c r="H176" s="64" t="s">
        <v>978</v>
      </c>
      <c r="I176" s="65" t="s">
        <v>979</v>
      </c>
      <c r="J176" s="66"/>
      <c r="K176" s="63" t="str">
        <f>HYPERLINK("http://nsgreg.nga.mil/genc/view?v=867478&amp;end_month=12&amp;end_day=31&amp;end_year=2016","Correlation")</f>
        <v>Correlation</v>
      </c>
    </row>
    <row r="177" spans="1:11" x14ac:dyDescent="0.2">
      <c r="A177" s="57" t="s">
        <v>982</v>
      </c>
      <c r="B177" s="58" t="s">
        <v>983</v>
      </c>
      <c r="C177" s="58" t="s">
        <v>984</v>
      </c>
      <c r="D177" s="59" t="s">
        <v>985</v>
      </c>
      <c r="E177" s="60" t="b">
        <v>1</v>
      </c>
      <c r="F177" s="58" t="s">
        <v>982</v>
      </c>
      <c r="G177" s="64" t="s">
        <v>983</v>
      </c>
      <c r="H177" s="64" t="s">
        <v>984</v>
      </c>
      <c r="I177" s="65" t="s">
        <v>985</v>
      </c>
      <c r="J177" s="66"/>
      <c r="K177" s="63" t="str">
        <f>HYPERLINK("http://nsgreg.nga.mil/genc/view?v=867479&amp;end_month=12&amp;end_day=31&amp;end_year=2016","Correlation")</f>
        <v>Correlation</v>
      </c>
    </row>
    <row r="178" spans="1:11" x14ac:dyDescent="0.2">
      <c r="A178" s="57" t="s">
        <v>986</v>
      </c>
      <c r="B178" s="58" t="s">
        <v>987</v>
      </c>
      <c r="C178" s="58" t="s">
        <v>988</v>
      </c>
      <c r="D178" s="59" t="s">
        <v>989</v>
      </c>
      <c r="E178" s="60" t="b">
        <v>1</v>
      </c>
      <c r="F178" s="58" t="s">
        <v>986</v>
      </c>
      <c r="G178" s="64" t="s">
        <v>987</v>
      </c>
      <c r="H178" s="64" t="s">
        <v>988</v>
      </c>
      <c r="I178" s="65" t="s">
        <v>989</v>
      </c>
      <c r="J178" s="66"/>
      <c r="K178" s="63" t="str">
        <f>HYPERLINK("http://nsgreg.nga.mil/genc/view?v=867480&amp;end_month=12&amp;end_day=31&amp;end_year=2016","Correlation")</f>
        <v>Correlation</v>
      </c>
    </row>
    <row r="179" spans="1:11" x14ac:dyDescent="0.2">
      <c r="A179" s="57" t="s">
        <v>990</v>
      </c>
      <c r="B179" s="58" t="s">
        <v>991</v>
      </c>
      <c r="C179" s="58" t="s">
        <v>992</v>
      </c>
      <c r="D179" s="59" t="s">
        <v>993</v>
      </c>
      <c r="E179" s="60" t="b">
        <v>1</v>
      </c>
      <c r="F179" s="58" t="s">
        <v>990</v>
      </c>
      <c r="G179" s="64" t="s">
        <v>991</v>
      </c>
      <c r="H179" s="64" t="s">
        <v>992</v>
      </c>
      <c r="I179" s="65" t="s">
        <v>993</v>
      </c>
      <c r="J179" s="66"/>
      <c r="K179" s="63" t="str">
        <f>HYPERLINK("http://nsgreg.nga.mil/genc/view?v=867481&amp;end_month=12&amp;end_day=31&amp;end_year=2016","Correlation")</f>
        <v>Correlation</v>
      </c>
    </row>
    <row r="180" spans="1:11" x14ac:dyDescent="0.2">
      <c r="A180" s="57" t="s">
        <v>994</v>
      </c>
      <c r="B180" s="58" t="s">
        <v>995</v>
      </c>
      <c r="C180" s="58" t="s">
        <v>996</v>
      </c>
      <c r="D180" s="59" t="s">
        <v>997</v>
      </c>
      <c r="E180" s="60" t="b">
        <v>1</v>
      </c>
      <c r="F180" s="58" t="s">
        <v>994</v>
      </c>
      <c r="G180" s="64" t="s">
        <v>995</v>
      </c>
      <c r="H180" s="64" t="s">
        <v>996</v>
      </c>
      <c r="I180" s="65" t="s">
        <v>997</v>
      </c>
      <c r="J180" s="66"/>
      <c r="K180" s="63" t="str">
        <f>HYPERLINK("http://nsgreg.nga.mil/genc/view?v=867482&amp;end_month=12&amp;end_day=31&amp;end_year=2016","Correlation")</f>
        <v>Correlation</v>
      </c>
    </row>
    <row r="181" spans="1:11" x14ac:dyDescent="0.2">
      <c r="A181" s="57" t="s">
        <v>998</v>
      </c>
      <c r="B181" s="58" t="s">
        <v>999</v>
      </c>
      <c r="C181" s="58" t="s">
        <v>1000</v>
      </c>
      <c r="D181" s="59" t="s">
        <v>1001</v>
      </c>
      <c r="E181" s="60" t="b">
        <v>1</v>
      </c>
      <c r="F181" s="58" t="s">
        <v>998</v>
      </c>
      <c r="G181" s="64" t="s">
        <v>999</v>
      </c>
      <c r="H181" s="64" t="s">
        <v>1000</v>
      </c>
      <c r="I181" s="65" t="s">
        <v>1001</v>
      </c>
      <c r="J181" s="66"/>
      <c r="K181" s="63" t="str">
        <f>HYPERLINK("http://nsgreg.nga.mil/genc/view?v=867483&amp;end_month=12&amp;end_day=31&amp;end_year=2016","Correlation")</f>
        <v>Correlation</v>
      </c>
    </row>
    <row r="182" spans="1:11" x14ac:dyDescent="0.2">
      <c r="A182" s="57" t="s">
        <v>1002</v>
      </c>
      <c r="B182" s="58" t="s">
        <v>1003</v>
      </c>
      <c r="C182" s="58" t="s">
        <v>1004</v>
      </c>
      <c r="D182" s="59" t="s">
        <v>1005</v>
      </c>
      <c r="E182" s="60" t="b">
        <v>1</v>
      </c>
      <c r="F182" s="58" t="s">
        <v>1002</v>
      </c>
      <c r="G182" s="64" t="s">
        <v>1003</v>
      </c>
      <c r="H182" s="64" t="s">
        <v>1004</v>
      </c>
      <c r="I182" s="65" t="s">
        <v>1005</v>
      </c>
      <c r="J182" s="66"/>
      <c r="K182" s="63" t="str">
        <f>HYPERLINK("http://nsgreg.nga.mil/genc/view?v=867484&amp;end_month=12&amp;end_day=31&amp;end_year=2016","Correlation")</f>
        <v>Correlation</v>
      </c>
    </row>
    <row r="183" spans="1:11" x14ac:dyDescent="0.2">
      <c r="A183" s="57" t="s">
        <v>1006</v>
      </c>
      <c r="B183" s="58" t="s">
        <v>1007</v>
      </c>
      <c r="C183" s="58" t="s">
        <v>1008</v>
      </c>
      <c r="D183" s="59" t="s">
        <v>1009</v>
      </c>
      <c r="E183" s="60" t="b">
        <v>1</v>
      </c>
      <c r="F183" s="58" t="s">
        <v>1006</v>
      </c>
      <c r="G183" s="64" t="s">
        <v>1007</v>
      </c>
      <c r="H183" s="64" t="s">
        <v>1008</v>
      </c>
      <c r="I183" s="65" t="s">
        <v>1009</v>
      </c>
      <c r="J183" s="66"/>
      <c r="K183" s="63" t="str">
        <f>HYPERLINK("http://nsgreg.nga.mil/genc/view?v=867485&amp;end_month=12&amp;end_day=31&amp;end_year=2016","Correlation")</f>
        <v>Correlation</v>
      </c>
    </row>
    <row r="184" spans="1:11" x14ac:dyDescent="0.2">
      <c r="A184" s="57" t="s">
        <v>1012</v>
      </c>
      <c r="B184" s="58" t="s">
        <v>1013</v>
      </c>
      <c r="C184" s="58" t="s">
        <v>1014</v>
      </c>
      <c r="D184" s="59" t="s">
        <v>1015</v>
      </c>
      <c r="E184" s="60" t="b">
        <v>1</v>
      </c>
      <c r="F184" s="58" t="s">
        <v>1012</v>
      </c>
      <c r="G184" s="64" t="s">
        <v>1013</v>
      </c>
      <c r="H184" s="64" t="s">
        <v>1014</v>
      </c>
      <c r="I184" s="65" t="s">
        <v>1015</v>
      </c>
      <c r="J184" s="66"/>
      <c r="K184" s="63" t="str">
        <f>HYPERLINK("http://nsgreg.nga.mil/genc/view?v=867486&amp;end_month=12&amp;end_day=31&amp;end_year=2016","Correlation")</f>
        <v>Correlation</v>
      </c>
    </row>
    <row r="185" spans="1:11" x14ac:dyDescent="0.2">
      <c r="A185" s="57" t="s">
        <v>1016</v>
      </c>
      <c r="B185" s="58" t="s">
        <v>1017</v>
      </c>
      <c r="C185" s="58" t="s">
        <v>1018</v>
      </c>
      <c r="D185" s="59" t="s">
        <v>1019</v>
      </c>
      <c r="E185" s="60" t="b">
        <v>1</v>
      </c>
      <c r="F185" s="58" t="s">
        <v>1016</v>
      </c>
      <c r="G185" s="64" t="s">
        <v>1017</v>
      </c>
      <c r="H185" s="64" t="s">
        <v>1018</v>
      </c>
      <c r="I185" s="65" t="s">
        <v>1019</v>
      </c>
      <c r="J185" s="66"/>
      <c r="K185" s="63" t="str">
        <f>HYPERLINK("http://nsgreg.nga.mil/genc/view?v=867487&amp;end_month=12&amp;end_day=31&amp;end_year=2016","Correlation")</f>
        <v>Correlation</v>
      </c>
    </row>
    <row r="186" spans="1:11" x14ac:dyDescent="0.2">
      <c r="A186" s="57" t="s">
        <v>1020</v>
      </c>
      <c r="B186" s="58" t="s">
        <v>1021</v>
      </c>
      <c r="C186" s="58" t="s">
        <v>1022</v>
      </c>
      <c r="D186" s="59" t="s">
        <v>1023</v>
      </c>
      <c r="E186" s="60" t="b">
        <v>1</v>
      </c>
      <c r="F186" s="58" t="s">
        <v>1020</v>
      </c>
      <c r="G186" s="64" t="s">
        <v>1021</v>
      </c>
      <c r="H186" s="64" t="s">
        <v>1022</v>
      </c>
      <c r="I186" s="65" t="s">
        <v>1023</v>
      </c>
      <c r="J186" s="66"/>
      <c r="K186" s="63" t="str">
        <f>HYPERLINK("http://nsgreg.nga.mil/genc/view?v=867488&amp;end_month=12&amp;end_day=31&amp;end_year=2016","Correlation")</f>
        <v>Correlation</v>
      </c>
    </row>
    <row r="187" spans="1:11" x14ac:dyDescent="0.2">
      <c r="A187" s="57" t="s">
        <v>1024</v>
      </c>
      <c r="B187" s="58" t="s">
        <v>1025</v>
      </c>
      <c r="C187" s="58" t="s">
        <v>1026</v>
      </c>
      <c r="D187" s="59" t="s">
        <v>1027</v>
      </c>
      <c r="E187" s="60" t="b">
        <v>1</v>
      </c>
      <c r="F187" s="58" t="s">
        <v>1024</v>
      </c>
      <c r="G187" s="64" t="s">
        <v>1025</v>
      </c>
      <c r="H187" s="64" t="s">
        <v>1026</v>
      </c>
      <c r="I187" s="65" t="s">
        <v>1027</v>
      </c>
      <c r="J187" s="66"/>
      <c r="K187" s="63" t="str">
        <f>HYPERLINK("http://nsgreg.nga.mil/genc/view?v=867489&amp;end_month=12&amp;end_day=31&amp;end_year=2016","Correlation")</f>
        <v>Correlation</v>
      </c>
    </row>
    <row r="188" spans="1:11" x14ac:dyDescent="0.2">
      <c r="A188" s="99" t="s">
        <v>594</v>
      </c>
      <c r="B188" s="100" t="s">
        <v>595</v>
      </c>
      <c r="C188" s="100" t="s">
        <v>596</v>
      </c>
      <c r="D188" s="101" t="s">
        <v>597</v>
      </c>
      <c r="E188" s="67" t="b">
        <v>0</v>
      </c>
      <c r="F188" s="58" t="s">
        <v>590</v>
      </c>
      <c r="G188" s="64" t="s">
        <v>591</v>
      </c>
      <c r="H188" s="64" t="s">
        <v>592</v>
      </c>
      <c r="I188" s="65" t="s">
        <v>593</v>
      </c>
      <c r="J188" s="66"/>
      <c r="K188" s="63" t="str">
        <f>HYPERLINK("http://nsgreg.nga.mil/genc/view?v=867490&amp;end_month=12&amp;end_day=31&amp;end_year=2016","Correlation")</f>
        <v>Correlation</v>
      </c>
    </row>
    <row r="189" spans="1:11" x14ac:dyDescent="0.2">
      <c r="A189" s="99"/>
      <c r="B189" s="100"/>
      <c r="C189" s="100"/>
      <c r="D189" s="101"/>
      <c r="E189" s="67" t="b">
        <v>0</v>
      </c>
      <c r="F189" s="58" t="s">
        <v>1391</v>
      </c>
      <c r="G189" s="64" t="s">
        <v>1392</v>
      </c>
      <c r="H189" s="64" t="s">
        <v>1393</v>
      </c>
      <c r="I189" s="65" t="s">
        <v>1394</v>
      </c>
      <c r="J189" s="66"/>
      <c r="K189" s="63" t="str">
        <f>HYPERLINK("http://nsgreg.nga.mil/genc/view?v=867491&amp;end_month=12&amp;end_day=31&amp;end_year=2016","Correlation")</f>
        <v>Correlation</v>
      </c>
    </row>
    <row r="190" spans="1:11" x14ac:dyDescent="0.2">
      <c r="A190" s="57" t="s">
        <v>1034</v>
      </c>
      <c r="B190" s="58" t="s">
        <v>1035</v>
      </c>
      <c r="C190" s="58" t="s">
        <v>1036</v>
      </c>
      <c r="D190" s="59" t="s">
        <v>1037</v>
      </c>
      <c r="E190" s="60" t="b">
        <v>1</v>
      </c>
      <c r="F190" s="58" t="s">
        <v>1034</v>
      </c>
      <c r="G190" s="64" t="s">
        <v>1035</v>
      </c>
      <c r="H190" s="64" t="s">
        <v>1036</v>
      </c>
      <c r="I190" s="65" t="s">
        <v>1037</v>
      </c>
      <c r="J190" s="66"/>
      <c r="K190" s="63" t="str">
        <f>HYPERLINK("http://nsgreg.nga.mil/genc/view?v=867492&amp;end_month=12&amp;end_day=31&amp;end_year=2016","Correlation")</f>
        <v>Correlation</v>
      </c>
    </row>
    <row r="191" spans="1:11" x14ac:dyDescent="0.2">
      <c r="A191" s="57" t="s">
        <v>1038</v>
      </c>
      <c r="B191" s="58" t="s">
        <v>1039</v>
      </c>
      <c r="C191" s="58" t="s">
        <v>1040</v>
      </c>
      <c r="D191" s="59" t="s">
        <v>1041</v>
      </c>
      <c r="E191" s="60" t="b">
        <v>1</v>
      </c>
      <c r="F191" s="58" t="s">
        <v>1038</v>
      </c>
      <c r="G191" s="64" t="s">
        <v>1039</v>
      </c>
      <c r="H191" s="64" t="s">
        <v>1040</v>
      </c>
      <c r="I191" s="65" t="s">
        <v>1041</v>
      </c>
      <c r="J191" s="66"/>
      <c r="K191" s="63" t="str">
        <f>HYPERLINK("http://nsgreg.nga.mil/genc/view?v=867493&amp;end_month=12&amp;end_day=31&amp;end_year=2016","Correlation")</f>
        <v>Correlation</v>
      </c>
    </row>
    <row r="192" spans="1:11" x14ac:dyDescent="0.2">
      <c r="A192" s="57" t="s">
        <v>1054</v>
      </c>
      <c r="B192" s="58" t="s">
        <v>1055</v>
      </c>
      <c r="C192" s="58" t="s">
        <v>1056</v>
      </c>
      <c r="D192" s="59" t="s">
        <v>1057</v>
      </c>
      <c r="E192" s="60" t="b">
        <v>1</v>
      </c>
      <c r="F192" s="58" t="s">
        <v>1054</v>
      </c>
      <c r="G192" s="64" t="s">
        <v>1055</v>
      </c>
      <c r="H192" s="64" t="s">
        <v>1056</v>
      </c>
      <c r="I192" s="65" t="s">
        <v>1057</v>
      </c>
      <c r="J192" s="66"/>
      <c r="K192" s="63" t="str">
        <f>HYPERLINK("http://nsgreg.nga.mil/genc/view?v=867494&amp;end_month=12&amp;end_day=31&amp;end_year=2016","Correlation")</f>
        <v>Correlation</v>
      </c>
    </row>
    <row r="193" spans="1:11" x14ac:dyDescent="0.2">
      <c r="A193" s="57" t="s">
        <v>1058</v>
      </c>
      <c r="B193" s="58" t="s">
        <v>1059</v>
      </c>
      <c r="C193" s="58" t="s">
        <v>1060</v>
      </c>
      <c r="D193" s="59" t="s">
        <v>1061</v>
      </c>
      <c r="E193" s="60" t="b">
        <v>1</v>
      </c>
      <c r="F193" s="58" t="s">
        <v>1058</v>
      </c>
      <c r="G193" s="64" t="s">
        <v>1059</v>
      </c>
      <c r="H193" s="64" t="s">
        <v>1060</v>
      </c>
      <c r="I193" s="65" t="s">
        <v>1061</v>
      </c>
      <c r="J193" s="66"/>
      <c r="K193" s="63" t="str">
        <f>HYPERLINK("http://nsgreg.nga.mil/genc/view?v=867495&amp;end_month=12&amp;end_day=31&amp;end_year=2016","Correlation")</f>
        <v>Correlation</v>
      </c>
    </row>
    <row r="194" spans="1:11" x14ac:dyDescent="0.2">
      <c r="A194" s="99" t="s">
        <v>1062</v>
      </c>
      <c r="B194" s="100" t="s">
        <v>1063</v>
      </c>
      <c r="C194" s="100" t="s">
        <v>1064</v>
      </c>
      <c r="D194" s="101" t="s">
        <v>1065</v>
      </c>
      <c r="E194" s="60" t="b">
        <v>1</v>
      </c>
      <c r="F194" s="58" t="s">
        <v>1062</v>
      </c>
      <c r="G194" s="64" t="s">
        <v>1063</v>
      </c>
      <c r="H194" s="64" t="s">
        <v>1064</v>
      </c>
      <c r="I194" s="65" t="s">
        <v>1065</v>
      </c>
      <c r="J194" s="66"/>
      <c r="K194" s="63" t="str">
        <f>HYPERLINK("http://nsgreg.nga.mil/genc/view?v=867496&amp;end_month=12&amp;end_day=31&amp;end_year=2016","Correlation")</f>
        <v>Correlation</v>
      </c>
    </row>
    <row r="195" spans="1:11" x14ac:dyDescent="0.2">
      <c r="A195" s="99"/>
      <c r="B195" s="100"/>
      <c r="C195" s="100"/>
      <c r="D195" s="101"/>
      <c r="E195" s="67" t="b">
        <v>0</v>
      </c>
      <c r="F195" s="58" t="s">
        <v>1223</v>
      </c>
      <c r="G195" s="64" t="s">
        <v>1224</v>
      </c>
      <c r="H195" s="64" t="s">
        <v>1225</v>
      </c>
      <c r="I195" s="65" t="s">
        <v>1226</v>
      </c>
      <c r="J195" s="66"/>
      <c r="K195" s="63" t="str">
        <f>HYPERLINK("http://nsgreg.nga.mil/genc/view?v=867497&amp;end_month=12&amp;end_day=31&amp;end_year=2016","Correlation")</f>
        <v>Correlation</v>
      </c>
    </row>
    <row r="196" spans="1:11" x14ac:dyDescent="0.2">
      <c r="A196" s="57" t="s">
        <v>1070</v>
      </c>
      <c r="B196" s="58" t="s">
        <v>1067</v>
      </c>
      <c r="C196" s="58" t="s">
        <v>1068</v>
      </c>
      <c r="D196" s="59" t="s">
        <v>1069</v>
      </c>
      <c r="E196" s="60" t="b">
        <v>1</v>
      </c>
      <c r="F196" s="58" t="s">
        <v>1066</v>
      </c>
      <c r="G196" s="64" t="s">
        <v>1067</v>
      </c>
      <c r="H196" s="64" t="s">
        <v>1068</v>
      </c>
      <c r="I196" s="65" t="s">
        <v>1069</v>
      </c>
      <c r="J196" s="66"/>
      <c r="K196" s="63" t="str">
        <f>HYPERLINK("http://nsgreg.nga.mil/genc/view?v=867498&amp;end_month=12&amp;end_day=31&amp;end_year=2016","Correlation")</f>
        <v>Correlation</v>
      </c>
    </row>
    <row r="197" spans="1:11" x14ac:dyDescent="0.2">
      <c r="A197" s="57" t="s">
        <v>1071</v>
      </c>
      <c r="B197" s="58" t="s">
        <v>1072</v>
      </c>
      <c r="C197" s="58" t="s">
        <v>1073</v>
      </c>
      <c r="D197" s="59" t="s">
        <v>1074</v>
      </c>
      <c r="E197" s="60" t="b">
        <v>1</v>
      </c>
      <c r="F197" s="58" t="s">
        <v>1071</v>
      </c>
      <c r="G197" s="64" t="s">
        <v>1072</v>
      </c>
      <c r="H197" s="64" t="s">
        <v>1073</v>
      </c>
      <c r="I197" s="65" t="s">
        <v>1074</v>
      </c>
      <c r="J197" s="66"/>
      <c r="K197" s="63" t="str">
        <f>HYPERLINK("http://nsgreg.nga.mil/genc/view?v=867499&amp;end_month=12&amp;end_day=31&amp;end_year=2016","Correlation")</f>
        <v>Correlation</v>
      </c>
    </row>
    <row r="198" spans="1:11" x14ac:dyDescent="0.2">
      <c r="A198" s="57" t="s">
        <v>1075</v>
      </c>
      <c r="B198" s="58" t="s">
        <v>1076</v>
      </c>
      <c r="C198" s="58" t="s">
        <v>1077</v>
      </c>
      <c r="D198" s="59" t="s">
        <v>1078</v>
      </c>
      <c r="E198" s="60" t="b">
        <v>1</v>
      </c>
      <c r="F198" s="58" t="s">
        <v>1075</v>
      </c>
      <c r="G198" s="64" t="s">
        <v>1076</v>
      </c>
      <c r="H198" s="64" t="s">
        <v>1077</v>
      </c>
      <c r="I198" s="65" t="s">
        <v>1078</v>
      </c>
      <c r="J198" s="66"/>
      <c r="K198" s="63" t="str">
        <f>HYPERLINK("http://nsgreg.nga.mil/genc/view?v=867500&amp;end_month=12&amp;end_day=31&amp;end_year=2016","Correlation")</f>
        <v>Correlation</v>
      </c>
    </row>
    <row r="199" spans="1:11" x14ac:dyDescent="0.2">
      <c r="A199" s="57" t="s">
        <v>1079</v>
      </c>
      <c r="B199" s="58" t="s">
        <v>1080</v>
      </c>
      <c r="C199" s="58" t="s">
        <v>1081</v>
      </c>
      <c r="D199" s="59" t="s">
        <v>1082</v>
      </c>
      <c r="E199" s="60" t="b">
        <v>1</v>
      </c>
      <c r="F199" s="58" t="s">
        <v>1079</v>
      </c>
      <c r="G199" s="64" t="s">
        <v>1080</v>
      </c>
      <c r="H199" s="64" t="s">
        <v>1081</v>
      </c>
      <c r="I199" s="65" t="s">
        <v>1082</v>
      </c>
      <c r="J199" s="66"/>
      <c r="K199" s="63" t="str">
        <f>HYPERLINK("http://nsgreg.nga.mil/genc/view?v=867501&amp;end_month=12&amp;end_day=31&amp;end_year=2016","Correlation")</f>
        <v>Correlation</v>
      </c>
    </row>
    <row r="200" spans="1:11" x14ac:dyDescent="0.2">
      <c r="A200" s="57" t="s">
        <v>1085</v>
      </c>
      <c r="B200" s="58" t="s">
        <v>1086</v>
      </c>
      <c r="C200" s="58" t="s">
        <v>1087</v>
      </c>
      <c r="D200" s="59" t="s">
        <v>1088</v>
      </c>
      <c r="E200" s="60" t="b">
        <v>1</v>
      </c>
      <c r="F200" s="58" t="s">
        <v>1085</v>
      </c>
      <c r="G200" s="64" t="s">
        <v>1086</v>
      </c>
      <c r="H200" s="64" t="s">
        <v>1087</v>
      </c>
      <c r="I200" s="65" t="s">
        <v>1088</v>
      </c>
      <c r="J200" s="66"/>
      <c r="K200" s="63" t="str">
        <f>HYPERLINK("http://nsgreg.nga.mil/genc/view?v=867502&amp;end_month=12&amp;end_day=31&amp;end_year=2016","Correlation")</f>
        <v>Correlation</v>
      </c>
    </row>
    <row r="201" spans="1:11" x14ac:dyDescent="0.2">
      <c r="A201" s="57" t="s">
        <v>1093</v>
      </c>
      <c r="B201" s="58" t="s">
        <v>1090</v>
      </c>
      <c r="C201" s="58" t="s">
        <v>1091</v>
      </c>
      <c r="D201" s="59" t="s">
        <v>1092</v>
      </c>
      <c r="E201" s="60" t="b">
        <v>1</v>
      </c>
      <c r="F201" s="58" t="s">
        <v>1089</v>
      </c>
      <c r="G201" s="64" t="s">
        <v>1090</v>
      </c>
      <c r="H201" s="64" t="s">
        <v>1091</v>
      </c>
      <c r="I201" s="65" t="s">
        <v>1092</v>
      </c>
      <c r="J201" s="66"/>
      <c r="K201" s="63" t="str">
        <f>HYPERLINK("http://nsgreg.nga.mil/genc/view?v=867503&amp;end_month=12&amp;end_day=31&amp;end_year=2016","Correlation")</f>
        <v>Correlation</v>
      </c>
    </row>
    <row r="202" spans="1:11" x14ac:dyDescent="0.2">
      <c r="A202" s="57" t="s">
        <v>1097</v>
      </c>
      <c r="B202" s="58" t="s">
        <v>1098</v>
      </c>
      <c r="C202" s="58" t="s">
        <v>1099</v>
      </c>
      <c r="D202" s="59" t="s">
        <v>1100</v>
      </c>
      <c r="E202" s="60" t="b">
        <v>1</v>
      </c>
      <c r="F202" s="58" t="s">
        <v>1097</v>
      </c>
      <c r="G202" s="64" t="s">
        <v>1098</v>
      </c>
      <c r="H202" s="64" t="s">
        <v>1099</v>
      </c>
      <c r="I202" s="65" t="s">
        <v>1100</v>
      </c>
      <c r="J202" s="66"/>
      <c r="K202" s="63" t="str">
        <f>HYPERLINK("http://nsgreg.nga.mil/genc/view?v=867504&amp;end_month=12&amp;end_day=31&amp;end_year=2016","Correlation")</f>
        <v>Correlation</v>
      </c>
    </row>
    <row r="203" spans="1:11" x14ac:dyDescent="0.2">
      <c r="A203" s="57" t="s">
        <v>1105</v>
      </c>
      <c r="B203" s="58" t="s">
        <v>1102</v>
      </c>
      <c r="C203" s="58" t="s">
        <v>1103</v>
      </c>
      <c r="D203" s="59" t="s">
        <v>1104</v>
      </c>
      <c r="E203" s="60" t="b">
        <v>1</v>
      </c>
      <c r="F203" s="58" t="s">
        <v>1101</v>
      </c>
      <c r="G203" s="64" t="s">
        <v>1102</v>
      </c>
      <c r="H203" s="64" t="s">
        <v>1103</v>
      </c>
      <c r="I203" s="65" t="s">
        <v>1104</v>
      </c>
      <c r="J203" s="66"/>
      <c r="K203" s="63" t="str">
        <f>HYPERLINK("http://nsgreg.nga.mil/genc/view?v=867505&amp;end_month=12&amp;end_day=31&amp;end_year=2016","Correlation")</f>
        <v>Correlation</v>
      </c>
    </row>
    <row r="204" spans="1:11" x14ac:dyDescent="0.2">
      <c r="A204" s="57" t="s">
        <v>1106</v>
      </c>
      <c r="B204" s="58" t="s">
        <v>1107</v>
      </c>
      <c r="C204" s="58" t="s">
        <v>1108</v>
      </c>
      <c r="D204" s="59" t="s">
        <v>1109</v>
      </c>
      <c r="E204" s="60" t="b">
        <v>1</v>
      </c>
      <c r="F204" s="58" t="s">
        <v>1106</v>
      </c>
      <c r="G204" s="64" t="s">
        <v>1107</v>
      </c>
      <c r="H204" s="64" t="s">
        <v>1108</v>
      </c>
      <c r="I204" s="65" t="s">
        <v>1109</v>
      </c>
      <c r="J204" s="66"/>
      <c r="K204" s="63" t="str">
        <f>HYPERLINK("http://nsgreg.nga.mil/genc/view?v=867506&amp;end_month=12&amp;end_day=31&amp;end_year=2016","Correlation")</f>
        <v>Correlation</v>
      </c>
    </row>
    <row r="205" spans="1:11" x14ac:dyDescent="0.2">
      <c r="A205" s="57" t="s">
        <v>1114</v>
      </c>
      <c r="B205" s="58" t="s">
        <v>1111</v>
      </c>
      <c r="C205" s="58" t="s">
        <v>1112</v>
      </c>
      <c r="D205" s="59" t="s">
        <v>1113</v>
      </c>
      <c r="E205" s="60" t="b">
        <v>1</v>
      </c>
      <c r="F205" s="58" t="s">
        <v>1110</v>
      </c>
      <c r="G205" s="64" t="s">
        <v>1111</v>
      </c>
      <c r="H205" s="64" t="s">
        <v>1112</v>
      </c>
      <c r="I205" s="65" t="s">
        <v>1113</v>
      </c>
      <c r="J205" s="66"/>
      <c r="K205" s="63" t="str">
        <f>HYPERLINK("http://nsgreg.nga.mil/genc/view?v=867507&amp;end_month=12&amp;end_day=31&amp;end_year=2016","Correlation")</f>
        <v>Correlation</v>
      </c>
    </row>
    <row r="206" spans="1:11" x14ac:dyDescent="0.2">
      <c r="A206" s="57" t="s">
        <v>1121</v>
      </c>
      <c r="B206" s="58" t="s">
        <v>1118</v>
      </c>
      <c r="C206" s="58" t="s">
        <v>1119</v>
      </c>
      <c r="D206" s="59" t="s">
        <v>1120</v>
      </c>
      <c r="E206" s="60" t="b">
        <v>1</v>
      </c>
      <c r="F206" s="58" t="s">
        <v>1117</v>
      </c>
      <c r="G206" s="64" t="s">
        <v>1118</v>
      </c>
      <c r="H206" s="64" t="s">
        <v>1119</v>
      </c>
      <c r="I206" s="65" t="s">
        <v>1120</v>
      </c>
      <c r="J206" s="66"/>
      <c r="K206" s="63" t="str">
        <f>HYPERLINK("http://nsgreg.nga.mil/genc/view?v=867508&amp;end_month=12&amp;end_day=31&amp;end_year=2016","Correlation")</f>
        <v>Correlation</v>
      </c>
    </row>
    <row r="207" spans="1:11" x14ac:dyDescent="0.2">
      <c r="A207" s="57" t="s">
        <v>1122</v>
      </c>
      <c r="B207" s="58" t="s">
        <v>1123</v>
      </c>
      <c r="C207" s="58" t="s">
        <v>1124</v>
      </c>
      <c r="D207" s="59" t="s">
        <v>1125</v>
      </c>
      <c r="E207" s="60" t="b">
        <v>1</v>
      </c>
      <c r="F207" s="58" t="s">
        <v>1122</v>
      </c>
      <c r="G207" s="64" t="s">
        <v>1123</v>
      </c>
      <c r="H207" s="64" t="s">
        <v>1124</v>
      </c>
      <c r="I207" s="65" t="s">
        <v>1125</v>
      </c>
      <c r="J207" s="66"/>
      <c r="K207" s="63" t="str">
        <f>HYPERLINK("http://nsgreg.nga.mil/genc/view?v=867509&amp;end_month=12&amp;end_day=31&amp;end_year=2016","Correlation")</f>
        <v>Correlation</v>
      </c>
    </row>
    <row r="208" spans="1:11" x14ac:dyDescent="0.2">
      <c r="A208" s="57" t="s">
        <v>1126</v>
      </c>
      <c r="B208" s="58" t="s">
        <v>1127</v>
      </c>
      <c r="C208" s="58" t="s">
        <v>1128</v>
      </c>
      <c r="D208" s="59" t="s">
        <v>1129</v>
      </c>
      <c r="E208" s="60" t="b">
        <v>1</v>
      </c>
      <c r="F208" s="58" t="s">
        <v>1126</v>
      </c>
      <c r="G208" s="64" t="s">
        <v>1127</v>
      </c>
      <c r="H208" s="64" t="s">
        <v>1128</v>
      </c>
      <c r="I208" s="65" t="s">
        <v>1129</v>
      </c>
      <c r="J208" s="66"/>
      <c r="K208" s="63" t="str">
        <f>HYPERLINK("http://nsgreg.nga.mil/genc/view?v=867510&amp;end_month=12&amp;end_day=31&amp;end_year=2016","Correlation")</f>
        <v>Correlation</v>
      </c>
    </row>
    <row r="209" spans="1:11" x14ac:dyDescent="0.2">
      <c r="A209" s="57" t="s">
        <v>1134</v>
      </c>
      <c r="B209" s="58" t="s">
        <v>1131</v>
      </c>
      <c r="C209" s="58" t="s">
        <v>1132</v>
      </c>
      <c r="D209" s="59" t="s">
        <v>1133</v>
      </c>
      <c r="E209" s="60" t="b">
        <v>1</v>
      </c>
      <c r="F209" s="58" t="s">
        <v>1130</v>
      </c>
      <c r="G209" s="64" t="s">
        <v>1131</v>
      </c>
      <c r="H209" s="64" t="s">
        <v>1132</v>
      </c>
      <c r="I209" s="65" t="s">
        <v>1133</v>
      </c>
      <c r="J209" s="66"/>
      <c r="K209" s="63" t="str">
        <f>HYPERLINK("http://nsgreg.nga.mil/genc/view?v=867511&amp;end_month=12&amp;end_day=31&amp;end_year=2016","Correlation")</f>
        <v>Correlation</v>
      </c>
    </row>
    <row r="210" spans="1:11" x14ac:dyDescent="0.2">
      <c r="A210" s="57" t="s">
        <v>1137</v>
      </c>
      <c r="B210" s="58" t="s">
        <v>1138</v>
      </c>
      <c r="C210" s="58" t="s">
        <v>1139</v>
      </c>
      <c r="D210" s="59" t="s">
        <v>1140</v>
      </c>
      <c r="E210" s="60" t="b">
        <v>1</v>
      </c>
      <c r="F210" s="58" t="s">
        <v>1137</v>
      </c>
      <c r="G210" s="64" t="s">
        <v>1138</v>
      </c>
      <c r="H210" s="64" t="s">
        <v>1139</v>
      </c>
      <c r="I210" s="65" t="s">
        <v>1140</v>
      </c>
      <c r="J210" s="66"/>
      <c r="K210" s="63" t="str">
        <f>HYPERLINK("http://nsgreg.nga.mil/genc/view?v=867512&amp;end_month=12&amp;end_day=31&amp;end_year=2016","Correlation")</f>
        <v>Correlation</v>
      </c>
    </row>
    <row r="211" spans="1:11" x14ac:dyDescent="0.2">
      <c r="A211" s="57" t="s">
        <v>1143</v>
      </c>
      <c r="B211" s="58" t="s">
        <v>1144</v>
      </c>
      <c r="C211" s="58" t="s">
        <v>1145</v>
      </c>
      <c r="D211" s="59" t="s">
        <v>1146</v>
      </c>
      <c r="E211" s="60" t="b">
        <v>1</v>
      </c>
      <c r="F211" s="58" t="s">
        <v>1143</v>
      </c>
      <c r="G211" s="64" t="s">
        <v>1144</v>
      </c>
      <c r="H211" s="64" t="s">
        <v>1145</v>
      </c>
      <c r="I211" s="65" t="s">
        <v>1146</v>
      </c>
      <c r="J211" s="66"/>
      <c r="K211" s="63" t="str">
        <f>HYPERLINK("http://nsgreg.nga.mil/genc/view?v=867513&amp;end_month=12&amp;end_day=31&amp;end_year=2016","Correlation")</f>
        <v>Correlation</v>
      </c>
    </row>
    <row r="212" spans="1:11" x14ac:dyDescent="0.2">
      <c r="A212" s="57" t="s">
        <v>1147</v>
      </c>
      <c r="B212" s="58" t="s">
        <v>1148</v>
      </c>
      <c r="C212" s="58" t="s">
        <v>1149</v>
      </c>
      <c r="D212" s="59" t="s">
        <v>1150</v>
      </c>
      <c r="E212" s="60" t="b">
        <v>1</v>
      </c>
      <c r="F212" s="58" t="s">
        <v>1147</v>
      </c>
      <c r="G212" s="64" t="s">
        <v>1148</v>
      </c>
      <c r="H212" s="64" t="s">
        <v>1149</v>
      </c>
      <c r="I212" s="65" t="s">
        <v>1150</v>
      </c>
      <c r="J212" s="66"/>
      <c r="K212" s="63" t="str">
        <f>HYPERLINK("http://nsgreg.nga.mil/genc/view?v=867514&amp;end_month=12&amp;end_day=31&amp;end_year=2016","Correlation")</f>
        <v>Correlation</v>
      </c>
    </row>
    <row r="213" spans="1:11" x14ac:dyDescent="0.2">
      <c r="A213" s="57" t="s">
        <v>1151</v>
      </c>
      <c r="B213" s="58" t="s">
        <v>1152</v>
      </c>
      <c r="C213" s="58" t="s">
        <v>1153</v>
      </c>
      <c r="D213" s="59" t="s">
        <v>1154</v>
      </c>
      <c r="E213" s="60" t="b">
        <v>1</v>
      </c>
      <c r="F213" s="58" t="s">
        <v>1151</v>
      </c>
      <c r="G213" s="64" t="s">
        <v>1152</v>
      </c>
      <c r="H213" s="64" t="s">
        <v>1153</v>
      </c>
      <c r="I213" s="65" t="s">
        <v>1154</v>
      </c>
      <c r="J213" s="66"/>
      <c r="K213" s="63" t="str">
        <f>HYPERLINK("http://nsgreg.nga.mil/genc/view?v=867515&amp;end_month=12&amp;end_day=31&amp;end_year=2016","Correlation")</f>
        <v>Correlation</v>
      </c>
    </row>
    <row r="214" spans="1:11" x14ac:dyDescent="0.2">
      <c r="A214" s="57" t="s">
        <v>1155</v>
      </c>
      <c r="B214" s="58" t="s">
        <v>1156</v>
      </c>
      <c r="C214" s="58" t="s">
        <v>1157</v>
      </c>
      <c r="D214" s="59" t="s">
        <v>1158</v>
      </c>
      <c r="E214" s="60" t="b">
        <v>1</v>
      </c>
      <c r="F214" s="58" t="s">
        <v>1155</v>
      </c>
      <c r="G214" s="64" t="s">
        <v>1156</v>
      </c>
      <c r="H214" s="64" t="s">
        <v>1157</v>
      </c>
      <c r="I214" s="65" t="s">
        <v>1158</v>
      </c>
      <c r="J214" s="66"/>
      <c r="K214" s="63" t="str">
        <f>HYPERLINK("http://nsgreg.nga.mil/genc/view?v=867516&amp;end_month=12&amp;end_day=31&amp;end_year=2016","Correlation")</f>
        <v>Correlation</v>
      </c>
    </row>
    <row r="215" spans="1:11" x14ac:dyDescent="0.2">
      <c r="A215" s="57" t="s">
        <v>1159</v>
      </c>
      <c r="B215" s="58" t="s">
        <v>1160</v>
      </c>
      <c r="C215" s="58" t="s">
        <v>1161</v>
      </c>
      <c r="D215" s="59" t="s">
        <v>1162</v>
      </c>
      <c r="E215" s="60" t="b">
        <v>1</v>
      </c>
      <c r="F215" s="58" t="s">
        <v>1159</v>
      </c>
      <c r="G215" s="64" t="s">
        <v>1160</v>
      </c>
      <c r="H215" s="64" t="s">
        <v>1161</v>
      </c>
      <c r="I215" s="65" t="s">
        <v>1162</v>
      </c>
      <c r="J215" s="66"/>
      <c r="K215" s="63" t="str">
        <f>HYPERLINK("http://nsgreg.nga.mil/genc/view?v=867517&amp;end_month=12&amp;end_day=31&amp;end_year=2016","Correlation")</f>
        <v>Correlation</v>
      </c>
    </row>
    <row r="216" spans="1:11" x14ac:dyDescent="0.2">
      <c r="A216" s="57" t="s">
        <v>1163</v>
      </c>
      <c r="B216" s="58" t="s">
        <v>1164</v>
      </c>
      <c r="C216" s="58" t="s">
        <v>1165</v>
      </c>
      <c r="D216" s="59" t="s">
        <v>1166</v>
      </c>
      <c r="E216" s="60" t="b">
        <v>1</v>
      </c>
      <c r="F216" s="58" t="s">
        <v>1163</v>
      </c>
      <c r="G216" s="64" t="s">
        <v>1164</v>
      </c>
      <c r="H216" s="64" t="s">
        <v>1165</v>
      </c>
      <c r="I216" s="65" t="s">
        <v>1166</v>
      </c>
      <c r="J216" s="66"/>
      <c r="K216" s="63" t="str">
        <f>HYPERLINK("http://nsgreg.nga.mil/genc/view?v=867518&amp;end_month=12&amp;end_day=31&amp;end_year=2016","Correlation")</f>
        <v>Correlation</v>
      </c>
    </row>
    <row r="217" spans="1:11" x14ac:dyDescent="0.2">
      <c r="A217" s="57" t="s">
        <v>1167</v>
      </c>
      <c r="B217" s="58" t="s">
        <v>1168</v>
      </c>
      <c r="C217" s="58" t="s">
        <v>1169</v>
      </c>
      <c r="D217" s="59" t="s">
        <v>1170</v>
      </c>
      <c r="E217" s="60" t="b">
        <v>1</v>
      </c>
      <c r="F217" s="58" t="s">
        <v>1167</v>
      </c>
      <c r="G217" s="64" t="s">
        <v>1168</v>
      </c>
      <c r="H217" s="64" t="s">
        <v>1169</v>
      </c>
      <c r="I217" s="65" t="s">
        <v>1170</v>
      </c>
      <c r="J217" s="66"/>
      <c r="K217" s="63" t="str">
        <f>HYPERLINK("http://nsgreg.nga.mil/genc/view?v=867519&amp;end_month=12&amp;end_day=31&amp;end_year=2016","Correlation")</f>
        <v>Correlation</v>
      </c>
    </row>
    <row r="218" spans="1:11" x14ac:dyDescent="0.2">
      <c r="A218" s="57" t="s">
        <v>1171</v>
      </c>
      <c r="B218" s="58" t="s">
        <v>1172</v>
      </c>
      <c r="C218" s="58" t="s">
        <v>1173</v>
      </c>
      <c r="D218" s="59" t="s">
        <v>1174</v>
      </c>
      <c r="E218" s="60" t="b">
        <v>1</v>
      </c>
      <c r="F218" s="58" t="s">
        <v>1171</v>
      </c>
      <c r="G218" s="64" t="s">
        <v>1172</v>
      </c>
      <c r="H218" s="64" t="s">
        <v>1173</v>
      </c>
      <c r="I218" s="65" t="s">
        <v>1174</v>
      </c>
      <c r="J218" s="66"/>
      <c r="K218" s="63" t="str">
        <f>HYPERLINK("http://nsgreg.nga.mil/genc/view?v=867520&amp;end_month=12&amp;end_day=31&amp;end_year=2016","Correlation")</f>
        <v>Correlation</v>
      </c>
    </row>
    <row r="219" spans="1:11" x14ac:dyDescent="0.2">
      <c r="A219" s="57" t="s">
        <v>1175</v>
      </c>
      <c r="B219" s="58" t="s">
        <v>1176</v>
      </c>
      <c r="C219" s="58" t="s">
        <v>1177</v>
      </c>
      <c r="D219" s="59" t="s">
        <v>1178</v>
      </c>
      <c r="E219" s="60" t="b">
        <v>1</v>
      </c>
      <c r="F219" s="58" t="s">
        <v>1175</v>
      </c>
      <c r="G219" s="64" t="s">
        <v>1176</v>
      </c>
      <c r="H219" s="64" t="s">
        <v>1177</v>
      </c>
      <c r="I219" s="65" t="s">
        <v>1178</v>
      </c>
      <c r="J219" s="66"/>
      <c r="K219" s="63" t="str">
        <f>HYPERLINK("http://nsgreg.nga.mil/genc/view?v=867521&amp;end_month=12&amp;end_day=31&amp;end_year=2016","Correlation")</f>
        <v>Correlation</v>
      </c>
    </row>
    <row r="220" spans="1:11" x14ac:dyDescent="0.2">
      <c r="A220" s="57" t="s">
        <v>1179</v>
      </c>
      <c r="B220" s="58" t="s">
        <v>1180</v>
      </c>
      <c r="C220" s="58" t="s">
        <v>1181</v>
      </c>
      <c r="D220" s="59" t="s">
        <v>1182</v>
      </c>
      <c r="E220" s="60" t="b">
        <v>1</v>
      </c>
      <c r="F220" s="58" t="s">
        <v>1179</v>
      </c>
      <c r="G220" s="64" t="s">
        <v>1180</v>
      </c>
      <c r="H220" s="64" t="s">
        <v>1181</v>
      </c>
      <c r="I220" s="65" t="s">
        <v>1182</v>
      </c>
      <c r="J220" s="66"/>
      <c r="K220" s="63" t="str">
        <f>HYPERLINK("http://nsgreg.nga.mil/genc/view?v=867522&amp;end_month=12&amp;end_day=31&amp;end_year=2016","Correlation")</f>
        <v>Correlation</v>
      </c>
    </row>
    <row r="221" spans="1:11" x14ac:dyDescent="0.2">
      <c r="A221" s="57" t="s">
        <v>1187</v>
      </c>
      <c r="B221" s="58" t="s">
        <v>1184</v>
      </c>
      <c r="C221" s="58" t="s">
        <v>1185</v>
      </c>
      <c r="D221" s="59" t="s">
        <v>1186</v>
      </c>
      <c r="E221" s="60" t="b">
        <v>1</v>
      </c>
      <c r="F221" s="58" t="s">
        <v>1183</v>
      </c>
      <c r="G221" s="64" t="s">
        <v>1184</v>
      </c>
      <c r="H221" s="64" t="s">
        <v>1185</v>
      </c>
      <c r="I221" s="65" t="s">
        <v>1186</v>
      </c>
      <c r="J221" s="66"/>
      <c r="K221" s="63" t="str">
        <f>HYPERLINK("http://nsgreg.nga.mil/genc/view?v=867523&amp;end_month=12&amp;end_day=31&amp;end_year=2016","Correlation")</f>
        <v>Correlation</v>
      </c>
    </row>
    <row r="222" spans="1:11" x14ac:dyDescent="0.2">
      <c r="A222" s="57" t="s">
        <v>1190</v>
      </c>
      <c r="B222" s="58" t="s">
        <v>1191</v>
      </c>
      <c r="C222" s="58" t="s">
        <v>1192</v>
      </c>
      <c r="D222" s="59" t="s">
        <v>1193</v>
      </c>
      <c r="E222" s="60" t="b">
        <v>1</v>
      </c>
      <c r="F222" s="58" t="s">
        <v>1190</v>
      </c>
      <c r="G222" s="64" t="s">
        <v>1191</v>
      </c>
      <c r="H222" s="64" t="s">
        <v>1192</v>
      </c>
      <c r="I222" s="65" t="s">
        <v>1193</v>
      </c>
      <c r="J222" s="66"/>
      <c r="K222" s="63" t="str">
        <f>HYPERLINK("http://nsgreg.nga.mil/genc/view?v=867524&amp;end_month=12&amp;end_day=31&amp;end_year=2016","Correlation")</f>
        <v>Correlation</v>
      </c>
    </row>
    <row r="223" spans="1:11" x14ac:dyDescent="0.2">
      <c r="A223" s="57" t="s">
        <v>1194</v>
      </c>
      <c r="B223" s="58" t="s">
        <v>1195</v>
      </c>
      <c r="C223" s="58" t="s">
        <v>1196</v>
      </c>
      <c r="D223" s="59" t="s">
        <v>1197</v>
      </c>
      <c r="E223" s="60" t="b">
        <v>1</v>
      </c>
      <c r="F223" s="58" t="s">
        <v>1194</v>
      </c>
      <c r="G223" s="64" t="s">
        <v>1195</v>
      </c>
      <c r="H223" s="64" t="s">
        <v>1196</v>
      </c>
      <c r="I223" s="65" t="s">
        <v>1197</v>
      </c>
      <c r="J223" s="66"/>
      <c r="K223" s="63" t="str">
        <f>HYPERLINK("http://nsgreg.nga.mil/genc/view?v=867525&amp;end_month=12&amp;end_day=31&amp;end_year=2016","Correlation")</f>
        <v>Correlation</v>
      </c>
    </row>
    <row r="224" spans="1:11" x14ac:dyDescent="0.2">
      <c r="A224" s="57" t="s">
        <v>1198</v>
      </c>
      <c r="B224" s="58" t="s">
        <v>1199</v>
      </c>
      <c r="C224" s="58" t="s">
        <v>1200</v>
      </c>
      <c r="D224" s="59" t="s">
        <v>1201</v>
      </c>
      <c r="E224" s="60" t="b">
        <v>1</v>
      </c>
      <c r="F224" s="58" t="s">
        <v>1198</v>
      </c>
      <c r="G224" s="64" t="s">
        <v>1199</v>
      </c>
      <c r="H224" s="64" t="s">
        <v>1200</v>
      </c>
      <c r="I224" s="65" t="s">
        <v>1201</v>
      </c>
      <c r="J224" s="66"/>
      <c r="K224" s="63" t="str">
        <f>HYPERLINK("http://nsgreg.nga.mil/genc/view?v=867526&amp;end_month=12&amp;end_day=31&amp;end_year=2016","Correlation")</f>
        <v>Correlation</v>
      </c>
    </row>
    <row r="225" spans="1:11" x14ac:dyDescent="0.2">
      <c r="A225" s="57" t="s">
        <v>1202</v>
      </c>
      <c r="B225" s="58" t="s">
        <v>1203</v>
      </c>
      <c r="C225" s="58" t="s">
        <v>1204</v>
      </c>
      <c r="D225" s="59" t="s">
        <v>1205</v>
      </c>
      <c r="E225" s="60" t="b">
        <v>1</v>
      </c>
      <c r="F225" s="58" t="s">
        <v>1202</v>
      </c>
      <c r="G225" s="64" t="s">
        <v>1203</v>
      </c>
      <c r="H225" s="64" t="s">
        <v>1204</v>
      </c>
      <c r="I225" s="65" t="s">
        <v>1205</v>
      </c>
      <c r="J225" s="66"/>
      <c r="K225" s="63" t="str">
        <f>HYPERLINK("http://nsgreg.nga.mil/genc/view?v=867527&amp;end_month=12&amp;end_day=31&amp;end_year=2016","Correlation")</f>
        <v>Correlation</v>
      </c>
    </row>
    <row r="226" spans="1:11" x14ac:dyDescent="0.2">
      <c r="A226" s="57" t="s">
        <v>1206</v>
      </c>
      <c r="B226" s="58" t="s">
        <v>1207</v>
      </c>
      <c r="C226" s="58" t="s">
        <v>1208</v>
      </c>
      <c r="D226" s="59" t="s">
        <v>1209</v>
      </c>
      <c r="E226" s="60" t="b">
        <v>1</v>
      </c>
      <c r="F226" s="58" t="s">
        <v>1206</v>
      </c>
      <c r="G226" s="64" t="s">
        <v>1207</v>
      </c>
      <c r="H226" s="64" t="s">
        <v>1208</v>
      </c>
      <c r="I226" s="65" t="s">
        <v>1209</v>
      </c>
      <c r="J226" s="66"/>
      <c r="K226" s="63" t="str">
        <f>HYPERLINK("http://nsgreg.nga.mil/genc/view?v=867528&amp;end_month=12&amp;end_day=31&amp;end_year=2016","Correlation")</f>
        <v>Correlation</v>
      </c>
    </row>
    <row r="227" spans="1:11" x14ac:dyDescent="0.2">
      <c r="A227" s="57" t="s">
        <v>1214</v>
      </c>
      <c r="B227" s="58" t="s">
        <v>1211</v>
      </c>
      <c r="C227" s="58" t="s">
        <v>1212</v>
      </c>
      <c r="D227" s="59" t="s">
        <v>1213</v>
      </c>
      <c r="E227" s="60" t="b">
        <v>1</v>
      </c>
      <c r="F227" s="58" t="s">
        <v>1210</v>
      </c>
      <c r="G227" s="64" t="s">
        <v>1211</v>
      </c>
      <c r="H227" s="64" t="s">
        <v>1212</v>
      </c>
      <c r="I227" s="65" t="s">
        <v>1213</v>
      </c>
      <c r="J227" s="66"/>
      <c r="K227" s="63" t="str">
        <f>HYPERLINK("http://nsgreg.nga.mil/genc/view?v=867529&amp;end_month=12&amp;end_day=31&amp;end_year=2016","Correlation")</f>
        <v>Correlation</v>
      </c>
    </row>
    <row r="228" spans="1:11" x14ac:dyDescent="0.2">
      <c r="A228" s="57" t="s">
        <v>1215</v>
      </c>
      <c r="B228" s="58" t="s">
        <v>1216</v>
      </c>
      <c r="C228" s="58" t="s">
        <v>1217</v>
      </c>
      <c r="D228" s="59" t="s">
        <v>1218</v>
      </c>
      <c r="E228" s="60" t="b">
        <v>1</v>
      </c>
      <c r="F228" s="58" t="s">
        <v>1215</v>
      </c>
      <c r="G228" s="64" t="s">
        <v>1216</v>
      </c>
      <c r="H228" s="64" t="s">
        <v>1217</v>
      </c>
      <c r="I228" s="65" t="s">
        <v>1218</v>
      </c>
      <c r="J228" s="66"/>
      <c r="K228" s="63" t="str">
        <f>HYPERLINK("http://nsgreg.nga.mil/genc/view?v=867530&amp;end_month=12&amp;end_day=31&amp;end_year=2016","Correlation")</f>
        <v>Correlation</v>
      </c>
    </row>
    <row r="229" spans="1:11" x14ac:dyDescent="0.2">
      <c r="A229" s="57" t="s">
        <v>1219</v>
      </c>
      <c r="B229" s="58" t="s">
        <v>1220</v>
      </c>
      <c r="C229" s="58" t="s">
        <v>1221</v>
      </c>
      <c r="D229" s="59" t="s">
        <v>1222</v>
      </c>
      <c r="E229" s="60" t="b">
        <v>1</v>
      </c>
      <c r="F229" s="58" t="s">
        <v>1219</v>
      </c>
      <c r="G229" s="64" t="s">
        <v>1220</v>
      </c>
      <c r="H229" s="64" t="s">
        <v>1221</v>
      </c>
      <c r="I229" s="65" t="s">
        <v>1222</v>
      </c>
      <c r="J229" s="66"/>
      <c r="K229" s="63" t="str">
        <f>HYPERLINK("http://nsgreg.nga.mil/genc/view?v=867531&amp;end_month=12&amp;end_day=31&amp;end_year=2016","Correlation")</f>
        <v>Correlation</v>
      </c>
    </row>
    <row r="230" spans="1:11" x14ac:dyDescent="0.2">
      <c r="A230" s="57" t="s">
        <v>1227</v>
      </c>
      <c r="B230" s="58" t="s">
        <v>1228</v>
      </c>
      <c r="C230" s="58" t="s">
        <v>1229</v>
      </c>
      <c r="D230" s="59" t="s">
        <v>1230</v>
      </c>
      <c r="E230" s="60" t="b">
        <v>1</v>
      </c>
      <c r="F230" s="58" t="s">
        <v>1227</v>
      </c>
      <c r="G230" s="64" t="s">
        <v>1228</v>
      </c>
      <c r="H230" s="64" t="s">
        <v>1229</v>
      </c>
      <c r="I230" s="65" t="s">
        <v>1230</v>
      </c>
      <c r="J230" s="66"/>
      <c r="K230" s="63" t="str">
        <f>HYPERLINK("http://nsgreg.nga.mil/genc/view?v=867532&amp;end_month=12&amp;end_day=31&amp;end_year=2016","Correlation")</f>
        <v>Correlation</v>
      </c>
    </row>
    <row r="231" spans="1:11" x14ac:dyDescent="0.2">
      <c r="A231" s="57" t="s">
        <v>1231</v>
      </c>
      <c r="B231" s="58" t="s">
        <v>1232</v>
      </c>
      <c r="C231" s="58" t="s">
        <v>1233</v>
      </c>
      <c r="D231" s="59" t="s">
        <v>1234</v>
      </c>
      <c r="E231" s="60" t="b">
        <v>1</v>
      </c>
      <c r="F231" s="58" t="s">
        <v>1231</v>
      </c>
      <c r="G231" s="64" t="s">
        <v>1232</v>
      </c>
      <c r="H231" s="64" t="s">
        <v>1233</v>
      </c>
      <c r="I231" s="65" t="s">
        <v>1234</v>
      </c>
      <c r="J231" s="66"/>
      <c r="K231" s="63" t="str">
        <f>HYPERLINK("http://nsgreg.nga.mil/genc/view?v=867533&amp;end_month=12&amp;end_day=31&amp;end_year=2016","Correlation")</f>
        <v>Correlation</v>
      </c>
    </row>
    <row r="232" spans="1:11" x14ac:dyDescent="0.2">
      <c r="A232" s="57" t="s">
        <v>1235</v>
      </c>
      <c r="B232" s="58" t="s">
        <v>1236</v>
      </c>
      <c r="C232" s="58" t="s">
        <v>1237</v>
      </c>
      <c r="D232" s="59" t="s">
        <v>1238</v>
      </c>
      <c r="E232" s="60" t="b">
        <v>1</v>
      </c>
      <c r="F232" s="58" t="s">
        <v>1235</v>
      </c>
      <c r="G232" s="64" t="s">
        <v>1236</v>
      </c>
      <c r="H232" s="64" t="s">
        <v>1237</v>
      </c>
      <c r="I232" s="65" t="s">
        <v>1238</v>
      </c>
      <c r="J232" s="66"/>
      <c r="K232" s="63" t="str">
        <f>HYPERLINK("http://nsgreg.nga.mil/genc/view?v=867534&amp;end_month=12&amp;end_day=31&amp;end_year=2016","Correlation")</f>
        <v>Correlation</v>
      </c>
    </row>
    <row r="233" spans="1:11" x14ac:dyDescent="0.2">
      <c r="A233" s="99" t="s">
        <v>740</v>
      </c>
      <c r="B233" s="100" t="s">
        <v>741</v>
      </c>
      <c r="C233" s="100" t="s">
        <v>742</v>
      </c>
      <c r="D233" s="101" t="s">
        <v>743</v>
      </c>
      <c r="E233" s="60" t="b">
        <v>1</v>
      </c>
      <c r="F233" s="58" t="s">
        <v>1239</v>
      </c>
      <c r="G233" s="64" t="s">
        <v>1240</v>
      </c>
      <c r="H233" s="64" t="s">
        <v>1241</v>
      </c>
      <c r="I233" s="65" t="s">
        <v>1242</v>
      </c>
      <c r="J233" s="66"/>
      <c r="K233" s="63" t="str">
        <f>HYPERLINK("http://nsgreg.nga.mil/genc/view?v=867535&amp;end_month=12&amp;end_day=31&amp;end_year=2016","Correlation")</f>
        <v>Correlation</v>
      </c>
    </row>
    <row r="234" spans="1:11" x14ac:dyDescent="0.2">
      <c r="A234" s="99"/>
      <c r="B234" s="100"/>
      <c r="C234" s="100"/>
      <c r="D234" s="101"/>
      <c r="E234" s="67" t="b">
        <v>0</v>
      </c>
      <c r="F234" s="58" t="s">
        <v>736</v>
      </c>
      <c r="G234" s="64" t="s">
        <v>737</v>
      </c>
      <c r="H234" s="64" t="s">
        <v>738</v>
      </c>
      <c r="I234" s="65" t="s">
        <v>739</v>
      </c>
      <c r="J234" s="66"/>
      <c r="K234" s="63" t="str">
        <f>HYPERLINK("http://nsgreg.nga.mil/genc/view?v=867536&amp;end_month=12&amp;end_day=31&amp;end_year=2016","Correlation")</f>
        <v>Correlation</v>
      </c>
    </row>
    <row r="235" spans="1:11" x14ac:dyDescent="0.2">
      <c r="A235" s="57" t="s">
        <v>1245</v>
      </c>
      <c r="B235" s="58" t="s">
        <v>1246</v>
      </c>
      <c r="C235" s="58" t="s">
        <v>1247</v>
      </c>
      <c r="D235" s="59" t="s">
        <v>1248</v>
      </c>
      <c r="E235" s="60" t="b">
        <v>1</v>
      </c>
      <c r="F235" s="58" t="s">
        <v>1245</v>
      </c>
      <c r="G235" s="64" t="s">
        <v>1246</v>
      </c>
      <c r="H235" s="64" t="s">
        <v>1247</v>
      </c>
      <c r="I235" s="65" t="s">
        <v>1248</v>
      </c>
      <c r="J235" s="66"/>
      <c r="K235" s="63" t="str">
        <f>HYPERLINK("http://nsgreg.nga.mil/genc/view?v=867537&amp;end_month=12&amp;end_day=31&amp;end_year=2016","Correlation")</f>
        <v>Correlation</v>
      </c>
    </row>
    <row r="236" spans="1:11" x14ac:dyDescent="0.2">
      <c r="A236" s="57" t="s">
        <v>1249</v>
      </c>
      <c r="B236" s="58" t="s">
        <v>1250</v>
      </c>
      <c r="C236" s="58" t="s">
        <v>1251</v>
      </c>
      <c r="D236" s="59" t="s">
        <v>1252</v>
      </c>
      <c r="E236" s="60" t="b">
        <v>1</v>
      </c>
      <c r="F236" s="58" t="s">
        <v>1249</v>
      </c>
      <c r="G236" s="64" t="s">
        <v>1250</v>
      </c>
      <c r="H236" s="64" t="s">
        <v>1251</v>
      </c>
      <c r="I236" s="65" t="s">
        <v>1252</v>
      </c>
      <c r="J236" s="66"/>
      <c r="K236" s="63" t="str">
        <f>HYPERLINK("http://nsgreg.nga.mil/genc/view?v=867538&amp;end_month=12&amp;end_day=31&amp;end_year=2016","Correlation")</f>
        <v>Correlation</v>
      </c>
    </row>
    <row r="237" spans="1:11" x14ac:dyDescent="0.2">
      <c r="A237" s="57" t="s">
        <v>1253</v>
      </c>
      <c r="B237" s="58" t="s">
        <v>1254</v>
      </c>
      <c r="C237" s="58" t="s">
        <v>1255</v>
      </c>
      <c r="D237" s="59" t="s">
        <v>1256</v>
      </c>
      <c r="E237" s="60" t="b">
        <v>1</v>
      </c>
      <c r="F237" s="58" t="s">
        <v>1253</v>
      </c>
      <c r="G237" s="64" t="s">
        <v>1254</v>
      </c>
      <c r="H237" s="64" t="s">
        <v>1255</v>
      </c>
      <c r="I237" s="65" t="s">
        <v>1256</v>
      </c>
      <c r="J237" s="66"/>
      <c r="K237" s="63" t="str">
        <f>HYPERLINK("http://nsgreg.nga.mil/genc/view?v=867539&amp;end_month=12&amp;end_day=31&amp;end_year=2016","Correlation")</f>
        <v>Correlation</v>
      </c>
    </row>
    <row r="238" spans="1:11" x14ac:dyDescent="0.2">
      <c r="A238" s="57" t="s">
        <v>1261</v>
      </c>
      <c r="B238" s="58" t="s">
        <v>1258</v>
      </c>
      <c r="C238" s="58" t="s">
        <v>1259</v>
      </c>
      <c r="D238" s="59" t="s">
        <v>1260</v>
      </c>
      <c r="E238" s="60" t="b">
        <v>1</v>
      </c>
      <c r="F238" s="58" t="s">
        <v>1257</v>
      </c>
      <c r="G238" s="64" t="s">
        <v>1258</v>
      </c>
      <c r="H238" s="64" t="s">
        <v>1259</v>
      </c>
      <c r="I238" s="65" t="s">
        <v>1260</v>
      </c>
      <c r="J238" s="66"/>
      <c r="K238" s="63" t="str">
        <f>HYPERLINK("http://nsgreg.nga.mil/genc/view?v=867540&amp;end_month=12&amp;end_day=31&amp;end_year=2016","Correlation")</f>
        <v>Correlation</v>
      </c>
    </row>
    <row r="239" spans="1:11" x14ac:dyDescent="0.2">
      <c r="A239" s="99" t="s">
        <v>1046</v>
      </c>
      <c r="B239" s="100" t="s">
        <v>1047</v>
      </c>
      <c r="C239" s="100" t="s">
        <v>1048</v>
      </c>
      <c r="D239" s="101" t="s">
        <v>1049</v>
      </c>
      <c r="E239" s="60" t="b">
        <v>1</v>
      </c>
      <c r="F239" s="58" t="s">
        <v>1262</v>
      </c>
      <c r="G239" s="64" t="s">
        <v>1047</v>
      </c>
      <c r="H239" s="64" t="s">
        <v>1048</v>
      </c>
      <c r="I239" s="65" t="s">
        <v>1049</v>
      </c>
      <c r="J239" s="66"/>
      <c r="K239" s="63" t="str">
        <f>HYPERLINK("http://nsgreg.nga.mil/genc/view?v=867541&amp;end_month=12&amp;end_day=31&amp;end_year=2016","Correlation")</f>
        <v>Correlation</v>
      </c>
    </row>
    <row r="240" spans="1:11" x14ac:dyDescent="0.2">
      <c r="A240" s="99"/>
      <c r="B240" s="100"/>
      <c r="C240" s="100"/>
      <c r="D240" s="101"/>
      <c r="E240" s="67" t="b">
        <v>0</v>
      </c>
      <c r="F240" s="58" t="s">
        <v>1042</v>
      </c>
      <c r="G240" s="64" t="s">
        <v>1043</v>
      </c>
      <c r="H240" s="64" t="s">
        <v>1044</v>
      </c>
      <c r="I240" s="65" t="s">
        <v>1045</v>
      </c>
      <c r="J240" s="66"/>
      <c r="K240" s="63" t="str">
        <f>HYPERLINK("http://nsgreg.nga.mil/genc/view?v=867542&amp;end_month=12&amp;end_day=31&amp;end_year=2016","Correlation")</f>
        <v>Correlation</v>
      </c>
    </row>
    <row r="241" spans="1:11" x14ac:dyDescent="0.2">
      <c r="A241" s="99"/>
      <c r="B241" s="100"/>
      <c r="C241" s="100"/>
      <c r="D241" s="101"/>
      <c r="E241" s="67" t="b">
        <v>0</v>
      </c>
      <c r="F241" s="58" t="s">
        <v>1223</v>
      </c>
      <c r="G241" s="64" t="s">
        <v>1224</v>
      </c>
      <c r="H241" s="64" t="s">
        <v>1225</v>
      </c>
      <c r="I241" s="65" t="s">
        <v>1226</v>
      </c>
      <c r="J241" s="66"/>
      <c r="K241" s="63" t="str">
        <f>HYPERLINK("http://nsgreg.nga.mil/genc/view?v=867543&amp;end_month=12&amp;end_day=31&amp;end_year=2016","Correlation")</f>
        <v>Correlation</v>
      </c>
    </row>
    <row r="242" spans="1:11" x14ac:dyDescent="0.2">
      <c r="A242" s="57" t="s">
        <v>1263</v>
      </c>
      <c r="B242" s="58" t="s">
        <v>1264</v>
      </c>
      <c r="C242" s="58" t="s">
        <v>1265</v>
      </c>
      <c r="D242" s="59" t="s">
        <v>1266</v>
      </c>
      <c r="E242" s="60" t="b">
        <v>1</v>
      </c>
      <c r="F242" s="58" t="s">
        <v>1263</v>
      </c>
      <c r="G242" s="64" t="s">
        <v>1264</v>
      </c>
      <c r="H242" s="64" t="s">
        <v>1265</v>
      </c>
      <c r="I242" s="65" t="s">
        <v>1266</v>
      </c>
      <c r="J242" s="66"/>
      <c r="K242" s="63" t="str">
        <f>HYPERLINK("http://nsgreg.nga.mil/genc/view?v=867544&amp;end_month=12&amp;end_day=31&amp;end_year=2016","Correlation")</f>
        <v>Correlation</v>
      </c>
    </row>
    <row r="243" spans="1:11" x14ac:dyDescent="0.2">
      <c r="A243" s="57" t="s">
        <v>1271</v>
      </c>
      <c r="B243" s="58" t="s">
        <v>1268</v>
      </c>
      <c r="C243" s="58" t="s">
        <v>1269</v>
      </c>
      <c r="D243" s="59" t="s">
        <v>1270</v>
      </c>
      <c r="E243" s="60" t="b">
        <v>1</v>
      </c>
      <c r="F243" s="58" t="s">
        <v>1267</v>
      </c>
      <c r="G243" s="64" t="s">
        <v>1268</v>
      </c>
      <c r="H243" s="64" t="s">
        <v>1269</v>
      </c>
      <c r="I243" s="65" t="s">
        <v>1270</v>
      </c>
      <c r="J243" s="66"/>
      <c r="K243" s="63" t="str">
        <f>HYPERLINK("http://nsgreg.nga.mil/genc/view?v=867545&amp;end_month=12&amp;end_day=31&amp;end_year=2016","Correlation")</f>
        <v>Correlation</v>
      </c>
    </row>
    <row r="244" spans="1:11" x14ac:dyDescent="0.2">
      <c r="A244" s="57" t="s">
        <v>1272</v>
      </c>
      <c r="B244" s="58" t="s">
        <v>1273</v>
      </c>
      <c r="C244" s="58" t="s">
        <v>1274</v>
      </c>
      <c r="D244" s="59" t="s">
        <v>1275</v>
      </c>
      <c r="E244" s="60" t="b">
        <v>1</v>
      </c>
      <c r="F244" s="58" t="s">
        <v>1272</v>
      </c>
      <c r="G244" s="64" t="s">
        <v>1273</v>
      </c>
      <c r="H244" s="64" t="s">
        <v>1274</v>
      </c>
      <c r="I244" s="65" t="s">
        <v>1275</v>
      </c>
      <c r="J244" s="66"/>
      <c r="K244" s="63" t="str">
        <f>HYPERLINK("http://nsgreg.nga.mil/genc/view?v=867546&amp;end_month=12&amp;end_day=31&amp;end_year=2016","Correlation")</f>
        <v>Correlation</v>
      </c>
    </row>
    <row r="245" spans="1:11" x14ac:dyDescent="0.2">
      <c r="A245" s="57" t="s">
        <v>1276</v>
      </c>
      <c r="B245" s="58" t="s">
        <v>1277</v>
      </c>
      <c r="C245" s="58" t="s">
        <v>1278</v>
      </c>
      <c r="D245" s="59" t="s">
        <v>1279</v>
      </c>
      <c r="E245" s="60" t="b">
        <v>1</v>
      </c>
      <c r="F245" s="58" t="s">
        <v>1276</v>
      </c>
      <c r="G245" s="64" t="s">
        <v>1277</v>
      </c>
      <c r="H245" s="64" t="s">
        <v>1278</v>
      </c>
      <c r="I245" s="65" t="s">
        <v>1279</v>
      </c>
      <c r="J245" s="66"/>
      <c r="K245" s="63" t="str">
        <f>HYPERLINK("http://nsgreg.nga.mil/genc/view?v=867547&amp;end_month=12&amp;end_day=31&amp;end_year=2016","Correlation")</f>
        <v>Correlation</v>
      </c>
    </row>
    <row r="246" spans="1:11" x14ac:dyDescent="0.2">
      <c r="A246" s="57" t="s">
        <v>1280</v>
      </c>
      <c r="B246" s="58" t="s">
        <v>1281</v>
      </c>
      <c r="C246" s="58" t="s">
        <v>1282</v>
      </c>
      <c r="D246" s="59" t="s">
        <v>1283</v>
      </c>
      <c r="E246" s="60" t="b">
        <v>1</v>
      </c>
      <c r="F246" s="58" t="s">
        <v>1280</v>
      </c>
      <c r="G246" s="64" t="s">
        <v>1281</v>
      </c>
      <c r="H246" s="64" t="s">
        <v>1282</v>
      </c>
      <c r="I246" s="65" t="s">
        <v>1283</v>
      </c>
      <c r="J246" s="66"/>
      <c r="K246" s="63" t="str">
        <f>HYPERLINK("http://nsgreg.nga.mil/genc/view?v=867548&amp;end_month=12&amp;end_day=31&amp;end_year=2016","Correlation")</f>
        <v>Correlation</v>
      </c>
    </row>
    <row r="247" spans="1:11" x14ac:dyDescent="0.2">
      <c r="A247" s="57" t="s">
        <v>1284</v>
      </c>
      <c r="B247" s="58" t="s">
        <v>1285</v>
      </c>
      <c r="C247" s="58" t="s">
        <v>1286</v>
      </c>
      <c r="D247" s="59" t="s">
        <v>1287</v>
      </c>
      <c r="E247" s="60" t="b">
        <v>1</v>
      </c>
      <c r="F247" s="58" t="s">
        <v>1284</v>
      </c>
      <c r="G247" s="64" t="s">
        <v>1285</v>
      </c>
      <c r="H247" s="64" t="s">
        <v>1286</v>
      </c>
      <c r="I247" s="65" t="s">
        <v>1287</v>
      </c>
      <c r="J247" s="66"/>
      <c r="K247" s="63" t="str">
        <f>HYPERLINK("http://nsgreg.nga.mil/genc/view?v=867549&amp;end_month=12&amp;end_day=31&amp;end_year=2016","Correlation")</f>
        <v>Correlation</v>
      </c>
    </row>
    <row r="248" spans="1:11" x14ac:dyDescent="0.2">
      <c r="A248" s="57" t="s">
        <v>1288</v>
      </c>
      <c r="B248" s="58" t="s">
        <v>1289</v>
      </c>
      <c r="C248" s="58" t="s">
        <v>1290</v>
      </c>
      <c r="D248" s="59" t="s">
        <v>1291</v>
      </c>
      <c r="E248" s="60" t="b">
        <v>1</v>
      </c>
      <c r="F248" s="58" t="s">
        <v>1288</v>
      </c>
      <c r="G248" s="64" t="s">
        <v>1289</v>
      </c>
      <c r="H248" s="64" t="s">
        <v>1290</v>
      </c>
      <c r="I248" s="65" t="s">
        <v>1291</v>
      </c>
      <c r="J248" s="66"/>
      <c r="K248" s="63" t="str">
        <f>HYPERLINK("http://nsgreg.nga.mil/genc/view?v=867550&amp;end_month=12&amp;end_day=31&amp;end_year=2016","Correlation")</f>
        <v>Correlation</v>
      </c>
    </row>
    <row r="249" spans="1:11" x14ac:dyDescent="0.2">
      <c r="A249" s="57" t="s">
        <v>1292</v>
      </c>
      <c r="B249" s="58" t="s">
        <v>1293</v>
      </c>
      <c r="C249" s="58" t="s">
        <v>1294</v>
      </c>
      <c r="D249" s="59" t="s">
        <v>1295</v>
      </c>
      <c r="E249" s="60" t="b">
        <v>1</v>
      </c>
      <c r="F249" s="58" t="s">
        <v>1292</v>
      </c>
      <c r="G249" s="64" t="s">
        <v>1293</v>
      </c>
      <c r="H249" s="64" t="s">
        <v>1294</v>
      </c>
      <c r="I249" s="65" t="s">
        <v>1295</v>
      </c>
      <c r="J249" s="66"/>
      <c r="K249" s="63" t="str">
        <f>HYPERLINK("http://nsgreg.nga.mil/genc/view?v=867551&amp;end_month=12&amp;end_day=31&amp;end_year=2016","Correlation")</f>
        <v>Correlation</v>
      </c>
    </row>
    <row r="250" spans="1:11" x14ac:dyDescent="0.2">
      <c r="A250" s="57" t="s">
        <v>1300</v>
      </c>
      <c r="B250" s="58" t="s">
        <v>1301</v>
      </c>
      <c r="C250" s="58" t="s">
        <v>1302</v>
      </c>
      <c r="D250" s="59" t="s">
        <v>1303</v>
      </c>
      <c r="E250" s="60" t="b">
        <v>1</v>
      </c>
      <c r="F250" s="58" t="s">
        <v>1300</v>
      </c>
      <c r="G250" s="64" t="s">
        <v>1301</v>
      </c>
      <c r="H250" s="64" t="s">
        <v>1302</v>
      </c>
      <c r="I250" s="65" t="s">
        <v>1303</v>
      </c>
      <c r="J250" s="66"/>
      <c r="K250" s="63" t="str">
        <f>HYPERLINK("http://nsgreg.nga.mil/genc/view?v=867552&amp;end_month=12&amp;end_day=31&amp;end_year=2016","Correlation")</f>
        <v>Correlation</v>
      </c>
    </row>
    <row r="251" spans="1:11" x14ac:dyDescent="0.2">
      <c r="A251" s="57" t="s">
        <v>1304</v>
      </c>
      <c r="B251" s="58" t="s">
        <v>1305</v>
      </c>
      <c r="C251" s="58" t="s">
        <v>1306</v>
      </c>
      <c r="D251" s="59" t="s">
        <v>1307</v>
      </c>
      <c r="E251" s="60" t="b">
        <v>1</v>
      </c>
      <c r="F251" s="58" t="s">
        <v>1304</v>
      </c>
      <c r="G251" s="64" t="s">
        <v>1305</v>
      </c>
      <c r="H251" s="64" t="s">
        <v>1306</v>
      </c>
      <c r="I251" s="65" t="s">
        <v>1307</v>
      </c>
      <c r="J251" s="66"/>
      <c r="K251" s="63" t="str">
        <f>HYPERLINK("http://nsgreg.nga.mil/genc/view?v=867553&amp;end_month=12&amp;end_day=31&amp;end_year=2016","Correlation")</f>
        <v>Correlation</v>
      </c>
    </row>
    <row r="252" spans="1:11" x14ac:dyDescent="0.2">
      <c r="A252" s="57" t="s">
        <v>1308</v>
      </c>
      <c r="B252" s="58" t="s">
        <v>1309</v>
      </c>
      <c r="C252" s="58" t="s">
        <v>1310</v>
      </c>
      <c r="D252" s="59" t="s">
        <v>1311</v>
      </c>
      <c r="E252" s="60" t="b">
        <v>1</v>
      </c>
      <c r="F252" s="58" t="s">
        <v>1308</v>
      </c>
      <c r="G252" s="64" t="s">
        <v>1309</v>
      </c>
      <c r="H252" s="64" t="s">
        <v>1310</v>
      </c>
      <c r="I252" s="65" t="s">
        <v>1311</v>
      </c>
      <c r="J252" s="66"/>
      <c r="K252" s="63" t="str">
        <f>HYPERLINK("http://nsgreg.nga.mil/genc/view?v=867554&amp;end_month=12&amp;end_day=31&amp;end_year=2016","Correlation")</f>
        <v>Correlation</v>
      </c>
    </row>
    <row r="253" spans="1:11" x14ac:dyDescent="0.2">
      <c r="A253" s="57" t="s">
        <v>1312</v>
      </c>
      <c r="B253" s="58" t="s">
        <v>1313</v>
      </c>
      <c r="C253" s="58" t="s">
        <v>1314</v>
      </c>
      <c r="D253" s="59" t="s">
        <v>1315</v>
      </c>
      <c r="E253" s="60" t="b">
        <v>1</v>
      </c>
      <c r="F253" s="58" t="s">
        <v>1312</v>
      </c>
      <c r="G253" s="64" t="s">
        <v>1313</v>
      </c>
      <c r="H253" s="64" t="s">
        <v>1314</v>
      </c>
      <c r="I253" s="65" t="s">
        <v>1315</v>
      </c>
      <c r="J253" s="66"/>
      <c r="K253" s="63" t="str">
        <f>HYPERLINK("http://nsgreg.nga.mil/genc/view?v=867555&amp;end_month=12&amp;end_day=31&amp;end_year=2016","Correlation")</f>
        <v>Correlation</v>
      </c>
    </row>
    <row r="254" spans="1:11" x14ac:dyDescent="0.2">
      <c r="A254" s="57" t="s">
        <v>1316</v>
      </c>
      <c r="B254" s="58" t="s">
        <v>1317</v>
      </c>
      <c r="C254" s="58" t="s">
        <v>1318</v>
      </c>
      <c r="D254" s="59" t="s">
        <v>1319</v>
      </c>
      <c r="E254" s="60" t="b">
        <v>1</v>
      </c>
      <c r="F254" s="58" t="s">
        <v>1316</v>
      </c>
      <c r="G254" s="64" t="s">
        <v>1317</v>
      </c>
      <c r="H254" s="64" t="s">
        <v>1318</v>
      </c>
      <c r="I254" s="65" t="s">
        <v>1319</v>
      </c>
      <c r="J254" s="66"/>
      <c r="K254" s="63" t="str">
        <f>HYPERLINK("http://nsgreg.nga.mil/genc/view?v=867556&amp;end_month=12&amp;end_day=31&amp;end_year=2016","Correlation")</f>
        <v>Correlation</v>
      </c>
    </row>
    <row r="255" spans="1:11" x14ac:dyDescent="0.2">
      <c r="A255" s="57" t="s">
        <v>1320</v>
      </c>
      <c r="B255" s="58" t="s">
        <v>1321</v>
      </c>
      <c r="C255" s="58" t="s">
        <v>1322</v>
      </c>
      <c r="D255" s="59" t="s">
        <v>1323</v>
      </c>
      <c r="E255" s="60" t="b">
        <v>1</v>
      </c>
      <c r="F255" s="58" t="s">
        <v>1320</v>
      </c>
      <c r="G255" s="64" t="s">
        <v>1321</v>
      </c>
      <c r="H255" s="64" t="s">
        <v>1322</v>
      </c>
      <c r="I255" s="65" t="s">
        <v>1323</v>
      </c>
      <c r="J255" s="66"/>
      <c r="K255" s="63" t="str">
        <f>HYPERLINK("http://nsgreg.nga.mil/genc/view?v=867557&amp;end_month=12&amp;end_day=31&amp;end_year=2016","Correlation")</f>
        <v>Correlation</v>
      </c>
    </row>
    <row r="256" spans="1:11" x14ac:dyDescent="0.2">
      <c r="A256" s="57" t="s">
        <v>1324</v>
      </c>
      <c r="B256" s="58" t="s">
        <v>1325</v>
      </c>
      <c r="C256" s="58" t="s">
        <v>1326</v>
      </c>
      <c r="D256" s="59" t="s">
        <v>1327</v>
      </c>
      <c r="E256" s="60" t="b">
        <v>1</v>
      </c>
      <c r="F256" s="58" t="s">
        <v>1324</v>
      </c>
      <c r="G256" s="64" t="s">
        <v>1325</v>
      </c>
      <c r="H256" s="64" t="s">
        <v>1326</v>
      </c>
      <c r="I256" s="65" t="s">
        <v>1327</v>
      </c>
      <c r="J256" s="66"/>
      <c r="K256" s="63" t="str">
        <f>HYPERLINK("http://nsgreg.nga.mil/genc/view?v=867558&amp;end_month=12&amp;end_day=31&amp;end_year=2016","Correlation")</f>
        <v>Correlation</v>
      </c>
    </row>
    <row r="257" spans="1:11" x14ac:dyDescent="0.2">
      <c r="A257" s="57" t="s">
        <v>1328</v>
      </c>
      <c r="B257" s="58" t="s">
        <v>1329</v>
      </c>
      <c r="C257" s="58" t="s">
        <v>1330</v>
      </c>
      <c r="D257" s="59" t="s">
        <v>1331</v>
      </c>
      <c r="E257" s="60" t="b">
        <v>1</v>
      </c>
      <c r="F257" s="58" t="s">
        <v>1328</v>
      </c>
      <c r="G257" s="64" t="s">
        <v>1329</v>
      </c>
      <c r="H257" s="64" t="s">
        <v>1330</v>
      </c>
      <c r="I257" s="65" t="s">
        <v>1331</v>
      </c>
      <c r="J257" s="66"/>
      <c r="K257" s="63" t="str">
        <f>HYPERLINK("http://nsgreg.nga.mil/genc/view?v=867559&amp;end_month=12&amp;end_day=31&amp;end_year=2016","Correlation")</f>
        <v>Correlation</v>
      </c>
    </row>
    <row r="258" spans="1:11" x14ac:dyDescent="0.2">
      <c r="A258" s="57" t="s">
        <v>1336</v>
      </c>
      <c r="B258" s="58" t="s">
        <v>1333</v>
      </c>
      <c r="C258" s="58" t="s">
        <v>1334</v>
      </c>
      <c r="D258" s="59" t="s">
        <v>1335</v>
      </c>
      <c r="E258" s="60" t="b">
        <v>1</v>
      </c>
      <c r="F258" s="58" t="s">
        <v>1332</v>
      </c>
      <c r="G258" s="64" t="s">
        <v>1333</v>
      </c>
      <c r="H258" s="64" t="s">
        <v>1334</v>
      </c>
      <c r="I258" s="65" t="s">
        <v>1335</v>
      </c>
      <c r="J258" s="66"/>
      <c r="K258" s="63" t="str">
        <f>HYPERLINK("http://nsgreg.nga.mil/genc/view?v=867560&amp;end_month=12&amp;end_day=31&amp;end_year=2016","Correlation")</f>
        <v>Correlation</v>
      </c>
    </row>
    <row r="259" spans="1:11" x14ac:dyDescent="0.2">
      <c r="A259" s="99" t="s">
        <v>245</v>
      </c>
      <c r="B259" s="100" t="s">
        <v>246</v>
      </c>
      <c r="C259" s="100" t="s">
        <v>247</v>
      </c>
      <c r="D259" s="101" t="s">
        <v>248</v>
      </c>
      <c r="E259" s="67" t="b">
        <v>0</v>
      </c>
      <c r="F259" s="58" t="s">
        <v>241</v>
      </c>
      <c r="G259" s="64" t="s">
        <v>242</v>
      </c>
      <c r="H259" s="64" t="s">
        <v>243</v>
      </c>
      <c r="I259" s="65" t="s">
        <v>244</v>
      </c>
      <c r="J259" s="66"/>
      <c r="K259" s="63" t="str">
        <f>HYPERLINK("http://nsgreg.nga.mil/genc/view?v=867562&amp;end_month=12&amp;end_day=31&amp;end_year=2016","Correlation")</f>
        <v>Correlation</v>
      </c>
    </row>
    <row r="260" spans="1:11" x14ac:dyDescent="0.2">
      <c r="A260" s="99"/>
      <c r="B260" s="100"/>
      <c r="C260" s="100"/>
      <c r="D260" s="101"/>
      <c r="E260" s="67" t="b">
        <v>0</v>
      </c>
      <c r="F260" s="58" t="s">
        <v>685</v>
      </c>
      <c r="G260" s="64" t="s">
        <v>686</v>
      </c>
      <c r="H260" s="64" t="s">
        <v>687</v>
      </c>
      <c r="I260" s="65" t="s">
        <v>688</v>
      </c>
      <c r="J260" s="66"/>
      <c r="K260" s="63" t="str">
        <f>HYPERLINK("http://nsgreg.nga.mil/genc/view?v=867563&amp;end_month=12&amp;end_day=31&amp;end_year=2016","Correlation")</f>
        <v>Correlation</v>
      </c>
    </row>
    <row r="261" spans="1:11" x14ac:dyDescent="0.2">
      <c r="A261" s="99"/>
      <c r="B261" s="100"/>
      <c r="C261" s="100"/>
      <c r="D261" s="101"/>
      <c r="E261" s="67" t="b">
        <v>0</v>
      </c>
      <c r="F261" s="58" t="s">
        <v>750</v>
      </c>
      <c r="G261" s="64" t="s">
        <v>751</v>
      </c>
      <c r="H261" s="64" t="s">
        <v>752</v>
      </c>
      <c r="I261" s="65" t="s">
        <v>753</v>
      </c>
      <c r="J261" s="66"/>
      <c r="K261" s="63" t="str">
        <f>HYPERLINK("http://nsgreg.nga.mil/genc/view?v=867564&amp;end_month=12&amp;end_day=31&amp;end_year=2016","Correlation")</f>
        <v>Correlation</v>
      </c>
    </row>
    <row r="262" spans="1:11" x14ac:dyDescent="0.2">
      <c r="A262" s="99"/>
      <c r="B262" s="100"/>
      <c r="C262" s="100"/>
      <c r="D262" s="101"/>
      <c r="E262" s="67" t="b">
        <v>0</v>
      </c>
      <c r="F262" s="58" t="s">
        <v>760</v>
      </c>
      <c r="G262" s="64" t="s">
        <v>761</v>
      </c>
      <c r="H262" s="64" t="s">
        <v>762</v>
      </c>
      <c r="I262" s="65" t="s">
        <v>763</v>
      </c>
      <c r="J262" s="66"/>
      <c r="K262" s="63" t="str">
        <f>HYPERLINK("http://nsgreg.nga.mil/genc/view?v=867565&amp;end_month=12&amp;end_day=31&amp;end_year=2016","Correlation")</f>
        <v>Correlation</v>
      </c>
    </row>
    <row r="263" spans="1:11" x14ac:dyDescent="0.2">
      <c r="A263" s="99"/>
      <c r="B263" s="100"/>
      <c r="C263" s="100"/>
      <c r="D263" s="101"/>
      <c r="E263" s="67" t="b">
        <v>0</v>
      </c>
      <c r="F263" s="58" t="s">
        <v>782</v>
      </c>
      <c r="G263" s="64" t="s">
        <v>783</v>
      </c>
      <c r="H263" s="64" t="s">
        <v>784</v>
      </c>
      <c r="I263" s="65" t="s">
        <v>785</v>
      </c>
      <c r="J263" s="66"/>
      <c r="K263" s="63" t="str">
        <f>HYPERLINK("http://nsgreg.nga.mil/genc/view?v=867566&amp;end_month=12&amp;end_day=31&amp;end_year=2016","Correlation")</f>
        <v>Correlation</v>
      </c>
    </row>
    <row r="264" spans="1:11" x14ac:dyDescent="0.2">
      <c r="A264" s="99"/>
      <c r="B264" s="100"/>
      <c r="C264" s="100"/>
      <c r="D264" s="101"/>
      <c r="E264" s="67" t="b">
        <v>0</v>
      </c>
      <c r="F264" s="58" t="s">
        <v>923</v>
      </c>
      <c r="G264" s="64" t="s">
        <v>924</v>
      </c>
      <c r="H264" s="64" t="s">
        <v>925</v>
      </c>
      <c r="I264" s="65" t="s">
        <v>926</v>
      </c>
      <c r="J264" s="66"/>
      <c r="K264" s="63" t="str">
        <f>HYPERLINK("http://nsgreg.nga.mil/genc/view?v=867567&amp;end_month=12&amp;end_day=31&amp;end_year=2016","Correlation")</f>
        <v>Correlation</v>
      </c>
    </row>
    <row r="265" spans="1:11" x14ac:dyDescent="0.2">
      <c r="A265" s="99"/>
      <c r="B265" s="100"/>
      <c r="C265" s="100"/>
      <c r="D265" s="101"/>
      <c r="E265" s="67" t="b">
        <v>0</v>
      </c>
      <c r="F265" s="58" t="s">
        <v>966</v>
      </c>
      <c r="G265" s="64" t="s">
        <v>967</v>
      </c>
      <c r="H265" s="64" t="s">
        <v>968</v>
      </c>
      <c r="I265" s="65" t="s">
        <v>969</v>
      </c>
      <c r="J265" s="66"/>
      <c r="K265" s="63" t="str">
        <f>HYPERLINK("http://nsgreg.nga.mil/genc/view?v=867568&amp;end_month=12&amp;end_day=31&amp;end_year=2016","Correlation")</f>
        <v>Correlation</v>
      </c>
    </row>
    <row r="266" spans="1:11" x14ac:dyDescent="0.2">
      <c r="A266" s="99"/>
      <c r="B266" s="100"/>
      <c r="C266" s="100"/>
      <c r="D266" s="101"/>
      <c r="E266" s="67" t="b">
        <v>0</v>
      </c>
      <c r="F266" s="58" t="s">
        <v>1028</v>
      </c>
      <c r="G266" s="64" t="s">
        <v>1029</v>
      </c>
      <c r="H266" s="64" t="s">
        <v>1030</v>
      </c>
      <c r="I266" s="65" t="s">
        <v>1031</v>
      </c>
      <c r="J266" s="66"/>
      <c r="K266" s="63" t="str">
        <f>HYPERLINK("http://nsgreg.nga.mil/genc/view?v=867569&amp;end_month=12&amp;end_day=31&amp;end_year=2016","Correlation")</f>
        <v>Correlation</v>
      </c>
    </row>
    <row r="267" spans="1:11" x14ac:dyDescent="0.2">
      <c r="A267" s="99"/>
      <c r="B267" s="100"/>
      <c r="C267" s="100"/>
      <c r="D267" s="101"/>
      <c r="E267" s="67" t="b">
        <v>0</v>
      </c>
      <c r="F267" s="58" t="s">
        <v>1379</v>
      </c>
      <c r="G267" s="64" t="s">
        <v>1380</v>
      </c>
      <c r="H267" s="64" t="s">
        <v>1381</v>
      </c>
      <c r="I267" s="65" t="s">
        <v>1382</v>
      </c>
      <c r="J267" s="66"/>
      <c r="K267" s="63" t="str">
        <f>HYPERLINK("http://nsgreg.nga.mil/genc/view?v=867570&amp;end_month=12&amp;end_day=31&amp;end_year=2016","Correlation")</f>
        <v>Correlation</v>
      </c>
    </row>
    <row r="268" spans="1:11" x14ac:dyDescent="0.2">
      <c r="A268" s="57" t="s">
        <v>1341</v>
      </c>
      <c r="B268" s="58" t="s">
        <v>1338</v>
      </c>
      <c r="C268" s="58" t="s">
        <v>1339</v>
      </c>
      <c r="D268" s="59" t="s">
        <v>1340</v>
      </c>
      <c r="E268" s="60" t="b">
        <v>1</v>
      </c>
      <c r="F268" s="58" t="s">
        <v>1337</v>
      </c>
      <c r="G268" s="64" t="s">
        <v>1338</v>
      </c>
      <c r="H268" s="64" t="s">
        <v>1339</v>
      </c>
      <c r="I268" s="65" t="s">
        <v>1340</v>
      </c>
      <c r="J268" s="66"/>
      <c r="K268" s="63" t="str">
        <f>HYPERLINK("http://nsgreg.nga.mil/genc/view?v=867561&amp;end_month=12&amp;end_day=31&amp;end_year=2016","Correlation")</f>
        <v>Correlation</v>
      </c>
    </row>
    <row r="269" spans="1:11" x14ac:dyDescent="0.2">
      <c r="A269" s="57" t="s">
        <v>1346</v>
      </c>
      <c r="B269" s="58" t="s">
        <v>1347</v>
      </c>
      <c r="C269" s="58" t="s">
        <v>1348</v>
      </c>
      <c r="D269" s="59" t="s">
        <v>1349</v>
      </c>
      <c r="E269" s="60" t="b">
        <v>1</v>
      </c>
      <c r="F269" s="58" t="s">
        <v>1346</v>
      </c>
      <c r="G269" s="64" t="s">
        <v>1347</v>
      </c>
      <c r="H269" s="64" t="s">
        <v>1348</v>
      </c>
      <c r="I269" s="65" t="s">
        <v>1349</v>
      </c>
      <c r="J269" s="66"/>
      <c r="K269" s="63" t="str">
        <f>HYPERLINK("http://nsgreg.nga.mil/genc/view?v=867571&amp;end_month=12&amp;end_day=31&amp;end_year=2016","Correlation")</f>
        <v>Correlation</v>
      </c>
    </row>
    <row r="270" spans="1:11" x14ac:dyDescent="0.2">
      <c r="A270" s="57" t="s">
        <v>1350</v>
      </c>
      <c r="B270" s="58" t="s">
        <v>1351</v>
      </c>
      <c r="C270" s="58" t="s">
        <v>1352</v>
      </c>
      <c r="D270" s="59" t="s">
        <v>1353</v>
      </c>
      <c r="E270" s="60" t="b">
        <v>1</v>
      </c>
      <c r="F270" s="58" t="s">
        <v>1350</v>
      </c>
      <c r="G270" s="64" t="s">
        <v>1351</v>
      </c>
      <c r="H270" s="64" t="s">
        <v>1352</v>
      </c>
      <c r="I270" s="65" t="s">
        <v>1353</v>
      </c>
      <c r="J270" s="66"/>
      <c r="K270" s="63" t="str">
        <f>HYPERLINK("http://nsgreg.nga.mil/genc/view?v=867572&amp;end_month=12&amp;end_day=31&amp;end_year=2016","Correlation")</f>
        <v>Correlation</v>
      </c>
    </row>
    <row r="271" spans="1:11" x14ac:dyDescent="0.2">
      <c r="A271" s="57" t="s">
        <v>1354</v>
      </c>
      <c r="B271" s="58" t="s">
        <v>1355</v>
      </c>
      <c r="C271" s="58" t="s">
        <v>1356</v>
      </c>
      <c r="D271" s="59" t="s">
        <v>1357</v>
      </c>
      <c r="E271" s="60" t="b">
        <v>1</v>
      </c>
      <c r="F271" s="58" t="s">
        <v>1354</v>
      </c>
      <c r="G271" s="64" t="s">
        <v>1355</v>
      </c>
      <c r="H271" s="64" t="s">
        <v>1356</v>
      </c>
      <c r="I271" s="65" t="s">
        <v>1357</v>
      </c>
      <c r="J271" s="66"/>
      <c r="K271" s="63" t="str">
        <f>HYPERLINK("http://nsgreg.nga.mil/genc/view?v=867573&amp;end_month=12&amp;end_day=31&amp;end_year=2016","Correlation")</f>
        <v>Correlation</v>
      </c>
    </row>
    <row r="272" spans="1:11" x14ac:dyDescent="0.2">
      <c r="A272" s="57" t="s">
        <v>1367</v>
      </c>
      <c r="B272" s="58" t="s">
        <v>1364</v>
      </c>
      <c r="C272" s="58" t="s">
        <v>1365</v>
      </c>
      <c r="D272" s="59" t="s">
        <v>1366</v>
      </c>
      <c r="E272" s="60" t="b">
        <v>1</v>
      </c>
      <c r="F272" s="58" t="s">
        <v>1363</v>
      </c>
      <c r="G272" s="64" t="s">
        <v>1364</v>
      </c>
      <c r="H272" s="64" t="s">
        <v>1365</v>
      </c>
      <c r="I272" s="65" t="s">
        <v>1366</v>
      </c>
      <c r="J272" s="66"/>
      <c r="K272" s="63" t="str">
        <f>HYPERLINK("http://nsgreg.nga.mil/genc/view?v=867574&amp;end_month=12&amp;end_day=31&amp;end_year=2016","Correlation")</f>
        <v>Correlation</v>
      </c>
    </row>
    <row r="273" spans="1:11" x14ac:dyDescent="0.2">
      <c r="A273" s="99" t="s">
        <v>1050</v>
      </c>
      <c r="B273" s="100" t="s">
        <v>1051</v>
      </c>
      <c r="C273" s="100" t="s">
        <v>1052</v>
      </c>
      <c r="D273" s="101" t="s">
        <v>1053</v>
      </c>
      <c r="E273" s="60" t="b">
        <v>1</v>
      </c>
      <c r="F273" s="58" t="s">
        <v>1368</v>
      </c>
      <c r="G273" s="64" t="s">
        <v>1051</v>
      </c>
      <c r="H273" s="64" t="s">
        <v>1052</v>
      </c>
      <c r="I273" s="65" t="s">
        <v>1053</v>
      </c>
      <c r="J273" s="66"/>
      <c r="K273" s="63" t="str">
        <f>HYPERLINK("http://nsgreg.nga.mil/genc/view?v=867575&amp;end_month=12&amp;end_day=31&amp;end_year=2016","Correlation")</f>
        <v>Correlation</v>
      </c>
    </row>
    <row r="274" spans="1:11" x14ac:dyDescent="0.2">
      <c r="A274" s="99"/>
      <c r="B274" s="100"/>
      <c r="C274" s="100"/>
      <c r="D274" s="101"/>
      <c r="E274" s="67" t="b">
        <v>0</v>
      </c>
      <c r="F274" s="58" t="s">
        <v>1042</v>
      </c>
      <c r="G274" s="64" t="s">
        <v>1043</v>
      </c>
      <c r="H274" s="64" t="s">
        <v>1044</v>
      </c>
      <c r="I274" s="65" t="s">
        <v>1045</v>
      </c>
      <c r="J274" s="66"/>
      <c r="K274" s="63" t="str">
        <f>HYPERLINK("http://nsgreg.nga.mil/genc/view?v=867576&amp;end_month=12&amp;end_day=31&amp;end_year=2016","Correlation")</f>
        <v>Correlation</v>
      </c>
    </row>
    <row r="275" spans="1:11" x14ac:dyDescent="0.2">
      <c r="A275" s="99"/>
      <c r="B275" s="100"/>
      <c r="C275" s="100"/>
      <c r="D275" s="101"/>
      <c r="E275" s="67" t="b">
        <v>0</v>
      </c>
      <c r="F275" s="58" t="s">
        <v>1223</v>
      </c>
      <c r="G275" s="64" t="s">
        <v>1224</v>
      </c>
      <c r="H275" s="64" t="s">
        <v>1225</v>
      </c>
      <c r="I275" s="65" t="s">
        <v>1226</v>
      </c>
      <c r="J275" s="66"/>
      <c r="K275" s="63" t="str">
        <f>HYPERLINK("http://nsgreg.nga.mil/genc/view?v=867577&amp;end_month=12&amp;end_day=31&amp;end_year=2016","Correlation")</f>
        <v>Correlation</v>
      </c>
    </row>
    <row r="276" spans="1:11" x14ac:dyDescent="0.2">
      <c r="A276" s="57" t="s">
        <v>1369</v>
      </c>
      <c r="B276" s="58" t="s">
        <v>1370</v>
      </c>
      <c r="C276" s="58" t="s">
        <v>1371</v>
      </c>
      <c r="D276" s="59" t="s">
        <v>1372</v>
      </c>
      <c r="E276" s="60" t="b">
        <v>1</v>
      </c>
      <c r="F276" s="58" t="s">
        <v>1369</v>
      </c>
      <c r="G276" s="64" t="s">
        <v>1370</v>
      </c>
      <c r="H276" s="64" t="s">
        <v>1371</v>
      </c>
      <c r="I276" s="65" t="s">
        <v>1372</v>
      </c>
      <c r="J276" s="66"/>
      <c r="K276" s="63" t="str">
        <f>HYPERLINK("http://nsgreg.nga.mil/genc/view?v=867578&amp;end_month=12&amp;end_day=31&amp;end_year=2016","Correlation")</f>
        <v>Correlation</v>
      </c>
    </row>
    <row r="277" spans="1:11" x14ac:dyDescent="0.2">
      <c r="A277" s="57" t="s">
        <v>1373</v>
      </c>
      <c r="B277" s="58" t="s">
        <v>1374</v>
      </c>
      <c r="C277" s="58" t="s">
        <v>1375</v>
      </c>
      <c r="D277" s="59" t="s">
        <v>1376</v>
      </c>
      <c r="E277" s="60" t="b">
        <v>1</v>
      </c>
      <c r="F277" s="58" t="s">
        <v>1373</v>
      </c>
      <c r="G277" s="64" t="s">
        <v>1374</v>
      </c>
      <c r="H277" s="64" t="s">
        <v>1375</v>
      </c>
      <c r="I277" s="65" t="s">
        <v>1376</v>
      </c>
      <c r="J277" s="66"/>
      <c r="K277" s="63" t="str">
        <f>HYPERLINK("http://nsgreg.nga.mil/genc/view?v=867579&amp;end_month=12&amp;end_day=31&amp;end_year=2016","Correlation")</f>
        <v>Correlation</v>
      </c>
    </row>
    <row r="278" spans="1:11" x14ac:dyDescent="0.2">
      <c r="A278" s="57" t="s">
        <v>1385</v>
      </c>
      <c r="B278" s="58" t="s">
        <v>1386</v>
      </c>
      <c r="C278" s="58" t="s">
        <v>1387</v>
      </c>
      <c r="D278" s="59" t="s">
        <v>1388</v>
      </c>
      <c r="E278" s="60" t="b">
        <v>1</v>
      </c>
      <c r="F278" s="58" t="s">
        <v>1385</v>
      </c>
      <c r="G278" s="64" t="s">
        <v>1386</v>
      </c>
      <c r="H278" s="64" t="s">
        <v>1387</v>
      </c>
      <c r="I278" s="65" t="s">
        <v>1388</v>
      </c>
      <c r="J278" s="66"/>
      <c r="K278" s="63" t="str">
        <f>HYPERLINK("http://nsgreg.nga.mil/genc/view?v=867580&amp;end_month=12&amp;end_day=31&amp;end_year=2016","Correlation")</f>
        <v>Correlation</v>
      </c>
    </row>
    <row r="279" spans="1:11" x14ac:dyDescent="0.2">
      <c r="A279" s="57" t="s">
        <v>1395</v>
      </c>
      <c r="B279" s="58" t="s">
        <v>1396</v>
      </c>
      <c r="C279" s="58" t="s">
        <v>1397</v>
      </c>
      <c r="D279" s="59" t="s">
        <v>1398</v>
      </c>
      <c r="E279" s="60" t="b">
        <v>1</v>
      </c>
      <c r="F279" s="58" t="s">
        <v>1395</v>
      </c>
      <c r="G279" s="64" t="s">
        <v>1396</v>
      </c>
      <c r="H279" s="64" t="s">
        <v>1397</v>
      </c>
      <c r="I279" s="65" t="s">
        <v>1398</v>
      </c>
      <c r="J279" s="66"/>
      <c r="K279" s="63" t="str">
        <f>HYPERLINK("http://nsgreg.nga.mil/genc/view?v=867581&amp;end_month=12&amp;end_day=31&amp;end_year=2016","Correlation")</f>
        <v>Correlation</v>
      </c>
    </row>
    <row r="280" spans="1:11" x14ac:dyDescent="0.2">
      <c r="A280" s="57" t="s">
        <v>1399</v>
      </c>
      <c r="B280" s="58" t="s">
        <v>1400</v>
      </c>
      <c r="C280" s="58" t="s">
        <v>1401</v>
      </c>
      <c r="D280" s="59" t="s">
        <v>1402</v>
      </c>
      <c r="E280" s="60" t="b">
        <v>1</v>
      </c>
      <c r="F280" s="58" t="s">
        <v>1399</v>
      </c>
      <c r="G280" s="64" t="s">
        <v>1400</v>
      </c>
      <c r="H280" s="64" t="s">
        <v>1401</v>
      </c>
      <c r="I280" s="65" t="s">
        <v>1402</v>
      </c>
      <c r="J280" s="66"/>
      <c r="K280" s="63" t="str">
        <f>HYPERLINK("http://nsgreg.nga.mil/genc/view?v=867582&amp;end_month=12&amp;end_day=31&amp;end_year=2016","Correlation")</f>
        <v>Correlation</v>
      </c>
    </row>
    <row r="281" spans="1:11" x14ac:dyDescent="0.2">
      <c r="A281" s="57" t="s">
        <v>1403</v>
      </c>
      <c r="B281" s="58" t="s">
        <v>1404</v>
      </c>
      <c r="C281" s="58" t="s">
        <v>1405</v>
      </c>
      <c r="D281" s="59" t="s">
        <v>1406</v>
      </c>
      <c r="E281" s="60" t="b">
        <v>1</v>
      </c>
      <c r="F281" s="58" t="s">
        <v>1403</v>
      </c>
      <c r="G281" s="64" t="s">
        <v>1404</v>
      </c>
      <c r="H281" s="64" t="s">
        <v>1405</v>
      </c>
      <c r="I281" s="65" t="s">
        <v>1406</v>
      </c>
      <c r="J281" s="66"/>
      <c r="K281" s="63" t="str">
        <f>HYPERLINK("http://nsgreg.nga.mil/genc/view?v=867583&amp;end_month=12&amp;end_day=31&amp;end_year=2016","Correlation")</f>
        <v>Correlation</v>
      </c>
    </row>
    <row r="282" spans="1:11" x14ac:dyDescent="0.2">
      <c r="A282" s="70" t="s">
        <v>1407</v>
      </c>
      <c r="B282" s="71" t="s">
        <v>1408</v>
      </c>
      <c r="C282" s="71" t="s">
        <v>1409</v>
      </c>
      <c r="D282" s="72" t="s">
        <v>1410</v>
      </c>
      <c r="E282" s="73" t="b">
        <v>1</v>
      </c>
      <c r="F282" s="71" t="s">
        <v>1407</v>
      </c>
      <c r="G282" s="74" t="s">
        <v>1408</v>
      </c>
      <c r="H282" s="74" t="s">
        <v>1409</v>
      </c>
      <c r="I282" s="75" t="s">
        <v>1410</v>
      </c>
      <c r="J282" s="76"/>
      <c r="K282" s="77" t="str">
        <f>HYPERLINK("http://nsgreg.nga.mil/genc/view?v=867584&amp;end_month=12&amp;end_day=31&amp;end_year=2016","Correlation")</f>
        <v>Correlation</v>
      </c>
    </row>
  </sheetData>
  <autoFilter ref="A4:I4"/>
  <mergeCells count="66">
    <mergeCell ref="A1:K1"/>
    <mergeCell ref="E3:E4"/>
    <mergeCell ref="K2:K4"/>
    <mergeCell ref="B2:B4"/>
    <mergeCell ref="C2:C4"/>
    <mergeCell ref="H2:H4"/>
    <mergeCell ref="I2:I4"/>
    <mergeCell ref="G2:G4"/>
    <mergeCell ref="D2:D4"/>
    <mergeCell ref="J2:J4"/>
    <mergeCell ref="A18:A20"/>
    <mergeCell ref="B18:B20"/>
    <mergeCell ref="C18:C20"/>
    <mergeCell ref="D18:D20"/>
    <mergeCell ref="A39:A40"/>
    <mergeCell ref="B39:B40"/>
    <mergeCell ref="C39:C40"/>
    <mergeCell ref="D39:D40"/>
    <mergeCell ref="A53:A55"/>
    <mergeCell ref="B53:B55"/>
    <mergeCell ref="C53:C55"/>
    <mergeCell ref="D53:D55"/>
    <mergeCell ref="A66:A67"/>
    <mergeCell ref="B66:B67"/>
    <mergeCell ref="C66:C67"/>
    <mergeCell ref="D66:D67"/>
    <mergeCell ref="A86:A87"/>
    <mergeCell ref="B86:B87"/>
    <mergeCell ref="C86:C87"/>
    <mergeCell ref="D86:D87"/>
    <mergeCell ref="A90:A95"/>
    <mergeCell ref="B90:B95"/>
    <mergeCell ref="C90:C95"/>
    <mergeCell ref="D90:D95"/>
    <mergeCell ref="A151:A152"/>
    <mergeCell ref="B151:B152"/>
    <mergeCell ref="C151:C152"/>
    <mergeCell ref="D151:D152"/>
    <mergeCell ref="A174:A175"/>
    <mergeCell ref="B174:B175"/>
    <mergeCell ref="C174:C175"/>
    <mergeCell ref="D174:D175"/>
    <mergeCell ref="A188:A189"/>
    <mergeCell ref="B188:B189"/>
    <mergeCell ref="C188:C189"/>
    <mergeCell ref="D188:D189"/>
    <mergeCell ref="A194:A195"/>
    <mergeCell ref="B194:B195"/>
    <mergeCell ref="C194:C195"/>
    <mergeCell ref="D194:D195"/>
    <mergeCell ref="A233:A234"/>
    <mergeCell ref="B233:B234"/>
    <mergeCell ref="C233:C234"/>
    <mergeCell ref="D233:D234"/>
    <mergeCell ref="A239:A241"/>
    <mergeCell ref="B239:B241"/>
    <mergeCell ref="C239:C241"/>
    <mergeCell ref="D239:D241"/>
    <mergeCell ref="A259:A267"/>
    <mergeCell ref="B259:B267"/>
    <mergeCell ref="C259:C267"/>
    <mergeCell ref="D259:D267"/>
    <mergeCell ref="A273:A275"/>
    <mergeCell ref="B273:B275"/>
    <mergeCell ref="C273:C275"/>
    <mergeCell ref="D273:D27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M4968"/>
  <sheetViews>
    <sheetView workbookViewId="0">
      <pane ySplit="4" topLeftCell="A5" activePane="bottomLeft" state="frozen"/>
      <selection pane="bottomLeft" activeCell="E2" sqref="E2"/>
    </sheetView>
  </sheetViews>
  <sheetFormatPr defaultRowHeight="11.25" x14ac:dyDescent="0.2"/>
  <cols>
    <col min="1" max="1" width="32.83203125" style="1" customWidth="1"/>
    <col min="2" max="2" width="24.83203125" style="1" customWidth="1"/>
    <col min="3" max="3" width="18.83203125" style="1" customWidth="1"/>
    <col min="4" max="4" width="8.1640625" style="1" customWidth="1"/>
    <col min="5" max="5" width="8.5" style="23" bestFit="1" customWidth="1"/>
    <col min="6" max="6" width="32.83203125" style="1" customWidth="1"/>
    <col min="7" max="7" width="26.83203125" style="1" customWidth="1"/>
    <col min="8" max="8" width="18.83203125" style="1" customWidth="1"/>
    <col min="9" max="9" width="8.1640625" style="24" customWidth="1"/>
    <col min="10" max="11" width="6" style="24" customWidth="1"/>
    <col min="12" max="12" width="6" style="25" customWidth="1"/>
    <col min="13" max="13" width="9.83203125" style="1" customWidth="1"/>
    <col min="14" max="16384" width="9.33203125" style="1"/>
  </cols>
  <sheetData>
    <row r="1" spans="1:13" ht="21.75" customHeight="1" x14ac:dyDescent="0.2">
      <c r="A1" s="103" t="s">
        <v>1411</v>
      </c>
      <c r="B1" s="104"/>
      <c r="C1" s="104"/>
      <c r="D1" s="104"/>
      <c r="E1" s="104"/>
      <c r="F1" s="104"/>
      <c r="G1" s="104"/>
      <c r="H1" s="104"/>
      <c r="I1" s="104"/>
      <c r="J1" s="104"/>
      <c r="K1" s="104"/>
      <c r="L1" s="104"/>
      <c r="M1" s="105"/>
    </row>
    <row r="2" spans="1:13" ht="15" customHeight="1" x14ac:dyDescent="0.2">
      <c r="A2" s="19" t="s">
        <v>22</v>
      </c>
      <c r="B2" s="19"/>
      <c r="C2" s="19"/>
      <c r="D2" s="110" t="s">
        <v>71</v>
      </c>
      <c r="E2" s="21" t="s">
        <v>7</v>
      </c>
      <c r="F2" s="20" t="s">
        <v>23</v>
      </c>
      <c r="G2" s="20"/>
      <c r="H2" s="20"/>
      <c r="I2" s="108" t="s">
        <v>70</v>
      </c>
      <c r="J2" s="116" t="s">
        <v>3</v>
      </c>
      <c r="K2" s="116" t="s">
        <v>4</v>
      </c>
      <c r="L2" s="116" t="s">
        <v>5</v>
      </c>
      <c r="M2" s="115" t="s">
        <v>28</v>
      </c>
    </row>
    <row r="3" spans="1:13" ht="21.75" customHeight="1" x14ac:dyDescent="0.25">
      <c r="A3" s="14" t="s">
        <v>67</v>
      </c>
      <c r="B3" s="14"/>
      <c r="C3" s="14"/>
      <c r="D3" s="110"/>
      <c r="E3" s="106" t="s">
        <v>6</v>
      </c>
      <c r="F3" s="16" t="s">
        <v>66</v>
      </c>
      <c r="G3" s="16"/>
      <c r="H3" s="16"/>
      <c r="I3" s="108"/>
      <c r="J3" s="116"/>
      <c r="K3" s="116"/>
      <c r="L3" s="116"/>
      <c r="M3" s="102"/>
    </row>
    <row r="4" spans="1:13" ht="29.25" customHeight="1" x14ac:dyDescent="0.2">
      <c r="A4" s="9" t="s">
        <v>73</v>
      </c>
      <c r="B4" s="9" t="s">
        <v>74</v>
      </c>
      <c r="C4" s="9" t="s">
        <v>76</v>
      </c>
      <c r="D4" s="110"/>
      <c r="E4" s="106"/>
      <c r="F4" s="10" t="s">
        <v>72</v>
      </c>
      <c r="G4" s="10" t="s">
        <v>75</v>
      </c>
      <c r="H4" s="10" t="s">
        <v>76</v>
      </c>
      <c r="I4" s="108"/>
      <c r="J4" s="116"/>
      <c r="K4" s="116"/>
      <c r="L4" s="116"/>
      <c r="M4" s="102"/>
    </row>
    <row r="5" spans="1:13" x14ac:dyDescent="0.2">
      <c r="A5" s="112" t="s">
        <v>159</v>
      </c>
      <c r="B5" s="50" t="s">
        <v>1412</v>
      </c>
      <c r="C5" s="50" t="s">
        <v>1413</v>
      </c>
      <c r="D5" s="50" t="s">
        <v>1414</v>
      </c>
      <c r="E5" s="52" t="b">
        <v>1</v>
      </c>
      <c r="F5" s="78" t="s">
        <v>159</v>
      </c>
      <c r="G5" s="50" t="s">
        <v>1412</v>
      </c>
      <c r="H5" s="50" t="s">
        <v>1413</v>
      </c>
      <c r="I5" s="53" t="s">
        <v>1414</v>
      </c>
      <c r="J5" s="55"/>
      <c r="K5" s="55"/>
      <c r="L5" s="79"/>
      <c r="M5" s="56" t="str">
        <f>HYPERLINK("http://nsgreg.nga.mil/genc/view?v=867602&amp;end_month=12&amp;end_day=31&amp;end_year=2016","Correlation")</f>
        <v>Correlation</v>
      </c>
    </row>
    <row r="6" spans="1:13" x14ac:dyDescent="0.2">
      <c r="A6" s="113"/>
      <c r="B6" s="58" t="s">
        <v>1415</v>
      </c>
      <c r="C6" s="58" t="s">
        <v>1413</v>
      </c>
      <c r="D6" s="58" t="s">
        <v>1416</v>
      </c>
      <c r="E6" s="60" t="b">
        <v>1</v>
      </c>
      <c r="F6" s="80" t="s">
        <v>159</v>
      </c>
      <c r="G6" s="58" t="s">
        <v>1415</v>
      </c>
      <c r="H6" s="58" t="s">
        <v>1413</v>
      </c>
      <c r="I6" s="64" t="s">
        <v>1416</v>
      </c>
      <c r="J6" s="66"/>
      <c r="K6" s="66"/>
      <c r="L6" s="68"/>
      <c r="M6" s="63" t="str">
        <f>HYPERLINK("http://nsgreg.nga.mil/genc/view?v=867601&amp;end_month=12&amp;end_day=31&amp;end_year=2016","Correlation")</f>
        <v>Correlation</v>
      </c>
    </row>
    <row r="7" spans="1:13" x14ac:dyDescent="0.2">
      <c r="A7" s="113"/>
      <c r="B7" s="58" t="s">
        <v>1417</v>
      </c>
      <c r="C7" s="58" t="s">
        <v>1413</v>
      </c>
      <c r="D7" s="58" t="s">
        <v>1418</v>
      </c>
      <c r="E7" s="60" t="b">
        <v>1</v>
      </c>
      <c r="F7" s="80" t="s">
        <v>159</v>
      </c>
      <c r="G7" s="58" t="s">
        <v>1417</v>
      </c>
      <c r="H7" s="58" t="s">
        <v>1413</v>
      </c>
      <c r="I7" s="64" t="s">
        <v>1418</v>
      </c>
      <c r="J7" s="66"/>
      <c r="K7" s="66"/>
      <c r="L7" s="68"/>
      <c r="M7" s="63" t="str">
        <f>HYPERLINK("http://nsgreg.nga.mil/genc/view?v=867603&amp;end_month=12&amp;end_day=31&amp;end_year=2016","Correlation")</f>
        <v>Correlation</v>
      </c>
    </row>
    <row r="8" spans="1:13" x14ac:dyDescent="0.2">
      <c r="A8" s="113"/>
      <c r="B8" s="58" t="s">
        <v>1419</v>
      </c>
      <c r="C8" s="58" t="s">
        <v>1413</v>
      </c>
      <c r="D8" s="58" t="s">
        <v>1420</v>
      </c>
      <c r="E8" s="60" t="b">
        <v>1</v>
      </c>
      <c r="F8" s="80" t="s">
        <v>159</v>
      </c>
      <c r="G8" s="58" t="s">
        <v>1419</v>
      </c>
      <c r="H8" s="58" t="s">
        <v>1413</v>
      </c>
      <c r="I8" s="64" t="s">
        <v>1420</v>
      </c>
      <c r="J8" s="66"/>
      <c r="K8" s="66"/>
      <c r="L8" s="68"/>
      <c r="M8" s="63" t="str">
        <f>HYPERLINK("http://nsgreg.nga.mil/genc/view?v=867599&amp;end_month=12&amp;end_day=31&amp;end_year=2016","Correlation")</f>
        <v>Correlation</v>
      </c>
    </row>
    <row r="9" spans="1:13" x14ac:dyDescent="0.2">
      <c r="A9" s="113"/>
      <c r="B9" s="58" t="s">
        <v>1421</v>
      </c>
      <c r="C9" s="58" t="s">
        <v>1413</v>
      </c>
      <c r="D9" s="58" t="s">
        <v>1422</v>
      </c>
      <c r="E9" s="60" t="b">
        <v>1</v>
      </c>
      <c r="F9" s="80" t="s">
        <v>159</v>
      </c>
      <c r="G9" s="58" t="s">
        <v>1421</v>
      </c>
      <c r="H9" s="58" t="s">
        <v>1413</v>
      </c>
      <c r="I9" s="64" t="s">
        <v>1422</v>
      </c>
      <c r="J9" s="66"/>
      <c r="K9" s="66"/>
      <c r="L9" s="68"/>
      <c r="M9" s="63" t="str">
        <f>HYPERLINK("http://nsgreg.nga.mil/genc/view?v=867600&amp;end_month=12&amp;end_day=31&amp;end_year=2016","Correlation")</f>
        <v>Correlation</v>
      </c>
    </row>
    <row r="10" spans="1:13" x14ac:dyDescent="0.2">
      <c r="A10" s="113"/>
      <c r="B10" s="58" t="s">
        <v>1423</v>
      </c>
      <c r="C10" s="58" t="s">
        <v>1413</v>
      </c>
      <c r="D10" s="58" t="s">
        <v>1424</v>
      </c>
      <c r="E10" s="60" t="b">
        <v>1</v>
      </c>
      <c r="F10" s="80" t="s">
        <v>159</v>
      </c>
      <c r="G10" s="58" t="s">
        <v>1423</v>
      </c>
      <c r="H10" s="58" t="s">
        <v>1413</v>
      </c>
      <c r="I10" s="64" t="s">
        <v>1424</v>
      </c>
      <c r="J10" s="66"/>
      <c r="K10" s="66"/>
      <c r="L10" s="68"/>
      <c r="M10" s="63" t="str">
        <f>HYPERLINK("http://nsgreg.nga.mil/genc/view?v=867604&amp;end_month=12&amp;end_day=31&amp;end_year=2016","Correlation")</f>
        <v>Correlation</v>
      </c>
    </row>
    <row r="11" spans="1:13" x14ac:dyDescent="0.2">
      <c r="A11" s="113"/>
      <c r="B11" s="58" t="s">
        <v>1425</v>
      </c>
      <c r="C11" s="58" t="s">
        <v>1413</v>
      </c>
      <c r="D11" s="58" t="s">
        <v>1426</v>
      </c>
      <c r="E11" s="60" t="b">
        <v>1</v>
      </c>
      <c r="F11" s="80" t="s">
        <v>159</v>
      </c>
      <c r="G11" s="58" t="s">
        <v>1425</v>
      </c>
      <c r="H11" s="58" t="s">
        <v>1413</v>
      </c>
      <c r="I11" s="64" t="s">
        <v>1426</v>
      </c>
      <c r="J11" s="66"/>
      <c r="K11" s="66"/>
      <c r="L11" s="68"/>
      <c r="M11" s="63" t="str">
        <f>HYPERLINK("http://nsgreg.nga.mil/genc/view?v=867605&amp;end_month=12&amp;end_day=31&amp;end_year=2016","Correlation")</f>
        <v>Correlation</v>
      </c>
    </row>
    <row r="12" spans="1:13" x14ac:dyDescent="0.2">
      <c r="A12" s="113"/>
      <c r="B12" s="58" t="s">
        <v>1427</v>
      </c>
      <c r="C12" s="58" t="s">
        <v>1413</v>
      </c>
      <c r="D12" s="58" t="s">
        <v>1428</v>
      </c>
      <c r="E12" s="60" t="b">
        <v>1</v>
      </c>
      <c r="F12" s="80" t="s">
        <v>159</v>
      </c>
      <c r="G12" s="58" t="s">
        <v>1427</v>
      </c>
      <c r="H12" s="58" t="s">
        <v>1413</v>
      </c>
      <c r="I12" s="64" t="s">
        <v>1428</v>
      </c>
      <c r="J12" s="66"/>
      <c r="K12" s="66"/>
      <c r="L12" s="68"/>
      <c r="M12" s="63" t="str">
        <f>HYPERLINK("http://nsgreg.nga.mil/genc/view?v=867606&amp;end_month=12&amp;end_day=31&amp;end_year=2016","Correlation")</f>
        <v>Correlation</v>
      </c>
    </row>
    <row r="13" spans="1:13" x14ac:dyDescent="0.2">
      <c r="A13" s="113"/>
      <c r="B13" s="58" t="s">
        <v>1429</v>
      </c>
      <c r="C13" s="58" t="s">
        <v>1413</v>
      </c>
      <c r="D13" s="58" t="s">
        <v>1430</v>
      </c>
      <c r="E13" s="60" t="b">
        <v>1</v>
      </c>
      <c r="F13" s="80" t="s">
        <v>159</v>
      </c>
      <c r="G13" s="58" t="s">
        <v>1429</v>
      </c>
      <c r="H13" s="58" t="s">
        <v>1413</v>
      </c>
      <c r="I13" s="64" t="s">
        <v>1430</v>
      </c>
      <c r="J13" s="66"/>
      <c r="K13" s="66"/>
      <c r="L13" s="68"/>
      <c r="M13" s="63" t="str">
        <f>HYPERLINK("http://nsgreg.nga.mil/genc/view?v=867607&amp;end_month=12&amp;end_day=31&amp;end_year=2016","Correlation")</f>
        <v>Correlation</v>
      </c>
    </row>
    <row r="14" spans="1:13" x14ac:dyDescent="0.2">
      <c r="A14" s="113"/>
      <c r="B14" s="58" t="s">
        <v>1431</v>
      </c>
      <c r="C14" s="58" t="s">
        <v>1413</v>
      </c>
      <c r="D14" s="58" t="s">
        <v>1432</v>
      </c>
      <c r="E14" s="60" t="b">
        <v>1</v>
      </c>
      <c r="F14" s="80" t="s">
        <v>159</v>
      </c>
      <c r="G14" s="58" t="s">
        <v>1431</v>
      </c>
      <c r="H14" s="58" t="s">
        <v>1413</v>
      </c>
      <c r="I14" s="64" t="s">
        <v>1432</v>
      </c>
      <c r="J14" s="66"/>
      <c r="K14" s="66"/>
      <c r="L14" s="68"/>
      <c r="M14" s="63" t="str">
        <f>HYPERLINK("http://nsgreg.nga.mil/genc/view?v=867608&amp;end_month=12&amp;end_day=31&amp;end_year=2016","Correlation")</f>
        <v>Correlation</v>
      </c>
    </row>
    <row r="15" spans="1:13" x14ac:dyDescent="0.2">
      <c r="A15" s="113"/>
      <c r="B15" s="58" t="s">
        <v>1433</v>
      </c>
      <c r="C15" s="58" t="s">
        <v>1413</v>
      </c>
      <c r="D15" s="58" t="s">
        <v>1434</v>
      </c>
      <c r="E15" s="60" t="b">
        <v>1</v>
      </c>
      <c r="F15" s="80" t="s">
        <v>159</v>
      </c>
      <c r="G15" s="58" t="s">
        <v>1433</v>
      </c>
      <c r="H15" s="58" t="s">
        <v>1413</v>
      </c>
      <c r="I15" s="64" t="s">
        <v>1434</v>
      </c>
      <c r="J15" s="66"/>
      <c r="K15" s="66"/>
      <c r="L15" s="68"/>
      <c r="M15" s="63" t="str">
        <f>HYPERLINK("http://nsgreg.nga.mil/genc/view?v=867609&amp;end_month=12&amp;end_day=31&amp;end_year=2016","Correlation")</f>
        <v>Correlation</v>
      </c>
    </row>
    <row r="16" spans="1:13" x14ac:dyDescent="0.2">
      <c r="A16" s="113"/>
      <c r="B16" s="58" t="s">
        <v>1435</v>
      </c>
      <c r="C16" s="58" t="s">
        <v>1413</v>
      </c>
      <c r="D16" s="58" t="s">
        <v>1436</v>
      </c>
      <c r="E16" s="60" t="b">
        <v>1</v>
      </c>
      <c r="F16" s="80" t="s">
        <v>159</v>
      </c>
      <c r="G16" s="58" t="s">
        <v>1435</v>
      </c>
      <c r="H16" s="58" t="s">
        <v>1413</v>
      </c>
      <c r="I16" s="64" t="s">
        <v>1436</v>
      </c>
      <c r="J16" s="66"/>
      <c r="K16" s="66"/>
      <c r="L16" s="68"/>
      <c r="M16" s="63" t="str">
        <f>HYPERLINK("http://nsgreg.nga.mil/genc/view?v=867610&amp;end_month=12&amp;end_day=31&amp;end_year=2016","Correlation")</f>
        <v>Correlation</v>
      </c>
    </row>
    <row r="17" spans="1:13" x14ac:dyDescent="0.2">
      <c r="A17" s="113"/>
      <c r="B17" s="58" t="s">
        <v>1437</v>
      </c>
      <c r="C17" s="58" t="s">
        <v>1413</v>
      </c>
      <c r="D17" s="58" t="s">
        <v>1438</v>
      </c>
      <c r="E17" s="60" t="b">
        <v>1</v>
      </c>
      <c r="F17" s="80" t="s">
        <v>159</v>
      </c>
      <c r="G17" s="58" t="s">
        <v>1437</v>
      </c>
      <c r="H17" s="58" t="s">
        <v>1413</v>
      </c>
      <c r="I17" s="64" t="s">
        <v>1438</v>
      </c>
      <c r="J17" s="66"/>
      <c r="K17" s="66"/>
      <c r="L17" s="68"/>
      <c r="M17" s="63" t="str">
        <f>HYPERLINK("http://nsgreg.nga.mil/genc/view?v=867611&amp;end_month=12&amp;end_day=31&amp;end_year=2016","Correlation")</f>
        <v>Correlation</v>
      </c>
    </row>
    <row r="18" spans="1:13" x14ac:dyDescent="0.2">
      <c r="A18" s="113"/>
      <c r="B18" s="58" t="s">
        <v>1439</v>
      </c>
      <c r="C18" s="58" t="s">
        <v>1413</v>
      </c>
      <c r="D18" s="58" t="s">
        <v>1440</v>
      </c>
      <c r="E18" s="60" t="b">
        <v>1</v>
      </c>
      <c r="F18" s="80" t="s">
        <v>159</v>
      </c>
      <c r="G18" s="58" t="s">
        <v>1439</v>
      </c>
      <c r="H18" s="58" t="s">
        <v>1413</v>
      </c>
      <c r="I18" s="64" t="s">
        <v>1440</v>
      </c>
      <c r="J18" s="66"/>
      <c r="K18" s="66"/>
      <c r="L18" s="68"/>
      <c r="M18" s="63" t="str">
        <f>HYPERLINK("http://nsgreg.nga.mil/genc/view?v=867612&amp;end_month=12&amp;end_day=31&amp;end_year=2016","Correlation")</f>
        <v>Correlation</v>
      </c>
    </row>
    <row r="19" spans="1:13" x14ac:dyDescent="0.2">
      <c r="A19" s="113"/>
      <c r="B19" s="58" t="s">
        <v>1441</v>
      </c>
      <c r="C19" s="58" t="s">
        <v>1413</v>
      </c>
      <c r="D19" s="58" t="s">
        <v>1442</v>
      </c>
      <c r="E19" s="60" t="b">
        <v>1</v>
      </c>
      <c r="F19" s="80" t="s">
        <v>159</v>
      </c>
      <c r="G19" s="58" t="s">
        <v>1441</v>
      </c>
      <c r="H19" s="58" t="s">
        <v>1413</v>
      </c>
      <c r="I19" s="64" t="s">
        <v>1442</v>
      </c>
      <c r="J19" s="66"/>
      <c r="K19" s="66"/>
      <c r="L19" s="68"/>
      <c r="M19" s="63" t="str">
        <f>HYPERLINK("http://nsgreg.nga.mil/genc/view?v=867613&amp;end_month=12&amp;end_day=31&amp;end_year=2016","Correlation")</f>
        <v>Correlation</v>
      </c>
    </row>
    <row r="20" spans="1:13" x14ac:dyDescent="0.2">
      <c r="A20" s="113"/>
      <c r="B20" s="58" t="s">
        <v>1443</v>
      </c>
      <c r="C20" s="58" t="s">
        <v>1413</v>
      </c>
      <c r="D20" s="58" t="s">
        <v>1444</v>
      </c>
      <c r="E20" s="60" t="b">
        <v>1</v>
      </c>
      <c r="F20" s="80" t="s">
        <v>159</v>
      </c>
      <c r="G20" s="58" t="s">
        <v>1443</v>
      </c>
      <c r="H20" s="58" t="s">
        <v>1413</v>
      </c>
      <c r="I20" s="64" t="s">
        <v>1444</v>
      </c>
      <c r="J20" s="66"/>
      <c r="K20" s="66"/>
      <c r="L20" s="68"/>
      <c r="M20" s="63" t="str">
        <f>HYPERLINK("http://nsgreg.nga.mil/genc/view?v=867614&amp;end_month=12&amp;end_day=31&amp;end_year=2016","Correlation")</f>
        <v>Correlation</v>
      </c>
    </row>
    <row r="21" spans="1:13" x14ac:dyDescent="0.2">
      <c r="A21" s="113"/>
      <c r="B21" s="58" t="s">
        <v>1445</v>
      </c>
      <c r="C21" s="58" t="s">
        <v>1413</v>
      </c>
      <c r="D21" s="58" t="s">
        <v>1446</v>
      </c>
      <c r="E21" s="60" t="b">
        <v>1</v>
      </c>
      <c r="F21" s="80" t="s">
        <v>159</v>
      </c>
      <c r="G21" s="58" t="s">
        <v>1445</v>
      </c>
      <c r="H21" s="58" t="s">
        <v>1413</v>
      </c>
      <c r="I21" s="64" t="s">
        <v>1446</v>
      </c>
      <c r="J21" s="66"/>
      <c r="K21" s="66"/>
      <c r="L21" s="68"/>
      <c r="M21" s="63" t="str">
        <f>HYPERLINK("http://nsgreg.nga.mil/genc/view?v=867616&amp;end_month=12&amp;end_day=31&amp;end_year=2016","Correlation")</f>
        <v>Correlation</v>
      </c>
    </row>
    <row r="22" spans="1:13" x14ac:dyDescent="0.2">
      <c r="A22" s="113"/>
      <c r="B22" s="58" t="s">
        <v>1447</v>
      </c>
      <c r="C22" s="58" t="s">
        <v>1413</v>
      </c>
      <c r="D22" s="58" t="s">
        <v>1448</v>
      </c>
      <c r="E22" s="60" t="b">
        <v>1</v>
      </c>
      <c r="F22" s="80" t="s">
        <v>159</v>
      </c>
      <c r="G22" s="58" t="s">
        <v>1447</v>
      </c>
      <c r="H22" s="58" t="s">
        <v>1413</v>
      </c>
      <c r="I22" s="64" t="s">
        <v>1448</v>
      </c>
      <c r="J22" s="66"/>
      <c r="K22" s="66"/>
      <c r="L22" s="68"/>
      <c r="M22" s="63" t="str">
        <f>HYPERLINK("http://nsgreg.nga.mil/genc/view?v=867617&amp;end_month=12&amp;end_day=31&amp;end_year=2016","Correlation")</f>
        <v>Correlation</v>
      </c>
    </row>
    <row r="23" spans="1:13" x14ac:dyDescent="0.2">
      <c r="A23" s="113"/>
      <c r="B23" s="58" t="s">
        <v>1449</v>
      </c>
      <c r="C23" s="58" t="s">
        <v>1413</v>
      </c>
      <c r="D23" s="58" t="s">
        <v>1450</v>
      </c>
      <c r="E23" s="60" t="b">
        <v>1</v>
      </c>
      <c r="F23" s="80" t="s">
        <v>159</v>
      </c>
      <c r="G23" s="58" t="s">
        <v>1449</v>
      </c>
      <c r="H23" s="58" t="s">
        <v>1413</v>
      </c>
      <c r="I23" s="64" t="s">
        <v>1450</v>
      </c>
      <c r="J23" s="66"/>
      <c r="K23" s="66"/>
      <c r="L23" s="68"/>
      <c r="M23" s="63" t="str">
        <f>HYPERLINK("http://nsgreg.nga.mil/genc/view?v=867615&amp;end_month=12&amp;end_day=31&amp;end_year=2016","Correlation")</f>
        <v>Correlation</v>
      </c>
    </row>
    <row r="24" spans="1:13" x14ac:dyDescent="0.2">
      <c r="A24" s="113"/>
      <c r="B24" s="58" t="s">
        <v>1451</v>
      </c>
      <c r="C24" s="58" t="s">
        <v>1413</v>
      </c>
      <c r="D24" s="58" t="s">
        <v>1452</v>
      </c>
      <c r="E24" s="60" t="b">
        <v>1</v>
      </c>
      <c r="F24" s="80" t="s">
        <v>159</v>
      </c>
      <c r="G24" s="58" t="s">
        <v>1451</v>
      </c>
      <c r="H24" s="58" t="s">
        <v>1413</v>
      </c>
      <c r="I24" s="64" t="s">
        <v>1452</v>
      </c>
      <c r="J24" s="66"/>
      <c r="K24" s="66"/>
      <c r="L24" s="68"/>
      <c r="M24" s="63" t="str">
        <f>HYPERLINK("http://nsgreg.nga.mil/genc/view?v=867618&amp;end_month=12&amp;end_day=31&amp;end_year=2016","Correlation")</f>
        <v>Correlation</v>
      </c>
    </row>
    <row r="25" spans="1:13" x14ac:dyDescent="0.2">
      <c r="A25" s="113"/>
      <c r="B25" s="58" t="s">
        <v>1453</v>
      </c>
      <c r="C25" s="58" t="s">
        <v>1413</v>
      </c>
      <c r="D25" s="58" t="s">
        <v>1454</v>
      </c>
      <c r="E25" s="60" t="b">
        <v>1</v>
      </c>
      <c r="F25" s="80" t="s">
        <v>159</v>
      </c>
      <c r="G25" s="58" t="s">
        <v>1453</v>
      </c>
      <c r="H25" s="58" t="s">
        <v>1413</v>
      </c>
      <c r="I25" s="64" t="s">
        <v>1454</v>
      </c>
      <c r="J25" s="66"/>
      <c r="K25" s="66"/>
      <c r="L25" s="68"/>
      <c r="M25" s="63" t="str">
        <f>HYPERLINK("http://nsgreg.nga.mil/genc/view?v=867619&amp;end_month=12&amp;end_day=31&amp;end_year=2016","Correlation")</f>
        <v>Correlation</v>
      </c>
    </row>
    <row r="26" spans="1:13" x14ac:dyDescent="0.2">
      <c r="A26" s="113"/>
      <c r="B26" s="58" t="s">
        <v>1455</v>
      </c>
      <c r="C26" s="58" t="s">
        <v>1413</v>
      </c>
      <c r="D26" s="58" t="s">
        <v>1456</v>
      </c>
      <c r="E26" s="60" t="b">
        <v>1</v>
      </c>
      <c r="F26" s="80" t="s">
        <v>159</v>
      </c>
      <c r="G26" s="58" t="s">
        <v>1455</v>
      </c>
      <c r="H26" s="58" t="s">
        <v>1413</v>
      </c>
      <c r="I26" s="64" t="s">
        <v>1456</v>
      </c>
      <c r="J26" s="66"/>
      <c r="K26" s="66"/>
      <c r="L26" s="68"/>
      <c r="M26" s="63" t="str">
        <f>HYPERLINK("http://nsgreg.nga.mil/genc/view?v=867620&amp;end_month=12&amp;end_day=31&amp;end_year=2016","Correlation")</f>
        <v>Correlation</v>
      </c>
    </row>
    <row r="27" spans="1:13" x14ac:dyDescent="0.2">
      <c r="A27" s="113"/>
      <c r="B27" s="58" t="s">
        <v>1457</v>
      </c>
      <c r="C27" s="58" t="s">
        <v>1413</v>
      </c>
      <c r="D27" s="58" t="s">
        <v>1458</v>
      </c>
      <c r="E27" s="60" t="b">
        <v>1</v>
      </c>
      <c r="F27" s="80" t="s">
        <v>159</v>
      </c>
      <c r="G27" s="58" t="s">
        <v>1457</v>
      </c>
      <c r="H27" s="58" t="s">
        <v>1413</v>
      </c>
      <c r="I27" s="64" t="s">
        <v>1458</v>
      </c>
      <c r="J27" s="66"/>
      <c r="K27" s="66"/>
      <c r="L27" s="68"/>
      <c r="M27" s="63" t="str">
        <f>HYPERLINK("http://nsgreg.nga.mil/genc/view?v=867621&amp;end_month=12&amp;end_day=31&amp;end_year=2016","Correlation")</f>
        <v>Correlation</v>
      </c>
    </row>
    <row r="28" spans="1:13" x14ac:dyDescent="0.2">
      <c r="A28" s="113"/>
      <c r="B28" s="58" t="s">
        <v>1459</v>
      </c>
      <c r="C28" s="58" t="s">
        <v>1413</v>
      </c>
      <c r="D28" s="58" t="s">
        <v>1460</v>
      </c>
      <c r="E28" s="60" t="b">
        <v>1</v>
      </c>
      <c r="F28" s="80" t="s">
        <v>159</v>
      </c>
      <c r="G28" s="58" t="s">
        <v>1459</v>
      </c>
      <c r="H28" s="58" t="s">
        <v>1413</v>
      </c>
      <c r="I28" s="64" t="s">
        <v>1460</v>
      </c>
      <c r="J28" s="66"/>
      <c r="K28" s="66"/>
      <c r="L28" s="68"/>
      <c r="M28" s="63" t="str">
        <f>HYPERLINK("http://nsgreg.nga.mil/genc/view?v=867622&amp;end_month=12&amp;end_day=31&amp;end_year=2016","Correlation")</f>
        <v>Correlation</v>
      </c>
    </row>
    <row r="29" spans="1:13" x14ac:dyDescent="0.2">
      <c r="A29" s="113"/>
      <c r="B29" s="58" t="s">
        <v>1461</v>
      </c>
      <c r="C29" s="58" t="s">
        <v>1413</v>
      </c>
      <c r="D29" s="58" t="s">
        <v>1462</v>
      </c>
      <c r="E29" s="60" t="b">
        <v>1</v>
      </c>
      <c r="F29" s="80" t="s">
        <v>159</v>
      </c>
      <c r="G29" s="58" t="s">
        <v>1461</v>
      </c>
      <c r="H29" s="58" t="s">
        <v>1413</v>
      </c>
      <c r="I29" s="64" t="s">
        <v>1462</v>
      </c>
      <c r="J29" s="66"/>
      <c r="K29" s="66"/>
      <c r="L29" s="68"/>
      <c r="M29" s="63" t="str">
        <f>HYPERLINK("http://nsgreg.nga.mil/genc/view?v=867626&amp;end_month=12&amp;end_day=31&amp;end_year=2016","Correlation")</f>
        <v>Correlation</v>
      </c>
    </row>
    <row r="30" spans="1:13" x14ac:dyDescent="0.2">
      <c r="A30" s="113"/>
      <c r="B30" s="58" t="s">
        <v>1463</v>
      </c>
      <c r="C30" s="58" t="s">
        <v>1413</v>
      </c>
      <c r="D30" s="58" t="s">
        <v>1464</v>
      </c>
      <c r="E30" s="60" t="b">
        <v>1</v>
      </c>
      <c r="F30" s="80" t="s">
        <v>159</v>
      </c>
      <c r="G30" s="58" t="s">
        <v>1463</v>
      </c>
      <c r="H30" s="58" t="s">
        <v>1413</v>
      </c>
      <c r="I30" s="64" t="s">
        <v>1464</v>
      </c>
      <c r="J30" s="66"/>
      <c r="K30" s="66"/>
      <c r="L30" s="68"/>
      <c r="M30" s="63" t="str">
        <f>HYPERLINK("http://nsgreg.nga.mil/genc/view?v=867625&amp;end_month=12&amp;end_day=31&amp;end_year=2016","Correlation")</f>
        <v>Correlation</v>
      </c>
    </row>
    <row r="31" spans="1:13" x14ac:dyDescent="0.2">
      <c r="A31" s="113"/>
      <c r="B31" s="58" t="s">
        <v>1467</v>
      </c>
      <c r="C31" s="58" t="s">
        <v>1413</v>
      </c>
      <c r="D31" s="58" t="s">
        <v>1466</v>
      </c>
      <c r="E31" s="60" t="b">
        <v>1</v>
      </c>
      <c r="F31" s="80" t="s">
        <v>159</v>
      </c>
      <c r="G31" s="58" t="s">
        <v>1465</v>
      </c>
      <c r="H31" s="58" t="s">
        <v>1413</v>
      </c>
      <c r="I31" s="64" t="s">
        <v>1466</v>
      </c>
      <c r="J31" s="66"/>
      <c r="K31" s="66"/>
      <c r="L31" s="68"/>
      <c r="M31" s="63" t="str">
        <f>HYPERLINK("http://nsgreg.nga.mil/genc/view?v=867623&amp;end_month=12&amp;end_day=31&amp;end_year=2016","Correlation")</f>
        <v>Correlation</v>
      </c>
    </row>
    <row r="32" spans="1:13" x14ac:dyDescent="0.2">
      <c r="A32" s="113"/>
      <c r="B32" s="58" t="s">
        <v>1468</v>
      </c>
      <c r="C32" s="58" t="s">
        <v>1413</v>
      </c>
      <c r="D32" s="58" t="s">
        <v>1469</v>
      </c>
      <c r="E32" s="60" t="b">
        <v>1</v>
      </c>
      <c r="F32" s="80" t="s">
        <v>159</v>
      </c>
      <c r="G32" s="58" t="s">
        <v>1468</v>
      </c>
      <c r="H32" s="58" t="s">
        <v>1413</v>
      </c>
      <c r="I32" s="64" t="s">
        <v>1469</v>
      </c>
      <c r="J32" s="66"/>
      <c r="K32" s="66"/>
      <c r="L32" s="68"/>
      <c r="M32" s="63" t="str">
        <f>HYPERLINK("http://nsgreg.nga.mil/genc/view?v=867624&amp;end_month=12&amp;end_day=31&amp;end_year=2016","Correlation")</f>
        <v>Correlation</v>
      </c>
    </row>
    <row r="33" spans="1:13" x14ac:dyDescent="0.2">
      <c r="A33" s="113"/>
      <c r="B33" s="58" t="s">
        <v>1470</v>
      </c>
      <c r="C33" s="58" t="s">
        <v>1413</v>
      </c>
      <c r="D33" s="58" t="s">
        <v>1471</v>
      </c>
      <c r="E33" s="60" t="b">
        <v>1</v>
      </c>
      <c r="F33" s="80" t="s">
        <v>159</v>
      </c>
      <c r="G33" s="58" t="s">
        <v>1470</v>
      </c>
      <c r="H33" s="58" t="s">
        <v>1413</v>
      </c>
      <c r="I33" s="64" t="s">
        <v>1471</v>
      </c>
      <c r="J33" s="66"/>
      <c r="K33" s="66"/>
      <c r="L33" s="68"/>
      <c r="M33" s="63" t="str">
        <f>HYPERLINK("http://nsgreg.nga.mil/genc/view?v=867627&amp;end_month=12&amp;end_day=31&amp;end_year=2016","Correlation")</f>
        <v>Correlation</v>
      </c>
    </row>
    <row r="34" spans="1:13" x14ac:dyDescent="0.2">
      <c r="A34" s="113"/>
      <c r="B34" s="58" t="s">
        <v>1472</v>
      </c>
      <c r="C34" s="58" t="s">
        <v>1413</v>
      </c>
      <c r="D34" s="58" t="s">
        <v>1473</v>
      </c>
      <c r="E34" s="60" t="b">
        <v>1</v>
      </c>
      <c r="F34" s="80" t="s">
        <v>159</v>
      </c>
      <c r="G34" s="58" t="s">
        <v>1472</v>
      </c>
      <c r="H34" s="58" t="s">
        <v>1413</v>
      </c>
      <c r="I34" s="64" t="s">
        <v>1473</v>
      </c>
      <c r="J34" s="66"/>
      <c r="K34" s="66"/>
      <c r="L34" s="68"/>
      <c r="M34" s="63" t="str">
        <f>HYPERLINK("http://nsgreg.nga.mil/genc/view?v=867628&amp;end_month=12&amp;end_day=31&amp;end_year=2016","Correlation")</f>
        <v>Correlation</v>
      </c>
    </row>
    <row r="35" spans="1:13" x14ac:dyDescent="0.2">
      <c r="A35" s="113"/>
      <c r="B35" s="58" t="s">
        <v>1474</v>
      </c>
      <c r="C35" s="58" t="s">
        <v>1413</v>
      </c>
      <c r="D35" s="58" t="s">
        <v>1475</v>
      </c>
      <c r="E35" s="60" t="b">
        <v>1</v>
      </c>
      <c r="F35" s="80" t="s">
        <v>159</v>
      </c>
      <c r="G35" s="58" t="s">
        <v>1474</v>
      </c>
      <c r="H35" s="58" t="s">
        <v>1413</v>
      </c>
      <c r="I35" s="64" t="s">
        <v>1475</v>
      </c>
      <c r="J35" s="66"/>
      <c r="K35" s="66"/>
      <c r="L35" s="68"/>
      <c r="M35" s="63" t="str">
        <f>HYPERLINK("http://nsgreg.nga.mil/genc/view?v=867629&amp;end_month=12&amp;end_day=31&amp;end_year=2016","Correlation")</f>
        <v>Correlation</v>
      </c>
    </row>
    <row r="36" spans="1:13" x14ac:dyDescent="0.2">
      <c r="A36" s="113"/>
      <c r="B36" s="58" t="s">
        <v>1476</v>
      </c>
      <c r="C36" s="58" t="s">
        <v>1413</v>
      </c>
      <c r="D36" s="58" t="s">
        <v>1477</v>
      </c>
      <c r="E36" s="60" t="b">
        <v>1</v>
      </c>
      <c r="F36" s="80" t="s">
        <v>159</v>
      </c>
      <c r="G36" s="58" t="s">
        <v>1476</v>
      </c>
      <c r="H36" s="58" t="s">
        <v>1413</v>
      </c>
      <c r="I36" s="64" t="s">
        <v>1477</v>
      </c>
      <c r="J36" s="66"/>
      <c r="K36" s="66"/>
      <c r="L36" s="68"/>
      <c r="M36" s="63" t="str">
        <f>HYPERLINK("http://nsgreg.nga.mil/genc/view?v=867630&amp;end_month=12&amp;end_day=31&amp;end_year=2016","Correlation")</f>
        <v>Correlation</v>
      </c>
    </row>
    <row r="37" spans="1:13" x14ac:dyDescent="0.2">
      <c r="A37" s="113"/>
      <c r="B37" s="58" t="s">
        <v>1478</v>
      </c>
      <c r="C37" s="58" t="s">
        <v>1413</v>
      </c>
      <c r="D37" s="58" t="s">
        <v>1479</v>
      </c>
      <c r="E37" s="60" t="b">
        <v>1</v>
      </c>
      <c r="F37" s="80" t="s">
        <v>159</v>
      </c>
      <c r="G37" s="58" t="s">
        <v>1478</v>
      </c>
      <c r="H37" s="58" t="s">
        <v>1413</v>
      </c>
      <c r="I37" s="64" t="s">
        <v>1479</v>
      </c>
      <c r="J37" s="66"/>
      <c r="K37" s="66"/>
      <c r="L37" s="68"/>
      <c r="M37" s="63" t="str">
        <f>HYPERLINK("http://nsgreg.nga.mil/genc/view?v=867631&amp;end_month=12&amp;end_day=31&amp;end_year=2016","Correlation")</f>
        <v>Correlation</v>
      </c>
    </row>
    <row r="38" spans="1:13" x14ac:dyDescent="0.2">
      <c r="A38" s="114"/>
      <c r="B38" s="71" t="s">
        <v>1480</v>
      </c>
      <c r="C38" s="71" t="s">
        <v>1413</v>
      </c>
      <c r="D38" s="71" t="s">
        <v>1481</v>
      </c>
      <c r="E38" s="73" t="b">
        <v>1</v>
      </c>
      <c r="F38" s="81" t="s">
        <v>159</v>
      </c>
      <c r="G38" s="71" t="s">
        <v>1480</v>
      </c>
      <c r="H38" s="71" t="s">
        <v>1413</v>
      </c>
      <c r="I38" s="74" t="s">
        <v>1481</v>
      </c>
      <c r="J38" s="76"/>
      <c r="K38" s="76"/>
      <c r="L38" s="82"/>
      <c r="M38" s="77" t="str">
        <f>HYPERLINK("http://nsgreg.nga.mil/genc/view?v=867632&amp;end_month=12&amp;end_day=31&amp;end_year=2016","Correlation")</f>
        <v>Correlation</v>
      </c>
    </row>
    <row r="39" spans="1:13" x14ac:dyDescent="0.2">
      <c r="A39" s="112" t="s">
        <v>168</v>
      </c>
      <c r="B39" s="50" t="s">
        <v>1482</v>
      </c>
      <c r="C39" s="50" t="s">
        <v>1483</v>
      </c>
      <c r="D39" s="50" t="s">
        <v>1484</v>
      </c>
      <c r="E39" s="52" t="b">
        <v>1</v>
      </c>
      <c r="F39" s="78" t="s">
        <v>168</v>
      </c>
      <c r="G39" s="50" t="s">
        <v>1482</v>
      </c>
      <c r="H39" s="50" t="s">
        <v>1483</v>
      </c>
      <c r="I39" s="53" t="s">
        <v>1484</v>
      </c>
      <c r="J39" s="55"/>
      <c r="K39" s="55"/>
      <c r="L39" s="79"/>
      <c r="M39" s="56" t="str">
        <f>HYPERLINK("http://nsgreg.nga.mil/genc/view?v=867641&amp;end_month=12&amp;end_day=31&amp;end_year=2016","Correlation")</f>
        <v>Correlation</v>
      </c>
    </row>
    <row r="40" spans="1:13" x14ac:dyDescent="0.2">
      <c r="A40" s="113"/>
      <c r="B40" s="58" t="s">
        <v>1485</v>
      </c>
      <c r="C40" s="58" t="s">
        <v>1483</v>
      </c>
      <c r="D40" s="58" t="s">
        <v>1486</v>
      </c>
      <c r="E40" s="60" t="b">
        <v>1</v>
      </c>
      <c r="F40" s="80" t="s">
        <v>168</v>
      </c>
      <c r="G40" s="58" t="s">
        <v>1485</v>
      </c>
      <c r="H40" s="58" t="s">
        <v>1483</v>
      </c>
      <c r="I40" s="64" t="s">
        <v>1486</v>
      </c>
      <c r="J40" s="66"/>
      <c r="K40" s="66"/>
      <c r="L40" s="68"/>
      <c r="M40" s="63" t="str">
        <f>HYPERLINK("http://nsgreg.nga.mil/genc/view?v=867649&amp;end_month=12&amp;end_day=31&amp;end_year=2016","Correlation")</f>
        <v>Correlation</v>
      </c>
    </row>
    <row r="41" spans="1:13" x14ac:dyDescent="0.2">
      <c r="A41" s="113"/>
      <c r="B41" s="58" t="s">
        <v>1487</v>
      </c>
      <c r="C41" s="58" t="s">
        <v>1483</v>
      </c>
      <c r="D41" s="58" t="s">
        <v>1488</v>
      </c>
      <c r="E41" s="60" t="b">
        <v>1</v>
      </c>
      <c r="F41" s="80" t="s">
        <v>168</v>
      </c>
      <c r="G41" s="58" t="s">
        <v>1487</v>
      </c>
      <c r="H41" s="58" t="s">
        <v>1483</v>
      </c>
      <c r="I41" s="64" t="s">
        <v>1488</v>
      </c>
      <c r="J41" s="66"/>
      <c r="K41" s="66"/>
      <c r="L41" s="68"/>
      <c r="M41" s="63" t="str">
        <f>HYPERLINK("http://nsgreg.nga.mil/genc/view?v=867642&amp;end_month=12&amp;end_day=31&amp;end_year=2016","Correlation")</f>
        <v>Correlation</v>
      </c>
    </row>
    <row r="42" spans="1:13" x14ac:dyDescent="0.2">
      <c r="A42" s="113"/>
      <c r="B42" s="58" t="s">
        <v>1489</v>
      </c>
      <c r="C42" s="58" t="s">
        <v>1483</v>
      </c>
      <c r="D42" s="58" t="s">
        <v>1490</v>
      </c>
      <c r="E42" s="60" t="b">
        <v>1</v>
      </c>
      <c r="F42" s="80" t="s">
        <v>168</v>
      </c>
      <c r="G42" s="58" t="s">
        <v>1489</v>
      </c>
      <c r="H42" s="58" t="s">
        <v>1483</v>
      </c>
      <c r="I42" s="64" t="s">
        <v>1490</v>
      </c>
      <c r="J42" s="66"/>
      <c r="K42" s="66"/>
      <c r="L42" s="68"/>
      <c r="M42" s="63" t="str">
        <f>HYPERLINK("http://nsgreg.nga.mil/genc/view?v=867643&amp;end_month=12&amp;end_day=31&amp;end_year=2016","Correlation")</f>
        <v>Correlation</v>
      </c>
    </row>
    <row r="43" spans="1:13" x14ac:dyDescent="0.2">
      <c r="A43" s="113"/>
      <c r="B43" s="58" t="s">
        <v>1491</v>
      </c>
      <c r="C43" s="58" t="s">
        <v>1483</v>
      </c>
      <c r="D43" s="58" t="s">
        <v>1492</v>
      </c>
      <c r="E43" s="60" t="b">
        <v>1</v>
      </c>
      <c r="F43" s="80" t="s">
        <v>168</v>
      </c>
      <c r="G43" s="58" t="s">
        <v>1491</v>
      </c>
      <c r="H43" s="58" t="s">
        <v>1483</v>
      </c>
      <c r="I43" s="64" t="s">
        <v>1492</v>
      </c>
      <c r="J43" s="66"/>
      <c r="K43" s="66"/>
      <c r="L43" s="68"/>
      <c r="M43" s="63" t="str">
        <f>HYPERLINK("http://nsgreg.nga.mil/genc/view?v=867644&amp;end_month=12&amp;end_day=31&amp;end_year=2016","Correlation")</f>
        <v>Correlation</v>
      </c>
    </row>
    <row r="44" spans="1:13" x14ac:dyDescent="0.2">
      <c r="A44" s="113"/>
      <c r="B44" s="58" t="s">
        <v>1493</v>
      </c>
      <c r="C44" s="58" t="s">
        <v>1483</v>
      </c>
      <c r="D44" s="58" t="s">
        <v>1494</v>
      </c>
      <c r="E44" s="60" t="b">
        <v>1</v>
      </c>
      <c r="F44" s="80" t="s">
        <v>168</v>
      </c>
      <c r="G44" s="58" t="s">
        <v>1493</v>
      </c>
      <c r="H44" s="58" t="s">
        <v>1483</v>
      </c>
      <c r="I44" s="64" t="s">
        <v>1494</v>
      </c>
      <c r="J44" s="66"/>
      <c r="K44" s="66"/>
      <c r="L44" s="68"/>
      <c r="M44" s="63" t="str">
        <f>HYPERLINK("http://nsgreg.nga.mil/genc/view?v=867645&amp;end_month=12&amp;end_day=31&amp;end_year=2016","Correlation")</f>
        <v>Correlation</v>
      </c>
    </row>
    <row r="45" spans="1:13" x14ac:dyDescent="0.2">
      <c r="A45" s="113"/>
      <c r="B45" s="58" t="s">
        <v>1495</v>
      </c>
      <c r="C45" s="58" t="s">
        <v>1483</v>
      </c>
      <c r="D45" s="58" t="s">
        <v>1496</v>
      </c>
      <c r="E45" s="60" t="b">
        <v>1</v>
      </c>
      <c r="F45" s="80" t="s">
        <v>168</v>
      </c>
      <c r="G45" s="58" t="s">
        <v>1495</v>
      </c>
      <c r="H45" s="58" t="s">
        <v>1483</v>
      </c>
      <c r="I45" s="64" t="s">
        <v>1496</v>
      </c>
      <c r="J45" s="66"/>
      <c r="K45" s="66"/>
      <c r="L45" s="68"/>
      <c r="M45" s="63" t="str">
        <f>HYPERLINK("http://nsgreg.nga.mil/genc/view?v=867646&amp;end_month=12&amp;end_day=31&amp;end_year=2016","Correlation")</f>
        <v>Correlation</v>
      </c>
    </row>
    <row r="46" spans="1:13" x14ac:dyDescent="0.2">
      <c r="A46" s="113"/>
      <c r="B46" s="58" t="s">
        <v>1497</v>
      </c>
      <c r="C46" s="58" t="s">
        <v>1483</v>
      </c>
      <c r="D46" s="58" t="s">
        <v>1498</v>
      </c>
      <c r="E46" s="60" t="b">
        <v>1</v>
      </c>
      <c r="F46" s="80" t="s">
        <v>168</v>
      </c>
      <c r="G46" s="58" t="s">
        <v>1497</v>
      </c>
      <c r="H46" s="58" t="s">
        <v>1483</v>
      </c>
      <c r="I46" s="64" t="s">
        <v>1498</v>
      </c>
      <c r="J46" s="66"/>
      <c r="K46" s="66"/>
      <c r="L46" s="68"/>
      <c r="M46" s="63" t="str">
        <f>HYPERLINK("http://nsgreg.nga.mil/genc/view?v=867647&amp;end_month=12&amp;end_day=31&amp;end_year=2016","Correlation")</f>
        <v>Correlation</v>
      </c>
    </row>
    <row r="47" spans="1:13" x14ac:dyDescent="0.2">
      <c r="A47" s="113"/>
      <c r="B47" s="58" t="s">
        <v>1499</v>
      </c>
      <c r="C47" s="58" t="s">
        <v>1483</v>
      </c>
      <c r="D47" s="58" t="s">
        <v>1500</v>
      </c>
      <c r="E47" s="60" t="b">
        <v>1</v>
      </c>
      <c r="F47" s="80" t="s">
        <v>168</v>
      </c>
      <c r="G47" s="58" t="s">
        <v>1499</v>
      </c>
      <c r="H47" s="58" t="s">
        <v>1483</v>
      </c>
      <c r="I47" s="64" t="s">
        <v>1500</v>
      </c>
      <c r="J47" s="66"/>
      <c r="K47" s="66"/>
      <c r="L47" s="68"/>
      <c r="M47" s="63" t="str">
        <f>HYPERLINK("http://nsgreg.nga.mil/genc/view?v=867648&amp;end_month=12&amp;end_day=31&amp;end_year=2016","Correlation")</f>
        <v>Correlation</v>
      </c>
    </row>
    <row r="48" spans="1:13" x14ac:dyDescent="0.2">
      <c r="A48" s="113"/>
      <c r="B48" s="58" t="s">
        <v>1501</v>
      </c>
      <c r="C48" s="58" t="s">
        <v>1483</v>
      </c>
      <c r="D48" s="58" t="s">
        <v>1502</v>
      </c>
      <c r="E48" s="60" t="b">
        <v>1</v>
      </c>
      <c r="F48" s="80" t="s">
        <v>168</v>
      </c>
      <c r="G48" s="58" t="s">
        <v>1501</v>
      </c>
      <c r="H48" s="58" t="s">
        <v>1483</v>
      </c>
      <c r="I48" s="64" t="s">
        <v>1502</v>
      </c>
      <c r="J48" s="66"/>
      <c r="K48" s="66"/>
      <c r="L48" s="68"/>
      <c r="M48" s="63" t="str">
        <f>HYPERLINK("http://nsgreg.nga.mil/genc/view?v=867650&amp;end_month=12&amp;end_day=31&amp;end_year=2016","Correlation")</f>
        <v>Correlation</v>
      </c>
    </row>
    <row r="49" spans="1:13" x14ac:dyDescent="0.2">
      <c r="A49" s="113"/>
      <c r="B49" s="58" t="s">
        <v>1503</v>
      </c>
      <c r="C49" s="58" t="s">
        <v>1483</v>
      </c>
      <c r="D49" s="58" t="s">
        <v>1504</v>
      </c>
      <c r="E49" s="60" t="b">
        <v>1</v>
      </c>
      <c r="F49" s="80" t="s">
        <v>168</v>
      </c>
      <c r="G49" s="58" t="s">
        <v>1503</v>
      </c>
      <c r="H49" s="58" t="s">
        <v>1483</v>
      </c>
      <c r="I49" s="64" t="s">
        <v>1504</v>
      </c>
      <c r="J49" s="66"/>
      <c r="K49" s="66"/>
      <c r="L49" s="68"/>
      <c r="M49" s="63" t="str">
        <f>HYPERLINK("http://nsgreg.nga.mil/genc/view?v=867651&amp;end_month=12&amp;end_day=31&amp;end_year=2016","Correlation")</f>
        <v>Correlation</v>
      </c>
    </row>
    <row r="50" spans="1:13" x14ac:dyDescent="0.2">
      <c r="A50" s="114"/>
      <c r="B50" s="71" t="s">
        <v>1505</v>
      </c>
      <c r="C50" s="71" t="s">
        <v>1483</v>
      </c>
      <c r="D50" s="71" t="s">
        <v>1506</v>
      </c>
      <c r="E50" s="73" t="b">
        <v>1</v>
      </c>
      <c r="F50" s="81" t="s">
        <v>168</v>
      </c>
      <c r="G50" s="71" t="s">
        <v>1505</v>
      </c>
      <c r="H50" s="71" t="s">
        <v>1483</v>
      </c>
      <c r="I50" s="74" t="s">
        <v>1506</v>
      </c>
      <c r="J50" s="76"/>
      <c r="K50" s="76"/>
      <c r="L50" s="82"/>
      <c r="M50" s="77" t="str">
        <f>HYPERLINK("http://nsgreg.nga.mil/genc/view?v=867652&amp;end_month=12&amp;end_day=31&amp;end_year=2016","Correlation")</f>
        <v>Correlation</v>
      </c>
    </row>
    <row r="51" spans="1:13" x14ac:dyDescent="0.2">
      <c r="A51" s="112" t="s">
        <v>172</v>
      </c>
      <c r="B51" s="50" t="s">
        <v>1507</v>
      </c>
      <c r="C51" s="50" t="s">
        <v>1413</v>
      </c>
      <c r="D51" s="50" t="s">
        <v>1508</v>
      </c>
      <c r="E51" s="52" t="b">
        <v>1</v>
      </c>
      <c r="F51" s="78" t="s">
        <v>172</v>
      </c>
      <c r="G51" s="50" t="s">
        <v>1507</v>
      </c>
      <c r="H51" s="50" t="s">
        <v>1413</v>
      </c>
      <c r="I51" s="53" t="s">
        <v>1508</v>
      </c>
      <c r="J51" s="55"/>
      <c r="K51" s="55"/>
      <c r="L51" s="79"/>
      <c r="M51" s="56" t="str">
        <f>HYPERLINK("http://nsgreg.nga.mil/genc/view?v=868594&amp;end_month=12&amp;end_day=31&amp;end_year=2016","Correlation")</f>
        <v>Correlation</v>
      </c>
    </row>
    <row r="52" spans="1:13" x14ac:dyDescent="0.2">
      <c r="A52" s="113"/>
      <c r="B52" s="58" t="s">
        <v>1509</v>
      </c>
      <c r="C52" s="58" t="s">
        <v>1413</v>
      </c>
      <c r="D52" s="58" t="s">
        <v>1510</v>
      </c>
      <c r="E52" s="60" t="b">
        <v>1</v>
      </c>
      <c r="F52" s="80" t="s">
        <v>172</v>
      </c>
      <c r="G52" s="58" t="s">
        <v>1509</v>
      </c>
      <c r="H52" s="58" t="s">
        <v>1413</v>
      </c>
      <c r="I52" s="64" t="s">
        <v>1510</v>
      </c>
      <c r="J52" s="66"/>
      <c r="K52" s="66"/>
      <c r="L52" s="68"/>
      <c r="M52" s="63" t="str">
        <f>HYPERLINK("http://nsgreg.nga.mil/genc/view?v=868637&amp;end_month=12&amp;end_day=31&amp;end_year=2016","Correlation")</f>
        <v>Correlation</v>
      </c>
    </row>
    <row r="53" spans="1:13" x14ac:dyDescent="0.2">
      <c r="A53" s="113"/>
      <c r="B53" s="58" t="s">
        <v>1513</v>
      </c>
      <c r="C53" s="58" t="s">
        <v>1413</v>
      </c>
      <c r="D53" s="58" t="s">
        <v>1512</v>
      </c>
      <c r="E53" s="60" t="b">
        <v>1</v>
      </c>
      <c r="F53" s="80" t="s">
        <v>172</v>
      </c>
      <c r="G53" s="58" t="s">
        <v>1511</v>
      </c>
      <c r="H53" s="58" t="s">
        <v>1413</v>
      </c>
      <c r="I53" s="64" t="s">
        <v>1512</v>
      </c>
      <c r="J53" s="66"/>
      <c r="K53" s="66"/>
      <c r="L53" s="68"/>
      <c r="M53" s="63" t="str">
        <f>HYPERLINK("http://nsgreg.nga.mil/genc/view?v=868639&amp;end_month=12&amp;end_day=31&amp;end_year=2016","Correlation")</f>
        <v>Correlation</v>
      </c>
    </row>
    <row r="54" spans="1:13" x14ac:dyDescent="0.2">
      <c r="A54" s="113"/>
      <c r="B54" s="58" t="s">
        <v>1514</v>
      </c>
      <c r="C54" s="58" t="s">
        <v>1413</v>
      </c>
      <c r="D54" s="58" t="s">
        <v>1515</v>
      </c>
      <c r="E54" s="60" t="b">
        <v>1</v>
      </c>
      <c r="F54" s="80" t="s">
        <v>172</v>
      </c>
      <c r="G54" s="58" t="s">
        <v>1514</v>
      </c>
      <c r="H54" s="58" t="s">
        <v>1413</v>
      </c>
      <c r="I54" s="64" t="s">
        <v>1515</v>
      </c>
      <c r="J54" s="66"/>
      <c r="K54" s="66"/>
      <c r="L54" s="68"/>
      <c r="M54" s="63" t="str">
        <f>HYPERLINK("http://nsgreg.nga.mil/genc/view?v=868609&amp;end_month=12&amp;end_day=31&amp;end_year=2016","Correlation")</f>
        <v>Correlation</v>
      </c>
    </row>
    <row r="55" spans="1:13" x14ac:dyDescent="0.2">
      <c r="A55" s="113"/>
      <c r="B55" s="58" t="s">
        <v>1516</v>
      </c>
      <c r="C55" s="58" t="s">
        <v>1413</v>
      </c>
      <c r="D55" s="58" t="s">
        <v>1517</v>
      </c>
      <c r="E55" s="60" t="b">
        <v>1</v>
      </c>
      <c r="F55" s="80" t="s">
        <v>172</v>
      </c>
      <c r="G55" s="58" t="s">
        <v>1516</v>
      </c>
      <c r="H55" s="58" t="s">
        <v>1413</v>
      </c>
      <c r="I55" s="64" t="s">
        <v>1517</v>
      </c>
      <c r="J55" s="66"/>
      <c r="K55" s="66"/>
      <c r="L55" s="68"/>
      <c r="M55" s="63" t="str">
        <f>HYPERLINK("http://nsgreg.nga.mil/genc/view?v=868616&amp;end_month=12&amp;end_day=31&amp;end_year=2016","Correlation")</f>
        <v>Correlation</v>
      </c>
    </row>
    <row r="56" spans="1:13" x14ac:dyDescent="0.2">
      <c r="A56" s="113"/>
      <c r="B56" s="58" t="s">
        <v>1518</v>
      </c>
      <c r="C56" s="58" t="s">
        <v>1413</v>
      </c>
      <c r="D56" s="58" t="s">
        <v>1519</v>
      </c>
      <c r="E56" s="60" t="b">
        <v>1</v>
      </c>
      <c r="F56" s="80" t="s">
        <v>172</v>
      </c>
      <c r="G56" s="58" t="s">
        <v>1518</v>
      </c>
      <c r="H56" s="58" t="s">
        <v>1413</v>
      </c>
      <c r="I56" s="64" t="s">
        <v>1519</v>
      </c>
      <c r="J56" s="66"/>
      <c r="K56" s="66"/>
      <c r="L56" s="68"/>
      <c r="M56" s="63" t="str">
        <f>HYPERLINK("http://nsgreg.nga.mil/genc/view?v=868598&amp;end_month=12&amp;end_day=31&amp;end_year=2016","Correlation")</f>
        <v>Correlation</v>
      </c>
    </row>
    <row r="57" spans="1:13" x14ac:dyDescent="0.2">
      <c r="A57" s="113"/>
      <c r="B57" s="58" t="s">
        <v>1520</v>
      </c>
      <c r="C57" s="58" t="s">
        <v>1413</v>
      </c>
      <c r="D57" s="58" t="s">
        <v>1521</v>
      </c>
      <c r="E57" s="60" t="b">
        <v>1</v>
      </c>
      <c r="F57" s="80" t="s">
        <v>172</v>
      </c>
      <c r="G57" s="58" t="s">
        <v>1520</v>
      </c>
      <c r="H57" s="58" t="s">
        <v>1413</v>
      </c>
      <c r="I57" s="64" t="s">
        <v>1521</v>
      </c>
      <c r="J57" s="66"/>
      <c r="K57" s="66"/>
      <c r="L57" s="68"/>
      <c r="M57" s="63" t="str">
        <f>HYPERLINK("http://nsgreg.nga.mil/genc/view?v=868601&amp;end_month=12&amp;end_day=31&amp;end_year=2016","Correlation")</f>
        <v>Correlation</v>
      </c>
    </row>
    <row r="58" spans="1:13" x14ac:dyDescent="0.2">
      <c r="A58" s="113"/>
      <c r="B58" s="58" t="s">
        <v>1524</v>
      </c>
      <c r="C58" s="58" t="s">
        <v>1413</v>
      </c>
      <c r="D58" s="58" t="s">
        <v>1523</v>
      </c>
      <c r="E58" s="60" t="b">
        <v>1</v>
      </c>
      <c r="F58" s="80" t="s">
        <v>172</v>
      </c>
      <c r="G58" s="58" t="s">
        <v>1522</v>
      </c>
      <c r="H58" s="58" t="s">
        <v>1413</v>
      </c>
      <c r="I58" s="64" t="s">
        <v>1523</v>
      </c>
      <c r="J58" s="66"/>
      <c r="K58" s="66"/>
      <c r="L58" s="68"/>
      <c r="M58" s="63" t="str">
        <f>HYPERLINK("http://nsgreg.nga.mil/genc/view?v=868599&amp;end_month=12&amp;end_day=31&amp;end_year=2016","Correlation")</f>
        <v>Correlation</v>
      </c>
    </row>
    <row r="59" spans="1:13" x14ac:dyDescent="0.2">
      <c r="A59" s="113"/>
      <c r="B59" s="58" t="s">
        <v>1525</v>
      </c>
      <c r="C59" s="58" t="s">
        <v>1413</v>
      </c>
      <c r="D59" s="58" t="s">
        <v>1526</v>
      </c>
      <c r="E59" s="60" t="b">
        <v>1</v>
      </c>
      <c r="F59" s="80" t="s">
        <v>172</v>
      </c>
      <c r="G59" s="58" t="s">
        <v>1525</v>
      </c>
      <c r="H59" s="58" t="s">
        <v>1413</v>
      </c>
      <c r="I59" s="64" t="s">
        <v>1526</v>
      </c>
      <c r="J59" s="66"/>
      <c r="K59" s="66"/>
      <c r="L59" s="68"/>
      <c r="M59" s="63" t="str">
        <f>HYPERLINK("http://nsgreg.nga.mil/genc/view?v=868600&amp;end_month=12&amp;end_day=31&amp;end_year=2016","Correlation")</f>
        <v>Correlation</v>
      </c>
    </row>
    <row r="60" spans="1:13" x14ac:dyDescent="0.2">
      <c r="A60" s="113"/>
      <c r="B60" s="58" t="s">
        <v>1527</v>
      </c>
      <c r="C60" s="58" t="s">
        <v>1413</v>
      </c>
      <c r="D60" s="58" t="s">
        <v>1528</v>
      </c>
      <c r="E60" s="60" t="b">
        <v>1</v>
      </c>
      <c r="F60" s="80" t="s">
        <v>172</v>
      </c>
      <c r="G60" s="58" t="s">
        <v>1527</v>
      </c>
      <c r="H60" s="58" t="s">
        <v>1413</v>
      </c>
      <c r="I60" s="64" t="s">
        <v>1528</v>
      </c>
      <c r="J60" s="66"/>
      <c r="K60" s="66"/>
      <c r="L60" s="68"/>
      <c r="M60" s="63" t="str">
        <f>HYPERLINK("http://nsgreg.nga.mil/genc/view?v=868602&amp;end_month=12&amp;end_day=31&amp;end_year=2016","Correlation")</f>
        <v>Correlation</v>
      </c>
    </row>
    <row r="61" spans="1:13" x14ac:dyDescent="0.2">
      <c r="A61" s="113"/>
      <c r="B61" s="58" t="s">
        <v>1529</v>
      </c>
      <c r="C61" s="58" t="s">
        <v>1413</v>
      </c>
      <c r="D61" s="58" t="s">
        <v>1530</v>
      </c>
      <c r="E61" s="60" t="b">
        <v>1</v>
      </c>
      <c r="F61" s="80" t="s">
        <v>172</v>
      </c>
      <c r="G61" s="58" t="s">
        <v>1529</v>
      </c>
      <c r="H61" s="58" t="s">
        <v>1413</v>
      </c>
      <c r="I61" s="64" t="s">
        <v>1530</v>
      </c>
      <c r="J61" s="66"/>
      <c r="K61" s="66"/>
      <c r="L61" s="68"/>
      <c r="M61" s="63" t="str">
        <f>HYPERLINK("http://nsgreg.nga.mil/genc/view?v=868627&amp;end_month=12&amp;end_day=31&amp;end_year=2016","Correlation")</f>
        <v>Correlation</v>
      </c>
    </row>
    <row r="62" spans="1:13" x14ac:dyDescent="0.2">
      <c r="A62" s="113"/>
      <c r="B62" s="58" t="s">
        <v>1531</v>
      </c>
      <c r="C62" s="58" t="s">
        <v>1413</v>
      </c>
      <c r="D62" s="58" t="s">
        <v>1532</v>
      </c>
      <c r="E62" s="60" t="b">
        <v>1</v>
      </c>
      <c r="F62" s="80" t="s">
        <v>172</v>
      </c>
      <c r="G62" s="58" t="s">
        <v>1531</v>
      </c>
      <c r="H62" s="58" t="s">
        <v>1413</v>
      </c>
      <c r="I62" s="64" t="s">
        <v>1532</v>
      </c>
      <c r="J62" s="66"/>
      <c r="K62" s="66"/>
      <c r="L62" s="68"/>
      <c r="M62" s="63" t="str">
        <f>HYPERLINK("http://nsgreg.nga.mil/genc/view?v=868603&amp;end_month=12&amp;end_day=31&amp;end_year=2016","Correlation")</f>
        <v>Correlation</v>
      </c>
    </row>
    <row r="63" spans="1:13" x14ac:dyDescent="0.2">
      <c r="A63" s="113"/>
      <c r="B63" s="58" t="s">
        <v>1535</v>
      </c>
      <c r="C63" s="58" t="s">
        <v>1413</v>
      </c>
      <c r="D63" s="58" t="s">
        <v>1534</v>
      </c>
      <c r="E63" s="60" t="b">
        <v>1</v>
      </c>
      <c r="F63" s="80" t="s">
        <v>172</v>
      </c>
      <c r="G63" s="58" t="s">
        <v>1533</v>
      </c>
      <c r="H63" s="58" t="s">
        <v>1413</v>
      </c>
      <c r="I63" s="64" t="s">
        <v>1534</v>
      </c>
      <c r="J63" s="66"/>
      <c r="K63" s="66"/>
      <c r="L63" s="68"/>
      <c r="M63" s="63" t="str">
        <f>HYPERLINK("http://nsgreg.nga.mil/genc/view?v=868628&amp;end_month=12&amp;end_day=31&amp;end_year=2016","Correlation")</f>
        <v>Correlation</v>
      </c>
    </row>
    <row r="64" spans="1:13" x14ac:dyDescent="0.2">
      <c r="A64" s="113"/>
      <c r="B64" s="58" t="s">
        <v>1536</v>
      </c>
      <c r="C64" s="58" t="s">
        <v>1413</v>
      </c>
      <c r="D64" s="58" t="s">
        <v>1537</v>
      </c>
      <c r="E64" s="60" t="b">
        <v>1</v>
      </c>
      <c r="F64" s="80" t="s">
        <v>172</v>
      </c>
      <c r="G64" s="58" t="s">
        <v>1536</v>
      </c>
      <c r="H64" s="58" t="s">
        <v>1413</v>
      </c>
      <c r="I64" s="64" t="s">
        <v>1537</v>
      </c>
      <c r="J64" s="66"/>
      <c r="K64" s="66"/>
      <c r="L64" s="68"/>
      <c r="M64" s="63" t="str">
        <f>HYPERLINK("http://nsgreg.nga.mil/genc/view?v=868595&amp;end_month=12&amp;end_day=31&amp;end_year=2016","Correlation")</f>
        <v>Correlation</v>
      </c>
    </row>
    <row r="65" spans="1:13" x14ac:dyDescent="0.2">
      <c r="A65" s="113"/>
      <c r="B65" s="58" t="s">
        <v>1538</v>
      </c>
      <c r="C65" s="58" t="s">
        <v>1413</v>
      </c>
      <c r="D65" s="58" t="s">
        <v>1539</v>
      </c>
      <c r="E65" s="60" t="b">
        <v>1</v>
      </c>
      <c r="F65" s="80" t="s">
        <v>172</v>
      </c>
      <c r="G65" s="58" t="s">
        <v>1538</v>
      </c>
      <c r="H65" s="58" t="s">
        <v>1413</v>
      </c>
      <c r="I65" s="64" t="s">
        <v>1539</v>
      </c>
      <c r="J65" s="66"/>
      <c r="K65" s="66"/>
      <c r="L65" s="68"/>
      <c r="M65" s="63" t="str">
        <f>HYPERLINK("http://nsgreg.nga.mil/genc/view?v=868618&amp;end_month=12&amp;end_day=31&amp;end_year=2016","Correlation")</f>
        <v>Correlation</v>
      </c>
    </row>
    <row r="66" spans="1:13" x14ac:dyDescent="0.2">
      <c r="A66" s="113"/>
      <c r="B66" s="58" t="s">
        <v>1540</v>
      </c>
      <c r="C66" s="58" t="s">
        <v>1413</v>
      </c>
      <c r="D66" s="58" t="s">
        <v>1541</v>
      </c>
      <c r="E66" s="60" t="b">
        <v>1</v>
      </c>
      <c r="F66" s="80" t="s">
        <v>172</v>
      </c>
      <c r="G66" s="58" t="s">
        <v>1540</v>
      </c>
      <c r="H66" s="58" t="s">
        <v>1413</v>
      </c>
      <c r="I66" s="64" t="s">
        <v>1541</v>
      </c>
      <c r="J66" s="66"/>
      <c r="K66" s="66"/>
      <c r="L66" s="68"/>
      <c r="M66" s="63" t="str">
        <f>HYPERLINK("http://nsgreg.nga.mil/genc/view?v=868610&amp;end_month=12&amp;end_day=31&amp;end_year=2016","Correlation")</f>
        <v>Correlation</v>
      </c>
    </row>
    <row r="67" spans="1:13" x14ac:dyDescent="0.2">
      <c r="A67" s="113"/>
      <c r="B67" s="58" t="s">
        <v>1542</v>
      </c>
      <c r="C67" s="58" t="s">
        <v>1413</v>
      </c>
      <c r="D67" s="58" t="s">
        <v>1543</v>
      </c>
      <c r="E67" s="60" t="b">
        <v>1</v>
      </c>
      <c r="F67" s="80" t="s">
        <v>172</v>
      </c>
      <c r="G67" s="58" t="s">
        <v>1542</v>
      </c>
      <c r="H67" s="58" t="s">
        <v>1413</v>
      </c>
      <c r="I67" s="64" t="s">
        <v>1543</v>
      </c>
      <c r="J67" s="66"/>
      <c r="K67" s="66"/>
      <c r="L67" s="68"/>
      <c r="M67" s="63" t="str">
        <f>HYPERLINK("http://nsgreg.nga.mil/genc/view?v=868625&amp;end_month=12&amp;end_day=31&amp;end_year=2016","Correlation")</f>
        <v>Correlation</v>
      </c>
    </row>
    <row r="68" spans="1:13" x14ac:dyDescent="0.2">
      <c r="A68" s="113"/>
      <c r="B68" s="58" t="s">
        <v>1544</v>
      </c>
      <c r="C68" s="58" t="s">
        <v>1413</v>
      </c>
      <c r="D68" s="58" t="s">
        <v>1545</v>
      </c>
      <c r="E68" s="60" t="b">
        <v>1</v>
      </c>
      <c r="F68" s="80" t="s">
        <v>172</v>
      </c>
      <c r="G68" s="58" t="s">
        <v>1544</v>
      </c>
      <c r="H68" s="58" t="s">
        <v>1413</v>
      </c>
      <c r="I68" s="64" t="s">
        <v>1545</v>
      </c>
      <c r="J68" s="66"/>
      <c r="K68" s="66"/>
      <c r="L68" s="68"/>
      <c r="M68" s="63" t="str">
        <f>HYPERLINK("http://nsgreg.nga.mil/genc/view?v=868632&amp;end_month=12&amp;end_day=31&amp;end_year=2016","Correlation")</f>
        <v>Correlation</v>
      </c>
    </row>
    <row r="69" spans="1:13" x14ac:dyDescent="0.2">
      <c r="A69" s="113"/>
      <c r="B69" s="58" t="s">
        <v>1546</v>
      </c>
      <c r="C69" s="58" t="s">
        <v>1413</v>
      </c>
      <c r="D69" s="58" t="s">
        <v>1547</v>
      </c>
      <c r="E69" s="60" t="b">
        <v>1</v>
      </c>
      <c r="F69" s="80" t="s">
        <v>172</v>
      </c>
      <c r="G69" s="58" t="s">
        <v>1546</v>
      </c>
      <c r="H69" s="58" t="s">
        <v>1413</v>
      </c>
      <c r="I69" s="64" t="s">
        <v>1547</v>
      </c>
      <c r="J69" s="66"/>
      <c r="K69" s="66"/>
      <c r="L69" s="68"/>
      <c r="M69" s="63" t="str">
        <f>HYPERLINK("http://nsgreg.nga.mil/genc/view?v=868629&amp;end_month=12&amp;end_day=31&amp;end_year=2016","Correlation")</f>
        <v>Correlation</v>
      </c>
    </row>
    <row r="70" spans="1:13" x14ac:dyDescent="0.2">
      <c r="A70" s="113"/>
      <c r="B70" s="58" t="s">
        <v>1548</v>
      </c>
      <c r="C70" s="58" t="s">
        <v>1413</v>
      </c>
      <c r="D70" s="58" t="s">
        <v>1549</v>
      </c>
      <c r="E70" s="60" t="b">
        <v>1</v>
      </c>
      <c r="F70" s="80" t="s">
        <v>172</v>
      </c>
      <c r="G70" s="58" t="s">
        <v>1548</v>
      </c>
      <c r="H70" s="58" t="s">
        <v>1413</v>
      </c>
      <c r="I70" s="64" t="s">
        <v>1549</v>
      </c>
      <c r="J70" s="66"/>
      <c r="K70" s="66"/>
      <c r="L70" s="68"/>
      <c r="M70" s="63" t="str">
        <f>HYPERLINK("http://nsgreg.nga.mil/genc/view?v=868640&amp;end_month=12&amp;end_day=31&amp;end_year=2016","Correlation")</f>
        <v>Correlation</v>
      </c>
    </row>
    <row r="71" spans="1:13" x14ac:dyDescent="0.2">
      <c r="A71" s="113"/>
      <c r="B71" s="58" t="s">
        <v>1550</v>
      </c>
      <c r="C71" s="58" t="s">
        <v>1413</v>
      </c>
      <c r="D71" s="58" t="s">
        <v>1551</v>
      </c>
      <c r="E71" s="60" t="b">
        <v>1</v>
      </c>
      <c r="F71" s="80" t="s">
        <v>172</v>
      </c>
      <c r="G71" s="58" t="s">
        <v>1550</v>
      </c>
      <c r="H71" s="58" t="s">
        <v>1413</v>
      </c>
      <c r="I71" s="64" t="s">
        <v>1551</v>
      </c>
      <c r="J71" s="66"/>
      <c r="K71" s="66"/>
      <c r="L71" s="68"/>
      <c r="M71" s="63" t="str">
        <f>HYPERLINK("http://nsgreg.nga.mil/genc/view?v=868617&amp;end_month=12&amp;end_day=31&amp;end_year=2016","Correlation")</f>
        <v>Correlation</v>
      </c>
    </row>
    <row r="72" spans="1:13" x14ac:dyDescent="0.2">
      <c r="A72" s="113"/>
      <c r="B72" s="58" t="s">
        <v>1552</v>
      </c>
      <c r="C72" s="58" t="s">
        <v>1413</v>
      </c>
      <c r="D72" s="58" t="s">
        <v>1553</v>
      </c>
      <c r="E72" s="60" t="b">
        <v>1</v>
      </c>
      <c r="F72" s="80" t="s">
        <v>172</v>
      </c>
      <c r="G72" s="58" t="s">
        <v>1552</v>
      </c>
      <c r="H72" s="58" t="s">
        <v>1413</v>
      </c>
      <c r="I72" s="64" t="s">
        <v>1553</v>
      </c>
      <c r="J72" s="66"/>
      <c r="K72" s="66"/>
      <c r="L72" s="68"/>
      <c r="M72" s="63" t="str">
        <f>HYPERLINK("http://nsgreg.nga.mil/genc/view?v=868626&amp;end_month=12&amp;end_day=31&amp;end_year=2016","Correlation")</f>
        <v>Correlation</v>
      </c>
    </row>
    <row r="73" spans="1:13" x14ac:dyDescent="0.2">
      <c r="A73" s="113"/>
      <c r="B73" s="58" t="s">
        <v>1554</v>
      </c>
      <c r="C73" s="58" t="s">
        <v>1413</v>
      </c>
      <c r="D73" s="58" t="s">
        <v>1555</v>
      </c>
      <c r="E73" s="60" t="b">
        <v>1</v>
      </c>
      <c r="F73" s="80" t="s">
        <v>172</v>
      </c>
      <c r="G73" s="58" t="s">
        <v>1554</v>
      </c>
      <c r="H73" s="58" t="s">
        <v>1413</v>
      </c>
      <c r="I73" s="64" t="s">
        <v>1555</v>
      </c>
      <c r="J73" s="66"/>
      <c r="K73" s="66"/>
      <c r="L73" s="68"/>
      <c r="M73" s="63" t="str">
        <f>HYPERLINK("http://nsgreg.nga.mil/genc/view?v=868611&amp;end_month=12&amp;end_day=31&amp;end_year=2016","Correlation")</f>
        <v>Correlation</v>
      </c>
    </row>
    <row r="74" spans="1:13" x14ac:dyDescent="0.2">
      <c r="A74" s="113"/>
      <c r="B74" s="58" t="s">
        <v>1556</v>
      </c>
      <c r="C74" s="58" t="s">
        <v>1413</v>
      </c>
      <c r="D74" s="58" t="s">
        <v>1557</v>
      </c>
      <c r="E74" s="60" t="b">
        <v>1</v>
      </c>
      <c r="F74" s="80" t="s">
        <v>172</v>
      </c>
      <c r="G74" s="58" t="s">
        <v>1556</v>
      </c>
      <c r="H74" s="58" t="s">
        <v>1413</v>
      </c>
      <c r="I74" s="64" t="s">
        <v>1557</v>
      </c>
      <c r="J74" s="66"/>
      <c r="K74" s="66"/>
      <c r="L74" s="68"/>
      <c r="M74" s="63" t="str">
        <f>HYPERLINK("http://nsgreg.nga.mil/genc/view?v=868633&amp;end_month=12&amp;end_day=31&amp;end_year=2016","Correlation")</f>
        <v>Correlation</v>
      </c>
    </row>
    <row r="75" spans="1:13" x14ac:dyDescent="0.2">
      <c r="A75" s="113"/>
      <c r="B75" s="58" t="s">
        <v>1558</v>
      </c>
      <c r="C75" s="58" t="s">
        <v>1413</v>
      </c>
      <c r="D75" s="58" t="s">
        <v>1559</v>
      </c>
      <c r="E75" s="60" t="b">
        <v>1</v>
      </c>
      <c r="F75" s="80" t="s">
        <v>172</v>
      </c>
      <c r="G75" s="58" t="s">
        <v>1558</v>
      </c>
      <c r="H75" s="58" t="s">
        <v>1413</v>
      </c>
      <c r="I75" s="64" t="s">
        <v>1559</v>
      </c>
      <c r="J75" s="66"/>
      <c r="K75" s="66"/>
      <c r="L75" s="68"/>
      <c r="M75" s="63" t="str">
        <f>HYPERLINK("http://nsgreg.nga.mil/genc/view?v=868596&amp;end_month=12&amp;end_day=31&amp;end_year=2016","Correlation")</f>
        <v>Correlation</v>
      </c>
    </row>
    <row r="76" spans="1:13" x14ac:dyDescent="0.2">
      <c r="A76" s="113"/>
      <c r="B76" s="58" t="s">
        <v>1560</v>
      </c>
      <c r="C76" s="58" t="s">
        <v>1413</v>
      </c>
      <c r="D76" s="58" t="s">
        <v>1561</v>
      </c>
      <c r="E76" s="60" t="b">
        <v>1</v>
      </c>
      <c r="F76" s="80" t="s">
        <v>172</v>
      </c>
      <c r="G76" s="58" t="s">
        <v>1560</v>
      </c>
      <c r="H76" s="58" t="s">
        <v>1413</v>
      </c>
      <c r="I76" s="64" t="s">
        <v>1561</v>
      </c>
      <c r="J76" s="66"/>
      <c r="K76" s="66"/>
      <c r="L76" s="68"/>
      <c r="M76" s="63" t="str">
        <f>HYPERLINK("http://nsgreg.nga.mil/genc/view?v=868622&amp;end_month=12&amp;end_day=31&amp;end_year=2016","Correlation")</f>
        <v>Correlation</v>
      </c>
    </row>
    <row r="77" spans="1:13" x14ac:dyDescent="0.2">
      <c r="A77" s="113"/>
      <c r="B77" s="58" t="s">
        <v>1562</v>
      </c>
      <c r="C77" s="58" t="s">
        <v>1413</v>
      </c>
      <c r="D77" s="58" t="s">
        <v>1563</v>
      </c>
      <c r="E77" s="60" t="b">
        <v>1</v>
      </c>
      <c r="F77" s="80" t="s">
        <v>172</v>
      </c>
      <c r="G77" s="58" t="s">
        <v>1562</v>
      </c>
      <c r="H77" s="58" t="s">
        <v>1413</v>
      </c>
      <c r="I77" s="64" t="s">
        <v>1563</v>
      </c>
      <c r="J77" s="66"/>
      <c r="K77" s="66"/>
      <c r="L77" s="68"/>
      <c r="M77" s="63" t="str">
        <f>HYPERLINK("http://nsgreg.nga.mil/genc/view?v=868619&amp;end_month=12&amp;end_day=31&amp;end_year=2016","Correlation")</f>
        <v>Correlation</v>
      </c>
    </row>
    <row r="78" spans="1:13" x14ac:dyDescent="0.2">
      <c r="A78" s="113"/>
      <c r="B78" s="58" t="s">
        <v>1564</v>
      </c>
      <c r="C78" s="58" t="s">
        <v>1413</v>
      </c>
      <c r="D78" s="58" t="s">
        <v>1565</v>
      </c>
      <c r="E78" s="60" t="b">
        <v>1</v>
      </c>
      <c r="F78" s="80" t="s">
        <v>172</v>
      </c>
      <c r="G78" s="58" t="s">
        <v>1564</v>
      </c>
      <c r="H78" s="58" t="s">
        <v>1413</v>
      </c>
      <c r="I78" s="64" t="s">
        <v>1565</v>
      </c>
      <c r="J78" s="66"/>
      <c r="K78" s="66"/>
      <c r="L78" s="68"/>
      <c r="M78" s="63" t="str">
        <f>HYPERLINK("http://nsgreg.nga.mil/genc/view?v=868636&amp;end_month=12&amp;end_day=31&amp;end_year=2016","Correlation")</f>
        <v>Correlation</v>
      </c>
    </row>
    <row r="79" spans="1:13" x14ac:dyDescent="0.2">
      <c r="A79" s="113"/>
      <c r="B79" s="58" t="s">
        <v>1566</v>
      </c>
      <c r="C79" s="58" t="s">
        <v>1413</v>
      </c>
      <c r="D79" s="58" t="s">
        <v>1567</v>
      </c>
      <c r="E79" s="60" t="b">
        <v>1</v>
      </c>
      <c r="F79" s="80" t="s">
        <v>172</v>
      </c>
      <c r="G79" s="58" t="s">
        <v>1566</v>
      </c>
      <c r="H79" s="58" t="s">
        <v>1413</v>
      </c>
      <c r="I79" s="64" t="s">
        <v>1567</v>
      </c>
      <c r="J79" s="66"/>
      <c r="K79" s="66"/>
      <c r="L79" s="68"/>
      <c r="M79" s="63" t="str">
        <f>HYPERLINK("http://nsgreg.nga.mil/genc/view?v=868620&amp;end_month=12&amp;end_day=31&amp;end_year=2016","Correlation")</f>
        <v>Correlation</v>
      </c>
    </row>
    <row r="80" spans="1:13" x14ac:dyDescent="0.2">
      <c r="A80" s="113"/>
      <c r="B80" s="58" t="s">
        <v>1568</v>
      </c>
      <c r="C80" s="58" t="s">
        <v>1413</v>
      </c>
      <c r="D80" s="58" t="s">
        <v>1569</v>
      </c>
      <c r="E80" s="60" t="b">
        <v>1</v>
      </c>
      <c r="F80" s="80" t="s">
        <v>172</v>
      </c>
      <c r="G80" s="58" t="s">
        <v>1568</v>
      </c>
      <c r="H80" s="58" t="s">
        <v>1413</v>
      </c>
      <c r="I80" s="64" t="s">
        <v>1569</v>
      </c>
      <c r="J80" s="66"/>
      <c r="K80" s="66"/>
      <c r="L80" s="68"/>
      <c r="M80" s="63" t="str">
        <f>HYPERLINK("http://nsgreg.nga.mil/genc/view?v=868621&amp;end_month=12&amp;end_day=31&amp;end_year=2016","Correlation")</f>
        <v>Correlation</v>
      </c>
    </row>
    <row r="81" spans="1:13" x14ac:dyDescent="0.2">
      <c r="A81" s="113"/>
      <c r="B81" s="58" t="s">
        <v>1570</v>
      </c>
      <c r="C81" s="58" t="s">
        <v>1413</v>
      </c>
      <c r="D81" s="58" t="s">
        <v>1571</v>
      </c>
      <c r="E81" s="60" t="b">
        <v>1</v>
      </c>
      <c r="F81" s="80" t="s">
        <v>172</v>
      </c>
      <c r="G81" s="58" t="s">
        <v>1570</v>
      </c>
      <c r="H81" s="58" t="s">
        <v>1413</v>
      </c>
      <c r="I81" s="64" t="s">
        <v>1571</v>
      </c>
      <c r="J81" s="66"/>
      <c r="K81" s="66"/>
      <c r="L81" s="68"/>
      <c r="M81" s="63" t="str">
        <f>HYPERLINK("http://nsgreg.nga.mil/genc/view?v=868638&amp;end_month=12&amp;end_day=31&amp;end_year=2016","Correlation")</f>
        <v>Correlation</v>
      </c>
    </row>
    <row r="82" spans="1:13" x14ac:dyDescent="0.2">
      <c r="A82" s="113"/>
      <c r="B82" s="58" t="s">
        <v>1572</v>
      </c>
      <c r="C82" s="58" t="s">
        <v>1413</v>
      </c>
      <c r="D82" s="58" t="s">
        <v>1573</v>
      </c>
      <c r="E82" s="60" t="b">
        <v>1</v>
      </c>
      <c r="F82" s="80" t="s">
        <v>172</v>
      </c>
      <c r="G82" s="58" t="s">
        <v>1572</v>
      </c>
      <c r="H82" s="58" t="s">
        <v>1413</v>
      </c>
      <c r="I82" s="64" t="s">
        <v>1573</v>
      </c>
      <c r="J82" s="66"/>
      <c r="K82" s="66"/>
      <c r="L82" s="68"/>
      <c r="M82" s="63" t="str">
        <f>HYPERLINK("http://nsgreg.nga.mil/genc/view?v=868624&amp;end_month=12&amp;end_day=31&amp;end_year=2016","Correlation")</f>
        <v>Correlation</v>
      </c>
    </row>
    <row r="83" spans="1:13" x14ac:dyDescent="0.2">
      <c r="A83" s="113"/>
      <c r="B83" s="58" t="s">
        <v>1574</v>
      </c>
      <c r="C83" s="58" t="s">
        <v>1413</v>
      </c>
      <c r="D83" s="58" t="s">
        <v>1575</v>
      </c>
      <c r="E83" s="60" t="b">
        <v>1</v>
      </c>
      <c r="F83" s="80" t="s">
        <v>172</v>
      </c>
      <c r="G83" s="58" t="s">
        <v>1574</v>
      </c>
      <c r="H83" s="58" t="s">
        <v>1413</v>
      </c>
      <c r="I83" s="64" t="s">
        <v>1575</v>
      </c>
      <c r="J83" s="66"/>
      <c r="K83" s="66"/>
      <c r="L83" s="68"/>
      <c r="M83" s="63" t="str">
        <f>HYPERLINK("http://nsgreg.nga.mil/genc/view?v=868623&amp;end_month=12&amp;end_day=31&amp;end_year=2016","Correlation")</f>
        <v>Correlation</v>
      </c>
    </row>
    <row r="84" spans="1:13" x14ac:dyDescent="0.2">
      <c r="A84" s="113"/>
      <c r="B84" s="58" t="s">
        <v>1576</v>
      </c>
      <c r="C84" s="58" t="s">
        <v>1413</v>
      </c>
      <c r="D84" s="58" t="s">
        <v>1577</v>
      </c>
      <c r="E84" s="60" t="b">
        <v>1</v>
      </c>
      <c r="F84" s="80" t="s">
        <v>172</v>
      </c>
      <c r="G84" s="58" t="s">
        <v>1576</v>
      </c>
      <c r="H84" s="58" t="s">
        <v>1413</v>
      </c>
      <c r="I84" s="64" t="s">
        <v>1577</v>
      </c>
      <c r="J84" s="66"/>
      <c r="K84" s="66"/>
      <c r="L84" s="68"/>
      <c r="M84" s="63" t="str">
        <f>HYPERLINK("http://nsgreg.nga.mil/genc/view?v=868597&amp;end_month=12&amp;end_day=31&amp;end_year=2016","Correlation")</f>
        <v>Correlation</v>
      </c>
    </row>
    <row r="85" spans="1:13" x14ac:dyDescent="0.2">
      <c r="A85" s="113"/>
      <c r="B85" s="58" t="s">
        <v>1578</v>
      </c>
      <c r="C85" s="58" t="s">
        <v>1413</v>
      </c>
      <c r="D85" s="58" t="s">
        <v>1579</v>
      </c>
      <c r="E85" s="60" t="b">
        <v>1</v>
      </c>
      <c r="F85" s="80" t="s">
        <v>172</v>
      </c>
      <c r="G85" s="58" t="s">
        <v>1578</v>
      </c>
      <c r="H85" s="58" t="s">
        <v>1413</v>
      </c>
      <c r="I85" s="64" t="s">
        <v>1579</v>
      </c>
      <c r="J85" s="66"/>
      <c r="K85" s="66"/>
      <c r="L85" s="68"/>
      <c r="M85" s="63" t="str">
        <f>HYPERLINK("http://nsgreg.nga.mil/genc/view?v=868641&amp;end_month=12&amp;end_day=31&amp;end_year=2016","Correlation")</f>
        <v>Correlation</v>
      </c>
    </row>
    <row r="86" spans="1:13" x14ac:dyDescent="0.2">
      <c r="A86" s="113"/>
      <c r="B86" s="58" t="s">
        <v>1580</v>
      </c>
      <c r="C86" s="58" t="s">
        <v>1413</v>
      </c>
      <c r="D86" s="58" t="s">
        <v>1581</v>
      </c>
      <c r="E86" s="60" t="b">
        <v>1</v>
      </c>
      <c r="F86" s="80" t="s">
        <v>172</v>
      </c>
      <c r="G86" s="58" t="s">
        <v>1580</v>
      </c>
      <c r="H86" s="58" t="s">
        <v>1413</v>
      </c>
      <c r="I86" s="64" t="s">
        <v>1581</v>
      </c>
      <c r="J86" s="66"/>
      <c r="K86" s="66"/>
      <c r="L86" s="68"/>
      <c r="M86" s="63" t="str">
        <f>HYPERLINK("http://nsgreg.nga.mil/genc/view?v=868613&amp;end_month=12&amp;end_day=31&amp;end_year=2016","Correlation")</f>
        <v>Correlation</v>
      </c>
    </row>
    <row r="87" spans="1:13" x14ac:dyDescent="0.2">
      <c r="A87" s="113"/>
      <c r="B87" s="58" t="s">
        <v>1582</v>
      </c>
      <c r="C87" s="58" t="s">
        <v>1413</v>
      </c>
      <c r="D87" s="58" t="s">
        <v>1583</v>
      </c>
      <c r="E87" s="60" t="b">
        <v>1</v>
      </c>
      <c r="F87" s="80" t="s">
        <v>172</v>
      </c>
      <c r="G87" s="58" t="s">
        <v>1582</v>
      </c>
      <c r="H87" s="58" t="s">
        <v>1413</v>
      </c>
      <c r="I87" s="64" t="s">
        <v>1583</v>
      </c>
      <c r="J87" s="66"/>
      <c r="K87" s="66"/>
      <c r="L87" s="68"/>
      <c r="M87" s="63" t="str">
        <f>HYPERLINK("http://nsgreg.nga.mil/genc/view?v=868612&amp;end_month=12&amp;end_day=31&amp;end_year=2016","Correlation")</f>
        <v>Correlation</v>
      </c>
    </row>
    <row r="88" spans="1:13" x14ac:dyDescent="0.2">
      <c r="A88" s="113"/>
      <c r="B88" s="58" t="s">
        <v>1584</v>
      </c>
      <c r="C88" s="58" t="s">
        <v>1413</v>
      </c>
      <c r="D88" s="58" t="s">
        <v>1585</v>
      </c>
      <c r="E88" s="60" t="b">
        <v>1</v>
      </c>
      <c r="F88" s="80" t="s">
        <v>172</v>
      </c>
      <c r="G88" s="58" t="s">
        <v>1584</v>
      </c>
      <c r="H88" s="58" t="s">
        <v>1413</v>
      </c>
      <c r="I88" s="64" t="s">
        <v>1585</v>
      </c>
      <c r="J88" s="66"/>
      <c r="K88" s="66"/>
      <c r="L88" s="68"/>
      <c r="M88" s="63" t="str">
        <f>HYPERLINK("http://nsgreg.nga.mil/genc/view?v=868615&amp;end_month=12&amp;end_day=31&amp;end_year=2016","Correlation")</f>
        <v>Correlation</v>
      </c>
    </row>
    <row r="89" spans="1:13" x14ac:dyDescent="0.2">
      <c r="A89" s="113"/>
      <c r="B89" s="58" t="s">
        <v>1586</v>
      </c>
      <c r="C89" s="58" t="s">
        <v>1413</v>
      </c>
      <c r="D89" s="58" t="s">
        <v>1587</v>
      </c>
      <c r="E89" s="60" t="b">
        <v>1</v>
      </c>
      <c r="F89" s="80" t="s">
        <v>172</v>
      </c>
      <c r="G89" s="58" t="s">
        <v>1586</v>
      </c>
      <c r="H89" s="58" t="s">
        <v>1413</v>
      </c>
      <c r="I89" s="64" t="s">
        <v>1587</v>
      </c>
      <c r="J89" s="66"/>
      <c r="K89" s="66"/>
      <c r="L89" s="68"/>
      <c r="M89" s="63" t="str">
        <f>HYPERLINK("http://nsgreg.nga.mil/genc/view?v=868614&amp;end_month=12&amp;end_day=31&amp;end_year=2016","Correlation")</f>
        <v>Correlation</v>
      </c>
    </row>
    <row r="90" spans="1:13" x14ac:dyDescent="0.2">
      <c r="A90" s="113"/>
      <c r="B90" s="58" t="s">
        <v>1588</v>
      </c>
      <c r="C90" s="58" t="s">
        <v>1413</v>
      </c>
      <c r="D90" s="58" t="s">
        <v>1589</v>
      </c>
      <c r="E90" s="60" t="b">
        <v>1</v>
      </c>
      <c r="F90" s="80" t="s">
        <v>172</v>
      </c>
      <c r="G90" s="58" t="s">
        <v>1588</v>
      </c>
      <c r="H90" s="58" t="s">
        <v>1413</v>
      </c>
      <c r="I90" s="64" t="s">
        <v>1589</v>
      </c>
      <c r="J90" s="66"/>
      <c r="K90" s="66"/>
      <c r="L90" s="68"/>
      <c r="M90" s="63" t="str">
        <f>HYPERLINK("http://nsgreg.nga.mil/genc/view?v=868634&amp;end_month=12&amp;end_day=31&amp;end_year=2016","Correlation")</f>
        <v>Correlation</v>
      </c>
    </row>
    <row r="91" spans="1:13" x14ac:dyDescent="0.2">
      <c r="A91" s="113"/>
      <c r="B91" s="58" t="s">
        <v>1590</v>
      </c>
      <c r="C91" s="58" t="s">
        <v>1413</v>
      </c>
      <c r="D91" s="58" t="s">
        <v>1591</v>
      </c>
      <c r="E91" s="60" t="b">
        <v>1</v>
      </c>
      <c r="F91" s="80" t="s">
        <v>172</v>
      </c>
      <c r="G91" s="58" t="s">
        <v>1590</v>
      </c>
      <c r="H91" s="58" t="s">
        <v>1413</v>
      </c>
      <c r="I91" s="64" t="s">
        <v>1591</v>
      </c>
      <c r="J91" s="66"/>
      <c r="K91" s="66"/>
      <c r="L91" s="68"/>
      <c r="M91" s="63" t="str">
        <f>HYPERLINK("http://nsgreg.nga.mil/genc/view?v=868604&amp;end_month=12&amp;end_day=31&amp;end_year=2016","Correlation")</f>
        <v>Correlation</v>
      </c>
    </row>
    <row r="92" spans="1:13" x14ac:dyDescent="0.2">
      <c r="A92" s="113"/>
      <c r="B92" s="58" t="s">
        <v>1592</v>
      </c>
      <c r="C92" s="58" t="s">
        <v>1413</v>
      </c>
      <c r="D92" s="58" t="s">
        <v>1593</v>
      </c>
      <c r="E92" s="60" t="b">
        <v>1</v>
      </c>
      <c r="F92" s="80" t="s">
        <v>172</v>
      </c>
      <c r="G92" s="58" t="s">
        <v>1592</v>
      </c>
      <c r="H92" s="58" t="s">
        <v>1413</v>
      </c>
      <c r="I92" s="64" t="s">
        <v>1593</v>
      </c>
      <c r="J92" s="66"/>
      <c r="K92" s="66"/>
      <c r="L92" s="68"/>
      <c r="M92" s="63" t="str">
        <f>HYPERLINK("http://nsgreg.nga.mil/genc/view?v=868605&amp;end_month=12&amp;end_day=31&amp;end_year=2016","Correlation")</f>
        <v>Correlation</v>
      </c>
    </row>
    <row r="93" spans="1:13" x14ac:dyDescent="0.2">
      <c r="A93" s="113"/>
      <c r="B93" s="58" t="s">
        <v>1594</v>
      </c>
      <c r="C93" s="58" t="s">
        <v>1413</v>
      </c>
      <c r="D93" s="58" t="s">
        <v>1595</v>
      </c>
      <c r="E93" s="60" t="b">
        <v>1</v>
      </c>
      <c r="F93" s="80" t="s">
        <v>172</v>
      </c>
      <c r="G93" s="58" t="s">
        <v>1594</v>
      </c>
      <c r="H93" s="58" t="s">
        <v>1413</v>
      </c>
      <c r="I93" s="64" t="s">
        <v>1595</v>
      </c>
      <c r="J93" s="66"/>
      <c r="K93" s="66"/>
      <c r="L93" s="68"/>
      <c r="M93" s="63" t="str">
        <f>HYPERLINK("http://nsgreg.nga.mil/genc/view?v=868607&amp;end_month=12&amp;end_day=31&amp;end_year=2016","Correlation")</f>
        <v>Correlation</v>
      </c>
    </row>
    <row r="94" spans="1:13" x14ac:dyDescent="0.2">
      <c r="A94" s="113"/>
      <c r="B94" s="58" t="s">
        <v>1596</v>
      </c>
      <c r="C94" s="58" t="s">
        <v>1413</v>
      </c>
      <c r="D94" s="58" t="s">
        <v>1597</v>
      </c>
      <c r="E94" s="60" t="b">
        <v>1</v>
      </c>
      <c r="F94" s="80" t="s">
        <v>172</v>
      </c>
      <c r="G94" s="58" t="s">
        <v>1596</v>
      </c>
      <c r="H94" s="58" t="s">
        <v>1413</v>
      </c>
      <c r="I94" s="64" t="s">
        <v>1597</v>
      </c>
      <c r="J94" s="66"/>
      <c r="K94" s="66"/>
      <c r="L94" s="68"/>
      <c r="M94" s="63" t="str">
        <f>HYPERLINK("http://nsgreg.nga.mil/genc/view?v=868630&amp;end_month=12&amp;end_day=31&amp;end_year=2016","Correlation")</f>
        <v>Correlation</v>
      </c>
    </row>
    <row r="95" spans="1:13" x14ac:dyDescent="0.2">
      <c r="A95" s="113"/>
      <c r="B95" s="58" t="s">
        <v>1598</v>
      </c>
      <c r="C95" s="58" t="s">
        <v>1413</v>
      </c>
      <c r="D95" s="58" t="s">
        <v>1599</v>
      </c>
      <c r="E95" s="60" t="b">
        <v>1</v>
      </c>
      <c r="F95" s="80" t="s">
        <v>172</v>
      </c>
      <c r="G95" s="58" t="s">
        <v>1598</v>
      </c>
      <c r="H95" s="58" t="s">
        <v>1413</v>
      </c>
      <c r="I95" s="64" t="s">
        <v>1599</v>
      </c>
      <c r="J95" s="66"/>
      <c r="K95" s="66"/>
      <c r="L95" s="68"/>
      <c r="M95" s="63" t="str">
        <f>HYPERLINK("http://nsgreg.nga.mil/genc/view?v=868635&amp;end_month=12&amp;end_day=31&amp;end_year=2016","Correlation")</f>
        <v>Correlation</v>
      </c>
    </row>
    <row r="96" spans="1:13" x14ac:dyDescent="0.2">
      <c r="A96" s="113"/>
      <c r="B96" s="58" t="s">
        <v>1600</v>
      </c>
      <c r="C96" s="58" t="s">
        <v>1413</v>
      </c>
      <c r="D96" s="58" t="s">
        <v>1601</v>
      </c>
      <c r="E96" s="60" t="b">
        <v>1</v>
      </c>
      <c r="F96" s="80" t="s">
        <v>172</v>
      </c>
      <c r="G96" s="58" t="s">
        <v>1600</v>
      </c>
      <c r="H96" s="58" t="s">
        <v>1413</v>
      </c>
      <c r="I96" s="64" t="s">
        <v>1601</v>
      </c>
      <c r="J96" s="66"/>
      <c r="K96" s="66"/>
      <c r="L96" s="68"/>
      <c r="M96" s="63" t="str">
        <f>HYPERLINK("http://nsgreg.nga.mil/genc/view?v=868631&amp;end_month=12&amp;end_day=31&amp;end_year=2016","Correlation")</f>
        <v>Correlation</v>
      </c>
    </row>
    <row r="97" spans="1:13" x14ac:dyDescent="0.2">
      <c r="A97" s="113"/>
      <c r="B97" s="58" t="s">
        <v>1602</v>
      </c>
      <c r="C97" s="58" t="s">
        <v>1413</v>
      </c>
      <c r="D97" s="58" t="s">
        <v>1603</v>
      </c>
      <c r="E97" s="60" t="b">
        <v>1</v>
      </c>
      <c r="F97" s="80" t="s">
        <v>172</v>
      </c>
      <c r="G97" s="58" t="s">
        <v>1602</v>
      </c>
      <c r="H97" s="58" t="s">
        <v>1413</v>
      </c>
      <c r="I97" s="64" t="s">
        <v>1603</v>
      </c>
      <c r="J97" s="66"/>
      <c r="K97" s="66"/>
      <c r="L97" s="68"/>
      <c r="M97" s="63" t="str">
        <f>HYPERLINK("http://nsgreg.nga.mil/genc/view?v=868608&amp;end_month=12&amp;end_day=31&amp;end_year=2016","Correlation")</f>
        <v>Correlation</v>
      </c>
    </row>
    <row r="98" spans="1:13" x14ac:dyDescent="0.2">
      <c r="A98" s="114"/>
      <c r="B98" s="71" t="s">
        <v>1604</v>
      </c>
      <c r="C98" s="71" t="s">
        <v>1413</v>
      </c>
      <c r="D98" s="71" t="s">
        <v>1605</v>
      </c>
      <c r="E98" s="73" t="b">
        <v>1</v>
      </c>
      <c r="F98" s="81" t="s">
        <v>172</v>
      </c>
      <c r="G98" s="71" t="s">
        <v>1604</v>
      </c>
      <c r="H98" s="71" t="s">
        <v>1413</v>
      </c>
      <c r="I98" s="74" t="s">
        <v>1605</v>
      </c>
      <c r="J98" s="76"/>
      <c r="K98" s="76"/>
      <c r="L98" s="82"/>
      <c r="M98" s="77" t="str">
        <f>HYPERLINK("http://nsgreg.nga.mil/genc/view?v=868606&amp;end_month=12&amp;end_day=31&amp;end_year=2016","Correlation")</f>
        <v>Correlation</v>
      </c>
    </row>
    <row r="99" spans="1:13" x14ac:dyDescent="0.2">
      <c r="A99" s="112" t="s">
        <v>182</v>
      </c>
      <c r="B99" s="50" t="s">
        <v>1606</v>
      </c>
      <c r="C99" s="50" t="s">
        <v>1607</v>
      </c>
      <c r="D99" s="50" t="s">
        <v>1608</v>
      </c>
      <c r="E99" s="52" t="b">
        <v>1</v>
      </c>
      <c r="F99" s="78" t="s">
        <v>182</v>
      </c>
      <c r="G99" s="50" t="s">
        <v>1606</v>
      </c>
      <c r="H99" s="50" t="s">
        <v>1607</v>
      </c>
      <c r="I99" s="53" t="s">
        <v>1608</v>
      </c>
      <c r="J99" s="55"/>
      <c r="K99" s="55"/>
      <c r="L99" s="79"/>
      <c r="M99" s="56" t="str">
        <f>HYPERLINK("http://nsgreg.nga.mil/genc/view?v=867590&amp;end_month=12&amp;end_day=31&amp;end_year=2016","Correlation")</f>
        <v>Correlation</v>
      </c>
    </row>
    <row r="100" spans="1:13" x14ac:dyDescent="0.2">
      <c r="A100" s="113"/>
      <c r="B100" s="58" t="s">
        <v>1609</v>
      </c>
      <c r="C100" s="58" t="s">
        <v>1607</v>
      </c>
      <c r="D100" s="58" t="s">
        <v>1610</v>
      </c>
      <c r="E100" s="60" t="b">
        <v>1</v>
      </c>
      <c r="F100" s="80" t="s">
        <v>182</v>
      </c>
      <c r="G100" s="58" t="s">
        <v>1609</v>
      </c>
      <c r="H100" s="58" t="s">
        <v>1607</v>
      </c>
      <c r="I100" s="64" t="s">
        <v>1610</v>
      </c>
      <c r="J100" s="66"/>
      <c r="K100" s="66"/>
      <c r="L100" s="68"/>
      <c r="M100" s="63" t="str">
        <f>HYPERLINK("http://nsgreg.nga.mil/genc/view?v=867585&amp;end_month=12&amp;end_day=31&amp;end_year=2016","Correlation")</f>
        <v>Correlation</v>
      </c>
    </row>
    <row r="101" spans="1:13" x14ac:dyDescent="0.2">
      <c r="A101" s="113"/>
      <c r="B101" s="58" t="s">
        <v>1611</v>
      </c>
      <c r="C101" s="58" t="s">
        <v>1607</v>
      </c>
      <c r="D101" s="58" t="s">
        <v>1612</v>
      </c>
      <c r="E101" s="60" t="b">
        <v>1</v>
      </c>
      <c r="F101" s="80" t="s">
        <v>182</v>
      </c>
      <c r="G101" s="58" t="s">
        <v>1611</v>
      </c>
      <c r="H101" s="58" t="s">
        <v>1607</v>
      </c>
      <c r="I101" s="64" t="s">
        <v>1612</v>
      </c>
      <c r="J101" s="66"/>
      <c r="K101" s="66"/>
      <c r="L101" s="68"/>
      <c r="M101" s="63" t="str">
        <f>HYPERLINK("http://nsgreg.nga.mil/genc/view?v=867586&amp;end_month=12&amp;end_day=31&amp;end_year=2016","Correlation")</f>
        <v>Correlation</v>
      </c>
    </row>
    <row r="102" spans="1:13" x14ac:dyDescent="0.2">
      <c r="A102" s="113"/>
      <c r="B102" s="58" t="s">
        <v>1613</v>
      </c>
      <c r="C102" s="58" t="s">
        <v>1607</v>
      </c>
      <c r="D102" s="58" t="s">
        <v>1614</v>
      </c>
      <c r="E102" s="60" t="b">
        <v>1</v>
      </c>
      <c r="F102" s="80" t="s">
        <v>182</v>
      </c>
      <c r="G102" s="58" t="s">
        <v>1613</v>
      </c>
      <c r="H102" s="58" t="s">
        <v>1607</v>
      </c>
      <c r="I102" s="64" t="s">
        <v>1614</v>
      </c>
      <c r="J102" s="66"/>
      <c r="K102" s="66"/>
      <c r="L102" s="68"/>
      <c r="M102" s="63" t="str">
        <f>HYPERLINK("http://nsgreg.nga.mil/genc/view?v=867591&amp;end_month=12&amp;end_day=31&amp;end_year=2016","Correlation")</f>
        <v>Correlation</v>
      </c>
    </row>
    <row r="103" spans="1:13" x14ac:dyDescent="0.2">
      <c r="A103" s="113"/>
      <c r="B103" s="58" t="s">
        <v>1615</v>
      </c>
      <c r="C103" s="58" t="s">
        <v>1607</v>
      </c>
      <c r="D103" s="58" t="s">
        <v>1616</v>
      </c>
      <c r="E103" s="60" t="b">
        <v>1</v>
      </c>
      <c r="F103" s="80" t="s">
        <v>182</v>
      </c>
      <c r="G103" s="58" t="s">
        <v>1615</v>
      </c>
      <c r="H103" s="58" t="s">
        <v>1607</v>
      </c>
      <c r="I103" s="64" t="s">
        <v>1616</v>
      </c>
      <c r="J103" s="66"/>
      <c r="K103" s="66"/>
      <c r="L103" s="68"/>
      <c r="M103" s="63" t="str">
        <f>HYPERLINK("http://nsgreg.nga.mil/genc/view?v=867587&amp;end_month=12&amp;end_day=31&amp;end_year=2016","Correlation")</f>
        <v>Correlation</v>
      </c>
    </row>
    <row r="104" spans="1:13" x14ac:dyDescent="0.2">
      <c r="A104" s="113"/>
      <c r="B104" s="58" t="s">
        <v>1617</v>
      </c>
      <c r="C104" s="58" t="s">
        <v>1607</v>
      </c>
      <c r="D104" s="58" t="s">
        <v>1618</v>
      </c>
      <c r="E104" s="60" t="b">
        <v>1</v>
      </c>
      <c r="F104" s="80" t="s">
        <v>182</v>
      </c>
      <c r="G104" s="58" t="s">
        <v>1617</v>
      </c>
      <c r="H104" s="58" t="s">
        <v>1607</v>
      </c>
      <c r="I104" s="64" t="s">
        <v>1618</v>
      </c>
      <c r="J104" s="66"/>
      <c r="K104" s="66"/>
      <c r="L104" s="68"/>
      <c r="M104" s="63" t="str">
        <f>HYPERLINK("http://nsgreg.nga.mil/genc/view?v=867588&amp;end_month=12&amp;end_day=31&amp;end_year=2016","Correlation")</f>
        <v>Correlation</v>
      </c>
    </row>
    <row r="105" spans="1:13" x14ac:dyDescent="0.2">
      <c r="A105" s="114"/>
      <c r="B105" s="71" t="s">
        <v>1619</v>
      </c>
      <c r="C105" s="71" t="s">
        <v>1607</v>
      </c>
      <c r="D105" s="71" t="s">
        <v>1620</v>
      </c>
      <c r="E105" s="73" t="b">
        <v>1</v>
      </c>
      <c r="F105" s="81" t="s">
        <v>182</v>
      </c>
      <c r="G105" s="71" t="s">
        <v>1619</v>
      </c>
      <c r="H105" s="71" t="s">
        <v>1607</v>
      </c>
      <c r="I105" s="74" t="s">
        <v>1620</v>
      </c>
      <c r="J105" s="76"/>
      <c r="K105" s="76"/>
      <c r="L105" s="82"/>
      <c r="M105" s="77" t="str">
        <f>HYPERLINK("http://nsgreg.nga.mil/genc/view?v=867589&amp;end_month=12&amp;end_day=31&amp;end_year=2016","Correlation")</f>
        <v>Correlation</v>
      </c>
    </row>
    <row r="106" spans="1:13" x14ac:dyDescent="0.2">
      <c r="A106" s="112" t="s">
        <v>186</v>
      </c>
      <c r="B106" s="50" t="s">
        <v>1621</v>
      </c>
      <c r="C106" s="50" t="s">
        <v>1413</v>
      </c>
      <c r="D106" s="50" t="s">
        <v>1622</v>
      </c>
      <c r="E106" s="52" t="b">
        <v>1</v>
      </c>
      <c r="F106" s="78" t="s">
        <v>186</v>
      </c>
      <c r="G106" s="50" t="s">
        <v>1621</v>
      </c>
      <c r="H106" s="50" t="s">
        <v>1413</v>
      </c>
      <c r="I106" s="53" t="s">
        <v>1622</v>
      </c>
      <c r="J106" s="55"/>
      <c r="K106" s="55"/>
      <c r="L106" s="79"/>
      <c r="M106" s="56" t="str">
        <f>HYPERLINK("http://nsgreg.nga.mil/genc/view?v=867664&amp;end_month=12&amp;end_day=31&amp;end_year=2016","Correlation")</f>
        <v>Correlation</v>
      </c>
    </row>
    <row r="107" spans="1:13" x14ac:dyDescent="0.2">
      <c r="A107" s="113"/>
      <c r="B107" s="58" t="s">
        <v>1623</v>
      </c>
      <c r="C107" s="58" t="s">
        <v>1413</v>
      </c>
      <c r="D107" s="58" t="s">
        <v>1624</v>
      </c>
      <c r="E107" s="60" t="b">
        <v>1</v>
      </c>
      <c r="F107" s="80" t="s">
        <v>186</v>
      </c>
      <c r="G107" s="58" t="s">
        <v>1623</v>
      </c>
      <c r="H107" s="58" t="s">
        <v>1413</v>
      </c>
      <c r="I107" s="64" t="s">
        <v>1624</v>
      </c>
      <c r="J107" s="66"/>
      <c r="K107" s="66"/>
      <c r="L107" s="68"/>
      <c r="M107" s="63" t="str">
        <f>HYPERLINK("http://nsgreg.nga.mil/genc/view?v=867665&amp;end_month=12&amp;end_day=31&amp;end_year=2016","Correlation")</f>
        <v>Correlation</v>
      </c>
    </row>
    <row r="108" spans="1:13" x14ac:dyDescent="0.2">
      <c r="A108" s="113"/>
      <c r="B108" s="58" t="s">
        <v>1625</v>
      </c>
      <c r="C108" s="58" t="s">
        <v>1413</v>
      </c>
      <c r="D108" s="58" t="s">
        <v>1626</v>
      </c>
      <c r="E108" s="60" t="b">
        <v>1</v>
      </c>
      <c r="F108" s="80" t="s">
        <v>186</v>
      </c>
      <c r="G108" s="58" t="s">
        <v>1625</v>
      </c>
      <c r="H108" s="58" t="s">
        <v>1413</v>
      </c>
      <c r="I108" s="64" t="s">
        <v>1626</v>
      </c>
      <c r="J108" s="66"/>
      <c r="K108" s="66"/>
      <c r="L108" s="68"/>
      <c r="M108" s="63" t="str">
        <f>HYPERLINK("http://nsgreg.nga.mil/genc/view?v=867666&amp;end_month=12&amp;end_day=31&amp;end_year=2016","Correlation")</f>
        <v>Correlation</v>
      </c>
    </row>
    <row r="109" spans="1:13" x14ac:dyDescent="0.2">
      <c r="A109" s="113"/>
      <c r="B109" s="58" t="s">
        <v>1627</v>
      </c>
      <c r="C109" s="58" t="s">
        <v>1413</v>
      </c>
      <c r="D109" s="58" t="s">
        <v>1628</v>
      </c>
      <c r="E109" s="60" t="b">
        <v>1</v>
      </c>
      <c r="F109" s="80" t="s">
        <v>186</v>
      </c>
      <c r="G109" s="58" t="s">
        <v>1627</v>
      </c>
      <c r="H109" s="58" t="s">
        <v>1413</v>
      </c>
      <c r="I109" s="64" t="s">
        <v>1628</v>
      </c>
      <c r="J109" s="66"/>
      <c r="K109" s="66"/>
      <c r="L109" s="68"/>
      <c r="M109" s="63" t="str">
        <f>HYPERLINK("http://nsgreg.nga.mil/genc/view?v=867667&amp;end_month=12&amp;end_day=31&amp;end_year=2016","Correlation")</f>
        <v>Correlation</v>
      </c>
    </row>
    <row r="110" spans="1:13" x14ac:dyDescent="0.2">
      <c r="A110" s="113"/>
      <c r="B110" s="58" t="s">
        <v>1629</v>
      </c>
      <c r="C110" s="58" t="s">
        <v>1413</v>
      </c>
      <c r="D110" s="58" t="s">
        <v>1630</v>
      </c>
      <c r="E110" s="60" t="b">
        <v>1</v>
      </c>
      <c r="F110" s="80" t="s">
        <v>186</v>
      </c>
      <c r="G110" s="58" t="s">
        <v>1629</v>
      </c>
      <c r="H110" s="58" t="s">
        <v>1413</v>
      </c>
      <c r="I110" s="64" t="s">
        <v>1630</v>
      </c>
      <c r="J110" s="66"/>
      <c r="K110" s="66"/>
      <c r="L110" s="68"/>
      <c r="M110" s="63" t="str">
        <f>HYPERLINK("http://nsgreg.nga.mil/genc/view?v=867669&amp;end_month=12&amp;end_day=31&amp;end_year=2016","Correlation")</f>
        <v>Correlation</v>
      </c>
    </row>
    <row r="111" spans="1:13" x14ac:dyDescent="0.2">
      <c r="A111" s="113"/>
      <c r="B111" s="58" t="s">
        <v>1631</v>
      </c>
      <c r="C111" s="58" t="s">
        <v>1413</v>
      </c>
      <c r="D111" s="58" t="s">
        <v>1632</v>
      </c>
      <c r="E111" s="60" t="b">
        <v>1</v>
      </c>
      <c r="F111" s="80" t="s">
        <v>186</v>
      </c>
      <c r="G111" s="58" t="s">
        <v>1631</v>
      </c>
      <c r="H111" s="58" t="s">
        <v>1413</v>
      </c>
      <c r="I111" s="64" t="s">
        <v>1632</v>
      </c>
      <c r="J111" s="66"/>
      <c r="K111" s="66"/>
      <c r="L111" s="68"/>
      <c r="M111" s="63" t="str">
        <f>HYPERLINK("http://nsgreg.nga.mil/genc/view?v=867672&amp;end_month=12&amp;end_day=31&amp;end_year=2016","Correlation")</f>
        <v>Correlation</v>
      </c>
    </row>
    <row r="112" spans="1:13" x14ac:dyDescent="0.2">
      <c r="A112" s="113"/>
      <c r="B112" s="58" t="s">
        <v>1633</v>
      </c>
      <c r="C112" s="58" t="s">
        <v>1413</v>
      </c>
      <c r="D112" s="58" t="s">
        <v>1634</v>
      </c>
      <c r="E112" s="60" t="b">
        <v>1</v>
      </c>
      <c r="F112" s="80" t="s">
        <v>186</v>
      </c>
      <c r="G112" s="58" t="s">
        <v>1633</v>
      </c>
      <c r="H112" s="58" t="s">
        <v>1413</v>
      </c>
      <c r="I112" s="64" t="s">
        <v>1634</v>
      </c>
      <c r="J112" s="66"/>
      <c r="K112" s="66"/>
      <c r="L112" s="68"/>
      <c r="M112" s="63" t="str">
        <f>HYPERLINK("http://nsgreg.nga.mil/genc/view?v=867673&amp;end_month=12&amp;end_day=31&amp;end_year=2016","Correlation")</f>
        <v>Correlation</v>
      </c>
    </row>
    <row r="113" spans="1:13" x14ac:dyDescent="0.2">
      <c r="A113" s="113"/>
      <c r="B113" s="58" t="s">
        <v>1635</v>
      </c>
      <c r="C113" s="58" t="s">
        <v>1413</v>
      </c>
      <c r="D113" s="58" t="s">
        <v>1636</v>
      </c>
      <c r="E113" s="60" t="b">
        <v>1</v>
      </c>
      <c r="F113" s="80" t="s">
        <v>186</v>
      </c>
      <c r="G113" s="58" t="s">
        <v>1635</v>
      </c>
      <c r="H113" s="58" t="s">
        <v>1413</v>
      </c>
      <c r="I113" s="64" t="s">
        <v>1636</v>
      </c>
      <c r="J113" s="66"/>
      <c r="K113" s="66"/>
      <c r="L113" s="68"/>
      <c r="M113" s="63" t="str">
        <f>HYPERLINK("http://nsgreg.nga.mil/genc/view?v=867668&amp;end_month=12&amp;end_day=31&amp;end_year=2016","Correlation")</f>
        <v>Correlation</v>
      </c>
    </row>
    <row r="114" spans="1:13" x14ac:dyDescent="0.2">
      <c r="A114" s="113"/>
      <c r="B114" s="58" t="s">
        <v>1637</v>
      </c>
      <c r="C114" s="58" t="s">
        <v>1413</v>
      </c>
      <c r="D114" s="58" t="s">
        <v>1638</v>
      </c>
      <c r="E114" s="60" t="b">
        <v>1</v>
      </c>
      <c r="F114" s="80" t="s">
        <v>186</v>
      </c>
      <c r="G114" s="58" t="s">
        <v>1637</v>
      </c>
      <c r="H114" s="58" t="s">
        <v>1413</v>
      </c>
      <c r="I114" s="64" t="s">
        <v>1638</v>
      </c>
      <c r="J114" s="66"/>
      <c r="K114" s="66"/>
      <c r="L114" s="68"/>
      <c r="M114" s="63" t="str">
        <f>HYPERLINK("http://nsgreg.nga.mil/genc/view?v=867670&amp;end_month=12&amp;end_day=31&amp;end_year=2016","Correlation")</f>
        <v>Correlation</v>
      </c>
    </row>
    <row r="115" spans="1:13" x14ac:dyDescent="0.2">
      <c r="A115" s="113"/>
      <c r="B115" s="58" t="s">
        <v>1639</v>
      </c>
      <c r="C115" s="58" t="s">
        <v>1413</v>
      </c>
      <c r="D115" s="58" t="s">
        <v>1640</v>
      </c>
      <c r="E115" s="60" t="b">
        <v>1</v>
      </c>
      <c r="F115" s="80" t="s">
        <v>186</v>
      </c>
      <c r="G115" s="58" t="s">
        <v>1639</v>
      </c>
      <c r="H115" s="58" t="s">
        <v>1413</v>
      </c>
      <c r="I115" s="64" t="s">
        <v>1640</v>
      </c>
      <c r="J115" s="66"/>
      <c r="K115" s="66"/>
      <c r="L115" s="68"/>
      <c r="M115" s="63" t="str">
        <f>HYPERLINK("http://nsgreg.nga.mil/genc/view?v=867671&amp;end_month=12&amp;end_day=31&amp;end_year=2016","Correlation")</f>
        <v>Correlation</v>
      </c>
    </row>
    <row r="116" spans="1:13" x14ac:dyDescent="0.2">
      <c r="A116" s="113"/>
      <c r="B116" s="58" t="s">
        <v>1641</v>
      </c>
      <c r="C116" s="58" t="s">
        <v>1413</v>
      </c>
      <c r="D116" s="58" t="s">
        <v>1642</v>
      </c>
      <c r="E116" s="60" t="b">
        <v>1</v>
      </c>
      <c r="F116" s="80" t="s">
        <v>186</v>
      </c>
      <c r="G116" s="58" t="s">
        <v>1641</v>
      </c>
      <c r="H116" s="58" t="s">
        <v>1413</v>
      </c>
      <c r="I116" s="64" t="s">
        <v>1642</v>
      </c>
      <c r="J116" s="66"/>
      <c r="K116" s="66"/>
      <c r="L116" s="68"/>
      <c r="M116" s="63" t="str">
        <f>HYPERLINK("http://nsgreg.nga.mil/genc/view?v=867676&amp;end_month=12&amp;end_day=31&amp;end_year=2016","Correlation")</f>
        <v>Correlation</v>
      </c>
    </row>
    <row r="117" spans="1:13" x14ac:dyDescent="0.2">
      <c r="A117" s="113"/>
      <c r="B117" s="58" t="s">
        <v>1643</v>
      </c>
      <c r="C117" s="58" t="s">
        <v>1413</v>
      </c>
      <c r="D117" s="58" t="s">
        <v>1644</v>
      </c>
      <c r="E117" s="60" t="b">
        <v>1</v>
      </c>
      <c r="F117" s="80" t="s">
        <v>186</v>
      </c>
      <c r="G117" s="58" t="s">
        <v>1643</v>
      </c>
      <c r="H117" s="58" t="s">
        <v>1413</v>
      </c>
      <c r="I117" s="64" t="s">
        <v>1644</v>
      </c>
      <c r="J117" s="66"/>
      <c r="K117" s="66"/>
      <c r="L117" s="68"/>
      <c r="M117" s="63" t="str">
        <f>HYPERLINK("http://nsgreg.nga.mil/genc/view?v=867674&amp;end_month=12&amp;end_day=31&amp;end_year=2016","Correlation")</f>
        <v>Correlation</v>
      </c>
    </row>
    <row r="118" spans="1:13" x14ac:dyDescent="0.2">
      <c r="A118" s="113"/>
      <c r="B118" s="58" t="s">
        <v>1645</v>
      </c>
      <c r="C118" s="58" t="s">
        <v>1413</v>
      </c>
      <c r="D118" s="58" t="s">
        <v>1646</v>
      </c>
      <c r="E118" s="60" t="b">
        <v>1</v>
      </c>
      <c r="F118" s="80" t="s">
        <v>186</v>
      </c>
      <c r="G118" s="58" t="s">
        <v>1645</v>
      </c>
      <c r="H118" s="58" t="s">
        <v>1413</v>
      </c>
      <c r="I118" s="64" t="s">
        <v>1646</v>
      </c>
      <c r="J118" s="66"/>
      <c r="K118" s="66"/>
      <c r="L118" s="68"/>
      <c r="M118" s="63" t="str">
        <f>HYPERLINK("http://nsgreg.nga.mil/genc/view?v=867675&amp;end_month=12&amp;end_day=31&amp;end_year=2016","Correlation")</f>
        <v>Correlation</v>
      </c>
    </row>
    <row r="119" spans="1:13" x14ac:dyDescent="0.2">
      <c r="A119" s="113"/>
      <c r="B119" s="58" t="s">
        <v>1649</v>
      </c>
      <c r="C119" s="58" t="s">
        <v>1413</v>
      </c>
      <c r="D119" s="58" t="s">
        <v>1648</v>
      </c>
      <c r="E119" s="60" t="b">
        <v>1</v>
      </c>
      <c r="F119" s="80" t="s">
        <v>186</v>
      </c>
      <c r="G119" s="58" t="s">
        <v>1647</v>
      </c>
      <c r="H119" s="58" t="s">
        <v>1413</v>
      </c>
      <c r="I119" s="64" t="s">
        <v>1648</v>
      </c>
      <c r="J119" s="66"/>
      <c r="K119" s="66"/>
      <c r="L119" s="68"/>
      <c r="M119" s="63" t="str">
        <f>HYPERLINK("http://nsgreg.nga.mil/genc/view?v=867677&amp;end_month=12&amp;end_day=31&amp;end_year=2016","Correlation")</f>
        <v>Correlation</v>
      </c>
    </row>
    <row r="120" spans="1:13" x14ac:dyDescent="0.2">
      <c r="A120" s="113"/>
      <c r="B120" s="58" t="s">
        <v>1650</v>
      </c>
      <c r="C120" s="58" t="s">
        <v>1413</v>
      </c>
      <c r="D120" s="58" t="s">
        <v>1651</v>
      </c>
      <c r="E120" s="60" t="b">
        <v>1</v>
      </c>
      <c r="F120" s="80" t="s">
        <v>186</v>
      </c>
      <c r="G120" s="58" t="s">
        <v>1650</v>
      </c>
      <c r="H120" s="58" t="s">
        <v>1413</v>
      </c>
      <c r="I120" s="64" t="s">
        <v>1651</v>
      </c>
      <c r="J120" s="66"/>
      <c r="K120" s="66"/>
      <c r="L120" s="68"/>
      <c r="M120" s="63" t="str">
        <f>HYPERLINK("http://nsgreg.nga.mil/genc/view?v=867678&amp;end_month=12&amp;end_day=31&amp;end_year=2016","Correlation")</f>
        <v>Correlation</v>
      </c>
    </row>
    <row r="121" spans="1:13" x14ac:dyDescent="0.2">
      <c r="A121" s="113"/>
      <c r="B121" s="58" t="s">
        <v>1652</v>
      </c>
      <c r="C121" s="58" t="s">
        <v>1413</v>
      </c>
      <c r="D121" s="58" t="s">
        <v>1653</v>
      </c>
      <c r="E121" s="60" t="b">
        <v>1</v>
      </c>
      <c r="F121" s="80" t="s">
        <v>186</v>
      </c>
      <c r="G121" s="58" t="s">
        <v>1652</v>
      </c>
      <c r="H121" s="58" t="s">
        <v>1413</v>
      </c>
      <c r="I121" s="64" t="s">
        <v>1653</v>
      </c>
      <c r="J121" s="66"/>
      <c r="K121" s="66"/>
      <c r="L121" s="68"/>
      <c r="M121" s="63" t="str">
        <f>HYPERLINK("http://nsgreg.nga.mil/genc/view?v=867679&amp;end_month=12&amp;end_day=31&amp;end_year=2016","Correlation")</f>
        <v>Correlation</v>
      </c>
    </row>
    <row r="122" spans="1:13" x14ac:dyDescent="0.2">
      <c r="A122" s="113"/>
      <c r="B122" s="58" t="s">
        <v>1654</v>
      </c>
      <c r="C122" s="58" t="s">
        <v>1413</v>
      </c>
      <c r="D122" s="58" t="s">
        <v>1655</v>
      </c>
      <c r="E122" s="60" t="b">
        <v>1</v>
      </c>
      <c r="F122" s="80" t="s">
        <v>186</v>
      </c>
      <c r="G122" s="58" t="s">
        <v>1654</v>
      </c>
      <c r="H122" s="58" t="s">
        <v>1413</v>
      </c>
      <c r="I122" s="64" t="s">
        <v>1655</v>
      </c>
      <c r="J122" s="66"/>
      <c r="K122" s="66"/>
      <c r="L122" s="68"/>
      <c r="M122" s="63" t="str">
        <f>HYPERLINK("http://nsgreg.nga.mil/genc/view?v=867680&amp;end_month=12&amp;end_day=31&amp;end_year=2016","Correlation")</f>
        <v>Correlation</v>
      </c>
    </row>
    <row r="123" spans="1:13" x14ac:dyDescent="0.2">
      <c r="A123" s="114"/>
      <c r="B123" s="71" t="s">
        <v>1656</v>
      </c>
      <c r="C123" s="71" t="s">
        <v>1413</v>
      </c>
      <c r="D123" s="71" t="s">
        <v>1657</v>
      </c>
      <c r="E123" s="73" t="b">
        <v>1</v>
      </c>
      <c r="F123" s="81" t="s">
        <v>186</v>
      </c>
      <c r="G123" s="71" t="s">
        <v>1656</v>
      </c>
      <c r="H123" s="71" t="s">
        <v>1413</v>
      </c>
      <c r="I123" s="74" t="s">
        <v>1657</v>
      </c>
      <c r="J123" s="76"/>
      <c r="K123" s="76"/>
      <c r="L123" s="82"/>
      <c r="M123" s="77" t="str">
        <f>HYPERLINK("http://nsgreg.nga.mil/genc/view?v=867681&amp;end_month=12&amp;end_day=31&amp;end_year=2016","Correlation")</f>
        <v>Correlation</v>
      </c>
    </row>
    <row r="124" spans="1:13" x14ac:dyDescent="0.2">
      <c r="A124" s="112" t="s">
        <v>198</v>
      </c>
      <c r="B124" s="50" t="s">
        <v>1658</v>
      </c>
      <c r="C124" s="50" t="s">
        <v>1659</v>
      </c>
      <c r="D124" s="50" t="s">
        <v>1660</v>
      </c>
      <c r="E124" s="52" t="b">
        <v>1</v>
      </c>
      <c r="F124" s="78" t="s">
        <v>198</v>
      </c>
      <c r="G124" s="50" t="s">
        <v>1658</v>
      </c>
      <c r="H124" s="50" t="s">
        <v>1659</v>
      </c>
      <c r="I124" s="53" t="s">
        <v>1660</v>
      </c>
      <c r="J124" s="55"/>
      <c r="K124" s="55"/>
      <c r="L124" s="79"/>
      <c r="M124" s="56" t="str">
        <f>HYPERLINK("http://nsgreg.nga.mil/genc/view?v=867639&amp;end_month=12&amp;end_day=31&amp;end_year=2016","Correlation")</f>
        <v>Correlation</v>
      </c>
    </row>
    <row r="125" spans="1:13" x14ac:dyDescent="0.2">
      <c r="A125" s="113"/>
      <c r="B125" s="58" t="s">
        <v>1661</v>
      </c>
      <c r="C125" s="58" t="s">
        <v>1659</v>
      </c>
      <c r="D125" s="58" t="s">
        <v>1662</v>
      </c>
      <c r="E125" s="60" t="b">
        <v>1</v>
      </c>
      <c r="F125" s="80" t="s">
        <v>198</v>
      </c>
      <c r="G125" s="58" t="s">
        <v>1661</v>
      </c>
      <c r="H125" s="58" t="s">
        <v>1659</v>
      </c>
      <c r="I125" s="64" t="s">
        <v>1662</v>
      </c>
      <c r="J125" s="66"/>
      <c r="K125" s="66"/>
      <c r="L125" s="68"/>
      <c r="M125" s="63" t="str">
        <f>HYPERLINK("http://nsgreg.nga.mil/genc/view?v=867640&amp;end_month=12&amp;end_day=31&amp;end_year=2016","Correlation")</f>
        <v>Correlation</v>
      </c>
    </row>
    <row r="126" spans="1:13" x14ac:dyDescent="0.2">
      <c r="A126" s="113"/>
      <c r="B126" s="58" t="s">
        <v>1663</v>
      </c>
      <c r="C126" s="58" t="s">
        <v>1607</v>
      </c>
      <c r="D126" s="58" t="s">
        <v>1664</v>
      </c>
      <c r="E126" s="60" t="b">
        <v>1</v>
      </c>
      <c r="F126" s="80" t="s">
        <v>198</v>
      </c>
      <c r="G126" s="58" t="s">
        <v>1663</v>
      </c>
      <c r="H126" s="58" t="s">
        <v>1607</v>
      </c>
      <c r="I126" s="64" t="s">
        <v>1664</v>
      </c>
      <c r="J126" s="66"/>
      <c r="K126" s="66"/>
      <c r="L126" s="68"/>
      <c r="M126" s="63" t="str">
        <f>HYPERLINK("http://nsgreg.nga.mil/genc/view?v=867633&amp;end_month=12&amp;end_day=31&amp;end_year=2016","Correlation")</f>
        <v>Correlation</v>
      </c>
    </row>
    <row r="127" spans="1:13" x14ac:dyDescent="0.2">
      <c r="A127" s="113"/>
      <c r="B127" s="58" t="s">
        <v>1665</v>
      </c>
      <c r="C127" s="58" t="s">
        <v>1607</v>
      </c>
      <c r="D127" s="58" t="s">
        <v>1666</v>
      </c>
      <c r="E127" s="60" t="b">
        <v>1</v>
      </c>
      <c r="F127" s="80" t="s">
        <v>198</v>
      </c>
      <c r="G127" s="58" t="s">
        <v>1665</v>
      </c>
      <c r="H127" s="58" t="s">
        <v>1607</v>
      </c>
      <c r="I127" s="64" t="s">
        <v>1666</v>
      </c>
      <c r="J127" s="66"/>
      <c r="K127" s="66"/>
      <c r="L127" s="68"/>
      <c r="M127" s="63" t="str">
        <f>HYPERLINK("http://nsgreg.nga.mil/genc/view?v=867634&amp;end_month=12&amp;end_day=31&amp;end_year=2016","Correlation")</f>
        <v>Correlation</v>
      </c>
    </row>
    <row r="128" spans="1:13" x14ac:dyDescent="0.2">
      <c r="A128" s="113"/>
      <c r="B128" s="58" t="s">
        <v>1667</v>
      </c>
      <c r="C128" s="58" t="s">
        <v>1607</v>
      </c>
      <c r="D128" s="58" t="s">
        <v>1668</v>
      </c>
      <c r="E128" s="60" t="b">
        <v>1</v>
      </c>
      <c r="F128" s="80" t="s">
        <v>198</v>
      </c>
      <c r="G128" s="58" t="s">
        <v>1667</v>
      </c>
      <c r="H128" s="58" t="s">
        <v>1607</v>
      </c>
      <c r="I128" s="64" t="s">
        <v>1668</v>
      </c>
      <c r="J128" s="66"/>
      <c r="K128" s="66"/>
      <c r="L128" s="68"/>
      <c r="M128" s="63" t="str">
        <f>HYPERLINK("http://nsgreg.nga.mil/genc/view?v=867635&amp;end_month=12&amp;end_day=31&amp;end_year=2016","Correlation")</f>
        <v>Correlation</v>
      </c>
    </row>
    <row r="129" spans="1:13" x14ac:dyDescent="0.2">
      <c r="A129" s="113"/>
      <c r="B129" s="58" t="s">
        <v>1669</v>
      </c>
      <c r="C129" s="58" t="s">
        <v>1607</v>
      </c>
      <c r="D129" s="58" t="s">
        <v>1670</v>
      </c>
      <c r="E129" s="60" t="b">
        <v>1</v>
      </c>
      <c r="F129" s="80" t="s">
        <v>198</v>
      </c>
      <c r="G129" s="58" t="s">
        <v>1669</v>
      </c>
      <c r="H129" s="58" t="s">
        <v>1607</v>
      </c>
      <c r="I129" s="64" t="s">
        <v>1670</v>
      </c>
      <c r="J129" s="66"/>
      <c r="K129" s="66"/>
      <c r="L129" s="68"/>
      <c r="M129" s="63" t="str">
        <f>HYPERLINK("http://nsgreg.nga.mil/genc/view?v=867636&amp;end_month=12&amp;end_day=31&amp;end_year=2016","Correlation")</f>
        <v>Correlation</v>
      </c>
    </row>
    <row r="130" spans="1:13" x14ac:dyDescent="0.2">
      <c r="A130" s="113"/>
      <c r="B130" s="58" t="s">
        <v>1671</v>
      </c>
      <c r="C130" s="58" t="s">
        <v>1607</v>
      </c>
      <c r="D130" s="58" t="s">
        <v>1672</v>
      </c>
      <c r="E130" s="60" t="b">
        <v>1</v>
      </c>
      <c r="F130" s="80" t="s">
        <v>198</v>
      </c>
      <c r="G130" s="58" t="s">
        <v>1671</v>
      </c>
      <c r="H130" s="58" t="s">
        <v>1607</v>
      </c>
      <c r="I130" s="64" t="s">
        <v>1672</v>
      </c>
      <c r="J130" s="66"/>
      <c r="K130" s="66"/>
      <c r="L130" s="68"/>
      <c r="M130" s="63" t="str">
        <f>HYPERLINK("http://nsgreg.nga.mil/genc/view?v=867637&amp;end_month=12&amp;end_day=31&amp;end_year=2016","Correlation")</f>
        <v>Correlation</v>
      </c>
    </row>
    <row r="131" spans="1:13" x14ac:dyDescent="0.2">
      <c r="A131" s="114"/>
      <c r="B131" s="71" t="s">
        <v>1673</v>
      </c>
      <c r="C131" s="71" t="s">
        <v>1607</v>
      </c>
      <c r="D131" s="71" t="s">
        <v>1674</v>
      </c>
      <c r="E131" s="73" t="b">
        <v>1</v>
      </c>
      <c r="F131" s="81" t="s">
        <v>198</v>
      </c>
      <c r="G131" s="71" t="s">
        <v>1673</v>
      </c>
      <c r="H131" s="71" t="s">
        <v>1607</v>
      </c>
      <c r="I131" s="74" t="s">
        <v>1674</v>
      </c>
      <c r="J131" s="76"/>
      <c r="K131" s="76"/>
      <c r="L131" s="82"/>
      <c r="M131" s="77" t="str">
        <f>HYPERLINK("http://nsgreg.nga.mil/genc/view?v=867638&amp;end_month=12&amp;end_day=31&amp;end_year=2016","Correlation")</f>
        <v>Correlation</v>
      </c>
    </row>
    <row r="132" spans="1:13" x14ac:dyDescent="0.2">
      <c r="A132" s="112" t="s">
        <v>202</v>
      </c>
      <c r="B132" s="50" t="s">
        <v>1675</v>
      </c>
      <c r="C132" s="50" t="s">
        <v>1413</v>
      </c>
      <c r="D132" s="50" t="s">
        <v>1676</v>
      </c>
      <c r="E132" s="52" t="b">
        <v>1</v>
      </c>
      <c r="F132" s="78" t="s">
        <v>202</v>
      </c>
      <c r="G132" s="50" t="s">
        <v>1675</v>
      </c>
      <c r="H132" s="50" t="s">
        <v>1413</v>
      </c>
      <c r="I132" s="53" t="s">
        <v>1676</v>
      </c>
      <c r="J132" s="55"/>
      <c r="K132" s="55"/>
      <c r="L132" s="79"/>
      <c r="M132" s="56" t="str">
        <f>HYPERLINK("http://nsgreg.nga.mil/genc/view?v=867683&amp;end_month=12&amp;end_day=31&amp;end_year=2016","Correlation")</f>
        <v>Correlation</v>
      </c>
    </row>
    <row r="133" spans="1:13" x14ac:dyDescent="0.2">
      <c r="A133" s="113"/>
      <c r="B133" s="58" t="s">
        <v>1682</v>
      </c>
      <c r="C133" s="58" t="s">
        <v>1413</v>
      </c>
      <c r="D133" s="58" t="s">
        <v>1683</v>
      </c>
      <c r="E133" s="60" t="b">
        <v>1</v>
      </c>
      <c r="F133" s="80" t="s">
        <v>202</v>
      </c>
      <c r="G133" s="58" t="s">
        <v>1682</v>
      </c>
      <c r="H133" s="58" t="s">
        <v>1413</v>
      </c>
      <c r="I133" s="64" t="s">
        <v>1683</v>
      </c>
      <c r="J133" s="66"/>
      <c r="K133" s="66"/>
      <c r="L133" s="68"/>
      <c r="M133" s="63" t="str">
        <f>HYPERLINK("http://nsgreg.nga.mil/genc/view?v=867691&amp;end_month=12&amp;end_day=31&amp;end_year=2016","Correlation")</f>
        <v>Correlation</v>
      </c>
    </row>
    <row r="134" spans="1:13" x14ac:dyDescent="0.2">
      <c r="A134" s="113"/>
      <c r="B134" s="58" t="s">
        <v>1684</v>
      </c>
      <c r="C134" s="58" t="s">
        <v>1413</v>
      </c>
      <c r="D134" s="58" t="s">
        <v>1685</v>
      </c>
      <c r="E134" s="60" t="b">
        <v>1</v>
      </c>
      <c r="F134" s="80" t="s">
        <v>202</v>
      </c>
      <c r="G134" s="58" t="s">
        <v>1684</v>
      </c>
      <c r="H134" s="58" t="s">
        <v>1413</v>
      </c>
      <c r="I134" s="64" t="s">
        <v>1685</v>
      </c>
      <c r="J134" s="66"/>
      <c r="K134" s="66"/>
      <c r="L134" s="68"/>
      <c r="M134" s="63" t="str">
        <f>HYPERLINK("http://nsgreg.nga.mil/genc/view?v=867689&amp;end_month=12&amp;end_day=31&amp;end_year=2016","Correlation")</f>
        <v>Correlation</v>
      </c>
    </row>
    <row r="135" spans="1:13" x14ac:dyDescent="0.2">
      <c r="A135" s="113"/>
      <c r="B135" s="58" t="s">
        <v>1686</v>
      </c>
      <c r="C135" s="58" t="s">
        <v>1413</v>
      </c>
      <c r="D135" s="58" t="s">
        <v>1687</v>
      </c>
      <c r="E135" s="60" t="b">
        <v>1</v>
      </c>
      <c r="F135" s="80" t="s">
        <v>202</v>
      </c>
      <c r="G135" s="58" t="s">
        <v>1686</v>
      </c>
      <c r="H135" s="58" t="s">
        <v>1413</v>
      </c>
      <c r="I135" s="64" t="s">
        <v>1687</v>
      </c>
      <c r="J135" s="66"/>
      <c r="K135" s="66"/>
      <c r="L135" s="68"/>
      <c r="M135" s="63" t="str">
        <f>HYPERLINK("http://nsgreg.nga.mil/genc/view?v=867700&amp;end_month=12&amp;end_day=31&amp;end_year=2016","Correlation")</f>
        <v>Correlation</v>
      </c>
    </row>
    <row r="136" spans="1:13" x14ac:dyDescent="0.2">
      <c r="A136" s="113"/>
      <c r="B136" s="58" t="s">
        <v>1680</v>
      </c>
      <c r="C136" s="58" t="s">
        <v>1681</v>
      </c>
      <c r="D136" s="58" t="s">
        <v>1679</v>
      </c>
      <c r="E136" s="60" t="b">
        <v>1</v>
      </c>
      <c r="F136" s="80" t="s">
        <v>202</v>
      </c>
      <c r="G136" s="58" t="s">
        <v>1677</v>
      </c>
      <c r="H136" s="58" t="s">
        <v>1678</v>
      </c>
      <c r="I136" s="64" t="s">
        <v>1679</v>
      </c>
      <c r="J136" s="66"/>
      <c r="K136" s="66"/>
      <c r="L136" s="68"/>
      <c r="M136" s="63" t="str">
        <f>HYPERLINK("http://nsgreg.nga.mil/genc/view?v=867684&amp;end_month=12&amp;end_day=31&amp;end_year=2016","Correlation")</f>
        <v>Correlation</v>
      </c>
    </row>
    <row r="137" spans="1:13" x14ac:dyDescent="0.2">
      <c r="A137" s="113"/>
      <c r="B137" s="58" t="s">
        <v>1688</v>
      </c>
      <c r="C137" s="58" t="s">
        <v>1413</v>
      </c>
      <c r="D137" s="58" t="s">
        <v>1689</v>
      </c>
      <c r="E137" s="60" t="b">
        <v>1</v>
      </c>
      <c r="F137" s="80" t="s">
        <v>202</v>
      </c>
      <c r="G137" s="58" t="s">
        <v>1688</v>
      </c>
      <c r="H137" s="58" t="s">
        <v>1413</v>
      </c>
      <c r="I137" s="64" t="s">
        <v>1689</v>
      </c>
      <c r="J137" s="66"/>
      <c r="K137" s="66"/>
      <c r="L137" s="68"/>
      <c r="M137" s="63" t="str">
        <f>HYPERLINK("http://nsgreg.nga.mil/genc/view?v=867703&amp;end_month=12&amp;end_day=31&amp;end_year=2016","Correlation")</f>
        <v>Correlation</v>
      </c>
    </row>
    <row r="138" spans="1:13" x14ac:dyDescent="0.2">
      <c r="A138" s="113"/>
      <c r="B138" s="58" t="s">
        <v>1690</v>
      </c>
      <c r="C138" s="58" t="s">
        <v>1413</v>
      </c>
      <c r="D138" s="58" t="s">
        <v>1691</v>
      </c>
      <c r="E138" s="60" t="b">
        <v>1</v>
      </c>
      <c r="F138" s="80" t="s">
        <v>202</v>
      </c>
      <c r="G138" s="58" t="s">
        <v>1690</v>
      </c>
      <c r="H138" s="58" t="s">
        <v>1413</v>
      </c>
      <c r="I138" s="64" t="s">
        <v>1691</v>
      </c>
      <c r="J138" s="66"/>
      <c r="K138" s="66"/>
      <c r="L138" s="68"/>
      <c r="M138" s="63" t="str">
        <f>HYPERLINK("http://nsgreg.nga.mil/genc/view?v=867702&amp;end_month=12&amp;end_day=31&amp;end_year=2016","Correlation")</f>
        <v>Correlation</v>
      </c>
    </row>
    <row r="139" spans="1:13" x14ac:dyDescent="0.2">
      <c r="A139" s="113"/>
      <c r="B139" s="58" t="s">
        <v>1692</v>
      </c>
      <c r="C139" s="58" t="s">
        <v>1413</v>
      </c>
      <c r="D139" s="58" t="s">
        <v>1693</v>
      </c>
      <c r="E139" s="60" t="b">
        <v>1</v>
      </c>
      <c r="F139" s="80" t="s">
        <v>202</v>
      </c>
      <c r="G139" s="58" t="s">
        <v>1692</v>
      </c>
      <c r="H139" s="58" t="s">
        <v>1413</v>
      </c>
      <c r="I139" s="64" t="s">
        <v>1693</v>
      </c>
      <c r="J139" s="66"/>
      <c r="K139" s="66"/>
      <c r="L139" s="68"/>
      <c r="M139" s="63" t="str">
        <f>HYPERLINK("http://nsgreg.nga.mil/genc/view?v=867686&amp;end_month=12&amp;end_day=31&amp;end_year=2016","Correlation")</f>
        <v>Correlation</v>
      </c>
    </row>
    <row r="140" spans="1:13" x14ac:dyDescent="0.2">
      <c r="A140" s="113"/>
      <c r="B140" s="58" t="s">
        <v>1694</v>
      </c>
      <c r="C140" s="58" t="s">
        <v>1413</v>
      </c>
      <c r="D140" s="58" t="s">
        <v>1695</v>
      </c>
      <c r="E140" s="60" t="b">
        <v>1</v>
      </c>
      <c r="F140" s="80" t="s">
        <v>202</v>
      </c>
      <c r="G140" s="58" t="s">
        <v>1694</v>
      </c>
      <c r="H140" s="58" t="s">
        <v>1413</v>
      </c>
      <c r="I140" s="64" t="s">
        <v>1695</v>
      </c>
      <c r="J140" s="66"/>
      <c r="K140" s="66"/>
      <c r="L140" s="68"/>
      <c r="M140" s="63" t="str">
        <f>HYPERLINK("http://nsgreg.nga.mil/genc/view?v=867695&amp;end_month=12&amp;end_day=31&amp;end_year=2016","Correlation")</f>
        <v>Correlation</v>
      </c>
    </row>
    <row r="141" spans="1:13" x14ac:dyDescent="0.2">
      <c r="A141" s="113"/>
      <c r="B141" s="58" t="s">
        <v>1696</v>
      </c>
      <c r="C141" s="58" t="s">
        <v>1413</v>
      </c>
      <c r="D141" s="58" t="s">
        <v>1697</v>
      </c>
      <c r="E141" s="60" t="b">
        <v>1</v>
      </c>
      <c r="F141" s="80" t="s">
        <v>202</v>
      </c>
      <c r="G141" s="58" t="s">
        <v>1696</v>
      </c>
      <c r="H141" s="58" t="s">
        <v>1413</v>
      </c>
      <c r="I141" s="64" t="s">
        <v>1697</v>
      </c>
      <c r="J141" s="66"/>
      <c r="K141" s="66"/>
      <c r="L141" s="68"/>
      <c r="M141" s="63" t="str">
        <f>HYPERLINK("http://nsgreg.nga.mil/genc/view?v=867704&amp;end_month=12&amp;end_day=31&amp;end_year=2016","Correlation")</f>
        <v>Correlation</v>
      </c>
    </row>
    <row r="142" spans="1:13" x14ac:dyDescent="0.2">
      <c r="A142" s="113"/>
      <c r="B142" s="58" t="s">
        <v>1698</v>
      </c>
      <c r="C142" s="58" t="s">
        <v>1413</v>
      </c>
      <c r="D142" s="58" t="s">
        <v>1699</v>
      </c>
      <c r="E142" s="60" t="b">
        <v>1</v>
      </c>
      <c r="F142" s="80" t="s">
        <v>202</v>
      </c>
      <c r="G142" s="58" t="s">
        <v>1698</v>
      </c>
      <c r="H142" s="58" t="s">
        <v>1413</v>
      </c>
      <c r="I142" s="64" t="s">
        <v>1699</v>
      </c>
      <c r="J142" s="66"/>
      <c r="K142" s="66"/>
      <c r="L142" s="68"/>
      <c r="M142" s="63" t="str">
        <f>HYPERLINK("http://nsgreg.nga.mil/genc/view?v=867692&amp;end_month=12&amp;end_day=31&amp;end_year=2016","Correlation")</f>
        <v>Correlation</v>
      </c>
    </row>
    <row r="143" spans="1:13" x14ac:dyDescent="0.2">
      <c r="A143" s="113"/>
      <c r="B143" s="58" t="s">
        <v>1700</v>
      </c>
      <c r="C143" s="58" t="s">
        <v>1413</v>
      </c>
      <c r="D143" s="58" t="s">
        <v>1701</v>
      </c>
      <c r="E143" s="60" t="b">
        <v>1</v>
      </c>
      <c r="F143" s="80" t="s">
        <v>202</v>
      </c>
      <c r="G143" s="58" t="s">
        <v>1700</v>
      </c>
      <c r="H143" s="58" t="s">
        <v>1413</v>
      </c>
      <c r="I143" s="64" t="s">
        <v>1701</v>
      </c>
      <c r="J143" s="66"/>
      <c r="K143" s="66"/>
      <c r="L143" s="68"/>
      <c r="M143" s="63" t="str">
        <f>HYPERLINK("http://nsgreg.nga.mil/genc/view?v=867687&amp;end_month=12&amp;end_day=31&amp;end_year=2016","Correlation")</f>
        <v>Correlation</v>
      </c>
    </row>
    <row r="144" spans="1:13" x14ac:dyDescent="0.2">
      <c r="A144" s="113"/>
      <c r="B144" s="58" t="s">
        <v>1702</v>
      </c>
      <c r="C144" s="58" t="s">
        <v>1413</v>
      </c>
      <c r="D144" s="58" t="s">
        <v>1703</v>
      </c>
      <c r="E144" s="60" t="b">
        <v>1</v>
      </c>
      <c r="F144" s="80" t="s">
        <v>202</v>
      </c>
      <c r="G144" s="58" t="s">
        <v>1702</v>
      </c>
      <c r="H144" s="58" t="s">
        <v>1413</v>
      </c>
      <c r="I144" s="64" t="s">
        <v>1703</v>
      </c>
      <c r="J144" s="66"/>
      <c r="K144" s="66"/>
      <c r="L144" s="68"/>
      <c r="M144" s="63" t="str">
        <f>HYPERLINK("http://nsgreg.nga.mil/genc/view?v=867693&amp;end_month=12&amp;end_day=31&amp;end_year=2016","Correlation")</f>
        <v>Correlation</v>
      </c>
    </row>
    <row r="145" spans="1:13" x14ac:dyDescent="0.2">
      <c r="A145" s="113"/>
      <c r="B145" s="58" t="s">
        <v>1704</v>
      </c>
      <c r="C145" s="58" t="s">
        <v>1413</v>
      </c>
      <c r="D145" s="58" t="s">
        <v>1705</v>
      </c>
      <c r="E145" s="60" t="b">
        <v>1</v>
      </c>
      <c r="F145" s="80" t="s">
        <v>202</v>
      </c>
      <c r="G145" s="58" t="s">
        <v>1704</v>
      </c>
      <c r="H145" s="58" t="s">
        <v>1413</v>
      </c>
      <c r="I145" s="64" t="s">
        <v>1705</v>
      </c>
      <c r="J145" s="66"/>
      <c r="K145" s="66"/>
      <c r="L145" s="68"/>
      <c r="M145" s="63" t="str">
        <f>HYPERLINK("http://nsgreg.nga.mil/genc/view?v=867694&amp;end_month=12&amp;end_day=31&amp;end_year=2016","Correlation")</f>
        <v>Correlation</v>
      </c>
    </row>
    <row r="146" spans="1:13" x14ac:dyDescent="0.2">
      <c r="A146" s="113"/>
      <c r="B146" s="58" t="s">
        <v>1706</v>
      </c>
      <c r="C146" s="58" t="s">
        <v>1413</v>
      </c>
      <c r="D146" s="58" t="s">
        <v>1707</v>
      </c>
      <c r="E146" s="60" t="b">
        <v>1</v>
      </c>
      <c r="F146" s="80" t="s">
        <v>202</v>
      </c>
      <c r="G146" s="58" t="s">
        <v>1706</v>
      </c>
      <c r="H146" s="58" t="s">
        <v>1413</v>
      </c>
      <c r="I146" s="64" t="s">
        <v>1707</v>
      </c>
      <c r="J146" s="66"/>
      <c r="K146" s="66"/>
      <c r="L146" s="68"/>
      <c r="M146" s="63" t="str">
        <f>HYPERLINK("http://nsgreg.nga.mil/genc/view?v=867696&amp;end_month=12&amp;end_day=31&amp;end_year=2016","Correlation")</f>
        <v>Correlation</v>
      </c>
    </row>
    <row r="147" spans="1:13" x14ac:dyDescent="0.2">
      <c r="A147" s="113"/>
      <c r="B147" s="58" t="s">
        <v>1708</v>
      </c>
      <c r="C147" s="58" t="s">
        <v>1413</v>
      </c>
      <c r="D147" s="58" t="s">
        <v>1709</v>
      </c>
      <c r="E147" s="60" t="b">
        <v>1</v>
      </c>
      <c r="F147" s="80" t="s">
        <v>202</v>
      </c>
      <c r="G147" s="58" t="s">
        <v>1708</v>
      </c>
      <c r="H147" s="58" t="s">
        <v>1413</v>
      </c>
      <c r="I147" s="64" t="s">
        <v>1709</v>
      </c>
      <c r="J147" s="66"/>
      <c r="K147" s="66"/>
      <c r="L147" s="68"/>
      <c r="M147" s="63" t="str">
        <f>HYPERLINK("http://nsgreg.nga.mil/genc/view?v=867697&amp;end_month=12&amp;end_day=31&amp;end_year=2016","Correlation")</f>
        <v>Correlation</v>
      </c>
    </row>
    <row r="148" spans="1:13" x14ac:dyDescent="0.2">
      <c r="A148" s="113"/>
      <c r="B148" s="58" t="s">
        <v>1710</v>
      </c>
      <c r="C148" s="58" t="s">
        <v>1413</v>
      </c>
      <c r="D148" s="58" t="s">
        <v>1711</v>
      </c>
      <c r="E148" s="60" t="b">
        <v>1</v>
      </c>
      <c r="F148" s="80" t="s">
        <v>202</v>
      </c>
      <c r="G148" s="58" t="s">
        <v>1710</v>
      </c>
      <c r="H148" s="58" t="s">
        <v>1413</v>
      </c>
      <c r="I148" s="64" t="s">
        <v>1711</v>
      </c>
      <c r="J148" s="66"/>
      <c r="K148" s="66"/>
      <c r="L148" s="68"/>
      <c r="M148" s="63" t="str">
        <f>HYPERLINK("http://nsgreg.nga.mil/genc/view?v=867682&amp;end_month=12&amp;end_day=31&amp;end_year=2016","Correlation")</f>
        <v>Correlation</v>
      </c>
    </row>
    <row r="149" spans="1:13" x14ac:dyDescent="0.2">
      <c r="A149" s="113"/>
      <c r="B149" s="58" t="s">
        <v>1712</v>
      </c>
      <c r="C149" s="58" t="s">
        <v>1413</v>
      </c>
      <c r="D149" s="58" t="s">
        <v>1713</v>
      </c>
      <c r="E149" s="60" t="b">
        <v>1</v>
      </c>
      <c r="F149" s="80" t="s">
        <v>202</v>
      </c>
      <c r="G149" s="58" t="s">
        <v>1712</v>
      </c>
      <c r="H149" s="58" t="s">
        <v>1413</v>
      </c>
      <c r="I149" s="64" t="s">
        <v>1713</v>
      </c>
      <c r="J149" s="66"/>
      <c r="K149" s="66"/>
      <c r="L149" s="68"/>
      <c r="M149" s="63" t="str">
        <f>HYPERLINK("http://nsgreg.nga.mil/genc/view?v=867690&amp;end_month=12&amp;end_day=31&amp;end_year=2016","Correlation")</f>
        <v>Correlation</v>
      </c>
    </row>
    <row r="150" spans="1:13" x14ac:dyDescent="0.2">
      <c r="A150" s="113"/>
      <c r="B150" s="58" t="s">
        <v>1714</v>
      </c>
      <c r="C150" s="58" t="s">
        <v>1413</v>
      </c>
      <c r="D150" s="58" t="s">
        <v>1715</v>
      </c>
      <c r="E150" s="60" t="b">
        <v>1</v>
      </c>
      <c r="F150" s="80" t="s">
        <v>202</v>
      </c>
      <c r="G150" s="58" t="s">
        <v>1714</v>
      </c>
      <c r="H150" s="58" t="s">
        <v>1413</v>
      </c>
      <c r="I150" s="64" t="s">
        <v>1715</v>
      </c>
      <c r="J150" s="66"/>
      <c r="K150" s="66"/>
      <c r="L150" s="68"/>
      <c r="M150" s="63" t="str">
        <f>HYPERLINK("http://nsgreg.nga.mil/genc/view?v=867685&amp;end_month=12&amp;end_day=31&amp;end_year=2016","Correlation")</f>
        <v>Correlation</v>
      </c>
    </row>
    <row r="151" spans="1:13" x14ac:dyDescent="0.2">
      <c r="A151" s="113"/>
      <c r="B151" s="58" t="s">
        <v>1716</v>
      </c>
      <c r="C151" s="58" t="s">
        <v>1413</v>
      </c>
      <c r="D151" s="58" t="s">
        <v>1717</v>
      </c>
      <c r="E151" s="60" t="b">
        <v>1</v>
      </c>
      <c r="F151" s="80" t="s">
        <v>202</v>
      </c>
      <c r="G151" s="58" t="s">
        <v>1716</v>
      </c>
      <c r="H151" s="58" t="s">
        <v>1413</v>
      </c>
      <c r="I151" s="64" t="s">
        <v>1717</v>
      </c>
      <c r="J151" s="66"/>
      <c r="K151" s="66"/>
      <c r="L151" s="68"/>
      <c r="M151" s="63" t="str">
        <f>HYPERLINK("http://nsgreg.nga.mil/genc/view?v=867705&amp;end_month=12&amp;end_day=31&amp;end_year=2016","Correlation")</f>
        <v>Correlation</v>
      </c>
    </row>
    <row r="152" spans="1:13" x14ac:dyDescent="0.2">
      <c r="A152" s="113"/>
      <c r="B152" s="58" t="s">
        <v>1718</v>
      </c>
      <c r="C152" s="58" t="s">
        <v>1413</v>
      </c>
      <c r="D152" s="58" t="s">
        <v>1719</v>
      </c>
      <c r="E152" s="60" t="b">
        <v>1</v>
      </c>
      <c r="F152" s="80" t="s">
        <v>202</v>
      </c>
      <c r="G152" s="58" t="s">
        <v>1718</v>
      </c>
      <c r="H152" s="58" t="s">
        <v>1413</v>
      </c>
      <c r="I152" s="64" t="s">
        <v>1719</v>
      </c>
      <c r="J152" s="66"/>
      <c r="K152" s="66"/>
      <c r="L152" s="68"/>
      <c r="M152" s="63" t="str">
        <f>HYPERLINK("http://nsgreg.nga.mil/genc/view?v=867698&amp;end_month=12&amp;end_day=31&amp;end_year=2016","Correlation")</f>
        <v>Correlation</v>
      </c>
    </row>
    <row r="153" spans="1:13" x14ac:dyDescent="0.2">
      <c r="A153" s="113"/>
      <c r="B153" s="58" t="s">
        <v>1720</v>
      </c>
      <c r="C153" s="58" t="s">
        <v>1413</v>
      </c>
      <c r="D153" s="58" t="s">
        <v>1721</v>
      </c>
      <c r="E153" s="60" t="b">
        <v>1</v>
      </c>
      <c r="F153" s="80" t="s">
        <v>202</v>
      </c>
      <c r="G153" s="58" t="s">
        <v>1720</v>
      </c>
      <c r="H153" s="58" t="s">
        <v>1413</v>
      </c>
      <c r="I153" s="64" t="s">
        <v>1721</v>
      </c>
      <c r="J153" s="66"/>
      <c r="K153" s="66"/>
      <c r="L153" s="68"/>
      <c r="M153" s="63" t="str">
        <f>HYPERLINK("http://nsgreg.nga.mil/genc/view?v=867688&amp;end_month=12&amp;end_day=31&amp;end_year=2016","Correlation")</f>
        <v>Correlation</v>
      </c>
    </row>
    <row r="154" spans="1:13" x14ac:dyDescent="0.2">
      <c r="A154" s="113"/>
      <c r="B154" s="58" t="s">
        <v>1724</v>
      </c>
      <c r="C154" s="58" t="s">
        <v>1413</v>
      </c>
      <c r="D154" s="58" t="s">
        <v>1723</v>
      </c>
      <c r="E154" s="60" t="b">
        <v>1</v>
      </c>
      <c r="F154" s="80" t="s">
        <v>202</v>
      </c>
      <c r="G154" s="58" t="s">
        <v>1722</v>
      </c>
      <c r="H154" s="58" t="s">
        <v>1413</v>
      </c>
      <c r="I154" s="64" t="s">
        <v>1723</v>
      </c>
      <c r="J154" s="66"/>
      <c r="K154" s="66"/>
      <c r="L154" s="68"/>
      <c r="M154" s="63" t="str">
        <f>HYPERLINK("http://nsgreg.nga.mil/genc/view?v=867701&amp;end_month=12&amp;end_day=31&amp;end_year=2016","Correlation")</f>
        <v>Correlation</v>
      </c>
    </row>
    <row r="155" spans="1:13" x14ac:dyDescent="0.2">
      <c r="A155" s="114"/>
      <c r="B155" s="71" t="s">
        <v>1725</v>
      </c>
      <c r="C155" s="71" t="s">
        <v>1413</v>
      </c>
      <c r="D155" s="71" t="s">
        <v>1726</v>
      </c>
      <c r="E155" s="73" t="b">
        <v>1</v>
      </c>
      <c r="F155" s="81" t="s">
        <v>202</v>
      </c>
      <c r="G155" s="71" t="s">
        <v>1725</v>
      </c>
      <c r="H155" s="71" t="s">
        <v>1413</v>
      </c>
      <c r="I155" s="74" t="s">
        <v>1726</v>
      </c>
      <c r="J155" s="76"/>
      <c r="K155" s="76"/>
      <c r="L155" s="82"/>
      <c r="M155" s="77" t="str">
        <f>HYPERLINK("http://nsgreg.nga.mil/genc/view?v=867699&amp;end_month=12&amp;end_day=31&amp;end_year=2016","Correlation")</f>
        <v>Correlation</v>
      </c>
    </row>
    <row r="156" spans="1:13" x14ac:dyDescent="0.2">
      <c r="A156" s="112" t="s">
        <v>206</v>
      </c>
      <c r="B156" s="50" t="s">
        <v>1730</v>
      </c>
      <c r="C156" s="50" t="s">
        <v>1728</v>
      </c>
      <c r="D156" s="50" t="s">
        <v>1729</v>
      </c>
      <c r="E156" s="52" t="b">
        <v>1</v>
      </c>
      <c r="F156" s="78" t="s">
        <v>206</v>
      </c>
      <c r="G156" s="50" t="s">
        <v>1727</v>
      </c>
      <c r="H156" s="50" t="s">
        <v>1728</v>
      </c>
      <c r="I156" s="53" t="s">
        <v>1729</v>
      </c>
      <c r="J156" s="55"/>
      <c r="K156" s="55"/>
      <c r="L156" s="79"/>
      <c r="M156" s="56" t="str">
        <f>HYPERLINK("http://nsgreg.nga.mil/genc/view?v=867653&amp;end_month=12&amp;end_day=31&amp;end_year=2016","Correlation")</f>
        <v>Correlation</v>
      </c>
    </row>
    <row r="157" spans="1:13" x14ac:dyDescent="0.2">
      <c r="A157" s="113"/>
      <c r="B157" s="58" t="s">
        <v>1731</v>
      </c>
      <c r="C157" s="58" t="s">
        <v>1728</v>
      </c>
      <c r="D157" s="58" t="s">
        <v>1732</v>
      </c>
      <c r="E157" s="60" t="b">
        <v>1</v>
      </c>
      <c r="F157" s="80" t="s">
        <v>206</v>
      </c>
      <c r="G157" s="58" t="s">
        <v>1731</v>
      </c>
      <c r="H157" s="58" t="s">
        <v>1728</v>
      </c>
      <c r="I157" s="64" t="s">
        <v>1732</v>
      </c>
      <c r="J157" s="66"/>
      <c r="K157" s="66"/>
      <c r="L157" s="68"/>
      <c r="M157" s="63" t="str">
        <f>HYPERLINK("http://nsgreg.nga.mil/genc/view?v=867654&amp;end_month=12&amp;end_day=31&amp;end_year=2016","Correlation")</f>
        <v>Correlation</v>
      </c>
    </row>
    <row r="158" spans="1:13" x14ac:dyDescent="0.2">
      <c r="A158" s="113"/>
      <c r="B158" s="58" t="s">
        <v>1733</v>
      </c>
      <c r="C158" s="58" t="s">
        <v>1728</v>
      </c>
      <c r="D158" s="58" t="s">
        <v>1734</v>
      </c>
      <c r="E158" s="60" t="b">
        <v>1</v>
      </c>
      <c r="F158" s="80" t="s">
        <v>206</v>
      </c>
      <c r="G158" s="58" t="s">
        <v>1733</v>
      </c>
      <c r="H158" s="58" t="s">
        <v>1728</v>
      </c>
      <c r="I158" s="64" t="s">
        <v>1734</v>
      </c>
      <c r="J158" s="66"/>
      <c r="K158" s="66"/>
      <c r="L158" s="68"/>
      <c r="M158" s="63" t="str">
        <f>HYPERLINK("http://nsgreg.nga.mil/genc/view?v=867655&amp;end_month=12&amp;end_day=31&amp;end_year=2016","Correlation")</f>
        <v>Correlation</v>
      </c>
    </row>
    <row r="159" spans="1:13" x14ac:dyDescent="0.2">
      <c r="A159" s="113"/>
      <c r="B159" s="58" t="s">
        <v>1758</v>
      </c>
      <c r="C159" s="58" t="s">
        <v>1681</v>
      </c>
      <c r="D159" s="58" t="s">
        <v>1757</v>
      </c>
      <c r="E159" s="60" t="b">
        <v>1</v>
      </c>
      <c r="F159" s="80" t="s">
        <v>206</v>
      </c>
      <c r="G159" s="58" t="s">
        <v>1756</v>
      </c>
      <c r="H159" s="58" t="s">
        <v>1681</v>
      </c>
      <c r="I159" s="64" t="s">
        <v>1757</v>
      </c>
      <c r="J159" s="66"/>
      <c r="K159" s="66"/>
      <c r="L159" s="68"/>
      <c r="M159" s="63" t="str">
        <f>HYPERLINK("http://nsgreg.nga.mil/genc/view?v=867656&amp;end_month=12&amp;end_day=31&amp;end_year=2016","Correlation")</f>
        <v>Correlation</v>
      </c>
    </row>
    <row r="160" spans="1:13" x14ac:dyDescent="0.2">
      <c r="A160" s="113"/>
      <c r="B160" s="58" t="s">
        <v>1737</v>
      </c>
      <c r="C160" s="58" t="s">
        <v>1728</v>
      </c>
      <c r="D160" s="58" t="s">
        <v>1736</v>
      </c>
      <c r="E160" s="60" t="b">
        <v>1</v>
      </c>
      <c r="F160" s="80" t="s">
        <v>206</v>
      </c>
      <c r="G160" s="58" t="s">
        <v>1735</v>
      </c>
      <c r="H160" s="58" t="s">
        <v>1728</v>
      </c>
      <c r="I160" s="64" t="s">
        <v>1736</v>
      </c>
      <c r="J160" s="66"/>
      <c r="K160" s="66"/>
      <c r="L160" s="68"/>
      <c r="M160" s="63" t="str">
        <f>HYPERLINK("http://nsgreg.nga.mil/genc/view?v=867657&amp;end_month=12&amp;end_day=31&amp;end_year=2016","Correlation")</f>
        <v>Correlation</v>
      </c>
    </row>
    <row r="161" spans="1:13" x14ac:dyDescent="0.2">
      <c r="A161" s="113"/>
      <c r="B161" s="58" t="s">
        <v>1740</v>
      </c>
      <c r="C161" s="58" t="s">
        <v>1728</v>
      </c>
      <c r="D161" s="58" t="s">
        <v>1739</v>
      </c>
      <c r="E161" s="60" t="b">
        <v>1</v>
      </c>
      <c r="F161" s="80" t="s">
        <v>206</v>
      </c>
      <c r="G161" s="58" t="s">
        <v>1738</v>
      </c>
      <c r="H161" s="58" t="s">
        <v>1728</v>
      </c>
      <c r="I161" s="64" t="s">
        <v>1739</v>
      </c>
      <c r="J161" s="66"/>
      <c r="K161" s="66"/>
      <c r="L161" s="68"/>
      <c r="M161" s="63" t="str">
        <f>HYPERLINK("http://nsgreg.nga.mil/genc/view?v=867658&amp;end_month=12&amp;end_day=31&amp;end_year=2016","Correlation")</f>
        <v>Correlation</v>
      </c>
    </row>
    <row r="162" spans="1:13" x14ac:dyDescent="0.2">
      <c r="A162" s="113"/>
      <c r="B162" s="58" t="s">
        <v>1743</v>
      </c>
      <c r="C162" s="58" t="s">
        <v>1728</v>
      </c>
      <c r="D162" s="58" t="s">
        <v>1742</v>
      </c>
      <c r="E162" s="60" t="b">
        <v>1</v>
      </c>
      <c r="F162" s="80" t="s">
        <v>206</v>
      </c>
      <c r="G162" s="58" t="s">
        <v>1741</v>
      </c>
      <c r="H162" s="58" t="s">
        <v>1728</v>
      </c>
      <c r="I162" s="64" t="s">
        <v>1742</v>
      </c>
      <c r="J162" s="66"/>
      <c r="K162" s="66"/>
      <c r="L162" s="68"/>
      <c r="M162" s="63" t="str">
        <f>HYPERLINK("http://nsgreg.nga.mil/genc/view?v=867659&amp;end_month=12&amp;end_day=31&amp;end_year=2016","Correlation")</f>
        <v>Correlation</v>
      </c>
    </row>
    <row r="163" spans="1:13" x14ac:dyDescent="0.2">
      <c r="A163" s="113"/>
      <c r="B163" s="58" t="s">
        <v>1746</v>
      </c>
      <c r="C163" s="58" t="s">
        <v>1728</v>
      </c>
      <c r="D163" s="58" t="s">
        <v>1745</v>
      </c>
      <c r="E163" s="60" t="b">
        <v>1</v>
      </c>
      <c r="F163" s="80" t="s">
        <v>206</v>
      </c>
      <c r="G163" s="58" t="s">
        <v>1744</v>
      </c>
      <c r="H163" s="58" t="s">
        <v>1728</v>
      </c>
      <c r="I163" s="64" t="s">
        <v>1745</v>
      </c>
      <c r="J163" s="66"/>
      <c r="K163" s="66"/>
      <c r="L163" s="68"/>
      <c r="M163" s="63" t="str">
        <f>HYPERLINK("http://nsgreg.nga.mil/genc/view?v=867660&amp;end_month=12&amp;end_day=31&amp;end_year=2016","Correlation")</f>
        <v>Correlation</v>
      </c>
    </row>
    <row r="164" spans="1:13" x14ac:dyDescent="0.2">
      <c r="A164" s="113"/>
      <c r="B164" s="58" t="s">
        <v>1749</v>
      </c>
      <c r="C164" s="58" t="s">
        <v>1728</v>
      </c>
      <c r="D164" s="58" t="s">
        <v>1748</v>
      </c>
      <c r="E164" s="60" t="b">
        <v>1</v>
      </c>
      <c r="F164" s="80" t="s">
        <v>206</v>
      </c>
      <c r="G164" s="58" t="s">
        <v>1747</v>
      </c>
      <c r="H164" s="58" t="s">
        <v>1728</v>
      </c>
      <c r="I164" s="64" t="s">
        <v>1748</v>
      </c>
      <c r="J164" s="66"/>
      <c r="K164" s="66"/>
      <c r="L164" s="68"/>
      <c r="M164" s="63" t="str">
        <f>HYPERLINK("http://nsgreg.nga.mil/genc/view?v=867661&amp;end_month=12&amp;end_day=31&amp;end_year=2016","Correlation")</f>
        <v>Correlation</v>
      </c>
    </row>
    <row r="165" spans="1:13" x14ac:dyDescent="0.2">
      <c r="A165" s="113"/>
      <c r="B165" s="58" t="s">
        <v>1752</v>
      </c>
      <c r="C165" s="58" t="s">
        <v>1728</v>
      </c>
      <c r="D165" s="58" t="s">
        <v>1751</v>
      </c>
      <c r="E165" s="60" t="b">
        <v>1</v>
      </c>
      <c r="F165" s="80" t="s">
        <v>206</v>
      </c>
      <c r="G165" s="58" t="s">
        <v>1750</v>
      </c>
      <c r="H165" s="58" t="s">
        <v>1728</v>
      </c>
      <c r="I165" s="64" t="s">
        <v>1751</v>
      </c>
      <c r="J165" s="66"/>
      <c r="K165" s="66"/>
      <c r="L165" s="68"/>
      <c r="M165" s="63" t="str">
        <f>HYPERLINK("http://nsgreg.nga.mil/genc/view?v=867662&amp;end_month=12&amp;end_day=31&amp;end_year=2016","Correlation")</f>
        <v>Correlation</v>
      </c>
    </row>
    <row r="166" spans="1:13" x14ac:dyDescent="0.2">
      <c r="A166" s="114"/>
      <c r="B166" s="71" t="s">
        <v>1755</v>
      </c>
      <c r="C166" s="71" t="s">
        <v>1728</v>
      </c>
      <c r="D166" s="71" t="s">
        <v>1754</v>
      </c>
      <c r="E166" s="73" t="b">
        <v>1</v>
      </c>
      <c r="F166" s="81" t="s">
        <v>206</v>
      </c>
      <c r="G166" s="71" t="s">
        <v>1753</v>
      </c>
      <c r="H166" s="71" t="s">
        <v>1728</v>
      </c>
      <c r="I166" s="74" t="s">
        <v>1754</v>
      </c>
      <c r="J166" s="76"/>
      <c r="K166" s="76"/>
      <c r="L166" s="82"/>
      <c r="M166" s="77" t="str">
        <f>HYPERLINK("http://nsgreg.nga.mil/genc/view?v=867663&amp;end_month=12&amp;end_day=31&amp;end_year=2016","Correlation")</f>
        <v>Correlation</v>
      </c>
    </row>
    <row r="167" spans="1:13" x14ac:dyDescent="0.2">
      <c r="A167" s="112" t="s">
        <v>220</v>
      </c>
      <c r="B167" s="50" t="s">
        <v>1759</v>
      </c>
      <c r="C167" s="50" t="s">
        <v>1760</v>
      </c>
      <c r="D167" s="50" t="s">
        <v>1761</v>
      </c>
      <c r="E167" s="52" t="b">
        <v>1</v>
      </c>
      <c r="F167" s="78" t="s">
        <v>220</v>
      </c>
      <c r="G167" s="50" t="s">
        <v>1759</v>
      </c>
      <c r="H167" s="50" t="s">
        <v>1760</v>
      </c>
      <c r="I167" s="53" t="s">
        <v>1761</v>
      </c>
      <c r="J167" s="55"/>
      <c r="K167" s="55"/>
      <c r="L167" s="79"/>
      <c r="M167" s="56" t="str">
        <f>HYPERLINK("http://nsgreg.nga.mil/genc/view?v=867715&amp;end_month=12&amp;end_day=31&amp;end_year=2016","Correlation")</f>
        <v>Correlation</v>
      </c>
    </row>
    <row r="168" spans="1:13" x14ac:dyDescent="0.2">
      <c r="A168" s="113"/>
      <c r="B168" s="58" t="s">
        <v>1762</v>
      </c>
      <c r="C168" s="58" t="s">
        <v>1763</v>
      </c>
      <c r="D168" s="58" t="s">
        <v>1764</v>
      </c>
      <c r="E168" s="60" t="b">
        <v>1</v>
      </c>
      <c r="F168" s="80" t="s">
        <v>220</v>
      </c>
      <c r="G168" s="58" t="s">
        <v>1762</v>
      </c>
      <c r="H168" s="58" t="s">
        <v>1763</v>
      </c>
      <c r="I168" s="64" t="s">
        <v>1764</v>
      </c>
      <c r="J168" s="66"/>
      <c r="K168" s="66"/>
      <c r="L168" s="68"/>
      <c r="M168" s="63" t="str">
        <f>HYPERLINK("http://nsgreg.nga.mil/genc/view?v=867716&amp;end_month=12&amp;end_day=31&amp;end_year=2016","Correlation")</f>
        <v>Correlation</v>
      </c>
    </row>
    <row r="169" spans="1:13" x14ac:dyDescent="0.2">
      <c r="A169" s="113"/>
      <c r="B169" s="58" t="s">
        <v>1765</v>
      </c>
      <c r="C169" s="58" t="s">
        <v>1760</v>
      </c>
      <c r="D169" s="58" t="s">
        <v>1766</v>
      </c>
      <c r="E169" s="60" t="b">
        <v>1</v>
      </c>
      <c r="F169" s="80" t="s">
        <v>220</v>
      </c>
      <c r="G169" s="58" t="s">
        <v>1765</v>
      </c>
      <c r="H169" s="58" t="s">
        <v>1760</v>
      </c>
      <c r="I169" s="64" t="s">
        <v>1766</v>
      </c>
      <c r="J169" s="66"/>
      <c r="K169" s="66"/>
      <c r="L169" s="68"/>
      <c r="M169" s="63" t="str">
        <f>HYPERLINK("http://nsgreg.nga.mil/genc/view?v=867717&amp;end_month=12&amp;end_day=31&amp;end_year=2016","Correlation")</f>
        <v>Correlation</v>
      </c>
    </row>
    <row r="170" spans="1:13" x14ac:dyDescent="0.2">
      <c r="A170" s="113"/>
      <c r="B170" s="58" t="s">
        <v>1767</v>
      </c>
      <c r="C170" s="58" t="s">
        <v>1763</v>
      </c>
      <c r="D170" s="58" t="s">
        <v>1768</v>
      </c>
      <c r="E170" s="60" t="b">
        <v>1</v>
      </c>
      <c r="F170" s="80" t="s">
        <v>220</v>
      </c>
      <c r="G170" s="58" t="s">
        <v>1767</v>
      </c>
      <c r="H170" s="58" t="s">
        <v>1763</v>
      </c>
      <c r="I170" s="64" t="s">
        <v>1768</v>
      </c>
      <c r="J170" s="66"/>
      <c r="K170" s="66"/>
      <c r="L170" s="68"/>
      <c r="M170" s="63" t="str">
        <f>HYPERLINK("http://nsgreg.nga.mil/genc/view?v=867718&amp;end_month=12&amp;end_day=31&amp;end_year=2016","Correlation")</f>
        <v>Correlation</v>
      </c>
    </row>
    <row r="171" spans="1:13" x14ac:dyDescent="0.2">
      <c r="A171" s="113"/>
      <c r="B171" s="58" t="s">
        <v>1769</v>
      </c>
      <c r="C171" s="58" t="s">
        <v>1763</v>
      </c>
      <c r="D171" s="58" t="s">
        <v>1770</v>
      </c>
      <c r="E171" s="60" t="b">
        <v>1</v>
      </c>
      <c r="F171" s="80" t="s">
        <v>220</v>
      </c>
      <c r="G171" s="58" t="s">
        <v>1769</v>
      </c>
      <c r="H171" s="58" t="s">
        <v>1763</v>
      </c>
      <c r="I171" s="64" t="s">
        <v>1770</v>
      </c>
      <c r="J171" s="66"/>
      <c r="K171" s="66"/>
      <c r="L171" s="68"/>
      <c r="M171" s="63" t="str">
        <f>HYPERLINK("http://nsgreg.nga.mil/genc/view?v=867719&amp;end_month=12&amp;end_day=31&amp;end_year=2016","Correlation")</f>
        <v>Correlation</v>
      </c>
    </row>
    <row r="172" spans="1:13" x14ac:dyDescent="0.2">
      <c r="A172" s="113"/>
      <c r="B172" s="58" t="s">
        <v>1771</v>
      </c>
      <c r="C172" s="58" t="s">
        <v>1763</v>
      </c>
      <c r="D172" s="58" t="s">
        <v>1772</v>
      </c>
      <c r="E172" s="60" t="b">
        <v>1</v>
      </c>
      <c r="F172" s="80" t="s">
        <v>220</v>
      </c>
      <c r="G172" s="58" t="s">
        <v>1771</v>
      </c>
      <c r="H172" s="58" t="s">
        <v>1763</v>
      </c>
      <c r="I172" s="64" t="s">
        <v>1772</v>
      </c>
      <c r="J172" s="66"/>
      <c r="K172" s="66"/>
      <c r="L172" s="68"/>
      <c r="M172" s="63" t="str">
        <f>HYPERLINK("http://nsgreg.nga.mil/genc/view?v=867720&amp;end_month=12&amp;end_day=31&amp;end_year=2016","Correlation")</f>
        <v>Correlation</v>
      </c>
    </row>
    <row r="173" spans="1:13" x14ac:dyDescent="0.2">
      <c r="A173" s="113"/>
      <c r="B173" s="58" t="s">
        <v>1773</v>
      </c>
      <c r="C173" s="58" t="s">
        <v>1763</v>
      </c>
      <c r="D173" s="58" t="s">
        <v>1774</v>
      </c>
      <c r="E173" s="60" t="b">
        <v>1</v>
      </c>
      <c r="F173" s="80" t="s">
        <v>220</v>
      </c>
      <c r="G173" s="58" t="s">
        <v>1773</v>
      </c>
      <c r="H173" s="58" t="s">
        <v>1763</v>
      </c>
      <c r="I173" s="64" t="s">
        <v>1774</v>
      </c>
      <c r="J173" s="66"/>
      <c r="K173" s="66"/>
      <c r="L173" s="68"/>
      <c r="M173" s="63" t="str">
        <f>HYPERLINK("http://nsgreg.nga.mil/genc/view?v=867721&amp;end_month=12&amp;end_day=31&amp;end_year=2016","Correlation")</f>
        <v>Correlation</v>
      </c>
    </row>
    <row r="174" spans="1:13" x14ac:dyDescent="0.2">
      <c r="A174" s="114"/>
      <c r="B174" s="71" t="s">
        <v>1775</v>
      </c>
      <c r="C174" s="71" t="s">
        <v>1763</v>
      </c>
      <c r="D174" s="71" t="s">
        <v>1776</v>
      </c>
      <c r="E174" s="73" t="b">
        <v>1</v>
      </c>
      <c r="F174" s="81" t="s">
        <v>220</v>
      </c>
      <c r="G174" s="71" t="s">
        <v>1775</v>
      </c>
      <c r="H174" s="71" t="s">
        <v>1763</v>
      </c>
      <c r="I174" s="74" t="s">
        <v>1776</v>
      </c>
      <c r="J174" s="76"/>
      <c r="K174" s="76"/>
      <c r="L174" s="82"/>
      <c r="M174" s="77" t="str">
        <f>HYPERLINK("http://nsgreg.nga.mil/genc/view?v=867722&amp;end_month=12&amp;end_day=31&amp;end_year=2016","Correlation")</f>
        <v>Correlation</v>
      </c>
    </row>
    <row r="175" spans="1:13" x14ac:dyDescent="0.2">
      <c r="A175" s="112" t="s">
        <v>224</v>
      </c>
      <c r="B175" s="50" t="s">
        <v>1777</v>
      </c>
      <c r="C175" s="50" t="s">
        <v>1763</v>
      </c>
      <c r="D175" s="50" t="s">
        <v>1778</v>
      </c>
      <c r="E175" s="52" t="b">
        <v>1</v>
      </c>
      <c r="F175" s="78" t="s">
        <v>224</v>
      </c>
      <c r="G175" s="50" t="s">
        <v>1777</v>
      </c>
      <c r="H175" s="50" t="s">
        <v>1763</v>
      </c>
      <c r="I175" s="53" t="s">
        <v>1778</v>
      </c>
      <c r="J175" s="55"/>
      <c r="K175" s="55"/>
      <c r="L175" s="79"/>
      <c r="M175" s="56" t="str">
        <f>HYPERLINK("http://nsgreg.nga.mil/genc/view?v=867706&amp;end_month=12&amp;end_day=31&amp;end_year=2016","Correlation")</f>
        <v>Correlation</v>
      </c>
    </row>
    <row r="176" spans="1:13" x14ac:dyDescent="0.2">
      <c r="A176" s="113"/>
      <c r="B176" s="58" t="s">
        <v>1779</v>
      </c>
      <c r="C176" s="58" t="s">
        <v>1763</v>
      </c>
      <c r="D176" s="58" t="s">
        <v>1780</v>
      </c>
      <c r="E176" s="60" t="b">
        <v>1</v>
      </c>
      <c r="F176" s="80" t="s">
        <v>224</v>
      </c>
      <c r="G176" s="58" t="s">
        <v>1779</v>
      </c>
      <c r="H176" s="58" t="s">
        <v>1763</v>
      </c>
      <c r="I176" s="64" t="s">
        <v>1780</v>
      </c>
      <c r="J176" s="66"/>
      <c r="K176" s="66"/>
      <c r="L176" s="68"/>
      <c r="M176" s="63" t="str">
        <f>HYPERLINK("http://nsgreg.nga.mil/genc/view?v=867707&amp;end_month=12&amp;end_day=31&amp;end_year=2016","Correlation")</f>
        <v>Correlation</v>
      </c>
    </row>
    <row r="177" spans="1:13" x14ac:dyDescent="0.2">
      <c r="A177" s="113"/>
      <c r="B177" s="58" t="s">
        <v>1781</v>
      </c>
      <c r="C177" s="58" t="s">
        <v>1763</v>
      </c>
      <c r="D177" s="58" t="s">
        <v>1782</v>
      </c>
      <c r="E177" s="60" t="b">
        <v>1</v>
      </c>
      <c r="F177" s="80" t="s">
        <v>224</v>
      </c>
      <c r="G177" s="58" t="s">
        <v>1781</v>
      </c>
      <c r="H177" s="58" t="s">
        <v>1763</v>
      </c>
      <c r="I177" s="64" t="s">
        <v>1782</v>
      </c>
      <c r="J177" s="66"/>
      <c r="K177" s="66"/>
      <c r="L177" s="68"/>
      <c r="M177" s="63" t="str">
        <f>HYPERLINK("http://nsgreg.nga.mil/genc/view?v=867708&amp;end_month=12&amp;end_day=31&amp;end_year=2016","Correlation")</f>
        <v>Correlation</v>
      </c>
    </row>
    <row r="178" spans="1:13" x14ac:dyDescent="0.2">
      <c r="A178" s="113"/>
      <c r="B178" s="58" t="s">
        <v>1783</v>
      </c>
      <c r="C178" s="58" t="s">
        <v>1763</v>
      </c>
      <c r="D178" s="58" t="s">
        <v>1784</v>
      </c>
      <c r="E178" s="60" t="b">
        <v>1</v>
      </c>
      <c r="F178" s="80" t="s">
        <v>224</v>
      </c>
      <c r="G178" s="58" t="s">
        <v>1783</v>
      </c>
      <c r="H178" s="58" t="s">
        <v>1763</v>
      </c>
      <c r="I178" s="64" t="s">
        <v>1784</v>
      </c>
      <c r="J178" s="66"/>
      <c r="K178" s="66"/>
      <c r="L178" s="68"/>
      <c r="M178" s="63" t="str">
        <f>HYPERLINK("http://nsgreg.nga.mil/genc/view?v=867709&amp;end_month=12&amp;end_day=31&amp;end_year=2016","Correlation")</f>
        <v>Correlation</v>
      </c>
    </row>
    <row r="179" spans="1:13" x14ac:dyDescent="0.2">
      <c r="A179" s="113"/>
      <c r="B179" s="58" t="s">
        <v>1785</v>
      </c>
      <c r="C179" s="58" t="s">
        <v>1763</v>
      </c>
      <c r="D179" s="58" t="s">
        <v>1786</v>
      </c>
      <c r="E179" s="60" t="b">
        <v>1</v>
      </c>
      <c r="F179" s="80" t="s">
        <v>224</v>
      </c>
      <c r="G179" s="58" t="s">
        <v>1785</v>
      </c>
      <c r="H179" s="58" t="s">
        <v>1763</v>
      </c>
      <c r="I179" s="64" t="s">
        <v>1786</v>
      </c>
      <c r="J179" s="66"/>
      <c r="K179" s="66"/>
      <c r="L179" s="68"/>
      <c r="M179" s="63" t="str">
        <f>HYPERLINK("http://nsgreg.nga.mil/genc/view?v=867710&amp;end_month=12&amp;end_day=31&amp;end_year=2016","Correlation")</f>
        <v>Correlation</v>
      </c>
    </row>
    <row r="180" spans="1:13" x14ac:dyDescent="0.2">
      <c r="A180" s="113"/>
      <c r="B180" s="58" t="s">
        <v>1787</v>
      </c>
      <c r="C180" s="58" t="s">
        <v>1763</v>
      </c>
      <c r="D180" s="58" t="s">
        <v>1788</v>
      </c>
      <c r="E180" s="60" t="b">
        <v>1</v>
      </c>
      <c r="F180" s="80" t="s">
        <v>224</v>
      </c>
      <c r="G180" s="58" t="s">
        <v>1787</v>
      </c>
      <c r="H180" s="58" t="s">
        <v>1763</v>
      </c>
      <c r="I180" s="64" t="s">
        <v>1788</v>
      </c>
      <c r="J180" s="66"/>
      <c r="K180" s="66"/>
      <c r="L180" s="68"/>
      <c r="M180" s="63" t="str">
        <f>HYPERLINK("http://nsgreg.nga.mil/genc/view?v=867711&amp;end_month=12&amp;end_day=31&amp;end_year=2016","Correlation")</f>
        <v>Correlation</v>
      </c>
    </row>
    <row r="181" spans="1:13" x14ac:dyDescent="0.2">
      <c r="A181" s="113"/>
      <c r="B181" s="58" t="s">
        <v>1789</v>
      </c>
      <c r="C181" s="58" t="s">
        <v>1763</v>
      </c>
      <c r="D181" s="58" t="s">
        <v>1790</v>
      </c>
      <c r="E181" s="60" t="b">
        <v>1</v>
      </c>
      <c r="F181" s="80" t="s">
        <v>224</v>
      </c>
      <c r="G181" s="58" t="s">
        <v>1789</v>
      </c>
      <c r="H181" s="58" t="s">
        <v>1763</v>
      </c>
      <c r="I181" s="64" t="s">
        <v>1790</v>
      </c>
      <c r="J181" s="66"/>
      <c r="K181" s="66"/>
      <c r="L181" s="68"/>
      <c r="M181" s="63" t="str">
        <f>HYPERLINK("http://nsgreg.nga.mil/genc/view?v=867712&amp;end_month=12&amp;end_day=31&amp;end_year=2016","Correlation")</f>
        <v>Correlation</v>
      </c>
    </row>
    <row r="182" spans="1:13" x14ac:dyDescent="0.2">
      <c r="A182" s="113"/>
      <c r="B182" s="58" t="s">
        <v>1791</v>
      </c>
      <c r="C182" s="58" t="s">
        <v>1763</v>
      </c>
      <c r="D182" s="58" t="s">
        <v>1792</v>
      </c>
      <c r="E182" s="60" t="b">
        <v>1</v>
      </c>
      <c r="F182" s="80" t="s">
        <v>224</v>
      </c>
      <c r="G182" s="58" t="s">
        <v>1791</v>
      </c>
      <c r="H182" s="58" t="s">
        <v>1763</v>
      </c>
      <c r="I182" s="64" t="s">
        <v>1792</v>
      </c>
      <c r="J182" s="66"/>
      <c r="K182" s="66"/>
      <c r="L182" s="68"/>
      <c r="M182" s="63" t="str">
        <f>HYPERLINK("http://nsgreg.nga.mil/genc/view?v=867713&amp;end_month=12&amp;end_day=31&amp;end_year=2016","Correlation")</f>
        <v>Correlation</v>
      </c>
    </row>
    <row r="183" spans="1:13" x14ac:dyDescent="0.2">
      <c r="A183" s="114"/>
      <c r="B183" s="71" t="s">
        <v>1793</v>
      </c>
      <c r="C183" s="71" t="s">
        <v>1763</v>
      </c>
      <c r="D183" s="71" t="s">
        <v>1794</v>
      </c>
      <c r="E183" s="73" t="b">
        <v>1</v>
      </c>
      <c r="F183" s="81" t="s">
        <v>224</v>
      </c>
      <c r="G183" s="71" t="s">
        <v>1793</v>
      </c>
      <c r="H183" s="71" t="s">
        <v>1763</v>
      </c>
      <c r="I183" s="74" t="s">
        <v>1794</v>
      </c>
      <c r="J183" s="76"/>
      <c r="K183" s="76"/>
      <c r="L183" s="82"/>
      <c r="M183" s="77" t="str">
        <f>HYPERLINK("http://nsgreg.nga.mil/genc/view?v=867714&amp;end_month=12&amp;end_day=31&amp;end_year=2016","Correlation")</f>
        <v>Correlation</v>
      </c>
    </row>
    <row r="184" spans="1:13" x14ac:dyDescent="0.2">
      <c r="A184" s="112" t="s">
        <v>228</v>
      </c>
      <c r="B184" s="50" t="s">
        <v>1795</v>
      </c>
      <c r="C184" s="50" t="s">
        <v>1798</v>
      </c>
      <c r="D184" s="50" t="s">
        <v>1797</v>
      </c>
      <c r="E184" s="52" t="b">
        <v>1</v>
      </c>
      <c r="F184" s="78" t="s">
        <v>228</v>
      </c>
      <c r="G184" s="50" t="s">
        <v>1795</v>
      </c>
      <c r="H184" s="50" t="s">
        <v>1796</v>
      </c>
      <c r="I184" s="53" t="s">
        <v>1797</v>
      </c>
      <c r="J184" s="55"/>
      <c r="K184" s="55"/>
      <c r="L184" s="79"/>
      <c r="M184" s="56" t="str">
        <f>HYPERLINK("http://nsgreg.nga.mil/genc/view?v=867723&amp;end_month=12&amp;end_day=31&amp;end_year=2016","Correlation")</f>
        <v>Correlation</v>
      </c>
    </row>
    <row r="185" spans="1:13" x14ac:dyDescent="0.2">
      <c r="A185" s="113"/>
      <c r="B185" s="58" t="s">
        <v>1801</v>
      </c>
      <c r="C185" s="58" t="s">
        <v>1798</v>
      </c>
      <c r="D185" s="58" t="s">
        <v>1800</v>
      </c>
      <c r="E185" s="60" t="b">
        <v>1</v>
      </c>
      <c r="F185" s="80" t="s">
        <v>228</v>
      </c>
      <c r="G185" s="58" t="s">
        <v>1799</v>
      </c>
      <c r="H185" s="58" t="s">
        <v>1796</v>
      </c>
      <c r="I185" s="64" t="s">
        <v>1800</v>
      </c>
      <c r="J185" s="66"/>
      <c r="K185" s="66"/>
      <c r="L185" s="68"/>
      <c r="M185" s="63" t="str">
        <f>HYPERLINK("http://nsgreg.nga.mil/genc/view?v=867725&amp;end_month=12&amp;end_day=31&amp;end_year=2016","Correlation")</f>
        <v>Correlation</v>
      </c>
    </row>
    <row r="186" spans="1:13" x14ac:dyDescent="0.2">
      <c r="A186" s="113"/>
      <c r="B186" s="58" t="s">
        <v>1802</v>
      </c>
      <c r="C186" s="58" t="s">
        <v>1798</v>
      </c>
      <c r="D186" s="58" t="s">
        <v>1803</v>
      </c>
      <c r="E186" s="60" t="b">
        <v>1</v>
      </c>
      <c r="F186" s="80" t="s">
        <v>228</v>
      </c>
      <c r="G186" s="58" t="s">
        <v>1802</v>
      </c>
      <c r="H186" s="58" t="s">
        <v>1796</v>
      </c>
      <c r="I186" s="64" t="s">
        <v>1803</v>
      </c>
      <c r="J186" s="66"/>
      <c r="K186" s="66"/>
      <c r="L186" s="68"/>
      <c r="M186" s="63" t="str">
        <f>HYPERLINK("http://nsgreg.nga.mil/genc/view?v=867726&amp;end_month=12&amp;end_day=31&amp;end_year=2016","Correlation")</f>
        <v>Correlation</v>
      </c>
    </row>
    <row r="187" spans="1:13" x14ac:dyDescent="0.2">
      <c r="A187" s="113"/>
      <c r="B187" s="58" t="s">
        <v>1804</v>
      </c>
      <c r="C187" s="58" t="s">
        <v>1798</v>
      </c>
      <c r="D187" s="58" t="s">
        <v>1805</v>
      </c>
      <c r="E187" s="60" t="b">
        <v>1</v>
      </c>
      <c r="F187" s="80" t="s">
        <v>228</v>
      </c>
      <c r="G187" s="58" t="s">
        <v>1804</v>
      </c>
      <c r="H187" s="58" t="s">
        <v>1796</v>
      </c>
      <c r="I187" s="64" t="s">
        <v>1805</v>
      </c>
      <c r="J187" s="66"/>
      <c r="K187" s="66"/>
      <c r="L187" s="68"/>
      <c r="M187" s="63" t="str">
        <f>HYPERLINK("http://nsgreg.nga.mil/genc/view?v=867727&amp;end_month=12&amp;end_day=31&amp;end_year=2016","Correlation")</f>
        <v>Correlation</v>
      </c>
    </row>
    <row r="188" spans="1:13" x14ac:dyDescent="0.2">
      <c r="A188" s="113"/>
      <c r="B188" s="58" t="s">
        <v>1806</v>
      </c>
      <c r="C188" s="58" t="s">
        <v>1798</v>
      </c>
      <c r="D188" s="58" t="s">
        <v>1807</v>
      </c>
      <c r="E188" s="60" t="b">
        <v>1</v>
      </c>
      <c r="F188" s="80" t="s">
        <v>228</v>
      </c>
      <c r="G188" s="58" t="s">
        <v>1806</v>
      </c>
      <c r="H188" s="58" t="s">
        <v>1796</v>
      </c>
      <c r="I188" s="64" t="s">
        <v>1807</v>
      </c>
      <c r="J188" s="66"/>
      <c r="K188" s="66"/>
      <c r="L188" s="68"/>
      <c r="M188" s="63" t="str">
        <f>HYPERLINK("http://nsgreg.nga.mil/genc/view?v=867724&amp;end_month=12&amp;end_day=31&amp;end_year=2016","Correlation")</f>
        <v>Correlation</v>
      </c>
    </row>
    <row r="189" spans="1:13" x14ac:dyDescent="0.2">
      <c r="A189" s="113"/>
      <c r="B189" s="58" t="s">
        <v>1808</v>
      </c>
      <c r="C189" s="58" t="s">
        <v>1798</v>
      </c>
      <c r="D189" s="58" t="s">
        <v>1809</v>
      </c>
      <c r="E189" s="60" t="b">
        <v>1</v>
      </c>
      <c r="F189" s="80" t="s">
        <v>228</v>
      </c>
      <c r="G189" s="58" t="s">
        <v>1808</v>
      </c>
      <c r="H189" s="58" t="s">
        <v>1796</v>
      </c>
      <c r="I189" s="64" t="s">
        <v>1809</v>
      </c>
      <c r="J189" s="66"/>
      <c r="K189" s="66"/>
      <c r="L189" s="68"/>
      <c r="M189" s="63" t="str">
        <f>HYPERLINK("http://nsgreg.nga.mil/genc/view?v=867728&amp;end_month=12&amp;end_day=31&amp;end_year=2016","Correlation")</f>
        <v>Correlation</v>
      </c>
    </row>
    <row r="190" spans="1:13" x14ac:dyDescent="0.2">
      <c r="A190" s="113"/>
      <c r="B190" s="58" t="s">
        <v>1810</v>
      </c>
      <c r="C190" s="58" t="s">
        <v>1798</v>
      </c>
      <c r="D190" s="58" t="s">
        <v>1811</v>
      </c>
      <c r="E190" s="60" t="b">
        <v>1</v>
      </c>
      <c r="F190" s="80" t="s">
        <v>228</v>
      </c>
      <c r="G190" s="58" t="s">
        <v>1810</v>
      </c>
      <c r="H190" s="58" t="s">
        <v>1796</v>
      </c>
      <c r="I190" s="64" t="s">
        <v>1811</v>
      </c>
      <c r="J190" s="66"/>
      <c r="K190" s="66"/>
      <c r="L190" s="68"/>
      <c r="M190" s="63" t="str">
        <f>HYPERLINK("http://nsgreg.nga.mil/genc/view?v=867729&amp;end_month=12&amp;end_day=31&amp;end_year=2016","Correlation")</f>
        <v>Correlation</v>
      </c>
    </row>
    <row r="191" spans="1:13" x14ac:dyDescent="0.2">
      <c r="A191" s="113"/>
      <c r="B191" s="58" t="s">
        <v>1812</v>
      </c>
      <c r="C191" s="58" t="s">
        <v>1798</v>
      </c>
      <c r="D191" s="58" t="s">
        <v>1813</v>
      </c>
      <c r="E191" s="60" t="b">
        <v>1</v>
      </c>
      <c r="F191" s="80" t="s">
        <v>228</v>
      </c>
      <c r="G191" s="58" t="s">
        <v>1812</v>
      </c>
      <c r="H191" s="58" t="s">
        <v>1796</v>
      </c>
      <c r="I191" s="64" t="s">
        <v>1813</v>
      </c>
      <c r="J191" s="66"/>
      <c r="K191" s="66"/>
      <c r="L191" s="68"/>
      <c r="M191" s="63" t="str">
        <f>HYPERLINK("http://nsgreg.nga.mil/genc/view?v=867731&amp;end_month=12&amp;end_day=31&amp;end_year=2016","Correlation")</f>
        <v>Correlation</v>
      </c>
    </row>
    <row r="192" spans="1:13" x14ac:dyDescent="0.2">
      <c r="A192" s="113"/>
      <c r="B192" s="58" t="s">
        <v>1814</v>
      </c>
      <c r="C192" s="58" t="s">
        <v>1816</v>
      </c>
      <c r="D192" s="58" t="s">
        <v>1815</v>
      </c>
      <c r="E192" s="60" t="b">
        <v>1</v>
      </c>
      <c r="F192" s="80" t="s">
        <v>228</v>
      </c>
      <c r="G192" s="58" t="s">
        <v>1814</v>
      </c>
      <c r="H192" s="58" t="s">
        <v>1681</v>
      </c>
      <c r="I192" s="64" t="s">
        <v>1815</v>
      </c>
      <c r="J192" s="66"/>
      <c r="K192" s="66"/>
      <c r="L192" s="68"/>
      <c r="M192" s="63" t="str">
        <f>HYPERLINK("http://nsgreg.nga.mil/genc/view?v=867730&amp;end_month=12&amp;end_day=31&amp;end_year=2016","Correlation")</f>
        <v>Correlation</v>
      </c>
    </row>
    <row r="193" spans="1:13" x14ac:dyDescent="0.2">
      <c r="A193" s="113"/>
      <c r="B193" s="58" t="s">
        <v>1817</v>
      </c>
      <c r="C193" s="58" t="s">
        <v>1798</v>
      </c>
      <c r="D193" s="58" t="s">
        <v>1818</v>
      </c>
      <c r="E193" s="60" t="b">
        <v>1</v>
      </c>
      <c r="F193" s="80" t="s">
        <v>228</v>
      </c>
      <c r="G193" s="58" t="s">
        <v>1817</v>
      </c>
      <c r="H193" s="58" t="s">
        <v>1796</v>
      </c>
      <c r="I193" s="64" t="s">
        <v>1818</v>
      </c>
      <c r="J193" s="66"/>
      <c r="K193" s="66"/>
      <c r="L193" s="68"/>
      <c r="M193" s="63" t="str">
        <f>HYPERLINK("http://nsgreg.nga.mil/genc/view?v=867732&amp;end_month=12&amp;end_day=31&amp;end_year=2016","Correlation")</f>
        <v>Correlation</v>
      </c>
    </row>
    <row r="194" spans="1:13" x14ac:dyDescent="0.2">
      <c r="A194" s="113"/>
      <c r="B194" s="58" t="s">
        <v>1819</v>
      </c>
      <c r="C194" s="58" t="s">
        <v>1798</v>
      </c>
      <c r="D194" s="58" t="s">
        <v>1820</v>
      </c>
      <c r="E194" s="60" t="b">
        <v>1</v>
      </c>
      <c r="F194" s="80" t="s">
        <v>228</v>
      </c>
      <c r="G194" s="58" t="s">
        <v>1819</v>
      </c>
      <c r="H194" s="58" t="s">
        <v>1796</v>
      </c>
      <c r="I194" s="64" t="s">
        <v>1820</v>
      </c>
      <c r="J194" s="66"/>
      <c r="K194" s="66"/>
      <c r="L194" s="68"/>
      <c r="M194" s="63" t="str">
        <f>HYPERLINK("http://nsgreg.nga.mil/genc/view?v=867733&amp;end_month=12&amp;end_day=31&amp;end_year=2016","Correlation")</f>
        <v>Correlation</v>
      </c>
    </row>
    <row r="195" spans="1:13" x14ac:dyDescent="0.2">
      <c r="A195" s="113"/>
      <c r="B195" s="58" t="s">
        <v>1821</v>
      </c>
      <c r="C195" s="58" t="s">
        <v>1798</v>
      </c>
      <c r="D195" s="58" t="s">
        <v>1822</v>
      </c>
      <c r="E195" s="60" t="b">
        <v>1</v>
      </c>
      <c r="F195" s="80" t="s">
        <v>228</v>
      </c>
      <c r="G195" s="58" t="s">
        <v>1821</v>
      </c>
      <c r="H195" s="58" t="s">
        <v>1796</v>
      </c>
      <c r="I195" s="64" t="s">
        <v>1822</v>
      </c>
      <c r="J195" s="66"/>
      <c r="K195" s="66"/>
      <c r="L195" s="68"/>
      <c r="M195" s="63" t="str">
        <f>HYPERLINK("http://nsgreg.nga.mil/genc/view?v=867734&amp;end_month=12&amp;end_day=31&amp;end_year=2016","Correlation")</f>
        <v>Correlation</v>
      </c>
    </row>
    <row r="196" spans="1:13" x14ac:dyDescent="0.2">
      <c r="A196" s="113"/>
      <c r="B196" s="58" t="s">
        <v>1823</v>
      </c>
      <c r="C196" s="58" t="s">
        <v>1798</v>
      </c>
      <c r="D196" s="58" t="s">
        <v>1824</v>
      </c>
      <c r="E196" s="60" t="b">
        <v>1</v>
      </c>
      <c r="F196" s="80" t="s">
        <v>228</v>
      </c>
      <c r="G196" s="58" t="s">
        <v>1823</v>
      </c>
      <c r="H196" s="58" t="s">
        <v>1796</v>
      </c>
      <c r="I196" s="64" t="s">
        <v>1824</v>
      </c>
      <c r="J196" s="66"/>
      <c r="K196" s="66"/>
      <c r="L196" s="68"/>
      <c r="M196" s="63" t="str">
        <f>HYPERLINK("http://nsgreg.nga.mil/genc/view?v=867735&amp;end_month=12&amp;end_day=31&amp;end_year=2016","Correlation")</f>
        <v>Correlation</v>
      </c>
    </row>
    <row r="197" spans="1:13" x14ac:dyDescent="0.2">
      <c r="A197" s="113"/>
      <c r="B197" s="58" t="s">
        <v>1825</v>
      </c>
      <c r="C197" s="58" t="s">
        <v>1798</v>
      </c>
      <c r="D197" s="58" t="s">
        <v>1826</v>
      </c>
      <c r="E197" s="60" t="b">
        <v>1</v>
      </c>
      <c r="F197" s="80" t="s">
        <v>228</v>
      </c>
      <c r="G197" s="58" t="s">
        <v>1825</v>
      </c>
      <c r="H197" s="58" t="s">
        <v>1796</v>
      </c>
      <c r="I197" s="64" t="s">
        <v>1826</v>
      </c>
      <c r="J197" s="66"/>
      <c r="K197" s="66"/>
      <c r="L197" s="68"/>
      <c r="M197" s="63" t="str">
        <f>HYPERLINK("http://nsgreg.nga.mil/genc/view?v=867736&amp;end_month=12&amp;end_day=31&amp;end_year=2016","Correlation")</f>
        <v>Correlation</v>
      </c>
    </row>
    <row r="198" spans="1:13" x14ac:dyDescent="0.2">
      <c r="A198" s="113"/>
      <c r="B198" s="58" t="s">
        <v>1827</v>
      </c>
      <c r="C198" s="58" t="s">
        <v>1798</v>
      </c>
      <c r="D198" s="58" t="s">
        <v>1828</v>
      </c>
      <c r="E198" s="60" t="b">
        <v>1</v>
      </c>
      <c r="F198" s="80" t="s">
        <v>228</v>
      </c>
      <c r="G198" s="58" t="s">
        <v>1827</v>
      </c>
      <c r="H198" s="58" t="s">
        <v>1796</v>
      </c>
      <c r="I198" s="64" t="s">
        <v>1828</v>
      </c>
      <c r="J198" s="66"/>
      <c r="K198" s="66"/>
      <c r="L198" s="68"/>
      <c r="M198" s="63" t="str">
        <f>HYPERLINK("http://nsgreg.nga.mil/genc/view?v=867737&amp;end_month=12&amp;end_day=31&amp;end_year=2016","Correlation")</f>
        <v>Correlation</v>
      </c>
    </row>
    <row r="199" spans="1:13" x14ac:dyDescent="0.2">
      <c r="A199" s="113"/>
      <c r="B199" s="58" t="s">
        <v>1829</v>
      </c>
      <c r="C199" s="58" t="s">
        <v>1798</v>
      </c>
      <c r="D199" s="58" t="s">
        <v>1830</v>
      </c>
      <c r="E199" s="60" t="b">
        <v>1</v>
      </c>
      <c r="F199" s="80" t="s">
        <v>228</v>
      </c>
      <c r="G199" s="58" t="s">
        <v>1829</v>
      </c>
      <c r="H199" s="58" t="s">
        <v>1796</v>
      </c>
      <c r="I199" s="64" t="s">
        <v>1830</v>
      </c>
      <c r="J199" s="66"/>
      <c r="K199" s="66"/>
      <c r="L199" s="68"/>
      <c r="M199" s="63" t="str">
        <f>HYPERLINK("http://nsgreg.nga.mil/genc/view?v=867738&amp;end_month=12&amp;end_day=31&amp;end_year=2016","Correlation")</f>
        <v>Correlation</v>
      </c>
    </row>
    <row r="200" spans="1:13" x14ac:dyDescent="0.2">
      <c r="A200" s="113"/>
      <c r="B200" s="58" t="s">
        <v>1831</v>
      </c>
      <c r="C200" s="58" t="s">
        <v>1798</v>
      </c>
      <c r="D200" s="58" t="s">
        <v>1832</v>
      </c>
      <c r="E200" s="60" t="b">
        <v>1</v>
      </c>
      <c r="F200" s="80" t="s">
        <v>228</v>
      </c>
      <c r="G200" s="58" t="s">
        <v>1831</v>
      </c>
      <c r="H200" s="58" t="s">
        <v>1796</v>
      </c>
      <c r="I200" s="64" t="s">
        <v>1832</v>
      </c>
      <c r="J200" s="66"/>
      <c r="K200" s="66"/>
      <c r="L200" s="68"/>
      <c r="M200" s="63" t="str">
        <f>HYPERLINK("http://nsgreg.nga.mil/genc/view?v=867739&amp;end_month=12&amp;end_day=31&amp;end_year=2016","Correlation")</f>
        <v>Correlation</v>
      </c>
    </row>
    <row r="201" spans="1:13" x14ac:dyDescent="0.2">
      <c r="A201" s="113"/>
      <c r="B201" s="58" t="s">
        <v>1833</v>
      </c>
      <c r="C201" s="58" t="s">
        <v>1798</v>
      </c>
      <c r="D201" s="58" t="s">
        <v>1834</v>
      </c>
      <c r="E201" s="60" t="b">
        <v>1</v>
      </c>
      <c r="F201" s="80" t="s">
        <v>228</v>
      </c>
      <c r="G201" s="58" t="s">
        <v>1833</v>
      </c>
      <c r="H201" s="58" t="s">
        <v>1796</v>
      </c>
      <c r="I201" s="64" t="s">
        <v>1834</v>
      </c>
      <c r="J201" s="66"/>
      <c r="K201" s="66"/>
      <c r="L201" s="68"/>
      <c r="M201" s="63" t="str">
        <f>HYPERLINK("http://nsgreg.nga.mil/genc/view?v=867740&amp;end_month=12&amp;end_day=31&amp;end_year=2016","Correlation")</f>
        <v>Correlation</v>
      </c>
    </row>
    <row r="202" spans="1:13" x14ac:dyDescent="0.2">
      <c r="A202" s="113"/>
      <c r="B202" s="58" t="s">
        <v>1835</v>
      </c>
      <c r="C202" s="58" t="s">
        <v>1798</v>
      </c>
      <c r="D202" s="58" t="s">
        <v>1836</v>
      </c>
      <c r="E202" s="60" t="b">
        <v>1</v>
      </c>
      <c r="F202" s="80" t="s">
        <v>228</v>
      </c>
      <c r="G202" s="58" t="s">
        <v>1835</v>
      </c>
      <c r="H202" s="58" t="s">
        <v>1796</v>
      </c>
      <c r="I202" s="64" t="s">
        <v>1836</v>
      </c>
      <c r="J202" s="66"/>
      <c r="K202" s="66"/>
      <c r="L202" s="68"/>
      <c r="M202" s="63" t="str">
        <f>HYPERLINK("http://nsgreg.nga.mil/genc/view?v=867742&amp;end_month=12&amp;end_day=31&amp;end_year=2016","Correlation")</f>
        <v>Correlation</v>
      </c>
    </row>
    <row r="203" spans="1:13" x14ac:dyDescent="0.2">
      <c r="A203" s="113"/>
      <c r="B203" s="58" t="s">
        <v>1839</v>
      </c>
      <c r="C203" s="58" t="s">
        <v>1816</v>
      </c>
      <c r="D203" s="58" t="s">
        <v>1838</v>
      </c>
      <c r="E203" s="60" t="b">
        <v>1</v>
      </c>
      <c r="F203" s="80" t="s">
        <v>228</v>
      </c>
      <c r="G203" s="58" t="s">
        <v>1837</v>
      </c>
      <c r="H203" s="58" t="s">
        <v>1681</v>
      </c>
      <c r="I203" s="64" t="s">
        <v>1838</v>
      </c>
      <c r="J203" s="66"/>
      <c r="K203" s="66"/>
      <c r="L203" s="68"/>
      <c r="M203" s="63" t="str">
        <f>HYPERLINK("http://nsgreg.nga.mil/genc/view?v=867741&amp;end_month=12&amp;end_day=31&amp;end_year=2016","Correlation")</f>
        <v>Correlation</v>
      </c>
    </row>
    <row r="204" spans="1:13" x14ac:dyDescent="0.2">
      <c r="A204" s="113"/>
      <c r="B204" s="58" t="s">
        <v>1840</v>
      </c>
      <c r="C204" s="58" t="s">
        <v>1798</v>
      </c>
      <c r="D204" s="58" t="s">
        <v>1841</v>
      </c>
      <c r="E204" s="60" t="b">
        <v>1</v>
      </c>
      <c r="F204" s="80" t="s">
        <v>228</v>
      </c>
      <c r="G204" s="58" t="s">
        <v>1840</v>
      </c>
      <c r="H204" s="58" t="s">
        <v>1796</v>
      </c>
      <c r="I204" s="64" t="s">
        <v>1841</v>
      </c>
      <c r="J204" s="66"/>
      <c r="K204" s="66"/>
      <c r="L204" s="68"/>
      <c r="M204" s="63" t="str">
        <f>HYPERLINK("http://nsgreg.nga.mil/genc/view?v=867743&amp;end_month=12&amp;end_day=31&amp;end_year=2016","Correlation")</f>
        <v>Correlation</v>
      </c>
    </row>
    <row r="205" spans="1:13" x14ac:dyDescent="0.2">
      <c r="A205" s="113"/>
      <c r="B205" s="58" t="s">
        <v>1842</v>
      </c>
      <c r="C205" s="58" t="s">
        <v>1798</v>
      </c>
      <c r="D205" s="58" t="s">
        <v>1843</v>
      </c>
      <c r="E205" s="60" t="b">
        <v>1</v>
      </c>
      <c r="F205" s="80" t="s">
        <v>228</v>
      </c>
      <c r="G205" s="58" t="s">
        <v>1842</v>
      </c>
      <c r="H205" s="58" t="s">
        <v>1796</v>
      </c>
      <c r="I205" s="64" t="s">
        <v>1843</v>
      </c>
      <c r="J205" s="66"/>
      <c r="K205" s="66"/>
      <c r="L205" s="68"/>
      <c r="M205" s="63" t="str">
        <f>HYPERLINK("http://nsgreg.nga.mil/genc/view?v=867744&amp;end_month=12&amp;end_day=31&amp;end_year=2016","Correlation")</f>
        <v>Correlation</v>
      </c>
    </row>
    <row r="206" spans="1:13" x14ac:dyDescent="0.2">
      <c r="A206" s="113"/>
      <c r="B206" s="58" t="s">
        <v>1844</v>
      </c>
      <c r="C206" s="58" t="s">
        <v>1798</v>
      </c>
      <c r="D206" s="58" t="s">
        <v>1845</v>
      </c>
      <c r="E206" s="60" t="b">
        <v>1</v>
      </c>
      <c r="F206" s="80" t="s">
        <v>228</v>
      </c>
      <c r="G206" s="58" t="s">
        <v>1844</v>
      </c>
      <c r="H206" s="58" t="s">
        <v>1796</v>
      </c>
      <c r="I206" s="64" t="s">
        <v>1845</v>
      </c>
      <c r="J206" s="66"/>
      <c r="K206" s="66"/>
      <c r="L206" s="68"/>
      <c r="M206" s="63" t="str">
        <f>HYPERLINK("http://nsgreg.nga.mil/genc/view?v=867745&amp;end_month=12&amp;end_day=31&amp;end_year=2016","Correlation")</f>
        <v>Correlation</v>
      </c>
    </row>
    <row r="207" spans="1:13" x14ac:dyDescent="0.2">
      <c r="A207" s="113"/>
      <c r="B207" s="58" t="s">
        <v>1846</v>
      </c>
      <c r="C207" s="58" t="s">
        <v>1798</v>
      </c>
      <c r="D207" s="58" t="s">
        <v>1847</v>
      </c>
      <c r="E207" s="60" t="b">
        <v>1</v>
      </c>
      <c r="F207" s="80" t="s">
        <v>228</v>
      </c>
      <c r="G207" s="58" t="s">
        <v>1846</v>
      </c>
      <c r="H207" s="58" t="s">
        <v>1796</v>
      </c>
      <c r="I207" s="64" t="s">
        <v>1847</v>
      </c>
      <c r="J207" s="66"/>
      <c r="K207" s="66"/>
      <c r="L207" s="68"/>
      <c r="M207" s="63" t="str">
        <f>HYPERLINK("http://nsgreg.nga.mil/genc/view?v=867746&amp;end_month=12&amp;end_day=31&amp;end_year=2016","Correlation")</f>
        <v>Correlation</v>
      </c>
    </row>
    <row r="208" spans="1:13" x14ac:dyDescent="0.2">
      <c r="A208" s="113"/>
      <c r="B208" s="58" t="s">
        <v>1848</v>
      </c>
      <c r="C208" s="58" t="s">
        <v>1798</v>
      </c>
      <c r="D208" s="58" t="s">
        <v>1849</v>
      </c>
      <c r="E208" s="60" t="b">
        <v>1</v>
      </c>
      <c r="F208" s="80" t="s">
        <v>228</v>
      </c>
      <c r="G208" s="58" t="s">
        <v>1848</v>
      </c>
      <c r="H208" s="58" t="s">
        <v>1796</v>
      </c>
      <c r="I208" s="64" t="s">
        <v>1849</v>
      </c>
      <c r="J208" s="66"/>
      <c r="K208" s="66"/>
      <c r="L208" s="68"/>
      <c r="M208" s="63" t="str">
        <f>HYPERLINK("http://nsgreg.nga.mil/genc/view?v=867747&amp;end_month=12&amp;end_day=31&amp;end_year=2016","Correlation")</f>
        <v>Correlation</v>
      </c>
    </row>
    <row r="209" spans="1:13" x14ac:dyDescent="0.2">
      <c r="A209" s="113"/>
      <c r="B209" s="58" t="s">
        <v>1850</v>
      </c>
      <c r="C209" s="58" t="s">
        <v>1798</v>
      </c>
      <c r="D209" s="58" t="s">
        <v>1851</v>
      </c>
      <c r="E209" s="60" t="b">
        <v>1</v>
      </c>
      <c r="F209" s="80" t="s">
        <v>228</v>
      </c>
      <c r="G209" s="58" t="s">
        <v>1850</v>
      </c>
      <c r="H209" s="58" t="s">
        <v>1796</v>
      </c>
      <c r="I209" s="64" t="s">
        <v>1851</v>
      </c>
      <c r="J209" s="66"/>
      <c r="K209" s="66"/>
      <c r="L209" s="68"/>
      <c r="M209" s="63" t="str">
        <f>HYPERLINK("http://nsgreg.nga.mil/genc/view?v=867748&amp;end_month=12&amp;end_day=31&amp;end_year=2016","Correlation")</f>
        <v>Correlation</v>
      </c>
    </row>
    <row r="210" spans="1:13" x14ac:dyDescent="0.2">
      <c r="A210" s="113"/>
      <c r="B210" s="58" t="s">
        <v>1852</v>
      </c>
      <c r="C210" s="58" t="s">
        <v>1798</v>
      </c>
      <c r="D210" s="58" t="s">
        <v>1853</v>
      </c>
      <c r="E210" s="60" t="b">
        <v>1</v>
      </c>
      <c r="F210" s="80" t="s">
        <v>228</v>
      </c>
      <c r="G210" s="58" t="s">
        <v>1852</v>
      </c>
      <c r="H210" s="58" t="s">
        <v>1796</v>
      </c>
      <c r="I210" s="64" t="s">
        <v>1853</v>
      </c>
      <c r="J210" s="66"/>
      <c r="K210" s="66"/>
      <c r="L210" s="68"/>
      <c r="M210" s="63" t="str">
        <f>HYPERLINK("http://nsgreg.nga.mil/genc/view?v=867749&amp;end_month=12&amp;end_day=31&amp;end_year=2016","Correlation")</f>
        <v>Correlation</v>
      </c>
    </row>
    <row r="211" spans="1:13" x14ac:dyDescent="0.2">
      <c r="A211" s="113"/>
      <c r="B211" s="58" t="s">
        <v>1856</v>
      </c>
      <c r="C211" s="58" t="s">
        <v>1798</v>
      </c>
      <c r="D211" s="58" t="s">
        <v>1855</v>
      </c>
      <c r="E211" s="60" t="b">
        <v>1</v>
      </c>
      <c r="F211" s="80" t="s">
        <v>228</v>
      </c>
      <c r="G211" s="58" t="s">
        <v>1854</v>
      </c>
      <c r="H211" s="58" t="s">
        <v>1796</v>
      </c>
      <c r="I211" s="64" t="s">
        <v>1855</v>
      </c>
      <c r="J211" s="66"/>
      <c r="K211" s="66"/>
      <c r="L211" s="68"/>
      <c r="M211" s="63" t="str">
        <f>HYPERLINK("http://nsgreg.nga.mil/genc/view?v=867750&amp;end_month=12&amp;end_day=31&amp;end_year=2016","Correlation")</f>
        <v>Correlation</v>
      </c>
    </row>
    <row r="212" spans="1:13" x14ac:dyDescent="0.2">
      <c r="A212" s="113"/>
      <c r="B212" s="58" t="s">
        <v>1857</v>
      </c>
      <c r="C212" s="58" t="s">
        <v>1798</v>
      </c>
      <c r="D212" s="58" t="s">
        <v>1858</v>
      </c>
      <c r="E212" s="60" t="b">
        <v>1</v>
      </c>
      <c r="F212" s="80" t="s">
        <v>228</v>
      </c>
      <c r="G212" s="58" t="s">
        <v>1857</v>
      </c>
      <c r="H212" s="58" t="s">
        <v>1796</v>
      </c>
      <c r="I212" s="64" t="s">
        <v>1858</v>
      </c>
      <c r="J212" s="66"/>
      <c r="K212" s="66"/>
      <c r="L212" s="68"/>
      <c r="M212" s="63" t="str">
        <f>HYPERLINK("http://nsgreg.nga.mil/genc/view?v=867751&amp;end_month=12&amp;end_day=31&amp;end_year=2016","Correlation")</f>
        <v>Correlation</v>
      </c>
    </row>
    <row r="213" spans="1:13" x14ac:dyDescent="0.2">
      <c r="A213" s="113"/>
      <c r="B213" s="58" t="s">
        <v>1859</v>
      </c>
      <c r="C213" s="58" t="s">
        <v>1798</v>
      </c>
      <c r="D213" s="58" t="s">
        <v>1860</v>
      </c>
      <c r="E213" s="60" t="b">
        <v>1</v>
      </c>
      <c r="F213" s="80" t="s">
        <v>228</v>
      </c>
      <c r="G213" s="58" t="s">
        <v>1859</v>
      </c>
      <c r="H213" s="58" t="s">
        <v>1796</v>
      </c>
      <c r="I213" s="64" t="s">
        <v>1860</v>
      </c>
      <c r="J213" s="66"/>
      <c r="K213" s="66"/>
      <c r="L213" s="68"/>
      <c r="M213" s="63" t="str">
        <f>HYPERLINK("http://nsgreg.nga.mil/genc/view?v=867753&amp;end_month=12&amp;end_day=31&amp;end_year=2016","Correlation")</f>
        <v>Correlation</v>
      </c>
    </row>
    <row r="214" spans="1:13" x14ac:dyDescent="0.2">
      <c r="A214" s="113"/>
      <c r="B214" s="58" t="s">
        <v>1863</v>
      </c>
      <c r="C214" s="58" t="s">
        <v>1816</v>
      </c>
      <c r="D214" s="58" t="s">
        <v>1862</v>
      </c>
      <c r="E214" s="60" t="b">
        <v>1</v>
      </c>
      <c r="F214" s="80" t="s">
        <v>228</v>
      </c>
      <c r="G214" s="58" t="s">
        <v>1861</v>
      </c>
      <c r="H214" s="58" t="s">
        <v>1681</v>
      </c>
      <c r="I214" s="64" t="s">
        <v>1862</v>
      </c>
      <c r="J214" s="66"/>
      <c r="K214" s="66"/>
      <c r="L214" s="68"/>
      <c r="M214" s="63" t="str">
        <f>HYPERLINK("http://nsgreg.nga.mil/genc/view?v=867752&amp;end_month=12&amp;end_day=31&amp;end_year=2016","Correlation")</f>
        <v>Correlation</v>
      </c>
    </row>
    <row r="215" spans="1:13" x14ac:dyDescent="0.2">
      <c r="A215" s="113"/>
      <c r="B215" s="58" t="s">
        <v>1861</v>
      </c>
      <c r="C215" s="58" t="s">
        <v>1798</v>
      </c>
      <c r="D215" s="58" t="s">
        <v>1864</v>
      </c>
      <c r="E215" s="60" t="b">
        <v>1</v>
      </c>
      <c r="F215" s="80" t="s">
        <v>228</v>
      </c>
      <c r="G215" s="58" t="s">
        <v>1861</v>
      </c>
      <c r="H215" s="58" t="s">
        <v>1796</v>
      </c>
      <c r="I215" s="64" t="s">
        <v>1864</v>
      </c>
      <c r="J215" s="66"/>
      <c r="K215" s="66"/>
      <c r="L215" s="68"/>
      <c r="M215" s="63" t="str">
        <f>HYPERLINK("http://nsgreg.nga.mil/genc/view?v=867754&amp;end_month=12&amp;end_day=31&amp;end_year=2016","Correlation")</f>
        <v>Correlation</v>
      </c>
    </row>
    <row r="216" spans="1:13" x14ac:dyDescent="0.2">
      <c r="A216" s="113"/>
      <c r="B216" s="58" t="s">
        <v>1865</v>
      </c>
      <c r="C216" s="58" t="s">
        <v>1798</v>
      </c>
      <c r="D216" s="58" t="s">
        <v>1866</v>
      </c>
      <c r="E216" s="60" t="b">
        <v>1</v>
      </c>
      <c r="F216" s="80" t="s">
        <v>228</v>
      </c>
      <c r="G216" s="58" t="s">
        <v>1865</v>
      </c>
      <c r="H216" s="58" t="s">
        <v>1796</v>
      </c>
      <c r="I216" s="64" t="s">
        <v>1866</v>
      </c>
      <c r="J216" s="66"/>
      <c r="K216" s="66"/>
      <c r="L216" s="68"/>
      <c r="M216" s="63" t="str">
        <f>HYPERLINK("http://nsgreg.nga.mil/genc/view?v=867755&amp;end_month=12&amp;end_day=31&amp;end_year=2016","Correlation")</f>
        <v>Correlation</v>
      </c>
    </row>
    <row r="217" spans="1:13" x14ac:dyDescent="0.2">
      <c r="A217" s="113"/>
      <c r="B217" s="58" t="s">
        <v>1867</v>
      </c>
      <c r="C217" s="58" t="s">
        <v>1798</v>
      </c>
      <c r="D217" s="58" t="s">
        <v>1868</v>
      </c>
      <c r="E217" s="60" t="b">
        <v>1</v>
      </c>
      <c r="F217" s="80" t="s">
        <v>228</v>
      </c>
      <c r="G217" s="58" t="s">
        <v>1867</v>
      </c>
      <c r="H217" s="58" t="s">
        <v>1796</v>
      </c>
      <c r="I217" s="64" t="s">
        <v>1868</v>
      </c>
      <c r="J217" s="66"/>
      <c r="K217" s="66"/>
      <c r="L217" s="68"/>
      <c r="M217" s="63" t="str">
        <f>HYPERLINK("http://nsgreg.nga.mil/genc/view?v=867756&amp;end_month=12&amp;end_day=31&amp;end_year=2016","Correlation")</f>
        <v>Correlation</v>
      </c>
    </row>
    <row r="218" spans="1:13" x14ac:dyDescent="0.2">
      <c r="A218" s="113"/>
      <c r="B218" s="58" t="s">
        <v>1871</v>
      </c>
      <c r="C218" s="58" t="s">
        <v>1816</v>
      </c>
      <c r="D218" s="58" t="s">
        <v>1870</v>
      </c>
      <c r="E218" s="60" t="b">
        <v>1</v>
      </c>
      <c r="F218" s="80" t="s">
        <v>228</v>
      </c>
      <c r="G218" s="58" t="s">
        <v>1869</v>
      </c>
      <c r="H218" s="58" t="s">
        <v>1681</v>
      </c>
      <c r="I218" s="64" t="s">
        <v>1870</v>
      </c>
      <c r="J218" s="66"/>
      <c r="K218" s="66"/>
      <c r="L218" s="68"/>
      <c r="M218" s="63" t="str">
        <f>HYPERLINK("http://nsgreg.nga.mil/genc/view?v=867757&amp;end_month=12&amp;end_day=31&amp;end_year=2016","Correlation")</f>
        <v>Correlation</v>
      </c>
    </row>
    <row r="219" spans="1:13" x14ac:dyDescent="0.2">
      <c r="A219" s="113"/>
      <c r="B219" s="58" t="s">
        <v>1872</v>
      </c>
      <c r="C219" s="58" t="s">
        <v>1816</v>
      </c>
      <c r="D219" s="58" t="s">
        <v>1873</v>
      </c>
      <c r="E219" s="60" t="b">
        <v>1</v>
      </c>
      <c r="F219" s="80" t="s">
        <v>228</v>
      </c>
      <c r="G219" s="58" t="s">
        <v>1872</v>
      </c>
      <c r="H219" s="58" t="s">
        <v>1681</v>
      </c>
      <c r="I219" s="64" t="s">
        <v>1873</v>
      </c>
      <c r="J219" s="66"/>
      <c r="K219" s="66"/>
      <c r="L219" s="68"/>
      <c r="M219" s="63" t="str">
        <f>HYPERLINK("http://nsgreg.nga.mil/genc/view?v=867758&amp;end_month=12&amp;end_day=31&amp;end_year=2016","Correlation")</f>
        <v>Correlation</v>
      </c>
    </row>
    <row r="220" spans="1:13" x14ac:dyDescent="0.2">
      <c r="A220" s="113"/>
      <c r="B220" s="58" t="s">
        <v>1874</v>
      </c>
      <c r="C220" s="58" t="s">
        <v>1875</v>
      </c>
      <c r="D220" s="58" t="s">
        <v>1876</v>
      </c>
      <c r="E220" s="60" t="b">
        <v>1</v>
      </c>
      <c r="F220" s="80" t="s">
        <v>228</v>
      </c>
      <c r="G220" s="58" t="s">
        <v>1874</v>
      </c>
      <c r="H220" s="58" t="s">
        <v>1875</v>
      </c>
      <c r="I220" s="64" t="s">
        <v>1876</v>
      </c>
      <c r="J220" s="66"/>
      <c r="K220" s="66"/>
      <c r="L220" s="68"/>
      <c r="M220" s="63" t="str">
        <f>HYPERLINK("http://nsgreg.nga.mil/genc/view?v=867761&amp;end_month=12&amp;end_day=31&amp;end_year=2016","Correlation")</f>
        <v>Correlation</v>
      </c>
    </row>
    <row r="221" spans="1:13" x14ac:dyDescent="0.2">
      <c r="A221" s="113"/>
      <c r="B221" s="58" t="s">
        <v>1874</v>
      </c>
      <c r="C221" s="58" t="s">
        <v>1816</v>
      </c>
      <c r="D221" s="58" t="s">
        <v>1877</v>
      </c>
      <c r="E221" s="60" t="b">
        <v>1</v>
      </c>
      <c r="F221" s="80" t="s">
        <v>228</v>
      </c>
      <c r="G221" s="58" t="s">
        <v>1874</v>
      </c>
      <c r="H221" s="58" t="s">
        <v>1681</v>
      </c>
      <c r="I221" s="64" t="s">
        <v>1877</v>
      </c>
      <c r="J221" s="66"/>
      <c r="K221" s="66"/>
      <c r="L221" s="68"/>
      <c r="M221" s="63" t="str">
        <f>HYPERLINK("http://nsgreg.nga.mil/genc/view?v=867760&amp;end_month=12&amp;end_day=31&amp;end_year=2016","Correlation")</f>
        <v>Correlation</v>
      </c>
    </row>
    <row r="222" spans="1:13" x14ac:dyDescent="0.2">
      <c r="A222" s="113"/>
      <c r="B222" s="58" t="s">
        <v>1878</v>
      </c>
      <c r="C222" s="58" t="s">
        <v>1798</v>
      </c>
      <c r="D222" s="58" t="s">
        <v>1879</v>
      </c>
      <c r="E222" s="60" t="b">
        <v>1</v>
      </c>
      <c r="F222" s="80" t="s">
        <v>228</v>
      </c>
      <c r="G222" s="58" t="s">
        <v>1878</v>
      </c>
      <c r="H222" s="58" t="s">
        <v>1796</v>
      </c>
      <c r="I222" s="64" t="s">
        <v>1879</v>
      </c>
      <c r="J222" s="66"/>
      <c r="K222" s="66"/>
      <c r="L222" s="68"/>
      <c r="M222" s="63" t="str">
        <f>HYPERLINK("http://nsgreg.nga.mil/genc/view?v=867759&amp;end_month=12&amp;end_day=31&amp;end_year=2016","Correlation")</f>
        <v>Correlation</v>
      </c>
    </row>
    <row r="223" spans="1:13" x14ac:dyDescent="0.2">
      <c r="A223" s="113"/>
      <c r="B223" s="58" t="s">
        <v>1880</v>
      </c>
      <c r="C223" s="58" t="s">
        <v>1798</v>
      </c>
      <c r="D223" s="58" t="s">
        <v>1881</v>
      </c>
      <c r="E223" s="60" t="b">
        <v>1</v>
      </c>
      <c r="F223" s="80" t="s">
        <v>228</v>
      </c>
      <c r="G223" s="58" t="s">
        <v>1880</v>
      </c>
      <c r="H223" s="58" t="s">
        <v>1796</v>
      </c>
      <c r="I223" s="64" t="s">
        <v>1881</v>
      </c>
      <c r="J223" s="66"/>
      <c r="K223" s="66"/>
      <c r="L223" s="68"/>
      <c r="M223" s="63" t="str">
        <f>HYPERLINK("http://nsgreg.nga.mil/genc/view?v=867762&amp;end_month=12&amp;end_day=31&amp;end_year=2016","Correlation")</f>
        <v>Correlation</v>
      </c>
    </row>
    <row r="224" spans="1:13" x14ac:dyDescent="0.2">
      <c r="A224" s="113"/>
      <c r="B224" s="58" t="s">
        <v>1882</v>
      </c>
      <c r="C224" s="58" t="s">
        <v>1798</v>
      </c>
      <c r="D224" s="58" t="s">
        <v>1883</v>
      </c>
      <c r="E224" s="60" t="b">
        <v>1</v>
      </c>
      <c r="F224" s="80" t="s">
        <v>228</v>
      </c>
      <c r="G224" s="58" t="s">
        <v>1882</v>
      </c>
      <c r="H224" s="58" t="s">
        <v>1796</v>
      </c>
      <c r="I224" s="64" t="s">
        <v>1883</v>
      </c>
      <c r="J224" s="66"/>
      <c r="K224" s="66"/>
      <c r="L224" s="68"/>
      <c r="M224" s="63" t="str">
        <f>HYPERLINK("http://nsgreg.nga.mil/genc/view?v=867763&amp;end_month=12&amp;end_day=31&amp;end_year=2016","Correlation")</f>
        <v>Correlation</v>
      </c>
    </row>
    <row r="225" spans="1:13" x14ac:dyDescent="0.2">
      <c r="A225" s="113"/>
      <c r="B225" s="58" t="s">
        <v>1886</v>
      </c>
      <c r="C225" s="58" t="s">
        <v>1798</v>
      </c>
      <c r="D225" s="58" t="s">
        <v>1885</v>
      </c>
      <c r="E225" s="60" t="b">
        <v>1</v>
      </c>
      <c r="F225" s="80" t="s">
        <v>228</v>
      </c>
      <c r="G225" s="58" t="s">
        <v>1884</v>
      </c>
      <c r="H225" s="58" t="s">
        <v>1796</v>
      </c>
      <c r="I225" s="64" t="s">
        <v>1885</v>
      </c>
      <c r="J225" s="66"/>
      <c r="K225" s="66"/>
      <c r="L225" s="68"/>
      <c r="M225" s="63" t="str">
        <f>HYPERLINK("http://nsgreg.nga.mil/genc/view?v=867764&amp;end_month=12&amp;end_day=31&amp;end_year=2016","Correlation")</f>
        <v>Correlation</v>
      </c>
    </row>
    <row r="226" spans="1:13" x14ac:dyDescent="0.2">
      <c r="A226" s="113"/>
      <c r="B226" s="58" t="s">
        <v>1887</v>
      </c>
      <c r="C226" s="58" t="s">
        <v>1798</v>
      </c>
      <c r="D226" s="58" t="s">
        <v>1888</v>
      </c>
      <c r="E226" s="60" t="b">
        <v>1</v>
      </c>
      <c r="F226" s="80" t="s">
        <v>228</v>
      </c>
      <c r="G226" s="58" t="s">
        <v>1887</v>
      </c>
      <c r="H226" s="58" t="s">
        <v>1796</v>
      </c>
      <c r="I226" s="64" t="s">
        <v>1888</v>
      </c>
      <c r="J226" s="66"/>
      <c r="K226" s="66"/>
      <c r="L226" s="68"/>
      <c r="M226" s="63" t="str">
        <f>HYPERLINK("http://nsgreg.nga.mil/genc/view?v=867765&amp;end_month=12&amp;end_day=31&amp;end_year=2016","Correlation")</f>
        <v>Correlation</v>
      </c>
    </row>
    <row r="227" spans="1:13" x14ac:dyDescent="0.2">
      <c r="A227" s="113"/>
      <c r="B227" s="58" t="s">
        <v>1889</v>
      </c>
      <c r="C227" s="58" t="s">
        <v>1798</v>
      </c>
      <c r="D227" s="58" t="s">
        <v>1890</v>
      </c>
      <c r="E227" s="60" t="b">
        <v>1</v>
      </c>
      <c r="F227" s="80" t="s">
        <v>228</v>
      </c>
      <c r="G227" s="58" t="s">
        <v>1889</v>
      </c>
      <c r="H227" s="58" t="s">
        <v>1796</v>
      </c>
      <c r="I227" s="64" t="s">
        <v>1890</v>
      </c>
      <c r="J227" s="66"/>
      <c r="K227" s="66"/>
      <c r="L227" s="68"/>
      <c r="M227" s="63" t="str">
        <f>HYPERLINK("http://nsgreg.nga.mil/genc/view?v=867766&amp;end_month=12&amp;end_day=31&amp;end_year=2016","Correlation")</f>
        <v>Correlation</v>
      </c>
    </row>
    <row r="228" spans="1:13" x14ac:dyDescent="0.2">
      <c r="A228" s="113"/>
      <c r="B228" s="58" t="s">
        <v>1891</v>
      </c>
      <c r="C228" s="58" t="s">
        <v>1798</v>
      </c>
      <c r="D228" s="58" t="s">
        <v>1892</v>
      </c>
      <c r="E228" s="60" t="b">
        <v>1</v>
      </c>
      <c r="F228" s="80" t="s">
        <v>228</v>
      </c>
      <c r="G228" s="58" t="s">
        <v>1891</v>
      </c>
      <c r="H228" s="58" t="s">
        <v>1796</v>
      </c>
      <c r="I228" s="64" t="s">
        <v>1892</v>
      </c>
      <c r="J228" s="66"/>
      <c r="K228" s="66"/>
      <c r="L228" s="68"/>
      <c r="M228" s="63" t="str">
        <f>HYPERLINK("http://nsgreg.nga.mil/genc/view?v=867769&amp;end_month=12&amp;end_day=31&amp;end_year=2016","Correlation")</f>
        <v>Correlation</v>
      </c>
    </row>
    <row r="229" spans="1:13" x14ac:dyDescent="0.2">
      <c r="A229" s="113"/>
      <c r="B229" s="58" t="s">
        <v>1893</v>
      </c>
      <c r="C229" s="58" t="s">
        <v>1798</v>
      </c>
      <c r="D229" s="58" t="s">
        <v>1894</v>
      </c>
      <c r="E229" s="60" t="b">
        <v>1</v>
      </c>
      <c r="F229" s="80" t="s">
        <v>228</v>
      </c>
      <c r="G229" s="58" t="s">
        <v>1893</v>
      </c>
      <c r="H229" s="58" t="s">
        <v>1796</v>
      </c>
      <c r="I229" s="64" t="s">
        <v>1894</v>
      </c>
      <c r="J229" s="66"/>
      <c r="K229" s="66"/>
      <c r="L229" s="68"/>
      <c r="M229" s="63" t="str">
        <f>HYPERLINK("http://nsgreg.nga.mil/genc/view?v=867767&amp;end_month=12&amp;end_day=31&amp;end_year=2016","Correlation")</f>
        <v>Correlation</v>
      </c>
    </row>
    <row r="230" spans="1:13" x14ac:dyDescent="0.2">
      <c r="A230" s="113"/>
      <c r="B230" s="58" t="s">
        <v>1895</v>
      </c>
      <c r="C230" s="58" t="s">
        <v>1798</v>
      </c>
      <c r="D230" s="58" t="s">
        <v>1896</v>
      </c>
      <c r="E230" s="60" t="b">
        <v>1</v>
      </c>
      <c r="F230" s="80" t="s">
        <v>228</v>
      </c>
      <c r="G230" s="58" t="s">
        <v>1895</v>
      </c>
      <c r="H230" s="58" t="s">
        <v>1796</v>
      </c>
      <c r="I230" s="64" t="s">
        <v>1896</v>
      </c>
      <c r="J230" s="66"/>
      <c r="K230" s="66"/>
      <c r="L230" s="68"/>
      <c r="M230" s="63" t="str">
        <f>HYPERLINK("http://nsgreg.nga.mil/genc/view?v=867768&amp;end_month=12&amp;end_day=31&amp;end_year=2016","Correlation")</f>
        <v>Correlation</v>
      </c>
    </row>
    <row r="231" spans="1:13" x14ac:dyDescent="0.2">
      <c r="A231" s="113"/>
      <c r="B231" s="58" t="s">
        <v>1897</v>
      </c>
      <c r="C231" s="58" t="s">
        <v>1798</v>
      </c>
      <c r="D231" s="58" t="s">
        <v>1898</v>
      </c>
      <c r="E231" s="60" t="b">
        <v>1</v>
      </c>
      <c r="F231" s="80" t="s">
        <v>228</v>
      </c>
      <c r="G231" s="58" t="s">
        <v>1897</v>
      </c>
      <c r="H231" s="58" t="s">
        <v>1796</v>
      </c>
      <c r="I231" s="64" t="s">
        <v>1898</v>
      </c>
      <c r="J231" s="66"/>
      <c r="K231" s="66"/>
      <c r="L231" s="68"/>
      <c r="M231" s="63" t="str">
        <f>HYPERLINK("http://nsgreg.nga.mil/genc/view?v=867770&amp;end_month=12&amp;end_day=31&amp;end_year=2016","Correlation")</f>
        <v>Correlation</v>
      </c>
    </row>
    <row r="232" spans="1:13" x14ac:dyDescent="0.2">
      <c r="A232" s="113"/>
      <c r="B232" s="58" t="s">
        <v>1899</v>
      </c>
      <c r="C232" s="58" t="s">
        <v>1798</v>
      </c>
      <c r="D232" s="58" t="s">
        <v>1900</v>
      </c>
      <c r="E232" s="60" t="b">
        <v>1</v>
      </c>
      <c r="F232" s="80" t="s">
        <v>228</v>
      </c>
      <c r="G232" s="58" t="s">
        <v>1899</v>
      </c>
      <c r="H232" s="58" t="s">
        <v>1796</v>
      </c>
      <c r="I232" s="64" t="s">
        <v>1900</v>
      </c>
      <c r="J232" s="66"/>
      <c r="K232" s="66"/>
      <c r="L232" s="68"/>
      <c r="M232" s="63" t="str">
        <f>HYPERLINK("http://nsgreg.nga.mil/genc/view?v=867778&amp;end_month=12&amp;end_day=31&amp;end_year=2016","Correlation")</f>
        <v>Correlation</v>
      </c>
    </row>
    <row r="233" spans="1:13" x14ac:dyDescent="0.2">
      <c r="A233" s="113"/>
      <c r="B233" s="58" t="s">
        <v>1901</v>
      </c>
      <c r="C233" s="58" t="s">
        <v>1798</v>
      </c>
      <c r="D233" s="58" t="s">
        <v>1902</v>
      </c>
      <c r="E233" s="60" t="b">
        <v>1</v>
      </c>
      <c r="F233" s="80" t="s">
        <v>228</v>
      </c>
      <c r="G233" s="58" t="s">
        <v>1901</v>
      </c>
      <c r="H233" s="58" t="s">
        <v>1796</v>
      </c>
      <c r="I233" s="64" t="s">
        <v>1902</v>
      </c>
      <c r="J233" s="66"/>
      <c r="K233" s="66"/>
      <c r="L233" s="68"/>
      <c r="M233" s="63" t="str">
        <f>HYPERLINK("http://nsgreg.nga.mil/genc/view?v=867772&amp;end_month=12&amp;end_day=31&amp;end_year=2016","Correlation")</f>
        <v>Correlation</v>
      </c>
    </row>
    <row r="234" spans="1:13" x14ac:dyDescent="0.2">
      <c r="A234" s="113"/>
      <c r="B234" s="58" t="s">
        <v>1903</v>
      </c>
      <c r="C234" s="58" t="s">
        <v>1798</v>
      </c>
      <c r="D234" s="58" t="s">
        <v>1904</v>
      </c>
      <c r="E234" s="60" t="b">
        <v>1</v>
      </c>
      <c r="F234" s="80" t="s">
        <v>228</v>
      </c>
      <c r="G234" s="58" t="s">
        <v>1903</v>
      </c>
      <c r="H234" s="58" t="s">
        <v>1796</v>
      </c>
      <c r="I234" s="64" t="s">
        <v>1904</v>
      </c>
      <c r="J234" s="66"/>
      <c r="K234" s="66"/>
      <c r="L234" s="68"/>
      <c r="M234" s="63" t="str">
        <f>HYPERLINK("http://nsgreg.nga.mil/genc/view?v=867779&amp;end_month=12&amp;end_day=31&amp;end_year=2016","Correlation")</f>
        <v>Correlation</v>
      </c>
    </row>
    <row r="235" spans="1:13" x14ac:dyDescent="0.2">
      <c r="A235" s="113"/>
      <c r="B235" s="58" t="s">
        <v>1907</v>
      </c>
      <c r="C235" s="58" t="s">
        <v>1798</v>
      </c>
      <c r="D235" s="58" t="s">
        <v>1906</v>
      </c>
      <c r="E235" s="60" t="b">
        <v>1</v>
      </c>
      <c r="F235" s="80" t="s">
        <v>228</v>
      </c>
      <c r="G235" s="58" t="s">
        <v>1905</v>
      </c>
      <c r="H235" s="58" t="s">
        <v>1796</v>
      </c>
      <c r="I235" s="64" t="s">
        <v>1906</v>
      </c>
      <c r="J235" s="66"/>
      <c r="K235" s="66"/>
      <c r="L235" s="68"/>
      <c r="M235" s="63" t="str">
        <f>HYPERLINK("http://nsgreg.nga.mil/genc/view?v=867773&amp;end_month=12&amp;end_day=31&amp;end_year=2016","Correlation")</f>
        <v>Correlation</v>
      </c>
    </row>
    <row r="236" spans="1:13" x14ac:dyDescent="0.2">
      <c r="A236" s="113"/>
      <c r="B236" s="58" t="s">
        <v>1908</v>
      </c>
      <c r="C236" s="58" t="s">
        <v>1798</v>
      </c>
      <c r="D236" s="58" t="s">
        <v>1909</v>
      </c>
      <c r="E236" s="60" t="b">
        <v>1</v>
      </c>
      <c r="F236" s="80" t="s">
        <v>228</v>
      </c>
      <c r="G236" s="58" t="s">
        <v>1908</v>
      </c>
      <c r="H236" s="58" t="s">
        <v>1796</v>
      </c>
      <c r="I236" s="64" t="s">
        <v>1909</v>
      </c>
      <c r="J236" s="66"/>
      <c r="K236" s="66"/>
      <c r="L236" s="68"/>
      <c r="M236" s="63" t="str">
        <f>HYPERLINK("http://nsgreg.nga.mil/genc/view?v=867774&amp;end_month=12&amp;end_day=31&amp;end_year=2016","Correlation")</f>
        <v>Correlation</v>
      </c>
    </row>
    <row r="237" spans="1:13" x14ac:dyDescent="0.2">
      <c r="A237" s="113"/>
      <c r="B237" s="58" t="s">
        <v>1912</v>
      </c>
      <c r="C237" s="58" t="s">
        <v>1816</v>
      </c>
      <c r="D237" s="58" t="s">
        <v>1911</v>
      </c>
      <c r="E237" s="60" t="b">
        <v>1</v>
      </c>
      <c r="F237" s="80" t="s">
        <v>228</v>
      </c>
      <c r="G237" s="58" t="s">
        <v>1910</v>
      </c>
      <c r="H237" s="58" t="s">
        <v>1681</v>
      </c>
      <c r="I237" s="64" t="s">
        <v>1911</v>
      </c>
      <c r="J237" s="66"/>
      <c r="K237" s="66"/>
      <c r="L237" s="68"/>
      <c r="M237" s="63" t="str">
        <f>HYPERLINK("http://nsgreg.nga.mil/genc/view?v=867771&amp;end_month=12&amp;end_day=31&amp;end_year=2016","Correlation")</f>
        <v>Correlation</v>
      </c>
    </row>
    <row r="238" spans="1:13" x14ac:dyDescent="0.2">
      <c r="A238" s="113"/>
      <c r="B238" s="58" t="s">
        <v>1912</v>
      </c>
      <c r="C238" s="58" t="s">
        <v>1798</v>
      </c>
      <c r="D238" s="58" t="s">
        <v>1913</v>
      </c>
      <c r="E238" s="60" t="b">
        <v>1</v>
      </c>
      <c r="F238" s="80" t="s">
        <v>228</v>
      </c>
      <c r="G238" s="58" t="s">
        <v>1910</v>
      </c>
      <c r="H238" s="58" t="s">
        <v>1796</v>
      </c>
      <c r="I238" s="64" t="s">
        <v>1913</v>
      </c>
      <c r="J238" s="66"/>
      <c r="K238" s="66"/>
      <c r="L238" s="68"/>
      <c r="M238" s="63" t="str">
        <f>HYPERLINK("http://nsgreg.nga.mil/genc/view?v=867775&amp;end_month=12&amp;end_day=31&amp;end_year=2016","Correlation")</f>
        <v>Correlation</v>
      </c>
    </row>
    <row r="239" spans="1:13" x14ac:dyDescent="0.2">
      <c r="A239" s="113"/>
      <c r="B239" s="58" t="s">
        <v>1914</v>
      </c>
      <c r="C239" s="58" t="s">
        <v>1798</v>
      </c>
      <c r="D239" s="58" t="s">
        <v>1915</v>
      </c>
      <c r="E239" s="60" t="b">
        <v>1</v>
      </c>
      <c r="F239" s="80" t="s">
        <v>228</v>
      </c>
      <c r="G239" s="58" t="s">
        <v>1914</v>
      </c>
      <c r="H239" s="58" t="s">
        <v>1796</v>
      </c>
      <c r="I239" s="64" t="s">
        <v>1915</v>
      </c>
      <c r="J239" s="66"/>
      <c r="K239" s="66"/>
      <c r="L239" s="68"/>
      <c r="M239" s="63" t="str">
        <f>HYPERLINK("http://nsgreg.nga.mil/genc/view?v=867776&amp;end_month=12&amp;end_day=31&amp;end_year=2016","Correlation")</f>
        <v>Correlation</v>
      </c>
    </row>
    <row r="240" spans="1:13" x14ac:dyDescent="0.2">
      <c r="A240" s="113"/>
      <c r="B240" s="58" t="s">
        <v>1916</v>
      </c>
      <c r="C240" s="58" t="s">
        <v>1798</v>
      </c>
      <c r="D240" s="58" t="s">
        <v>1917</v>
      </c>
      <c r="E240" s="60" t="b">
        <v>1</v>
      </c>
      <c r="F240" s="80" t="s">
        <v>228</v>
      </c>
      <c r="G240" s="58" t="s">
        <v>1916</v>
      </c>
      <c r="H240" s="58" t="s">
        <v>1796</v>
      </c>
      <c r="I240" s="64" t="s">
        <v>1917</v>
      </c>
      <c r="J240" s="66"/>
      <c r="K240" s="66"/>
      <c r="L240" s="68"/>
      <c r="M240" s="63" t="str">
        <f>HYPERLINK("http://nsgreg.nga.mil/genc/view?v=867783&amp;end_month=12&amp;end_day=31&amp;end_year=2016","Correlation")</f>
        <v>Correlation</v>
      </c>
    </row>
    <row r="241" spans="1:13" x14ac:dyDescent="0.2">
      <c r="A241" s="113"/>
      <c r="B241" s="58" t="s">
        <v>1920</v>
      </c>
      <c r="C241" s="58" t="s">
        <v>1798</v>
      </c>
      <c r="D241" s="58" t="s">
        <v>1919</v>
      </c>
      <c r="E241" s="60" t="b">
        <v>1</v>
      </c>
      <c r="F241" s="80" t="s">
        <v>228</v>
      </c>
      <c r="G241" s="58" t="s">
        <v>1918</v>
      </c>
      <c r="H241" s="58" t="s">
        <v>1796</v>
      </c>
      <c r="I241" s="64" t="s">
        <v>1919</v>
      </c>
      <c r="J241" s="66"/>
      <c r="K241" s="66"/>
      <c r="L241" s="68"/>
      <c r="M241" s="63" t="str">
        <f>HYPERLINK("http://nsgreg.nga.mil/genc/view?v=867781&amp;end_month=12&amp;end_day=31&amp;end_year=2016","Correlation")</f>
        <v>Correlation</v>
      </c>
    </row>
    <row r="242" spans="1:13" x14ac:dyDescent="0.2">
      <c r="A242" s="113"/>
      <c r="B242" s="58" t="s">
        <v>1921</v>
      </c>
      <c r="C242" s="58" t="s">
        <v>1798</v>
      </c>
      <c r="D242" s="58" t="s">
        <v>1922</v>
      </c>
      <c r="E242" s="60" t="b">
        <v>1</v>
      </c>
      <c r="F242" s="80" t="s">
        <v>228</v>
      </c>
      <c r="G242" s="58" t="s">
        <v>1921</v>
      </c>
      <c r="H242" s="58" t="s">
        <v>1796</v>
      </c>
      <c r="I242" s="64" t="s">
        <v>1922</v>
      </c>
      <c r="J242" s="66"/>
      <c r="K242" s="66"/>
      <c r="L242" s="68"/>
      <c r="M242" s="63" t="str">
        <f>HYPERLINK("http://nsgreg.nga.mil/genc/view?v=867784&amp;end_month=12&amp;end_day=31&amp;end_year=2016","Correlation")</f>
        <v>Correlation</v>
      </c>
    </row>
    <row r="243" spans="1:13" x14ac:dyDescent="0.2">
      <c r="A243" s="113"/>
      <c r="B243" s="58" t="s">
        <v>1925</v>
      </c>
      <c r="C243" s="58" t="s">
        <v>1798</v>
      </c>
      <c r="D243" s="58" t="s">
        <v>1924</v>
      </c>
      <c r="E243" s="60" t="b">
        <v>1</v>
      </c>
      <c r="F243" s="80" t="s">
        <v>228</v>
      </c>
      <c r="G243" s="58" t="s">
        <v>1923</v>
      </c>
      <c r="H243" s="58" t="s">
        <v>1796</v>
      </c>
      <c r="I243" s="64" t="s">
        <v>1924</v>
      </c>
      <c r="J243" s="66"/>
      <c r="K243" s="66"/>
      <c r="L243" s="68"/>
      <c r="M243" s="63" t="str">
        <f>HYPERLINK("http://nsgreg.nga.mil/genc/view?v=867777&amp;end_month=12&amp;end_day=31&amp;end_year=2016","Correlation")</f>
        <v>Correlation</v>
      </c>
    </row>
    <row r="244" spans="1:13" x14ac:dyDescent="0.2">
      <c r="A244" s="113"/>
      <c r="B244" s="58" t="s">
        <v>1926</v>
      </c>
      <c r="C244" s="58" t="s">
        <v>1816</v>
      </c>
      <c r="D244" s="58" t="s">
        <v>1927</v>
      </c>
      <c r="E244" s="60" t="b">
        <v>1</v>
      </c>
      <c r="F244" s="80" t="s">
        <v>228</v>
      </c>
      <c r="G244" s="58" t="s">
        <v>1926</v>
      </c>
      <c r="H244" s="58" t="s">
        <v>1681</v>
      </c>
      <c r="I244" s="64" t="s">
        <v>1927</v>
      </c>
      <c r="J244" s="66"/>
      <c r="K244" s="66"/>
      <c r="L244" s="68"/>
      <c r="M244" s="63" t="str">
        <f>HYPERLINK("http://nsgreg.nga.mil/genc/view?v=867785&amp;end_month=12&amp;end_day=31&amp;end_year=2016","Correlation")</f>
        <v>Correlation</v>
      </c>
    </row>
    <row r="245" spans="1:13" x14ac:dyDescent="0.2">
      <c r="A245" s="113"/>
      <c r="B245" s="58" t="s">
        <v>1930</v>
      </c>
      <c r="C245" s="58" t="s">
        <v>1798</v>
      </c>
      <c r="D245" s="58" t="s">
        <v>1929</v>
      </c>
      <c r="E245" s="60" t="b">
        <v>1</v>
      </c>
      <c r="F245" s="80" t="s">
        <v>228</v>
      </c>
      <c r="G245" s="58" t="s">
        <v>1928</v>
      </c>
      <c r="H245" s="58" t="s">
        <v>1796</v>
      </c>
      <c r="I245" s="64" t="s">
        <v>1929</v>
      </c>
      <c r="J245" s="66"/>
      <c r="K245" s="66"/>
      <c r="L245" s="68"/>
      <c r="M245" s="63" t="str">
        <f>HYPERLINK("http://nsgreg.nga.mil/genc/view?v=867780&amp;end_month=12&amp;end_day=31&amp;end_year=2016","Correlation")</f>
        <v>Correlation</v>
      </c>
    </row>
    <row r="246" spans="1:13" x14ac:dyDescent="0.2">
      <c r="A246" s="113"/>
      <c r="B246" s="58" t="s">
        <v>1931</v>
      </c>
      <c r="C246" s="58" t="s">
        <v>1816</v>
      </c>
      <c r="D246" s="58" t="s">
        <v>1932</v>
      </c>
      <c r="E246" s="60" t="b">
        <v>1</v>
      </c>
      <c r="F246" s="80" t="s">
        <v>228</v>
      </c>
      <c r="G246" s="58" t="s">
        <v>1931</v>
      </c>
      <c r="H246" s="58" t="s">
        <v>1681</v>
      </c>
      <c r="I246" s="64" t="s">
        <v>1932</v>
      </c>
      <c r="J246" s="66"/>
      <c r="K246" s="66"/>
      <c r="L246" s="68"/>
      <c r="M246" s="63" t="str">
        <f>HYPERLINK("http://nsgreg.nga.mil/genc/view?v=867782&amp;end_month=12&amp;end_day=31&amp;end_year=2016","Correlation")</f>
        <v>Correlation</v>
      </c>
    </row>
    <row r="247" spans="1:13" x14ac:dyDescent="0.2">
      <c r="A247" s="113"/>
      <c r="B247" s="58" t="s">
        <v>1933</v>
      </c>
      <c r="C247" s="58" t="s">
        <v>1798</v>
      </c>
      <c r="D247" s="58" t="s">
        <v>1934</v>
      </c>
      <c r="E247" s="60" t="b">
        <v>1</v>
      </c>
      <c r="F247" s="80" t="s">
        <v>228</v>
      </c>
      <c r="G247" s="58" t="s">
        <v>1933</v>
      </c>
      <c r="H247" s="58" t="s">
        <v>1796</v>
      </c>
      <c r="I247" s="64" t="s">
        <v>1934</v>
      </c>
      <c r="J247" s="66"/>
      <c r="K247" s="66"/>
      <c r="L247" s="68"/>
      <c r="M247" s="63" t="str">
        <f>HYPERLINK("http://nsgreg.nga.mil/genc/view?v=867786&amp;end_month=12&amp;end_day=31&amp;end_year=2016","Correlation")</f>
        <v>Correlation</v>
      </c>
    </row>
    <row r="248" spans="1:13" x14ac:dyDescent="0.2">
      <c r="A248" s="113"/>
      <c r="B248" s="58" t="s">
        <v>1937</v>
      </c>
      <c r="C248" s="58" t="s">
        <v>1798</v>
      </c>
      <c r="D248" s="58" t="s">
        <v>1936</v>
      </c>
      <c r="E248" s="60" t="b">
        <v>1</v>
      </c>
      <c r="F248" s="80" t="s">
        <v>228</v>
      </c>
      <c r="G248" s="58" t="s">
        <v>1935</v>
      </c>
      <c r="H248" s="58" t="s">
        <v>1796</v>
      </c>
      <c r="I248" s="64" t="s">
        <v>1936</v>
      </c>
      <c r="J248" s="66"/>
      <c r="K248" s="66"/>
      <c r="L248" s="68"/>
      <c r="M248" s="63" t="str">
        <f>HYPERLINK("http://nsgreg.nga.mil/genc/view?v=867787&amp;end_month=12&amp;end_day=31&amp;end_year=2016","Correlation")</f>
        <v>Correlation</v>
      </c>
    </row>
    <row r="249" spans="1:13" x14ac:dyDescent="0.2">
      <c r="A249" s="113"/>
      <c r="B249" s="58" t="s">
        <v>1938</v>
      </c>
      <c r="C249" s="58" t="s">
        <v>1798</v>
      </c>
      <c r="D249" s="58" t="s">
        <v>1939</v>
      </c>
      <c r="E249" s="60" t="b">
        <v>1</v>
      </c>
      <c r="F249" s="80" t="s">
        <v>228</v>
      </c>
      <c r="G249" s="58" t="s">
        <v>1938</v>
      </c>
      <c r="H249" s="58" t="s">
        <v>1796</v>
      </c>
      <c r="I249" s="64" t="s">
        <v>1939</v>
      </c>
      <c r="J249" s="66"/>
      <c r="K249" s="66"/>
      <c r="L249" s="68"/>
      <c r="M249" s="63" t="str">
        <f>HYPERLINK("http://nsgreg.nga.mil/genc/view?v=867788&amp;end_month=12&amp;end_day=31&amp;end_year=2016","Correlation")</f>
        <v>Correlation</v>
      </c>
    </row>
    <row r="250" spans="1:13" x14ac:dyDescent="0.2">
      <c r="A250" s="113"/>
      <c r="B250" s="58" t="s">
        <v>1940</v>
      </c>
      <c r="C250" s="58" t="s">
        <v>1798</v>
      </c>
      <c r="D250" s="58" t="s">
        <v>1941</v>
      </c>
      <c r="E250" s="60" t="b">
        <v>1</v>
      </c>
      <c r="F250" s="80" t="s">
        <v>228</v>
      </c>
      <c r="G250" s="58" t="s">
        <v>1940</v>
      </c>
      <c r="H250" s="58" t="s">
        <v>1796</v>
      </c>
      <c r="I250" s="64" t="s">
        <v>1941</v>
      </c>
      <c r="J250" s="66"/>
      <c r="K250" s="66"/>
      <c r="L250" s="68"/>
      <c r="M250" s="63" t="str">
        <f>HYPERLINK("http://nsgreg.nga.mil/genc/view?v=867789&amp;end_month=12&amp;end_day=31&amp;end_year=2016","Correlation")</f>
        <v>Correlation</v>
      </c>
    </row>
    <row r="251" spans="1:13" x14ac:dyDescent="0.2">
      <c r="A251" s="113"/>
      <c r="B251" s="58" t="s">
        <v>1942</v>
      </c>
      <c r="C251" s="58" t="s">
        <v>1798</v>
      </c>
      <c r="D251" s="58" t="s">
        <v>1943</v>
      </c>
      <c r="E251" s="60" t="b">
        <v>1</v>
      </c>
      <c r="F251" s="80" t="s">
        <v>228</v>
      </c>
      <c r="G251" s="58" t="s">
        <v>1942</v>
      </c>
      <c r="H251" s="58" t="s">
        <v>1796</v>
      </c>
      <c r="I251" s="64" t="s">
        <v>1943</v>
      </c>
      <c r="J251" s="66"/>
      <c r="K251" s="66"/>
      <c r="L251" s="68"/>
      <c r="M251" s="63" t="str">
        <f>HYPERLINK("http://nsgreg.nga.mil/genc/view?v=867791&amp;end_month=12&amp;end_day=31&amp;end_year=2016","Correlation")</f>
        <v>Correlation</v>
      </c>
    </row>
    <row r="252" spans="1:13" x14ac:dyDescent="0.2">
      <c r="A252" s="113"/>
      <c r="B252" s="58" t="s">
        <v>1946</v>
      </c>
      <c r="C252" s="58" t="s">
        <v>1816</v>
      </c>
      <c r="D252" s="58" t="s">
        <v>1945</v>
      </c>
      <c r="E252" s="60" t="b">
        <v>1</v>
      </c>
      <c r="F252" s="80" t="s">
        <v>228</v>
      </c>
      <c r="G252" s="58" t="s">
        <v>1944</v>
      </c>
      <c r="H252" s="58" t="s">
        <v>1681</v>
      </c>
      <c r="I252" s="64" t="s">
        <v>1945</v>
      </c>
      <c r="J252" s="66"/>
      <c r="K252" s="66"/>
      <c r="L252" s="68"/>
      <c r="M252" s="63" t="str">
        <f>HYPERLINK("http://nsgreg.nga.mil/genc/view?v=867790&amp;end_month=12&amp;end_day=31&amp;end_year=2016","Correlation")</f>
        <v>Correlation</v>
      </c>
    </row>
    <row r="253" spans="1:13" x14ac:dyDescent="0.2">
      <c r="A253" s="113"/>
      <c r="B253" s="58" t="s">
        <v>1947</v>
      </c>
      <c r="C253" s="58" t="s">
        <v>1798</v>
      </c>
      <c r="D253" s="58" t="s">
        <v>1948</v>
      </c>
      <c r="E253" s="60" t="b">
        <v>1</v>
      </c>
      <c r="F253" s="80" t="s">
        <v>228</v>
      </c>
      <c r="G253" s="58" t="s">
        <v>1947</v>
      </c>
      <c r="H253" s="58" t="s">
        <v>1796</v>
      </c>
      <c r="I253" s="64" t="s">
        <v>1948</v>
      </c>
      <c r="J253" s="66"/>
      <c r="K253" s="66"/>
      <c r="L253" s="68"/>
      <c r="M253" s="63" t="str">
        <f>HYPERLINK("http://nsgreg.nga.mil/genc/view?v=867793&amp;end_month=12&amp;end_day=31&amp;end_year=2016","Correlation")</f>
        <v>Correlation</v>
      </c>
    </row>
    <row r="254" spans="1:13" x14ac:dyDescent="0.2">
      <c r="A254" s="113"/>
      <c r="B254" s="58" t="s">
        <v>1949</v>
      </c>
      <c r="C254" s="58" t="s">
        <v>1798</v>
      </c>
      <c r="D254" s="58" t="s">
        <v>1950</v>
      </c>
      <c r="E254" s="60" t="b">
        <v>1</v>
      </c>
      <c r="F254" s="80" t="s">
        <v>228</v>
      </c>
      <c r="G254" s="58" t="s">
        <v>1949</v>
      </c>
      <c r="H254" s="58" t="s">
        <v>1796</v>
      </c>
      <c r="I254" s="64" t="s">
        <v>1950</v>
      </c>
      <c r="J254" s="66"/>
      <c r="K254" s="66"/>
      <c r="L254" s="68"/>
      <c r="M254" s="63" t="str">
        <f>HYPERLINK("http://nsgreg.nga.mil/genc/view?v=867792&amp;end_month=12&amp;end_day=31&amp;end_year=2016","Correlation")</f>
        <v>Correlation</v>
      </c>
    </row>
    <row r="255" spans="1:13" x14ac:dyDescent="0.2">
      <c r="A255" s="113"/>
      <c r="B255" s="58" t="s">
        <v>1953</v>
      </c>
      <c r="C255" s="58" t="s">
        <v>1798</v>
      </c>
      <c r="D255" s="58" t="s">
        <v>1952</v>
      </c>
      <c r="E255" s="60" t="b">
        <v>1</v>
      </c>
      <c r="F255" s="80" t="s">
        <v>228</v>
      </c>
      <c r="G255" s="58" t="s">
        <v>1951</v>
      </c>
      <c r="H255" s="58" t="s">
        <v>1796</v>
      </c>
      <c r="I255" s="64" t="s">
        <v>1952</v>
      </c>
      <c r="J255" s="66"/>
      <c r="K255" s="66"/>
      <c r="L255" s="68"/>
      <c r="M255" s="63" t="str">
        <f>HYPERLINK("http://nsgreg.nga.mil/genc/view?v=867794&amp;end_month=12&amp;end_day=31&amp;end_year=2016","Correlation")</f>
        <v>Correlation</v>
      </c>
    </row>
    <row r="256" spans="1:13" x14ac:dyDescent="0.2">
      <c r="A256" s="113"/>
      <c r="B256" s="58" t="s">
        <v>1954</v>
      </c>
      <c r="C256" s="58" t="s">
        <v>1798</v>
      </c>
      <c r="D256" s="58" t="s">
        <v>1955</v>
      </c>
      <c r="E256" s="60" t="b">
        <v>1</v>
      </c>
      <c r="F256" s="80" t="s">
        <v>228</v>
      </c>
      <c r="G256" s="58" t="s">
        <v>1954</v>
      </c>
      <c r="H256" s="58" t="s">
        <v>1796</v>
      </c>
      <c r="I256" s="64" t="s">
        <v>1955</v>
      </c>
      <c r="J256" s="66"/>
      <c r="K256" s="66"/>
      <c r="L256" s="68"/>
      <c r="M256" s="63" t="str">
        <f>HYPERLINK("http://nsgreg.nga.mil/genc/view?v=867795&amp;end_month=12&amp;end_day=31&amp;end_year=2016","Correlation")</f>
        <v>Correlation</v>
      </c>
    </row>
    <row r="257" spans="1:13" x14ac:dyDescent="0.2">
      <c r="A257" s="113"/>
      <c r="B257" s="58" t="s">
        <v>1956</v>
      </c>
      <c r="C257" s="58" t="s">
        <v>1816</v>
      </c>
      <c r="D257" s="58" t="s">
        <v>1957</v>
      </c>
      <c r="E257" s="60" t="b">
        <v>1</v>
      </c>
      <c r="F257" s="80" t="s">
        <v>228</v>
      </c>
      <c r="G257" s="58" t="s">
        <v>1956</v>
      </c>
      <c r="H257" s="58" t="s">
        <v>1681</v>
      </c>
      <c r="I257" s="64" t="s">
        <v>1957</v>
      </c>
      <c r="J257" s="66"/>
      <c r="K257" s="66"/>
      <c r="L257" s="68"/>
      <c r="M257" s="63" t="str">
        <f>HYPERLINK("http://nsgreg.nga.mil/genc/view?v=867796&amp;end_month=12&amp;end_day=31&amp;end_year=2016","Correlation")</f>
        <v>Correlation</v>
      </c>
    </row>
    <row r="258" spans="1:13" x14ac:dyDescent="0.2">
      <c r="A258" s="113"/>
      <c r="B258" s="58" t="s">
        <v>1956</v>
      </c>
      <c r="C258" s="58" t="s">
        <v>1798</v>
      </c>
      <c r="D258" s="58" t="s">
        <v>1958</v>
      </c>
      <c r="E258" s="60" t="b">
        <v>1</v>
      </c>
      <c r="F258" s="80" t="s">
        <v>228</v>
      </c>
      <c r="G258" s="58" t="s">
        <v>1956</v>
      </c>
      <c r="H258" s="58" t="s">
        <v>1796</v>
      </c>
      <c r="I258" s="64" t="s">
        <v>1958</v>
      </c>
      <c r="J258" s="66"/>
      <c r="K258" s="66"/>
      <c r="L258" s="68"/>
      <c r="M258" s="63" t="str">
        <f>HYPERLINK("http://nsgreg.nga.mil/genc/view?v=867797&amp;end_month=12&amp;end_day=31&amp;end_year=2016","Correlation")</f>
        <v>Correlation</v>
      </c>
    </row>
    <row r="259" spans="1:13" x14ac:dyDescent="0.2">
      <c r="A259" s="113"/>
      <c r="B259" s="58" t="s">
        <v>1961</v>
      </c>
      <c r="C259" s="58" t="s">
        <v>1798</v>
      </c>
      <c r="D259" s="58" t="s">
        <v>1960</v>
      </c>
      <c r="E259" s="60" t="b">
        <v>1</v>
      </c>
      <c r="F259" s="80" t="s">
        <v>228</v>
      </c>
      <c r="G259" s="58" t="s">
        <v>1959</v>
      </c>
      <c r="H259" s="58" t="s">
        <v>1796</v>
      </c>
      <c r="I259" s="64" t="s">
        <v>1960</v>
      </c>
      <c r="J259" s="66"/>
      <c r="K259" s="66"/>
      <c r="L259" s="68"/>
      <c r="M259" s="63" t="str">
        <f>HYPERLINK("http://nsgreg.nga.mil/genc/view?v=867798&amp;end_month=12&amp;end_day=31&amp;end_year=2016","Correlation")</f>
        <v>Correlation</v>
      </c>
    </row>
    <row r="260" spans="1:13" x14ac:dyDescent="0.2">
      <c r="A260" s="113"/>
      <c r="B260" s="58" t="s">
        <v>1962</v>
      </c>
      <c r="C260" s="58" t="s">
        <v>1798</v>
      </c>
      <c r="D260" s="58" t="s">
        <v>1963</v>
      </c>
      <c r="E260" s="60" t="b">
        <v>1</v>
      </c>
      <c r="F260" s="80" t="s">
        <v>228</v>
      </c>
      <c r="G260" s="58" t="s">
        <v>1962</v>
      </c>
      <c r="H260" s="58" t="s">
        <v>1796</v>
      </c>
      <c r="I260" s="64" t="s">
        <v>1963</v>
      </c>
      <c r="J260" s="66"/>
      <c r="K260" s="66"/>
      <c r="L260" s="68"/>
      <c r="M260" s="63" t="str">
        <f>HYPERLINK("http://nsgreg.nga.mil/genc/view?v=867799&amp;end_month=12&amp;end_day=31&amp;end_year=2016","Correlation")</f>
        <v>Correlation</v>
      </c>
    </row>
    <row r="261" spans="1:13" x14ac:dyDescent="0.2">
      <c r="A261" s="114"/>
      <c r="B261" s="71" t="s">
        <v>1966</v>
      </c>
      <c r="C261" s="71" t="s">
        <v>1798</v>
      </c>
      <c r="D261" s="71" t="s">
        <v>1965</v>
      </c>
      <c r="E261" s="73" t="b">
        <v>1</v>
      </c>
      <c r="F261" s="81" t="s">
        <v>228</v>
      </c>
      <c r="G261" s="71" t="s">
        <v>1964</v>
      </c>
      <c r="H261" s="71" t="s">
        <v>1796</v>
      </c>
      <c r="I261" s="74" t="s">
        <v>1965</v>
      </c>
      <c r="J261" s="76"/>
      <c r="K261" s="76"/>
      <c r="L261" s="82"/>
      <c r="M261" s="77" t="str">
        <f>HYPERLINK("http://nsgreg.nga.mil/genc/view?v=867800&amp;end_month=12&amp;end_day=31&amp;end_year=2016","Correlation")</f>
        <v>Correlation</v>
      </c>
    </row>
    <row r="262" spans="1:13" x14ac:dyDescent="0.2">
      <c r="A262" s="112" t="s">
        <v>236</v>
      </c>
      <c r="B262" s="50" t="s">
        <v>1967</v>
      </c>
      <c r="C262" s="50" t="s">
        <v>1796</v>
      </c>
      <c r="D262" s="50" t="s">
        <v>1968</v>
      </c>
      <c r="E262" s="52" t="b">
        <v>1</v>
      </c>
      <c r="F262" s="78" t="s">
        <v>232</v>
      </c>
      <c r="G262" s="50" t="s">
        <v>1967</v>
      </c>
      <c r="H262" s="50" t="s">
        <v>1796</v>
      </c>
      <c r="I262" s="53" t="s">
        <v>1968</v>
      </c>
      <c r="J262" s="55"/>
      <c r="K262" s="55"/>
      <c r="L262" s="79"/>
      <c r="M262" s="56" t="str">
        <f>HYPERLINK("http://nsgreg.nga.mil/genc/view?v=868063&amp;end_month=12&amp;end_day=31&amp;end_year=2016","Correlation")</f>
        <v>Correlation</v>
      </c>
    </row>
    <row r="263" spans="1:13" x14ac:dyDescent="0.2">
      <c r="A263" s="113"/>
      <c r="B263" s="58" t="s">
        <v>1969</v>
      </c>
      <c r="C263" s="58" t="s">
        <v>1796</v>
      </c>
      <c r="D263" s="58" t="s">
        <v>1970</v>
      </c>
      <c r="E263" s="60" t="b">
        <v>1</v>
      </c>
      <c r="F263" s="80" t="s">
        <v>232</v>
      </c>
      <c r="G263" s="58" t="s">
        <v>1969</v>
      </c>
      <c r="H263" s="58" t="s">
        <v>1796</v>
      </c>
      <c r="I263" s="64" t="s">
        <v>1970</v>
      </c>
      <c r="J263" s="66"/>
      <c r="K263" s="66"/>
      <c r="L263" s="68"/>
      <c r="M263" s="63" t="str">
        <f>HYPERLINK("http://nsgreg.nga.mil/genc/view?v=868066&amp;end_month=12&amp;end_day=31&amp;end_year=2016","Correlation")</f>
        <v>Correlation</v>
      </c>
    </row>
    <row r="264" spans="1:13" x14ac:dyDescent="0.2">
      <c r="A264" s="113"/>
      <c r="B264" s="58" t="s">
        <v>1971</v>
      </c>
      <c r="C264" s="58" t="s">
        <v>1796</v>
      </c>
      <c r="D264" s="58" t="s">
        <v>1972</v>
      </c>
      <c r="E264" s="60" t="b">
        <v>1</v>
      </c>
      <c r="F264" s="80" t="s">
        <v>232</v>
      </c>
      <c r="G264" s="58" t="s">
        <v>1971</v>
      </c>
      <c r="H264" s="58" t="s">
        <v>1796</v>
      </c>
      <c r="I264" s="64" t="s">
        <v>1972</v>
      </c>
      <c r="J264" s="66"/>
      <c r="K264" s="66"/>
      <c r="L264" s="68"/>
      <c r="M264" s="63" t="str">
        <f>HYPERLINK("http://nsgreg.nga.mil/genc/view?v=868064&amp;end_month=12&amp;end_day=31&amp;end_year=2016","Correlation")</f>
        <v>Correlation</v>
      </c>
    </row>
    <row r="265" spans="1:13" x14ac:dyDescent="0.2">
      <c r="A265" s="113"/>
      <c r="B265" s="58" t="s">
        <v>1973</v>
      </c>
      <c r="C265" s="58" t="s">
        <v>1796</v>
      </c>
      <c r="D265" s="58" t="s">
        <v>1974</v>
      </c>
      <c r="E265" s="60" t="b">
        <v>1</v>
      </c>
      <c r="F265" s="80" t="s">
        <v>232</v>
      </c>
      <c r="G265" s="58" t="s">
        <v>1973</v>
      </c>
      <c r="H265" s="58" t="s">
        <v>1796</v>
      </c>
      <c r="I265" s="64" t="s">
        <v>1974</v>
      </c>
      <c r="J265" s="66"/>
      <c r="K265" s="66"/>
      <c r="L265" s="68"/>
      <c r="M265" s="63" t="str">
        <f>HYPERLINK("http://nsgreg.nga.mil/genc/view?v=868065&amp;end_month=12&amp;end_day=31&amp;end_year=2016","Correlation")</f>
        <v>Correlation</v>
      </c>
    </row>
    <row r="266" spans="1:13" x14ac:dyDescent="0.2">
      <c r="A266" s="113"/>
      <c r="B266" s="58" t="s">
        <v>1975</v>
      </c>
      <c r="C266" s="58" t="s">
        <v>1796</v>
      </c>
      <c r="D266" s="58" t="s">
        <v>1976</v>
      </c>
      <c r="E266" s="60" t="b">
        <v>1</v>
      </c>
      <c r="F266" s="80" t="s">
        <v>232</v>
      </c>
      <c r="G266" s="58" t="s">
        <v>1975</v>
      </c>
      <c r="H266" s="58" t="s">
        <v>1796</v>
      </c>
      <c r="I266" s="64" t="s">
        <v>1976</v>
      </c>
      <c r="J266" s="66"/>
      <c r="K266" s="66"/>
      <c r="L266" s="68"/>
      <c r="M266" s="63" t="str">
        <f>HYPERLINK("http://nsgreg.nga.mil/genc/view?v=868068&amp;end_month=12&amp;end_day=31&amp;end_year=2016","Correlation")</f>
        <v>Correlation</v>
      </c>
    </row>
    <row r="267" spans="1:13" x14ac:dyDescent="0.2">
      <c r="A267" s="113"/>
      <c r="B267" s="58" t="s">
        <v>1977</v>
      </c>
      <c r="C267" s="58" t="s">
        <v>1796</v>
      </c>
      <c r="D267" s="58" t="s">
        <v>1978</v>
      </c>
      <c r="E267" s="60" t="b">
        <v>1</v>
      </c>
      <c r="F267" s="80" t="s">
        <v>232</v>
      </c>
      <c r="G267" s="58" t="s">
        <v>1977</v>
      </c>
      <c r="H267" s="58" t="s">
        <v>1796</v>
      </c>
      <c r="I267" s="64" t="s">
        <v>1978</v>
      </c>
      <c r="J267" s="66"/>
      <c r="K267" s="66"/>
      <c r="L267" s="68"/>
      <c r="M267" s="63" t="str">
        <f>HYPERLINK("http://nsgreg.nga.mil/genc/view?v=868070&amp;end_month=12&amp;end_day=31&amp;end_year=2016","Correlation")</f>
        <v>Correlation</v>
      </c>
    </row>
    <row r="268" spans="1:13" x14ac:dyDescent="0.2">
      <c r="A268" s="113"/>
      <c r="B268" s="58" t="s">
        <v>1979</v>
      </c>
      <c r="C268" s="58" t="s">
        <v>1796</v>
      </c>
      <c r="D268" s="58" t="s">
        <v>1980</v>
      </c>
      <c r="E268" s="60" t="b">
        <v>1</v>
      </c>
      <c r="F268" s="80" t="s">
        <v>232</v>
      </c>
      <c r="G268" s="58" t="s">
        <v>1979</v>
      </c>
      <c r="H268" s="58" t="s">
        <v>1796</v>
      </c>
      <c r="I268" s="64" t="s">
        <v>1980</v>
      </c>
      <c r="J268" s="66"/>
      <c r="K268" s="66"/>
      <c r="L268" s="68"/>
      <c r="M268" s="63" t="str">
        <f>HYPERLINK("http://nsgreg.nga.mil/genc/view?v=868071&amp;end_month=12&amp;end_day=31&amp;end_year=2016","Correlation")</f>
        <v>Correlation</v>
      </c>
    </row>
    <row r="269" spans="1:13" x14ac:dyDescent="0.2">
      <c r="A269" s="113"/>
      <c r="B269" s="58" t="s">
        <v>1981</v>
      </c>
      <c r="C269" s="58" t="s">
        <v>1796</v>
      </c>
      <c r="D269" s="58" t="s">
        <v>1982</v>
      </c>
      <c r="E269" s="60" t="b">
        <v>1</v>
      </c>
      <c r="F269" s="80" t="s">
        <v>232</v>
      </c>
      <c r="G269" s="58" t="s">
        <v>1981</v>
      </c>
      <c r="H269" s="58" t="s">
        <v>1796</v>
      </c>
      <c r="I269" s="64" t="s">
        <v>1982</v>
      </c>
      <c r="J269" s="66"/>
      <c r="K269" s="66"/>
      <c r="L269" s="68"/>
      <c r="M269" s="63" t="str">
        <f>HYPERLINK("http://nsgreg.nga.mil/genc/view?v=868067&amp;end_month=12&amp;end_day=31&amp;end_year=2016","Correlation")</f>
        <v>Correlation</v>
      </c>
    </row>
    <row r="270" spans="1:13" x14ac:dyDescent="0.2">
      <c r="A270" s="113"/>
      <c r="B270" s="58" t="s">
        <v>1983</v>
      </c>
      <c r="C270" s="58" t="s">
        <v>1796</v>
      </c>
      <c r="D270" s="58" t="s">
        <v>1984</v>
      </c>
      <c r="E270" s="60" t="b">
        <v>1</v>
      </c>
      <c r="F270" s="80" t="s">
        <v>232</v>
      </c>
      <c r="G270" s="58" t="s">
        <v>1983</v>
      </c>
      <c r="H270" s="58" t="s">
        <v>1796</v>
      </c>
      <c r="I270" s="64" t="s">
        <v>1984</v>
      </c>
      <c r="J270" s="66"/>
      <c r="K270" s="66"/>
      <c r="L270" s="68"/>
      <c r="M270" s="63" t="str">
        <f>HYPERLINK("http://nsgreg.nga.mil/genc/view?v=868074&amp;end_month=12&amp;end_day=31&amp;end_year=2016","Correlation")</f>
        <v>Correlation</v>
      </c>
    </row>
    <row r="271" spans="1:13" x14ac:dyDescent="0.2">
      <c r="A271" s="113"/>
      <c r="B271" s="58" t="s">
        <v>1985</v>
      </c>
      <c r="C271" s="58" t="s">
        <v>1796</v>
      </c>
      <c r="D271" s="58" t="s">
        <v>1986</v>
      </c>
      <c r="E271" s="60" t="b">
        <v>1</v>
      </c>
      <c r="F271" s="80" t="s">
        <v>232</v>
      </c>
      <c r="G271" s="58" t="s">
        <v>1985</v>
      </c>
      <c r="H271" s="58" t="s">
        <v>1796</v>
      </c>
      <c r="I271" s="64" t="s">
        <v>1986</v>
      </c>
      <c r="J271" s="66"/>
      <c r="K271" s="66"/>
      <c r="L271" s="68"/>
      <c r="M271" s="63" t="str">
        <f>HYPERLINK("http://nsgreg.nga.mil/genc/view?v=868069&amp;end_month=12&amp;end_day=31&amp;end_year=2016","Correlation")</f>
        <v>Correlation</v>
      </c>
    </row>
    <row r="272" spans="1:13" x14ac:dyDescent="0.2">
      <c r="A272" s="113"/>
      <c r="B272" s="58" t="s">
        <v>1987</v>
      </c>
      <c r="C272" s="58" t="s">
        <v>1796</v>
      </c>
      <c r="D272" s="58" t="s">
        <v>1988</v>
      </c>
      <c r="E272" s="60" t="b">
        <v>1</v>
      </c>
      <c r="F272" s="80" t="s">
        <v>232</v>
      </c>
      <c r="G272" s="58" t="s">
        <v>1987</v>
      </c>
      <c r="H272" s="58" t="s">
        <v>1796</v>
      </c>
      <c r="I272" s="64" t="s">
        <v>1988</v>
      </c>
      <c r="J272" s="66"/>
      <c r="K272" s="66"/>
      <c r="L272" s="68"/>
      <c r="M272" s="63" t="str">
        <f>HYPERLINK("http://nsgreg.nga.mil/genc/view?v=868072&amp;end_month=12&amp;end_day=31&amp;end_year=2016","Correlation")</f>
        <v>Correlation</v>
      </c>
    </row>
    <row r="273" spans="1:13" x14ac:dyDescent="0.2">
      <c r="A273" s="113"/>
      <c r="B273" s="58" t="s">
        <v>1989</v>
      </c>
      <c r="C273" s="58" t="s">
        <v>1796</v>
      </c>
      <c r="D273" s="58" t="s">
        <v>1990</v>
      </c>
      <c r="E273" s="60" t="b">
        <v>1</v>
      </c>
      <c r="F273" s="80" t="s">
        <v>232</v>
      </c>
      <c r="G273" s="58" t="s">
        <v>1989</v>
      </c>
      <c r="H273" s="58" t="s">
        <v>1796</v>
      </c>
      <c r="I273" s="64" t="s">
        <v>1990</v>
      </c>
      <c r="J273" s="66"/>
      <c r="K273" s="66"/>
      <c r="L273" s="68"/>
      <c r="M273" s="63" t="str">
        <f>HYPERLINK("http://nsgreg.nga.mil/genc/view?v=868073&amp;end_month=12&amp;end_day=31&amp;end_year=2016","Correlation")</f>
        <v>Correlation</v>
      </c>
    </row>
    <row r="274" spans="1:13" x14ac:dyDescent="0.2">
      <c r="A274" s="113"/>
      <c r="B274" s="58" t="s">
        <v>1991</v>
      </c>
      <c r="C274" s="58" t="s">
        <v>1796</v>
      </c>
      <c r="D274" s="58" t="s">
        <v>1992</v>
      </c>
      <c r="E274" s="60" t="b">
        <v>1</v>
      </c>
      <c r="F274" s="80" t="s">
        <v>232</v>
      </c>
      <c r="G274" s="58" t="s">
        <v>1991</v>
      </c>
      <c r="H274" s="58" t="s">
        <v>1796</v>
      </c>
      <c r="I274" s="64" t="s">
        <v>1992</v>
      </c>
      <c r="J274" s="66"/>
      <c r="K274" s="66"/>
      <c r="L274" s="68"/>
      <c r="M274" s="63" t="str">
        <f>HYPERLINK("http://nsgreg.nga.mil/genc/view?v=868075&amp;end_month=12&amp;end_day=31&amp;end_year=2016","Correlation")</f>
        <v>Correlation</v>
      </c>
    </row>
    <row r="275" spans="1:13" x14ac:dyDescent="0.2">
      <c r="A275" s="113"/>
      <c r="B275" s="58" t="s">
        <v>1993</v>
      </c>
      <c r="C275" s="58" t="s">
        <v>1796</v>
      </c>
      <c r="D275" s="58" t="s">
        <v>1994</v>
      </c>
      <c r="E275" s="60" t="b">
        <v>1</v>
      </c>
      <c r="F275" s="80" t="s">
        <v>232</v>
      </c>
      <c r="G275" s="58" t="s">
        <v>1993</v>
      </c>
      <c r="H275" s="58" t="s">
        <v>1796</v>
      </c>
      <c r="I275" s="64" t="s">
        <v>1994</v>
      </c>
      <c r="J275" s="66"/>
      <c r="K275" s="66"/>
      <c r="L275" s="68"/>
      <c r="M275" s="63" t="str">
        <f>HYPERLINK("http://nsgreg.nga.mil/genc/view?v=868076&amp;end_month=12&amp;end_day=31&amp;end_year=2016","Correlation")</f>
        <v>Correlation</v>
      </c>
    </row>
    <row r="276" spans="1:13" x14ac:dyDescent="0.2">
      <c r="A276" s="113"/>
      <c r="B276" s="58" t="s">
        <v>1995</v>
      </c>
      <c r="C276" s="58" t="s">
        <v>1796</v>
      </c>
      <c r="D276" s="58" t="s">
        <v>1996</v>
      </c>
      <c r="E276" s="60" t="b">
        <v>1</v>
      </c>
      <c r="F276" s="80" t="s">
        <v>232</v>
      </c>
      <c r="G276" s="58" t="s">
        <v>1995</v>
      </c>
      <c r="H276" s="58" t="s">
        <v>1796</v>
      </c>
      <c r="I276" s="64" t="s">
        <v>1996</v>
      </c>
      <c r="J276" s="66"/>
      <c r="K276" s="66"/>
      <c r="L276" s="68"/>
      <c r="M276" s="63" t="str">
        <f>HYPERLINK("http://nsgreg.nga.mil/genc/view?v=868077&amp;end_month=12&amp;end_day=31&amp;end_year=2016","Correlation")</f>
        <v>Correlation</v>
      </c>
    </row>
    <row r="277" spans="1:13" x14ac:dyDescent="0.2">
      <c r="A277" s="113"/>
      <c r="B277" s="58" t="s">
        <v>1997</v>
      </c>
      <c r="C277" s="58" t="s">
        <v>1796</v>
      </c>
      <c r="D277" s="58" t="s">
        <v>1998</v>
      </c>
      <c r="E277" s="60" t="b">
        <v>1</v>
      </c>
      <c r="F277" s="80" t="s">
        <v>232</v>
      </c>
      <c r="G277" s="58" t="s">
        <v>1997</v>
      </c>
      <c r="H277" s="58" t="s">
        <v>1796</v>
      </c>
      <c r="I277" s="64" t="s">
        <v>1998</v>
      </c>
      <c r="J277" s="66"/>
      <c r="K277" s="66"/>
      <c r="L277" s="68"/>
      <c r="M277" s="63" t="str">
        <f>HYPERLINK("http://nsgreg.nga.mil/genc/view?v=868078&amp;end_month=12&amp;end_day=31&amp;end_year=2016","Correlation")</f>
        <v>Correlation</v>
      </c>
    </row>
    <row r="278" spans="1:13" x14ac:dyDescent="0.2">
      <c r="A278" s="113"/>
      <c r="B278" s="58" t="s">
        <v>1999</v>
      </c>
      <c r="C278" s="58" t="s">
        <v>1796</v>
      </c>
      <c r="D278" s="58" t="s">
        <v>2000</v>
      </c>
      <c r="E278" s="60" t="b">
        <v>1</v>
      </c>
      <c r="F278" s="80" t="s">
        <v>232</v>
      </c>
      <c r="G278" s="58" t="s">
        <v>1999</v>
      </c>
      <c r="H278" s="58" t="s">
        <v>1796</v>
      </c>
      <c r="I278" s="64" t="s">
        <v>2000</v>
      </c>
      <c r="J278" s="66"/>
      <c r="K278" s="66"/>
      <c r="L278" s="68"/>
      <c r="M278" s="63" t="str">
        <f>HYPERLINK("http://nsgreg.nga.mil/genc/view?v=868079&amp;end_month=12&amp;end_day=31&amp;end_year=2016","Correlation")</f>
        <v>Correlation</v>
      </c>
    </row>
    <row r="279" spans="1:13" x14ac:dyDescent="0.2">
      <c r="A279" s="113"/>
      <c r="B279" s="58" t="s">
        <v>2001</v>
      </c>
      <c r="C279" s="58" t="s">
        <v>1796</v>
      </c>
      <c r="D279" s="58" t="s">
        <v>2002</v>
      </c>
      <c r="E279" s="60" t="b">
        <v>1</v>
      </c>
      <c r="F279" s="80" t="s">
        <v>232</v>
      </c>
      <c r="G279" s="58" t="s">
        <v>2001</v>
      </c>
      <c r="H279" s="58" t="s">
        <v>1796</v>
      </c>
      <c r="I279" s="64" t="s">
        <v>2002</v>
      </c>
      <c r="J279" s="66"/>
      <c r="K279" s="66"/>
      <c r="L279" s="68"/>
      <c r="M279" s="63" t="str">
        <f>HYPERLINK("http://nsgreg.nga.mil/genc/view?v=868080&amp;end_month=12&amp;end_day=31&amp;end_year=2016","Correlation")</f>
        <v>Correlation</v>
      </c>
    </row>
    <row r="280" spans="1:13" x14ac:dyDescent="0.2">
      <c r="A280" s="113"/>
      <c r="B280" s="58" t="s">
        <v>2003</v>
      </c>
      <c r="C280" s="58" t="s">
        <v>1796</v>
      </c>
      <c r="D280" s="58" t="s">
        <v>2004</v>
      </c>
      <c r="E280" s="60" t="b">
        <v>1</v>
      </c>
      <c r="F280" s="80" t="s">
        <v>232</v>
      </c>
      <c r="G280" s="58" t="s">
        <v>2003</v>
      </c>
      <c r="H280" s="58" t="s">
        <v>1796</v>
      </c>
      <c r="I280" s="64" t="s">
        <v>2004</v>
      </c>
      <c r="J280" s="66"/>
      <c r="K280" s="66"/>
      <c r="L280" s="68"/>
      <c r="M280" s="63" t="str">
        <f>HYPERLINK("http://nsgreg.nga.mil/genc/view?v=868081&amp;end_month=12&amp;end_day=31&amp;end_year=2016","Correlation")</f>
        <v>Correlation</v>
      </c>
    </row>
    <row r="281" spans="1:13" x14ac:dyDescent="0.2">
      <c r="A281" s="113"/>
      <c r="B281" s="58" t="s">
        <v>2005</v>
      </c>
      <c r="C281" s="58" t="s">
        <v>1796</v>
      </c>
      <c r="D281" s="58" t="s">
        <v>2006</v>
      </c>
      <c r="E281" s="60" t="b">
        <v>1</v>
      </c>
      <c r="F281" s="80" t="s">
        <v>232</v>
      </c>
      <c r="G281" s="58" t="s">
        <v>2005</v>
      </c>
      <c r="H281" s="58" t="s">
        <v>1796</v>
      </c>
      <c r="I281" s="64" t="s">
        <v>2006</v>
      </c>
      <c r="J281" s="66"/>
      <c r="K281" s="66"/>
      <c r="L281" s="68"/>
      <c r="M281" s="63" t="str">
        <f>HYPERLINK("http://nsgreg.nga.mil/genc/view?v=868082&amp;end_month=12&amp;end_day=31&amp;end_year=2016","Correlation")</f>
        <v>Correlation</v>
      </c>
    </row>
    <row r="282" spans="1:13" x14ac:dyDescent="0.2">
      <c r="A282" s="113"/>
      <c r="B282" s="58" t="s">
        <v>2007</v>
      </c>
      <c r="C282" s="58" t="s">
        <v>1796</v>
      </c>
      <c r="D282" s="58" t="s">
        <v>2008</v>
      </c>
      <c r="E282" s="60" t="b">
        <v>1</v>
      </c>
      <c r="F282" s="80" t="s">
        <v>232</v>
      </c>
      <c r="G282" s="58" t="s">
        <v>2007</v>
      </c>
      <c r="H282" s="58" t="s">
        <v>1796</v>
      </c>
      <c r="I282" s="64" t="s">
        <v>2008</v>
      </c>
      <c r="J282" s="66"/>
      <c r="K282" s="66"/>
      <c r="L282" s="68"/>
      <c r="M282" s="63" t="str">
        <f>HYPERLINK("http://nsgreg.nga.mil/genc/view?v=868084&amp;end_month=12&amp;end_day=31&amp;end_year=2016","Correlation")</f>
        <v>Correlation</v>
      </c>
    </row>
    <row r="283" spans="1:13" x14ac:dyDescent="0.2">
      <c r="A283" s="113"/>
      <c r="B283" s="58" t="s">
        <v>2009</v>
      </c>
      <c r="C283" s="58" t="s">
        <v>1796</v>
      </c>
      <c r="D283" s="58" t="s">
        <v>2010</v>
      </c>
      <c r="E283" s="60" t="b">
        <v>1</v>
      </c>
      <c r="F283" s="80" t="s">
        <v>232</v>
      </c>
      <c r="G283" s="58" t="s">
        <v>2009</v>
      </c>
      <c r="H283" s="58" t="s">
        <v>1796</v>
      </c>
      <c r="I283" s="64" t="s">
        <v>2010</v>
      </c>
      <c r="J283" s="66"/>
      <c r="K283" s="66"/>
      <c r="L283" s="68"/>
      <c r="M283" s="63" t="str">
        <f>HYPERLINK("http://nsgreg.nga.mil/genc/view?v=868085&amp;end_month=12&amp;end_day=31&amp;end_year=2016","Correlation")</f>
        <v>Correlation</v>
      </c>
    </row>
    <row r="284" spans="1:13" x14ac:dyDescent="0.2">
      <c r="A284" s="113"/>
      <c r="B284" s="58" t="s">
        <v>2011</v>
      </c>
      <c r="C284" s="58" t="s">
        <v>1796</v>
      </c>
      <c r="D284" s="58" t="s">
        <v>2012</v>
      </c>
      <c r="E284" s="60" t="b">
        <v>1</v>
      </c>
      <c r="F284" s="80" t="s">
        <v>232</v>
      </c>
      <c r="G284" s="58" t="s">
        <v>2011</v>
      </c>
      <c r="H284" s="58" t="s">
        <v>1796</v>
      </c>
      <c r="I284" s="64" t="s">
        <v>2012</v>
      </c>
      <c r="J284" s="66"/>
      <c r="K284" s="66"/>
      <c r="L284" s="68"/>
      <c r="M284" s="63" t="str">
        <f>HYPERLINK("http://nsgreg.nga.mil/genc/view?v=868083&amp;end_month=12&amp;end_day=31&amp;end_year=2016","Correlation")</f>
        <v>Correlation</v>
      </c>
    </row>
    <row r="285" spans="1:13" x14ac:dyDescent="0.2">
      <c r="A285" s="113"/>
      <c r="B285" s="58" t="s">
        <v>2013</v>
      </c>
      <c r="C285" s="58" t="s">
        <v>1796</v>
      </c>
      <c r="D285" s="58" t="s">
        <v>2014</v>
      </c>
      <c r="E285" s="60" t="b">
        <v>1</v>
      </c>
      <c r="F285" s="80" t="s">
        <v>232</v>
      </c>
      <c r="G285" s="58" t="s">
        <v>2013</v>
      </c>
      <c r="H285" s="58" t="s">
        <v>1796</v>
      </c>
      <c r="I285" s="64" t="s">
        <v>2014</v>
      </c>
      <c r="J285" s="66"/>
      <c r="K285" s="66"/>
      <c r="L285" s="68"/>
      <c r="M285" s="63" t="str">
        <f>HYPERLINK("http://nsgreg.nga.mil/genc/view?v=868087&amp;end_month=12&amp;end_day=31&amp;end_year=2016","Correlation")</f>
        <v>Correlation</v>
      </c>
    </row>
    <row r="286" spans="1:13" x14ac:dyDescent="0.2">
      <c r="A286" s="113"/>
      <c r="B286" s="58" t="s">
        <v>2015</v>
      </c>
      <c r="C286" s="58" t="s">
        <v>1796</v>
      </c>
      <c r="D286" s="58" t="s">
        <v>2016</v>
      </c>
      <c r="E286" s="60" t="b">
        <v>1</v>
      </c>
      <c r="F286" s="80" t="s">
        <v>232</v>
      </c>
      <c r="G286" s="58" t="s">
        <v>2015</v>
      </c>
      <c r="H286" s="58" t="s">
        <v>1796</v>
      </c>
      <c r="I286" s="64" t="s">
        <v>2016</v>
      </c>
      <c r="J286" s="66"/>
      <c r="K286" s="66"/>
      <c r="L286" s="68"/>
      <c r="M286" s="63" t="str">
        <f>HYPERLINK("http://nsgreg.nga.mil/genc/view?v=868086&amp;end_month=12&amp;end_day=31&amp;end_year=2016","Correlation")</f>
        <v>Correlation</v>
      </c>
    </row>
    <row r="287" spans="1:13" x14ac:dyDescent="0.2">
      <c r="A287" s="113"/>
      <c r="B287" s="58" t="s">
        <v>2017</v>
      </c>
      <c r="C287" s="58" t="s">
        <v>1796</v>
      </c>
      <c r="D287" s="58" t="s">
        <v>2018</v>
      </c>
      <c r="E287" s="60" t="b">
        <v>1</v>
      </c>
      <c r="F287" s="80" t="s">
        <v>232</v>
      </c>
      <c r="G287" s="58" t="s">
        <v>2017</v>
      </c>
      <c r="H287" s="58" t="s">
        <v>1796</v>
      </c>
      <c r="I287" s="64" t="s">
        <v>2018</v>
      </c>
      <c r="J287" s="66"/>
      <c r="K287" s="66"/>
      <c r="L287" s="68"/>
      <c r="M287" s="63" t="str">
        <f>HYPERLINK("http://nsgreg.nga.mil/genc/view?v=868091&amp;end_month=12&amp;end_day=31&amp;end_year=2016","Correlation")</f>
        <v>Correlation</v>
      </c>
    </row>
    <row r="288" spans="1:13" x14ac:dyDescent="0.2">
      <c r="A288" s="113"/>
      <c r="B288" s="58" t="s">
        <v>2019</v>
      </c>
      <c r="C288" s="58" t="s">
        <v>1796</v>
      </c>
      <c r="D288" s="58" t="s">
        <v>2020</v>
      </c>
      <c r="E288" s="60" t="b">
        <v>1</v>
      </c>
      <c r="F288" s="80" t="s">
        <v>232</v>
      </c>
      <c r="G288" s="58" t="s">
        <v>2019</v>
      </c>
      <c r="H288" s="58" t="s">
        <v>1796</v>
      </c>
      <c r="I288" s="64" t="s">
        <v>2020</v>
      </c>
      <c r="J288" s="66"/>
      <c r="K288" s="66"/>
      <c r="L288" s="68"/>
      <c r="M288" s="63" t="str">
        <f>HYPERLINK("http://nsgreg.nga.mil/genc/view?v=868090&amp;end_month=12&amp;end_day=31&amp;end_year=2016","Correlation")</f>
        <v>Correlation</v>
      </c>
    </row>
    <row r="289" spans="1:13" x14ac:dyDescent="0.2">
      <c r="A289" s="113"/>
      <c r="B289" s="58" t="s">
        <v>2021</v>
      </c>
      <c r="C289" s="58" t="s">
        <v>1796</v>
      </c>
      <c r="D289" s="58" t="s">
        <v>2022</v>
      </c>
      <c r="E289" s="60" t="b">
        <v>1</v>
      </c>
      <c r="F289" s="80" t="s">
        <v>232</v>
      </c>
      <c r="G289" s="58" t="s">
        <v>2021</v>
      </c>
      <c r="H289" s="58" t="s">
        <v>1796</v>
      </c>
      <c r="I289" s="64" t="s">
        <v>2022</v>
      </c>
      <c r="J289" s="66"/>
      <c r="K289" s="66"/>
      <c r="L289" s="68"/>
      <c r="M289" s="63" t="str">
        <f>HYPERLINK("http://nsgreg.nga.mil/genc/view?v=868088&amp;end_month=12&amp;end_day=31&amp;end_year=2016","Correlation")</f>
        <v>Correlation</v>
      </c>
    </row>
    <row r="290" spans="1:13" x14ac:dyDescent="0.2">
      <c r="A290" s="113"/>
      <c r="B290" s="58" t="s">
        <v>2023</v>
      </c>
      <c r="C290" s="58" t="s">
        <v>1796</v>
      </c>
      <c r="D290" s="58" t="s">
        <v>2024</v>
      </c>
      <c r="E290" s="60" t="b">
        <v>1</v>
      </c>
      <c r="F290" s="80" t="s">
        <v>232</v>
      </c>
      <c r="G290" s="58" t="s">
        <v>2023</v>
      </c>
      <c r="H290" s="58" t="s">
        <v>1796</v>
      </c>
      <c r="I290" s="64" t="s">
        <v>2024</v>
      </c>
      <c r="J290" s="66"/>
      <c r="K290" s="66"/>
      <c r="L290" s="68"/>
      <c r="M290" s="63" t="str">
        <f>HYPERLINK("http://nsgreg.nga.mil/genc/view?v=868089&amp;end_month=12&amp;end_day=31&amp;end_year=2016","Correlation")</f>
        <v>Correlation</v>
      </c>
    </row>
    <row r="291" spans="1:13" x14ac:dyDescent="0.2">
      <c r="A291" s="113"/>
      <c r="B291" s="58" t="s">
        <v>2025</v>
      </c>
      <c r="C291" s="58" t="s">
        <v>1796</v>
      </c>
      <c r="D291" s="58" t="s">
        <v>2026</v>
      </c>
      <c r="E291" s="60" t="b">
        <v>1</v>
      </c>
      <c r="F291" s="80" t="s">
        <v>232</v>
      </c>
      <c r="G291" s="58" t="s">
        <v>2025</v>
      </c>
      <c r="H291" s="58" t="s">
        <v>1796</v>
      </c>
      <c r="I291" s="64" t="s">
        <v>2026</v>
      </c>
      <c r="J291" s="66"/>
      <c r="K291" s="66"/>
      <c r="L291" s="68"/>
      <c r="M291" s="63" t="str">
        <f>HYPERLINK("http://nsgreg.nga.mil/genc/view?v=868092&amp;end_month=12&amp;end_day=31&amp;end_year=2016","Correlation")</f>
        <v>Correlation</v>
      </c>
    </row>
    <row r="292" spans="1:13" x14ac:dyDescent="0.2">
      <c r="A292" s="114"/>
      <c r="B292" s="71" t="s">
        <v>2027</v>
      </c>
      <c r="C292" s="71" t="s">
        <v>1796</v>
      </c>
      <c r="D292" s="71" t="s">
        <v>2028</v>
      </c>
      <c r="E292" s="73" t="b">
        <v>1</v>
      </c>
      <c r="F292" s="81" t="s">
        <v>232</v>
      </c>
      <c r="G292" s="71" t="s">
        <v>2027</v>
      </c>
      <c r="H292" s="71" t="s">
        <v>1796</v>
      </c>
      <c r="I292" s="74" t="s">
        <v>2028</v>
      </c>
      <c r="J292" s="76"/>
      <c r="K292" s="76"/>
      <c r="L292" s="82"/>
      <c r="M292" s="77" t="str">
        <f>HYPERLINK("http://nsgreg.nga.mil/genc/view?v=868093&amp;end_month=12&amp;end_day=31&amp;end_year=2016","Correlation")</f>
        <v>Correlation</v>
      </c>
    </row>
    <row r="293" spans="1:13" x14ac:dyDescent="0.2">
      <c r="A293" s="112" t="s">
        <v>237</v>
      </c>
      <c r="B293" s="50" t="s">
        <v>2029</v>
      </c>
      <c r="C293" s="50" t="s">
        <v>2030</v>
      </c>
      <c r="D293" s="50" t="s">
        <v>2031</v>
      </c>
      <c r="E293" s="52" t="b">
        <v>1</v>
      </c>
      <c r="F293" s="78" t="s">
        <v>237</v>
      </c>
      <c r="G293" s="50" t="s">
        <v>2029</v>
      </c>
      <c r="H293" s="50" t="s">
        <v>2030</v>
      </c>
      <c r="I293" s="53" t="s">
        <v>2031</v>
      </c>
      <c r="J293" s="55"/>
      <c r="K293" s="55"/>
      <c r="L293" s="79"/>
      <c r="M293" s="56" t="str">
        <f>HYPERLINK("http://nsgreg.nga.mil/genc/view?v=867986&amp;end_month=12&amp;end_day=31&amp;end_year=2016","Correlation")</f>
        <v>Correlation</v>
      </c>
    </row>
    <row r="294" spans="1:13" x14ac:dyDescent="0.2">
      <c r="A294" s="113"/>
      <c r="B294" s="58" t="s">
        <v>2032</v>
      </c>
      <c r="C294" s="58" t="s">
        <v>2030</v>
      </c>
      <c r="D294" s="58" t="s">
        <v>2033</v>
      </c>
      <c r="E294" s="60" t="b">
        <v>1</v>
      </c>
      <c r="F294" s="80" t="s">
        <v>237</v>
      </c>
      <c r="G294" s="58" t="s">
        <v>2032</v>
      </c>
      <c r="H294" s="58" t="s">
        <v>2030</v>
      </c>
      <c r="I294" s="64" t="s">
        <v>2033</v>
      </c>
      <c r="J294" s="66"/>
      <c r="K294" s="66"/>
      <c r="L294" s="68"/>
      <c r="M294" s="63" t="str">
        <f>HYPERLINK("http://nsgreg.nga.mil/genc/view?v=867987&amp;end_month=12&amp;end_day=31&amp;end_year=2016","Correlation")</f>
        <v>Correlation</v>
      </c>
    </row>
    <row r="295" spans="1:13" x14ac:dyDescent="0.2">
      <c r="A295" s="113"/>
      <c r="B295" s="58" t="s">
        <v>2034</v>
      </c>
      <c r="C295" s="58" t="s">
        <v>2030</v>
      </c>
      <c r="D295" s="58" t="s">
        <v>2035</v>
      </c>
      <c r="E295" s="60" t="b">
        <v>1</v>
      </c>
      <c r="F295" s="80" t="s">
        <v>237</v>
      </c>
      <c r="G295" s="58" t="s">
        <v>2034</v>
      </c>
      <c r="H295" s="58" t="s">
        <v>2030</v>
      </c>
      <c r="I295" s="64" t="s">
        <v>2035</v>
      </c>
      <c r="J295" s="66"/>
      <c r="K295" s="66"/>
      <c r="L295" s="68"/>
      <c r="M295" s="63" t="str">
        <f>HYPERLINK("http://nsgreg.nga.mil/genc/view?v=867988&amp;end_month=12&amp;end_day=31&amp;end_year=2016","Correlation")</f>
        <v>Correlation</v>
      </c>
    </row>
    <row r="296" spans="1:13" x14ac:dyDescent="0.2">
      <c r="A296" s="114"/>
      <c r="B296" s="71" t="s">
        <v>2036</v>
      </c>
      <c r="C296" s="71" t="s">
        <v>2030</v>
      </c>
      <c r="D296" s="71" t="s">
        <v>2037</v>
      </c>
      <c r="E296" s="73" t="b">
        <v>1</v>
      </c>
      <c r="F296" s="81" t="s">
        <v>237</v>
      </c>
      <c r="G296" s="71" t="s">
        <v>2036</v>
      </c>
      <c r="H296" s="71" t="s">
        <v>2030</v>
      </c>
      <c r="I296" s="74" t="s">
        <v>2037</v>
      </c>
      <c r="J296" s="76"/>
      <c r="K296" s="76"/>
      <c r="L296" s="82"/>
      <c r="M296" s="77" t="str">
        <f>HYPERLINK("http://nsgreg.nga.mil/genc/view?v=867989&amp;end_month=12&amp;end_day=31&amp;end_year=2016","Correlation")</f>
        <v>Correlation</v>
      </c>
    </row>
    <row r="297" spans="1:13" x14ac:dyDescent="0.2">
      <c r="A297" s="112" t="s">
        <v>253</v>
      </c>
      <c r="B297" s="50" t="s">
        <v>2040</v>
      </c>
      <c r="C297" s="50" t="s">
        <v>1796</v>
      </c>
      <c r="D297" s="50" t="s">
        <v>2039</v>
      </c>
      <c r="E297" s="52" t="b">
        <v>1</v>
      </c>
      <c r="F297" s="78" t="s">
        <v>253</v>
      </c>
      <c r="G297" s="50" t="s">
        <v>2038</v>
      </c>
      <c r="H297" s="50" t="s">
        <v>1796</v>
      </c>
      <c r="I297" s="53" t="s">
        <v>2039</v>
      </c>
      <c r="J297" s="55"/>
      <c r="K297" s="55"/>
      <c r="L297" s="79"/>
      <c r="M297" s="56" t="str">
        <f>HYPERLINK("http://nsgreg.nga.mil/genc/view?v=867819&amp;end_month=12&amp;end_day=31&amp;end_year=2016","Correlation")</f>
        <v>Correlation</v>
      </c>
    </row>
    <row r="298" spans="1:13" x14ac:dyDescent="0.2">
      <c r="A298" s="113"/>
      <c r="B298" s="58" t="s">
        <v>2041</v>
      </c>
      <c r="C298" s="58" t="s">
        <v>1796</v>
      </c>
      <c r="D298" s="58" t="s">
        <v>2042</v>
      </c>
      <c r="E298" s="60" t="b">
        <v>1</v>
      </c>
      <c r="F298" s="80" t="s">
        <v>253</v>
      </c>
      <c r="G298" s="58" t="s">
        <v>2041</v>
      </c>
      <c r="H298" s="58" t="s">
        <v>1796</v>
      </c>
      <c r="I298" s="64" t="s">
        <v>2042</v>
      </c>
      <c r="J298" s="66"/>
      <c r="K298" s="66"/>
      <c r="L298" s="68"/>
      <c r="M298" s="63" t="str">
        <f>HYPERLINK("http://nsgreg.nga.mil/genc/view?v=867815&amp;end_month=12&amp;end_day=31&amp;end_year=2016","Correlation")</f>
        <v>Correlation</v>
      </c>
    </row>
    <row r="299" spans="1:13" x14ac:dyDescent="0.2">
      <c r="A299" s="113"/>
      <c r="B299" s="58" t="s">
        <v>2043</v>
      </c>
      <c r="C299" s="58" t="s">
        <v>1796</v>
      </c>
      <c r="D299" s="58" t="s">
        <v>2044</v>
      </c>
      <c r="E299" s="60" t="b">
        <v>1</v>
      </c>
      <c r="F299" s="80" t="s">
        <v>253</v>
      </c>
      <c r="G299" s="58" t="s">
        <v>2043</v>
      </c>
      <c r="H299" s="58" t="s">
        <v>1796</v>
      </c>
      <c r="I299" s="64" t="s">
        <v>2044</v>
      </c>
      <c r="J299" s="66"/>
      <c r="K299" s="66"/>
      <c r="L299" s="68"/>
      <c r="M299" s="63" t="str">
        <f>HYPERLINK("http://nsgreg.nga.mil/genc/view?v=867816&amp;end_month=12&amp;end_day=31&amp;end_year=2016","Correlation")</f>
        <v>Correlation</v>
      </c>
    </row>
    <row r="300" spans="1:13" x14ac:dyDescent="0.2">
      <c r="A300" s="113"/>
      <c r="B300" s="58" t="s">
        <v>2047</v>
      </c>
      <c r="C300" s="58" t="s">
        <v>1796</v>
      </c>
      <c r="D300" s="58" t="s">
        <v>2046</v>
      </c>
      <c r="E300" s="60" t="b">
        <v>1</v>
      </c>
      <c r="F300" s="80" t="s">
        <v>253</v>
      </c>
      <c r="G300" s="58" t="s">
        <v>2045</v>
      </c>
      <c r="H300" s="58" t="s">
        <v>1796</v>
      </c>
      <c r="I300" s="64" t="s">
        <v>2046</v>
      </c>
      <c r="J300" s="66"/>
      <c r="K300" s="66"/>
      <c r="L300" s="68"/>
      <c r="M300" s="63" t="str">
        <f>HYPERLINK("http://nsgreg.nga.mil/genc/view?v=867820&amp;end_month=12&amp;end_day=31&amp;end_year=2016","Correlation")</f>
        <v>Correlation</v>
      </c>
    </row>
    <row r="301" spans="1:13" x14ac:dyDescent="0.2">
      <c r="A301" s="113"/>
      <c r="B301" s="58" t="s">
        <v>2047</v>
      </c>
      <c r="C301" s="58" t="s">
        <v>2048</v>
      </c>
      <c r="D301" s="58" t="s">
        <v>2049</v>
      </c>
      <c r="E301" s="60" t="b">
        <v>1</v>
      </c>
      <c r="F301" s="80" t="s">
        <v>253</v>
      </c>
      <c r="G301" s="58" t="s">
        <v>2045</v>
      </c>
      <c r="H301" s="58" t="s">
        <v>2048</v>
      </c>
      <c r="I301" s="64" t="s">
        <v>2049</v>
      </c>
      <c r="J301" s="66"/>
      <c r="K301" s="66"/>
      <c r="L301" s="68"/>
      <c r="M301" s="63" t="str">
        <f>HYPERLINK("http://nsgreg.nga.mil/genc/view?v=867879&amp;end_month=12&amp;end_day=31&amp;end_year=2016","Correlation")</f>
        <v>Correlation</v>
      </c>
    </row>
    <row r="302" spans="1:13" x14ac:dyDescent="0.2">
      <c r="A302" s="113"/>
      <c r="B302" s="58" t="s">
        <v>2050</v>
      </c>
      <c r="C302" s="58" t="s">
        <v>1796</v>
      </c>
      <c r="D302" s="58" t="s">
        <v>2051</v>
      </c>
      <c r="E302" s="60" t="b">
        <v>1</v>
      </c>
      <c r="F302" s="80" t="s">
        <v>253</v>
      </c>
      <c r="G302" s="58" t="s">
        <v>2050</v>
      </c>
      <c r="H302" s="58" t="s">
        <v>1796</v>
      </c>
      <c r="I302" s="64" t="s">
        <v>2051</v>
      </c>
      <c r="J302" s="66"/>
      <c r="K302" s="66"/>
      <c r="L302" s="68"/>
      <c r="M302" s="63" t="str">
        <f>HYPERLINK("http://nsgreg.nga.mil/genc/view?v=867821&amp;end_month=12&amp;end_day=31&amp;end_year=2016","Correlation")</f>
        <v>Correlation</v>
      </c>
    </row>
    <row r="303" spans="1:13" x14ac:dyDescent="0.2">
      <c r="A303" s="113"/>
      <c r="B303" s="58" t="s">
        <v>2052</v>
      </c>
      <c r="C303" s="58" t="s">
        <v>1796</v>
      </c>
      <c r="D303" s="58" t="s">
        <v>2053</v>
      </c>
      <c r="E303" s="60" t="b">
        <v>1</v>
      </c>
      <c r="F303" s="80" t="s">
        <v>253</v>
      </c>
      <c r="G303" s="58" t="s">
        <v>2052</v>
      </c>
      <c r="H303" s="58" t="s">
        <v>1796</v>
      </c>
      <c r="I303" s="64" t="s">
        <v>2053</v>
      </c>
      <c r="J303" s="66"/>
      <c r="K303" s="66"/>
      <c r="L303" s="68"/>
      <c r="M303" s="63" t="str">
        <f>HYPERLINK("http://nsgreg.nga.mil/genc/view?v=867817&amp;end_month=12&amp;end_day=31&amp;end_year=2016","Correlation")</f>
        <v>Correlation</v>
      </c>
    </row>
    <row r="304" spans="1:13" x14ac:dyDescent="0.2">
      <c r="A304" s="113"/>
      <c r="B304" s="58" t="s">
        <v>2056</v>
      </c>
      <c r="C304" s="58" t="s">
        <v>1796</v>
      </c>
      <c r="D304" s="58" t="s">
        <v>2055</v>
      </c>
      <c r="E304" s="60" t="b">
        <v>1</v>
      </c>
      <c r="F304" s="80" t="s">
        <v>253</v>
      </c>
      <c r="G304" s="58" t="s">
        <v>2054</v>
      </c>
      <c r="H304" s="58" t="s">
        <v>1796</v>
      </c>
      <c r="I304" s="64" t="s">
        <v>2055</v>
      </c>
      <c r="J304" s="66"/>
      <c r="K304" s="66"/>
      <c r="L304" s="68"/>
      <c r="M304" s="63" t="str">
        <f>HYPERLINK("http://nsgreg.nga.mil/genc/view?v=867818&amp;end_month=12&amp;end_day=31&amp;end_year=2016","Correlation")</f>
        <v>Correlation</v>
      </c>
    </row>
    <row r="305" spans="1:13" x14ac:dyDescent="0.2">
      <c r="A305" s="113"/>
      <c r="B305" s="58" t="s">
        <v>2059</v>
      </c>
      <c r="C305" s="58" t="s">
        <v>1796</v>
      </c>
      <c r="D305" s="58" t="s">
        <v>2058</v>
      </c>
      <c r="E305" s="60" t="b">
        <v>1</v>
      </c>
      <c r="F305" s="80" t="s">
        <v>253</v>
      </c>
      <c r="G305" s="58" t="s">
        <v>2057</v>
      </c>
      <c r="H305" s="58" t="s">
        <v>1796</v>
      </c>
      <c r="I305" s="64" t="s">
        <v>2058</v>
      </c>
      <c r="J305" s="66"/>
      <c r="K305" s="66"/>
      <c r="L305" s="68"/>
      <c r="M305" s="63" t="str">
        <f>HYPERLINK("http://nsgreg.nga.mil/genc/view?v=867823&amp;end_month=12&amp;end_day=31&amp;end_year=2016","Correlation")</f>
        <v>Correlation</v>
      </c>
    </row>
    <row r="306" spans="1:13" x14ac:dyDescent="0.2">
      <c r="A306" s="113"/>
      <c r="B306" s="58" t="s">
        <v>2062</v>
      </c>
      <c r="C306" s="58" t="s">
        <v>1796</v>
      </c>
      <c r="D306" s="58" t="s">
        <v>2061</v>
      </c>
      <c r="E306" s="60" t="b">
        <v>1</v>
      </c>
      <c r="F306" s="80" t="s">
        <v>253</v>
      </c>
      <c r="G306" s="58" t="s">
        <v>2060</v>
      </c>
      <c r="H306" s="58" t="s">
        <v>1796</v>
      </c>
      <c r="I306" s="64" t="s">
        <v>2061</v>
      </c>
      <c r="J306" s="66"/>
      <c r="K306" s="66"/>
      <c r="L306" s="68"/>
      <c r="M306" s="63" t="str">
        <f>HYPERLINK("http://nsgreg.nga.mil/genc/view?v=867859&amp;end_month=12&amp;end_day=31&amp;end_year=2016","Correlation")</f>
        <v>Correlation</v>
      </c>
    </row>
    <row r="307" spans="1:13" x14ac:dyDescent="0.2">
      <c r="A307" s="113"/>
      <c r="B307" s="58" t="s">
        <v>2063</v>
      </c>
      <c r="C307" s="58" t="s">
        <v>1796</v>
      </c>
      <c r="D307" s="58" t="s">
        <v>2064</v>
      </c>
      <c r="E307" s="60" t="b">
        <v>1</v>
      </c>
      <c r="F307" s="80" t="s">
        <v>253</v>
      </c>
      <c r="G307" s="58" t="s">
        <v>2063</v>
      </c>
      <c r="H307" s="58" t="s">
        <v>1796</v>
      </c>
      <c r="I307" s="64" t="s">
        <v>2064</v>
      </c>
      <c r="J307" s="66"/>
      <c r="K307" s="66"/>
      <c r="L307" s="68"/>
      <c r="M307" s="63" t="str">
        <f>HYPERLINK("http://nsgreg.nga.mil/genc/view?v=867824&amp;end_month=12&amp;end_day=31&amp;end_year=2016","Correlation")</f>
        <v>Correlation</v>
      </c>
    </row>
    <row r="308" spans="1:13" x14ac:dyDescent="0.2">
      <c r="A308" s="113"/>
      <c r="B308" s="58" t="s">
        <v>2063</v>
      </c>
      <c r="C308" s="58" t="s">
        <v>2048</v>
      </c>
      <c r="D308" s="58" t="s">
        <v>2065</v>
      </c>
      <c r="E308" s="60" t="b">
        <v>1</v>
      </c>
      <c r="F308" s="80" t="s">
        <v>253</v>
      </c>
      <c r="G308" s="58" t="s">
        <v>2063</v>
      </c>
      <c r="H308" s="58" t="s">
        <v>2048</v>
      </c>
      <c r="I308" s="64" t="s">
        <v>2065</v>
      </c>
      <c r="J308" s="66"/>
      <c r="K308" s="66"/>
      <c r="L308" s="68"/>
      <c r="M308" s="63" t="str">
        <f>HYPERLINK("http://nsgreg.nga.mil/genc/view?v=867880&amp;end_month=12&amp;end_day=31&amp;end_year=2016","Correlation")</f>
        <v>Correlation</v>
      </c>
    </row>
    <row r="309" spans="1:13" x14ac:dyDescent="0.2">
      <c r="A309" s="113"/>
      <c r="B309" s="58" t="s">
        <v>2068</v>
      </c>
      <c r="C309" s="58" t="s">
        <v>1796</v>
      </c>
      <c r="D309" s="58" t="s">
        <v>2067</v>
      </c>
      <c r="E309" s="60" t="b">
        <v>1</v>
      </c>
      <c r="F309" s="80" t="s">
        <v>253</v>
      </c>
      <c r="G309" s="58" t="s">
        <v>2066</v>
      </c>
      <c r="H309" s="58" t="s">
        <v>1796</v>
      </c>
      <c r="I309" s="64" t="s">
        <v>2067</v>
      </c>
      <c r="J309" s="66"/>
      <c r="K309" s="66"/>
      <c r="L309" s="68"/>
      <c r="M309" s="63" t="str">
        <f>HYPERLINK("http://nsgreg.nga.mil/genc/view?v=867826&amp;end_month=12&amp;end_day=31&amp;end_year=2016","Correlation")</f>
        <v>Correlation</v>
      </c>
    </row>
    <row r="310" spans="1:13" x14ac:dyDescent="0.2">
      <c r="A310" s="113"/>
      <c r="B310" s="58" t="s">
        <v>2069</v>
      </c>
      <c r="C310" s="58" t="s">
        <v>1796</v>
      </c>
      <c r="D310" s="58" t="s">
        <v>2070</v>
      </c>
      <c r="E310" s="60" t="b">
        <v>1</v>
      </c>
      <c r="F310" s="80" t="s">
        <v>253</v>
      </c>
      <c r="G310" s="58" t="s">
        <v>2069</v>
      </c>
      <c r="H310" s="58" t="s">
        <v>1796</v>
      </c>
      <c r="I310" s="64" t="s">
        <v>2070</v>
      </c>
      <c r="J310" s="66"/>
      <c r="K310" s="66"/>
      <c r="L310" s="68"/>
      <c r="M310" s="63" t="str">
        <f>HYPERLINK("http://nsgreg.nga.mil/genc/view?v=867822&amp;end_month=12&amp;end_day=31&amp;end_year=2016","Correlation")</f>
        <v>Correlation</v>
      </c>
    </row>
    <row r="311" spans="1:13" x14ac:dyDescent="0.2">
      <c r="A311" s="113"/>
      <c r="B311" s="58" t="s">
        <v>2073</v>
      </c>
      <c r="C311" s="58" t="s">
        <v>1796</v>
      </c>
      <c r="D311" s="58" t="s">
        <v>2072</v>
      </c>
      <c r="E311" s="60" t="b">
        <v>1</v>
      </c>
      <c r="F311" s="80" t="s">
        <v>253</v>
      </c>
      <c r="G311" s="58" t="s">
        <v>2071</v>
      </c>
      <c r="H311" s="58" t="s">
        <v>1796</v>
      </c>
      <c r="I311" s="64" t="s">
        <v>2072</v>
      </c>
      <c r="J311" s="66"/>
      <c r="K311" s="66"/>
      <c r="L311" s="68"/>
      <c r="M311" s="63" t="str">
        <f>HYPERLINK("http://nsgreg.nga.mil/genc/view?v=867825&amp;end_month=12&amp;end_day=31&amp;end_year=2016","Correlation")</f>
        <v>Correlation</v>
      </c>
    </row>
    <row r="312" spans="1:13" x14ac:dyDescent="0.2">
      <c r="A312" s="113"/>
      <c r="B312" s="58" t="s">
        <v>2074</v>
      </c>
      <c r="C312" s="58" t="s">
        <v>1796</v>
      </c>
      <c r="D312" s="58" t="s">
        <v>2075</v>
      </c>
      <c r="E312" s="60" t="b">
        <v>1</v>
      </c>
      <c r="F312" s="80" t="s">
        <v>253</v>
      </c>
      <c r="G312" s="58" t="s">
        <v>2074</v>
      </c>
      <c r="H312" s="58" t="s">
        <v>1796</v>
      </c>
      <c r="I312" s="64" t="s">
        <v>2075</v>
      </c>
      <c r="J312" s="66"/>
      <c r="K312" s="66"/>
      <c r="L312" s="68"/>
      <c r="M312" s="63" t="str">
        <f>HYPERLINK("http://nsgreg.nga.mil/genc/view?v=867827&amp;end_month=12&amp;end_day=31&amp;end_year=2016","Correlation")</f>
        <v>Correlation</v>
      </c>
    </row>
    <row r="313" spans="1:13" x14ac:dyDescent="0.2">
      <c r="A313" s="113"/>
      <c r="B313" s="58" t="s">
        <v>2074</v>
      </c>
      <c r="C313" s="58" t="s">
        <v>2048</v>
      </c>
      <c r="D313" s="58" t="s">
        <v>2076</v>
      </c>
      <c r="E313" s="60" t="b">
        <v>1</v>
      </c>
      <c r="F313" s="80" t="s">
        <v>253</v>
      </c>
      <c r="G313" s="58" t="s">
        <v>2074</v>
      </c>
      <c r="H313" s="58" t="s">
        <v>2048</v>
      </c>
      <c r="I313" s="64" t="s">
        <v>2076</v>
      </c>
      <c r="J313" s="66"/>
      <c r="K313" s="66"/>
      <c r="L313" s="68"/>
      <c r="M313" s="63" t="str">
        <f>HYPERLINK("http://nsgreg.nga.mil/genc/view?v=867881&amp;end_month=12&amp;end_day=31&amp;end_year=2016","Correlation")</f>
        <v>Correlation</v>
      </c>
    </row>
    <row r="314" spans="1:13" x14ac:dyDescent="0.2">
      <c r="A314" s="113"/>
      <c r="B314" s="58" t="s">
        <v>2079</v>
      </c>
      <c r="C314" s="58" t="s">
        <v>1796</v>
      </c>
      <c r="D314" s="58" t="s">
        <v>2078</v>
      </c>
      <c r="E314" s="60" t="b">
        <v>1</v>
      </c>
      <c r="F314" s="80" t="s">
        <v>253</v>
      </c>
      <c r="G314" s="58" t="s">
        <v>2077</v>
      </c>
      <c r="H314" s="58" t="s">
        <v>1796</v>
      </c>
      <c r="I314" s="64" t="s">
        <v>2078</v>
      </c>
      <c r="J314" s="66"/>
      <c r="K314" s="66"/>
      <c r="L314" s="68"/>
      <c r="M314" s="63" t="str">
        <f>HYPERLINK("http://nsgreg.nga.mil/genc/view?v=867828&amp;end_month=12&amp;end_day=31&amp;end_year=2016","Correlation")</f>
        <v>Correlation</v>
      </c>
    </row>
    <row r="315" spans="1:13" x14ac:dyDescent="0.2">
      <c r="A315" s="113"/>
      <c r="B315" s="58" t="s">
        <v>2082</v>
      </c>
      <c r="C315" s="58" t="s">
        <v>1796</v>
      </c>
      <c r="D315" s="58" t="s">
        <v>2081</v>
      </c>
      <c r="E315" s="60" t="b">
        <v>1</v>
      </c>
      <c r="F315" s="80" t="s">
        <v>253</v>
      </c>
      <c r="G315" s="58" t="s">
        <v>2080</v>
      </c>
      <c r="H315" s="58" t="s">
        <v>1796</v>
      </c>
      <c r="I315" s="64" t="s">
        <v>2081</v>
      </c>
      <c r="J315" s="66"/>
      <c r="K315" s="66"/>
      <c r="L315" s="68"/>
      <c r="M315" s="63" t="str">
        <f>HYPERLINK("http://nsgreg.nga.mil/genc/view?v=867829&amp;end_month=12&amp;end_day=31&amp;end_year=2016","Correlation")</f>
        <v>Correlation</v>
      </c>
    </row>
    <row r="316" spans="1:13" x14ac:dyDescent="0.2">
      <c r="A316" s="113"/>
      <c r="B316" s="58" t="s">
        <v>2083</v>
      </c>
      <c r="C316" s="58" t="s">
        <v>1796</v>
      </c>
      <c r="D316" s="58" t="s">
        <v>2084</v>
      </c>
      <c r="E316" s="60" t="b">
        <v>1</v>
      </c>
      <c r="F316" s="80" t="s">
        <v>253</v>
      </c>
      <c r="G316" s="58" t="s">
        <v>2083</v>
      </c>
      <c r="H316" s="58" t="s">
        <v>1796</v>
      </c>
      <c r="I316" s="64" t="s">
        <v>2084</v>
      </c>
      <c r="J316" s="66"/>
      <c r="K316" s="66"/>
      <c r="L316" s="68"/>
      <c r="M316" s="63" t="str">
        <f>HYPERLINK("http://nsgreg.nga.mil/genc/view?v=867830&amp;end_month=12&amp;end_day=31&amp;end_year=2016","Correlation")</f>
        <v>Correlation</v>
      </c>
    </row>
    <row r="317" spans="1:13" x14ac:dyDescent="0.2">
      <c r="A317" s="113"/>
      <c r="B317" s="58" t="s">
        <v>2085</v>
      </c>
      <c r="C317" s="58" t="s">
        <v>1796</v>
      </c>
      <c r="D317" s="58" t="s">
        <v>2086</v>
      </c>
      <c r="E317" s="60" t="b">
        <v>1</v>
      </c>
      <c r="F317" s="80" t="s">
        <v>253</v>
      </c>
      <c r="G317" s="58" t="s">
        <v>2085</v>
      </c>
      <c r="H317" s="58" t="s">
        <v>1796</v>
      </c>
      <c r="I317" s="64" t="s">
        <v>2086</v>
      </c>
      <c r="J317" s="66"/>
      <c r="K317" s="66"/>
      <c r="L317" s="68"/>
      <c r="M317" s="63" t="str">
        <f>HYPERLINK("http://nsgreg.nga.mil/genc/view?v=867833&amp;end_month=12&amp;end_day=31&amp;end_year=2016","Correlation")</f>
        <v>Correlation</v>
      </c>
    </row>
    <row r="318" spans="1:13" x14ac:dyDescent="0.2">
      <c r="A318" s="113"/>
      <c r="B318" s="58" t="s">
        <v>2089</v>
      </c>
      <c r="C318" s="58" t="s">
        <v>1796</v>
      </c>
      <c r="D318" s="58" t="s">
        <v>2088</v>
      </c>
      <c r="E318" s="60" t="b">
        <v>1</v>
      </c>
      <c r="F318" s="80" t="s">
        <v>253</v>
      </c>
      <c r="G318" s="58" t="s">
        <v>2087</v>
      </c>
      <c r="H318" s="58" t="s">
        <v>1796</v>
      </c>
      <c r="I318" s="64" t="s">
        <v>2088</v>
      </c>
      <c r="J318" s="66"/>
      <c r="K318" s="66"/>
      <c r="L318" s="68"/>
      <c r="M318" s="63" t="str">
        <f>HYPERLINK("http://nsgreg.nga.mil/genc/view?v=867832&amp;end_month=12&amp;end_day=31&amp;end_year=2016","Correlation")</f>
        <v>Correlation</v>
      </c>
    </row>
    <row r="319" spans="1:13" x14ac:dyDescent="0.2">
      <c r="A319" s="113"/>
      <c r="B319" s="58" t="s">
        <v>2092</v>
      </c>
      <c r="C319" s="58" t="s">
        <v>1796</v>
      </c>
      <c r="D319" s="58" t="s">
        <v>2091</v>
      </c>
      <c r="E319" s="60" t="b">
        <v>1</v>
      </c>
      <c r="F319" s="80" t="s">
        <v>253</v>
      </c>
      <c r="G319" s="58" t="s">
        <v>2090</v>
      </c>
      <c r="H319" s="58" t="s">
        <v>1796</v>
      </c>
      <c r="I319" s="64" t="s">
        <v>2091</v>
      </c>
      <c r="J319" s="66"/>
      <c r="K319" s="66"/>
      <c r="L319" s="68"/>
      <c r="M319" s="63" t="str">
        <f>HYPERLINK("http://nsgreg.nga.mil/genc/view?v=867831&amp;end_month=12&amp;end_day=31&amp;end_year=2016","Correlation")</f>
        <v>Correlation</v>
      </c>
    </row>
    <row r="320" spans="1:13" x14ac:dyDescent="0.2">
      <c r="A320" s="113"/>
      <c r="B320" s="58" t="s">
        <v>2093</v>
      </c>
      <c r="C320" s="58" t="s">
        <v>1796</v>
      </c>
      <c r="D320" s="58" t="s">
        <v>2094</v>
      </c>
      <c r="E320" s="60" t="b">
        <v>1</v>
      </c>
      <c r="F320" s="80" t="s">
        <v>253</v>
      </c>
      <c r="G320" s="58" t="s">
        <v>2093</v>
      </c>
      <c r="H320" s="58" t="s">
        <v>1796</v>
      </c>
      <c r="I320" s="64" t="s">
        <v>2094</v>
      </c>
      <c r="J320" s="66"/>
      <c r="K320" s="66"/>
      <c r="L320" s="68"/>
      <c r="M320" s="63" t="str">
        <f>HYPERLINK("http://nsgreg.nga.mil/genc/view?v=867834&amp;end_month=12&amp;end_day=31&amp;end_year=2016","Correlation")</f>
        <v>Correlation</v>
      </c>
    </row>
    <row r="321" spans="1:13" x14ac:dyDescent="0.2">
      <c r="A321" s="113"/>
      <c r="B321" s="58" t="s">
        <v>2100</v>
      </c>
      <c r="C321" s="58" t="s">
        <v>1796</v>
      </c>
      <c r="D321" s="58" t="s">
        <v>2099</v>
      </c>
      <c r="E321" s="60" t="b">
        <v>1</v>
      </c>
      <c r="F321" s="80" t="s">
        <v>253</v>
      </c>
      <c r="G321" s="58" t="s">
        <v>2098</v>
      </c>
      <c r="H321" s="58" t="s">
        <v>1796</v>
      </c>
      <c r="I321" s="64" t="s">
        <v>2099</v>
      </c>
      <c r="J321" s="66"/>
      <c r="K321" s="66"/>
      <c r="L321" s="68"/>
      <c r="M321" s="63" t="str">
        <f>HYPERLINK("http://nsgreg.nga.mil/genc/view?v=867835&amp;end_month=12&amp;end_day=31&amp;end_year=2016","Correlation")</f>
        <v>Correlation</v>
      </c>
    </row>
    <row r="322" spans="1:13" x14ac:dyDescent="0.2">
      <c r="A322" s="113"/>
      <c r="B322" s="58" t="s">
        <v>2101</v>
      </c>
      <c r="C322" s="58" t="s">
        <v>1796</v>
      </c>
      <c r="D322" s="58" t="s">
        <v>2102</v>
      </c>
      <c r="E322" s="60" t="b">
        <v>1</v>
      </c>
      <c r="F322" s="80" t="s">
        <v>253</v>
      </c>
      <c r="G322" s="58" t="s">
        <v>2101</v>
      </c>
      <c r="H322" s="58" t="s">
        <v>1796</v>
      </c>
      <c r="I322" s="64" t="s">
        <v>2102</v>
      </c>
      <c r="J322" s="66"/>
      <c r="K322" s="66"/>
      <c r="L322" s="68"/>
      <c r="M322" s="63" t="str">
        <f>HYPERLINK("http://nsgreg.nga.mil/genc/view?v=867836&amp;end_month=12&amp;end_day=31&amp;end_year=2016","Correlation")</f>
        <v>Correlation</v>
      </c>
    </row>
    <row r="323" spans="1:13" x14ac:dyDescent="0.2">
      <c r="A323" s="113"/>
      <c r="B323" s="58" t="s">
        <v>2105</v>
      </c>
      <c r="C323" s="58" t="s">
        <v>1796</v>
      </c>
      <c r="D323" s="58" t="s">
        <v>2104</v>
      </c>
      <c r="E323" s="60" t="b">
        <v>1</v>
      </c>
      <c r="F323" s="80" t="s">
        <v>253</v>
      </c>
      <c r="G323" s="58" t="s">
        <v>2103</v>
      </c>
      <c r="H323" s="58" t="s">
        <v>1796</v>
      </c>
      <c r="I323" s="64" t="s">
        <v>2104</v>
      </c>
      <c r="J323" s="66"/>
      <c r="K323" s="66"/>
      <c r="L323" s="68"/>
      <c r="M323" s="63" t="str">
        <f>HYPERLINK("http://nsgreg.nga.mil/genc/view?v=867839&amp;end_month=12&amp;end_day=31&amp;end_year=2016","Correlation")</f>
        <v>Correlation</v>
      </c>
    </row>
    <row r="324" spans="1:13" x14ac:dyDescent="0.2">
      <c r="A324" s="113"/>
      <c r="B324" s="58" t="s">
        <v>2106</v>
      </c>
      <c r="C324" s="58" t="s">
        <v>1796</v>
      </c>
      <c r="D324" s="58" t="s">
        <v>2107</v>
      </c>
      <c r="E324" s="60" t="b">
        <v>1</v>
      </c>
      <c r="F324" s="80" t="s">
        <v>253</v>
      </c>
      <c r="G324" s="58" t="s">
        <v>2106</v>
      </c>
      <c r="H324" s="58" t="s">
        <v>1796</v>
      </c>
      <c r="I324" s="64" t="s">
        <v>2107</v>
      </c>
      <c r="J324" s="66"/>
      <c r="K324" s="66"/>
      <c r="L324" s="68"/>
      <c r="M324" s="63" t="str">
        <f>HYPERLINK("http://nsgreg.nga.mil/genc/view?v=867837&amp;end_month=12&amp;end_day=31&amp;end_year=2016","Correlation")</f>
        <v>Correlation</v>
      </c>
    </row>
    <row r="325" spans="1:13" x14ac:dyDescent="0.2">
      <c r="A325" s="113"/>
      <c r="B325" s="58" t="s">
        <v>2097</v>
      </c>
      <c r="C325" s="58" t="s">
        <v>1796</v>
      </c>
      <c r="D325" s="58" t="s">
        <v>2096</v>
      </c>
      <c r="E325" s="60" t="b">
        <v>1</v>
      </c>
      <c r="F325" s="80" t="s">
        <v>253</v>
      </c>
      <c r="G325" s="58" t="s">
        <v>2095</v>
      </c>
      <c r="H325" s="58" t="s">
        <v>1796</v>
      </c>
      <c r="I325" s="64" t="s">
        <v>2096</v>
      </c>
      <c r="J325" s="66"/>
      <c r="K325" s="66"/>
      <c r="L325" s="68"/>
      <c r="M325" s="63" t="str">
        <f>HYPERLINK("http://nsgreg.nga.mil/genc/view?v=867838&amp;end_month=12&amp;end_day=31&amp;end_year=2016","Correlation")</f>
        <v>Correlation</v>
      </c>
    </row>
    <row r="326" spans="1:13" x14ac:dyDescent="0.2">
      <c r="A326" s="113"/>
      <c r="B326" s="58" t="s">
        <v>2110</v>
      </c>
      <c r="C326" s="58" t="s">
        <v>1796</v>
      </c>
      <c r="D326" s="58" t="s">
        <v>2109</v>
      </c>
      <c r="E326" s="60" t="b">
        <v>1</v>
      </c>
      <c r="F326" s="80" t="s">
        <v>253</v>
      </c>
      <c r="G326" s="58" t="s">
        <v>2108</v>
      </c>
      <c r="H326" s="58" t="s">
        <v>1796</v>
      </c>
      <c r="I326" s="64" t="s">
        <v>2109</v>
      </c>
      <c r="J326" s="66"/>
      <c r="K326" s="66"/>
      <c r="L326" s="68"/>
      <c r="M326" s="63" t="str">
        <f>HYPERLINK("http://nsgreg.nga.mil/genc/view?v=867843&amp;end_month=12&amp;end_day=31&amp;end_year=2016","Correlation")</f>
        <v>Correlation</v>
      </c>
    </row>
    <row r="327" spans="1:13" x14ac:dyDescent="0.2">
      <c r="A327" s="113"/>
      <c r="B327" s="58" t="s">
        <v>2111</v>
      </c>
      <c r="C327" s="58" t="s">
        <v>1796</v>
      </c>
      <c r="D327" s="58" t="s">
        <v>2112</v>
      </c>
      <c r="E327" s="60" t="b">
        <v>1</v>
      </c>
      <c r="F327" s="80" t="s">
        <v>253</v>
      </c>
      <c r="G327" s="58" t="s">
        <v>2111</v>
      </c>
      <c r="H327" s="58" t="s">
        <v>1796</v>
      </c>
      <c r="I327" s="64" t="s">
        <v>2112</v>
      </c>
      <c r="J327" s="66"/>
      <c r="K327" s="66"/>
      <c r="L327" s="68"/>
      <c r="M327" s="63" t="str">
        <f>HYPERLINK("http://nsgreg.nga.mil/genc/view?v=867841&amp;end_month=12&amp;end_day=31&amp;end_year=2016","Correlation")</f>
        <v>Correlation</v>
      </c>
    </row>
    <row r="328" spans="1:13" x14ac:dyDescent="0.2">
      <c r="A328" s="113"/>
      <c r="B328" s="58" t="s">
        <v>2111</v>
      </c>
      <c r="C328" s="58" t="s">
        <v>2048</v>
      </c>
      <c r="D328" s="58" t="s">
        <v>2113</v>
      </c>
      <c r="E328" s="60" t="b">
        <v>1</v>
      </c>
      <c r="F328" s="80" t="s">
        <v>253</v>
      </c>
      <c r="G328" s="58" t="s">
        <v>2111</v>
      </c>
      <c r="H328" s="58" t="s">
        <v>2048</v>
      </c>
      <c r="I328" s="64" t="s">
        <v>2113</v>
      </c>
      <c r="J328" s="66"/>
      <c r="K328" s="66"/>
      <c r="L328" s="68"/>
      <c r="M328" s="63" t="str">
        <f>HYPERLINK("http://nsgreg.nga.mil/genc/view?v=867882&amp;end_month=12&amp;end_day=31&amp;end_year=2016","Correlation")</f>
        <v>Correlation</v>
      </c>
    </row>
    <row r="329" spans="1:13" x14ac:dyDescent="0.2">
      <c r="A329" s="113"/>
      <c r="B329" s="58" t="s">
        <v>2116</v>
      </c>
      <c r="C329" s="58" t="s">
        <v>1796</v>
      </c>
      <c r="D329" s="58" t="s">
        <v>2115</v>
      </c>
      <c r="E329" s="60" t="b">
        <v>1</v>
      </c>
      <c r="F329" s="80" t="s">
        <v>253</v>
      </c>
      <c r="G329" s="58" t="s">
        <v>2114</v>
      </c>
      <c r="H329" s="58" t="s">
        <v>1796</v>
      </c>
      <c r="I329" s="64" t="s">
        <v>2115</v>
      </c>
      <c r="J329" s="66"/>
      <c r="K329" s="66"/>
      <c r="L329" s="68"/>
      <c r="M329" s="63" t="str">
        <f>HYPERLINK("http://nsgreg.nga.mil/genc/view?v=867840&amp;end_month=12&amp;end_day=31&amp;end_year=2016","Correlation")</f>
        <v>Correlation</v>
      </c>
    </row>
    <row r="330" spans="1:13" x14ac:dyDescent="0.2">
      <c r="A330" s="113"/>
      <c r="B330" s="58" t="s">
        <v>2119</v>
      </c>
      <c r="C330" s="58" t="s">
        <v>1796</v>
      </c>
      <c r="D330" s="58" t="s">
        <v>2118</v>
      </c>
      <c r="E330" s="60" t="b">
        <v>1</v>
      </c>
      <c r="F330" s="80" t="s">
        <v>253</v>
      </c>
      <c r="G330" s="58" t="s">
        <v>2117</v>
      </c>
      <c r="H330" s="58" t="s">
        <v>1796</v>
      </c>
      <c r="I330" s="64" t="s">
        <v>2118</v>
      </c>
      <c r="J330" s="66"/>
      <c r="K330" s="66"/>
      <c r="L330" s="68"/>
      <c r="M330" s="63" t="str">
        <f>HYPERLINK("http://nsgreg.nga.mil/genc/view?v=867842&amp;end_month=12&amp;end_day=31&amp;end_year=2016","Correlation")</f>
        <v>Correlation</v>
      </c>
    </row>
    <row r="331" spans="1:13" x14ac:dyDescent="0.2">
      <c r="A331" s="113"/>
      <c r="B331" s="58" t="s">
        <v>2120</v>
      </c>
      <c r="C331" s="58" t="s">
        <v>1796</v>
      </c>
      <c r="D331" s="58" t="s">
        <v>2121</v>
      </c>
      <c r="E331" s="60" t="b">
        <v>1</v>
      </c>
      <c r="F331" s="80" t="s">
        <v>253</v>
      </c>
      <c r="G331" s="58" t="s">
        <v>2120</v>
      </c>
      <c r="H331" s="58" t="s">
        <v>1796</v>
      </c>
      <c r="I331" s="64" t="s">
        <v>2121</v>
      </c>
      <c r="J331" s="66"/>
      <c r="K331" s="66"/>
      <c r="L331" s="68"/>
      <c r="M331" s="63" t="str">
        <f>HYPERLINK("http://nsgreg.nga.mil/genc/view?v=867844&amp;end_month=12&amp;end_day=31&amp;end_year=2016","Correlation")</f>
        <v>Correlation</v>
      </c>
    </row>
    <row r="332" spans="1:13" x14ac:dyDescent="0.2">
      <c r="A332" s="113"/>
      <c r="B332" s="58" t="s">
        <v>2122</v>
      </c>
      <c r="C332" s="58" t="s">
        <v>1796</v>
      </c>
      <c r="D332" s="58" t="s">
        <v>2123</v>
      </c>
      <c r="E332" s="60" t="b">
        <v>1</v>
      </c>
      <c r="F332" s="80" t="s">
        <v>253</v>
      </c>
      <c r="G332" s="58" t="s">
        <v>2122</v>
      </c>
      <c r="H332" s="58" t="s">
        <v>1796</v>
      </c>
      <c r="I332" s="64" t="s">
        <v>2123</v>
      </c>
      <c r="J332" s="66"/>
      <c r="K332" s="66"/>
      <c r="L332" s="68"/>
      <c r="M332" s="63" t="str">
        <f>HYPERLINK("http://nsgreg.nga.mil/genc/view?v=867845&amp;end_month=12&amp;end_day=31&amp;end_year=2016","Correlation")</f>
        <v>Correlation</v>
      </c>
    </row>
    <row r="333" spans="1:13" x14ac:dyDescent="0.2">
      <c r="A333" s="113"/>
      <c r="B333" s="58" t="s">
        <v>2126</v>
      </c>
      <c r="C333" s="58" t="s">
        <v>1796</v>
      </c>
      <c r="D333" s="58" t="s">
        <v>2125</v>
      </c>
      <c r="E333" s="60" t="b">
        <v>1</v>
      </c>
      <c r="F333" s="80" t="s">
        <v>253</v>
      </c>
      <c r="G333" s="58" t="s">
        <v>2124</v>
      </c>
      <c r="H333" s="58" t="s">
        <v>1796</v>
      </c>
      <c r="I333" s="64" t="s">
        <v>2125</v>
      </c>
      <c r="J333" s="66"/>
      <c r="K333" s="66"/>
      <c r="L333" s="68"/>
      <c r="M333" s="63" t="str">
        <f>HYPERLINK("http://nsgreg.nga.mil/genc/view?v=867846&amp;end_month=12&amp;end_day=31&amp;end_year=2016","Correlation")</f>
        <v>Correlation</v>
      </c>
    </row>
    <row r="334" spans="1:13" x14ac:dyDescent="0.2">
      <c r="A334" s="113"/>
      <c r="B334" s="58" t="s">
        <v>2129</v>
      </c>
      <c r="C334" s="58" t="s">
        <v>1796</v>
      </c>
      <c r="D334" s="58" t="s">
        <v>2128</v>
      </c>
      <c r="E334" s="60" t="b">
        <v>1</v>
      </c>
      <c r="F334" s="80" t="s">
        <v>253</v>
      </c>
      <c r="G334" s="58" t="s">
        <v>2127</v>
      </c>
      <c r="H334" s="58" t="s">
        <v>1796</v>
      </c>
      <c r="I334" s="64" t="s">
        <v>2128</v>
      </c>
      <c r="J334" s="66"/>
      <c r="K334" s="66"/>
      <c r="L334" s="68"/>
      <c r="M334" s="63" t="str">
        <f>HYPERLINK("http://nsgreg.nga.mil/genc/view?v=867850&amp;end_month=12&amp;end_day=31&amp;end_year=2016","Correlation")</f>
        <v>Correlation</v>
      </c>
    </row>
    <row r="335" spans="1:13" x14ac:dyDescent="0.2">
      <c r="A335" s="113"/>
      <c r="B335" s="58" t="s">
        <v>2132</v>
      </c>
      <c r="C335" s="58" t="s">
        <v>1796</v>
      </c>
      <c r="D335" s="58" t="s">
        <v>2131</v>
      </c>
      <c r="E335" s="60" t="b">
        <v>1</v>
      </c>
      <c r="F335" s="80" t="s">
        <v>253</v>
      </c>
      <c r="G335" s="58" t="s">
        <v>2130</v>
      </c>
      <c r="H335" s="58" t="s">
        <v>1796</v>
      </c>
      <c r="I335" s="64" t="s">
        <v>2131</v>
      </c>
      <c r="J335" s="66"/>
      <c r="K335" s="66"/>
      <c r="L335" s="68"/>
      <c r="M335" s="63" t="str">
        <f>HYPERLINK("http://nsgreg.nga.mil/genc/view?v=867851&amp;end_month=12&amp;end_day=31&amp;end_year=2016","Correlation")</f>
        <v>Correlation</v>
      </c>
    </row>
    <row r="336" spans="1:13" x14ac:dyDescent="0.2">
      <c r="A336" s="113"/>
      <c r="B336" s="58" t="s">
        <v>2135</v>
      </c>
      <c r="C336" s="58" t="s">
        <v>1796</v>
      </c>
      <c r="D336" s="58" t="s">
        <v>2134</v>
      </c>
      <c r="E336" s="60" t="b">
        <v>1</v>
      </c>
      <c r="F336" s="80" t="s">
        <v>253</v>
      </c>
      <c r="G336" s="58" t="s">
        <v>2133</v>
      </c>
      <c r="H336" s="58" t="s">
        <v>1796</v>
      </c>
      <c r="I336" s="64" t="s">
        <v>2134</v>
      </c>
      <c r="J336" s="66"/>
      <c r="K336" s="66"/>
      <c r="L336" s="68"/>
      <c r="M336" s="63" t="str">
        <f>HYPERLINK("http://nsgreg.nga.mil/genc/view?v=867847&amp;end_month=12&amp;end_day=31&amp;end_year=2016","Correlation")</f>
        <v>Correlation</v>
      </c>
    </row>
    <row r="337" spans="1:13" x14ac:dyDescent="0.2">
      <c r="A337" s="113"/>
      <c r="B337" s="58" t="s">
        <v>2136</v>
      </c>
      <c r="C337" s="58" t="s">
        <v>1796</v>
      </c>
      <c r="D337" s="58" t="s">
        <v>2137</v>
      </c>
      <c r="E337" s="60" t="b">
        <v>1</v>
      </c>
      <c r="F337" s="80" t="s">
        <v>253</v>
      </c>
      <c r="G337" s="58" t="s">
        <v>2136</v>
      </c>
      <c r="H337" s="58" t="s">
        <v>1796</v>
      </c>
      <c r="I337" s="64" t="s">
        <v>2137</v>
      </c>
      <c r="J337" s="66"/>
      <c r="K337" s="66"/>
      <c r="L337" s="68"/>
      <c r="M337" s="63" t="str">
        <f>HYPERLINK("http://nsgreg.nga.mil/genc/view?v=867853&amp;end_month=12&amp;end_day=31&amp;end_year=2016","Correlation")</f>
        <v>Correlation</v>
      </c>
    </row>
    <row r="338" spans="1:13" x14ac:dyDescent="0.2">
      <c r="A338" s="113"/>
      <c r="B338" s="58" t="s">
        <v>2140</v>
      </c>
      <c r="C338" s="58" t="s">
        <v>1796</v>
      </c>
      <c r="D338" s="58" t="s">
        <v>2139</v>
      </c>
      <c r="E338" s="60" t="b">
        <v>1</v>
      </c>
      <c r="F338" s="80" t="s">
        <v>253</v>
      </c>
      <c r="G338" s="58" t="s">
        <v>2138</v>
      </c>
      <c r="H338" s="58" t="s">
        <v>1796</v>
      </c>
      <c r="I338" s="64" t="s">
        <v>2139</v>
      </c>
      <c r="J338" s="66"/>
      <c r="K338" s="66"/>
      <c r="L338" s="68"/>
      <c r="M338" s="63" t="str">
        <f>HYPERLINK("http://nsgreg.nga.mil/genc/view?v=867852&amp;end_month=12&amp;end_day=31&amp;end_year=2016","Correlation")</f>
        <v>Correlation</v>
      </c>
    </row>
    <row r="339" spans="1:13" x14ac:dyDescent="0.2">
      <c r="A339" s="113"/>
      <c r="B339" s="58" t="s">
        <v>2141</v>
      </c>
      <c r="C339" s="58" t="s">
        <v>1796</v>
      </c>
      <c r="D339" s="58" t="s">
        <v>2142</v>
      </c>
      <c r="E339" s="60" t="b">
        <v>1</v>
      </c>
      <c r="F339" s="80" t="s">
        <v>253</v>
      </c>
      <c r="G339" s="58" t="s">
        <v>2141</v>
      </c>
      <c r="H339" s="58" t="s">
        <v>1796</v>
      </c>
      <c r="I339" s="64" t="s">
        <v>2142</v>
      </c>
      <c r="J339" s="66"/>
      <c r="K339" s="66"/>
      <c r="L339" s="68"/>
      <c r="M339" s="63" t="str">
        <f>HYPERLINK("http://nsgreg.nga.mil/genc/view?v=867849&amp;end_month=12&amp;end_day=31&amp;end_year=2016","Correlation")</f>
        <v>Correlation</v>
      </c>
    </row>
    <row r="340" spans="1:13" x14ac:dyDescent="0.2">
      <c r="A340" s="113"/>
      <c r="B340" s="58" t="s">
        <v>2143</v>
      </c>
      <c r="C340" s="58" t="s">
        <v>1796</v>
      </c>
      <c r="D340" s="58" t="s">
        <v>2144</v>
      </c>
      <c r="E340" s="60" t="b">
        <v>1</v>
      </c>
      <c r="F340" s="80" t="s">
        <v>253</v>
      </c>
      <c r="G340" s="58" t="s">
        <v>2143</v>
      </c>
      <c r="H340" s="58" t="s">
        <v>1796</v>
      </c>
      <c r="I340" s="64" t="s">
        <v>2144</v>
      </c>
      <c r="J340" s="66"/>
      <c r="K340" s="66"/>
      <c r="L340" s="68"/>
      <c r="M340" s="63" t="str">
        <f>HYPERLINK("http://nsgreg.nga.mil/genc/view?v=867848&amp;end_month=12&amp;end_day=31&amp;end_year=2016","Correlation")</f>
        <v>Correlation</v>
      </c>
    </row>
    <row r="341" spans="1:13" x14ac:dyDescent="0.2">
      <c r="A341" s="113"/>
      <c r="B341" s="58" t="s">
        <v>2143</v>
      </c>
      <c r="C341" s="58" t="s">
        <v>2048</v>
      </c>
      <c r="D341" s="58" t="s">
        <v>2145</v>
      </c>
      <c r="E341" s="60" t="b">
        <v>1</v>
      </c>
      <c r="F341" s="80" t="s">
        <v>253</v>
      </c>
      <c r="G341" s="58" t="s">
        <v>2143</v>
      </c>
      <c r="H341" s="58" t="s">
        <v>2048</v>
      </c>
      <c r="I341" s="64" t="s">
        <v>2145</v>
      </c>
      <c r="J341" s="66"/>
      <c r="K341" s="66"/>
      <c r="L341" s="68"/>
      <c r="M341" s="63" t="str">
        <f>HYPERLINK("http://nsgreg.nga.mil/genc/view?v=867886&amp;end_month=12&amp;end_day=31&amp;end_year=2016","Correlation")</f>
        <v>Correlation</v>
      </c>
    </row>
    <row r="342" spans="1:13" x14ac:dyDescent="0.2">
      <c r="A342" s="113"/>
      <c r="B342" s="58" t="s">
        <v>2146</v>
      </c>
      <c r="C342" s="58" t="s">
        <v>1796</v>
      </c>
      <c r="D342" s="58" t="s">
        <v>2147</v>
      </c>
      <c r="E342" s="60" t="b">
        <v>1</v>
      </c>
      <c r="F342" s="80" t="s">
        <v>253</v>
      </c>
      <c r="G342" s="58" t="s">
        <v>2146</v>
      </c>
      <c r="H342" s="58" t="s">
        <v>1796</v>
      </c>
      <c r="I342" s="64" t="s">
        <v>2147</v>
      </c>
      <c r="J342" s="66"/>
      <c r="K342" s="66"/>
      <c r="L342" s="68"/>
      <c r="M342" s="63" t="str">
        <f>HYPERLINK("http://nsgreg.nga.mil/genc/view?v=867862&amp;end_month=12&amp;end_day=31&amp;end_year=2016","Correlation")</f>
        <v>Correlation</v>
      </c>
    </row>
    <row r="343" spans="1:13" x14ac:dyDescent="0.2">
      <c r="A343" s="113"/>
      <c r="B343" s="58" t="s">
        <v>2148</v>
      </c>
      <c r="C343" s="58" t="s">
        <v>1796</v>
      </c>
      <c r="D343" s="58" t="s">
        <v>2149</v>
      </c>
      <c r="E343" s="60" t="b">
        <v>1</v>
      </c>
      <c r="F343" s="80" t="s">
        <v>253</v>
      </c>
      <c r="G343" s="58" t="s">
        <v>2148</v>
      </c>
      <c r="H343" s="58" t="s">
        <v>1796</v>
      </c>
      <c r="I343" s="64" t="s">
        <v>2149</v>
      </c>
      <c r="J343" s="66"/>
      <c r="K343" s="66"/>
      <c r="L343" s="68"/>
      <c r="M343" s="63" t="str">
        <f>HYPERLINK("http://nsgreg.nga.mil/genc/view?v=867857&amp;end_month=12&amp;end_day=31&amp;end_year=2016","Correlation")</f>
        <v>Correlation</v>
      </c>
    </row>
    <row r="344" spans="1:13" x14ac:dyDescent="0.2">
      <c r="A344" s="113"/>
      <c r="B344" s="58" t="s">
        <v>2152</v>
      </c>
      <c r="C344" s="58" t="s">
        <v>1796</v>
      </c>
      <c r="D344" s="58" t="s">
        <v>2151</v>
      </c>
      <c r="E344" s="60" t="b">
        <v>1</v>
      </c>
      <c r="F344" s="80" t="s">
        <v>253</v>
      </c>
      <c r="G344" s="58" t="s">
        <v>2150</v>
      </c>
      <c r="H344" s="58" t="s">
        <v>1796</v>
      </c>
      <c r="I344" s="64" t="s">
        <v>2151</v>
      </c>
      <c r="J344" s="66"/>
      <c r="K344" s="66"/>
      <c r="L344" s="68"/>
      <c r="M344" s="63" t="str">
        <f>HYPERLINK("http://nsgreg.nga.mil/genc/view?v=867854&amp;end_month=12&amp;end_day=31&amp;end_year=2016","Correlation")</f>
        <v>Correlation</v>
      </c>
    </row>
    <row r="345" spans="1:13" x14ac:dyDescent="0.2">
      <c r="A345" s="113"/>
      <c r="B345" s="58" t="s">
        <v>2153</v>
      </c>
      <c r="C345" s="58" t="s">
        <v>1796</v>
      </c>
      <c r="D345" s="58" t="s">
        <v>2154</v>
      </c>
      <c r="E345" s="60" t="b">
        <v>1</v>
      </c>
      <c r="F345" s="80" t="s">
        <v>253</v>
      </c>
      <c r="G345" s="58" t="s">
        <v>2153</v>
      </c>
      <c r="H345" s="58" t="s">
        <v>1796</v>
      </c>
      <c r="I345" s="64" t="s">
        <v>2154</v>
      </c>
      <c r="J345" s="66"/>
      <c r="K345" s="66"/>
      <c r="L345" s="68"/>
      <c r="M345" s="63" t="str">
        <f>HYPERLINK("http://nsgreg.nga.mil/genc/view?v=867856&amp;end_month=12&amp;end_day=31&amp;end_year=2016","Correlation")</f>
        <v>Correlation</v>
      </c>
    </row>
    <row r="346" spans="1:13" x14ac:dyDescent="0.2">
      <c r="A346" s="113"/>
      <c r="B346" s="58" t="s">
        <v>2157</v>
      </c>
      <c r="C346" s="58" t="s">
        <v>1796</v>
      </c>
      <c r="D346" s="58" t="s">
        <v>2156</v>
      </c>
      <c r="E346" s="60" t="b">
        <v>1</v>
      </c>
      <c r="F346" s="80" t="s">
        <v>253</v>
      </c>
      <c r="G346" s="58" t="s">
        <v>2155</v>
      </c>
      <c r="H346" s="58" t="s">
        <v>1796</v>
      </c>
      <c r="I346" s="64" t="s">
        <v>2156</v>
      </c>
      <c r="J346" s="66"/>
      <c r="K346" s="66"/>
      <c r="L346" s="68"/>
      <c r="M346" s="63" t="str">
        <f>HYPERLINK("http://nsgreg.nga.mil/genc/view?v=867858&amp;end_month=12&amp;end_day=31&amp;end_year=2016","Correlation")</f>
        <v>Correlation</v>
      </c>
    </row>
    <row r="347" spans="1:13" x14ac:dyDescent="0.2">
      <c r="A347" s="113"/>
      <c r="B347" s="58" t="s">
        <v>2158</v>
      </c>
      <c r="C347" s="58" t="s">
        <v>1796</v>
      </c>
      <c r="D347" s="58" t="s">
        <v>2159</v>
      </c>
      <c r="E347" s="60" t="b">
        <v>1</v>
      </c>
      <c r="F347" s="80" t="s">
        <v>253</v>
      </c>
      <c r="G347" s="58" t="s">
        <v>2158</v>
      </c>
      <c r="H347" s="58" t="s">
        <v>1796</v>
      </c>
      <c r="I347" s="64" t="s">
        <v>2159</v>
      </c>
      <c r="J347" s="66"/>
      <c r="K347" s="66"/>
      <c r="L347" s="68"/>
      <c r="M347" s="63" t="str">
        <f>HYPERLINK("http://nsgreg.nga.mil/genc/view?v=867855&amp;end_month=12&amp;end_day=31&amp;end_year=2016","Correlation")</f>
        <v>Correlation</v>
      </c>
    </row>
    <row r="348" spans="1:13" x14ac:dyDescent="0.2">
      <c r="A348" s="113"/>
      <c r="B348" s="58" t="s">
        <v>2162</v>
      </c>
      <c r="C348" s="58" t="s">
        <v>1796</v>
      </c>
      <c r="D348" s="58" t="s">
        <v>2161</v>
      </c>
      <c r="E348" s="60" t="b">
        <v>1</v>
      </c>
      <c r="F348" s="80" t="s">
        <v>253</v>
      </c>
      <c r="G348" s="58" t="s">
        <v>2160</v>
      </c>
      <c r="H348" s="58" t="s">
        <v>1796</v>
      </c>
      <c r="I348" s="64" t="s">
        <v>2161</v>
      </c>
      <c r="J348" s="66"/>
      <c r="K348" s="66"/>
      <c r="L348" s="68"/>
      <c r="M348" s="63" t="str">
        <f>HYPERLINK("http://nsgreg.nga.mil/genc/view?v=867860&amp;end_month=12&amp;end_day=31&amp;end_year=2016","Correlation")</f>
        <v>Correlation</v>
      </c>
    </row>
    <row r="349" spans="1:13" x14ac:dyDescent="0.2">
      <c r="A349" s="113"/>
      <c r="B349" s="58" t="s">
        <v>2165</v>
      </c>
      <c r="C349" s="58" t="s">
        <v>1796</v>
      </c>
      <c r="D349" s="58" t="s">
        <v>2164</v>
      </c>
      <c r="E349" s="60" t="b">
        <v>1</v>
      </c>
      <c r="F349" s="80" t="s">
        <v>253</v>
      </c>
      <c r="G349" s="58" t="s">
        <v>2163</v>
      </c>
      <c r="H349" s="58" t="s">
        <v>1796</v>
      </c>
      <c r="I349" s="64" t="s">
        <v>2164</v>
      </c>
      <c r="J349" s="66"/>
      <c r="K349" s="66"/>
      <c r="L349" s="68"/>
      <c r="M349" s="63" t="str">
        <f>HYPERLINK("http://nsgreg.nga.mil/genc/view?v=867861&amp;end_month=12&amp;end_day=31&amp;end_year=2016","Correlation")</f>
        <v>Correlation</v>
      </c>
    </row>
    <row r="350" spans="1:13" x14ac:dyDescent="0.2">
      <c r="A350" s="113"/>
      <c r="B350" s="58" t="s">
        <v>2168</v>
      </c>
      <c r="C350" s="58" t="s">
        <v>1796</v>
      </c>
      <c r="D350" s="58" t="s">
        <v>2167</v>
      </c>
      <c r="E350" s="60" t="b">
        <v>1</v>
      </c>
      <c r="F350" s="80" t="s">
        <v>253</v>
      </c>
      <c r="G350" s="58" t="s">
        <v>2166</v>
      </c>
      <c r="H350" s="58" t="s">
        <v>1796</v>
      </c>
      <c r="I350" s="64" t="s">
        <v>2167</v>
      </c>
      <c r="J350" s="66"/>
      <c r="K350" s="66"/>
      <c r="L350" s="68"/>
      <c r="M350" s="63" t="str">
        <f>HYPERLINK("http://nsgreg.nga.mil/genc/view?v=867863&amp;end_month=12&amp;end_day=31&amp;end_year=2016","Correlation")</f>
        <v>Correlation</v>
      </c>
    </row>
    <row r="351" spans="1:13" x14ac:dyDescent="0.2">
      <c r="A351" s="113"/>
      <c r="B351" s="58" t="s">
        <v>2171</v>
      </c>
      <c r="C351" s="58" t="s">
        <v>1796</v>
      </c>
      <c r="D351" s="58" t="s">
        <v>2170</v>
      </c>
      <c r="E351" s="60" t="b">
        <v>1</v>
      </c>
      <c r="F351" s="80" t="s">
        <v>253</v>
      </c>
      <c r="G351" s="58" t="s">
        <v>2169</v>
      </c>
      <c r="H351" s="58" t="s">
        <v>1796</v>
      </c>
      <c r="I351" s="64" t="s">
        <v>2170</v>
      </c>
      <c r="J351" s="66"/>
      <c r="K351" s="66"/>
      <c r="L351" s="68"/>
      <c r="M351" s="63" t="str">
        <f>HYPERLINK("http://nsgreg.nga.mil/genc/view?v=867866&amp;end_month=12&amp;end_day=31&amp;end_year=2016","Correlation")</f>
        <v>Correlation</v>
      </c>
    </row>
    <row r="352" spans="1:13" x14ac:dyDescent="0.2">
      <c r="A352" s="113"/>
      <c r="B352" s="58" t="s">
        <v>2174</v>
      </c>
      <c r="C352" s="58" t="s">
        <v>1796</v>
      </c>
      <c r="D352" s="58" t="s">
        <v>2173</v>
      </c>
      <c r="E352" s="60" t="b">
        <v>1</v>
      </c>
      <c r="F352" s="80" t="s">
        <v>253</v>
      </c>
      <c r="G352" s="58" t="s">
        <v>2172</v>
      </c>
      <c r="H352" s="58" t="s">
        <v>1796</v>
      </c>
      <c r="I352" s="64" t="s">
        <v>2173</v>
      </c>
      <c r="J352" s="66"/>
      <c r="K352" s="66"/>
      <c r="L352" s="68"/>
      <c r="M352" s="63" t="str">
        <f>HYPERLINK("http://nsgreg.nga.mil/genc/view?v=867865&amp;end_month=12&amp;end_day=31&amp;end_year=2016","Correlation")</f>
        <v>Correlation</v>
      </c>
    </row>
    <row r="353" spans="1:13" x14ac:dyDescent="0.2">
      <c r="A353" s="113"/>
      <c r="B353" s="58" t="s">
        <v>2175</v>
      </c>
      <c r="C353" s="58" t="s">
        <v>1796</v>
      </c>
      <c r="D353" s="58" t="s">
        <v>2176</v>
      </c>
      <c r="E353" s="60" t="b">
        <v>1</v>
      </c>
      <c r="F353" s="80" t="s">
        <v>253</v>
      </c>
      <c r="G353" s="58" t="s">
        <v>2175</v>
      </c>
      <c r="H353" s="58" t="s">
        <v>1796</v>
      </c>
      <c r="I353" s="64" t="s">
        <v>2176</v>
      </c>
      <c r="J353" s="66"/>
      <c r="K353" s="66"/>
      <c r="L353" s="68"/>
      <c r="M353" s="63" t="str">
        <f>HYPERLINK("http://nsgreg.nga.mil/genc/view?v=867864&amp;end_month=12&amp;end_day=31&amp;end_year=2016","Correlation")</f>
        <v>Correlation</v>
      </c>
    </row>
    <row r="354" spans="1:13" x14ac:dyDescent="0.2">
      <c r="A354" s="113"/>
      <c r="B354" s="58" t="s">
        <v>2179</v>
      </c>
      <c r="C354" s="58" t="s">
        <v>1796</v>
      </c>
      <c r="D354" s="58" t="s">
        <v>2178</v>
      </c>
      <c r="E354" s="60" t="b">
        <v>1</v>
      </c>
      <c r="F354" s="80" t="s">
        <v>253</v>
      </c>
      <c r="G354" s="58" t="s">
        <v>2177</v>
      </c>
      <c r="H354" s="58" t="s">
        <v>1796</v>
      </c>
      <c r="I354" s="64" t="s">
        <v>2178</v>
      </c>
      <c r="J354" s="66"/>
      <c r="K354" s="66"/>
      <c r="L354" s="68"/>
      <c r="M354" s="63" t="str">
        <f>HYPERLINK("http://nsgreg.nga.mil/genc/view?v=867867&amp;end_month=12&amp;end_day=31&amp;end_year=2016","Correlation")</f>
        <v>Correlation</v>
      </c>
    </row>
    <row r="355" spans="1:13" x14ac:dyDescent="0.2">
      <c r="A355" s="113"/>
      <c r="B355" s="58" t="s">
        <v>2182</v>
      </c>
      <c r="C355" s="58" t="s">
        <v>1796</v>
      </c>
      <c r="D355" s="58" t="s">
        <v>2181</v>
      </c>
      <c r="E355" s="60" t="b">
        <v>1</v>
      </c>
      <c r="F355" s="80" t="s">
        <v>253</v>
      </c>
      <c r="G355" s="58" t="s">
        <v>2180</v>
      </c>
      <c r="H355" s="58" t="s">
        <v>1796</v>
      </c>
      <c r="I355" s="64" t="s">
        <v>2181</v>
      </c>
      <c r="J355" s="66"/>
      <c r="K355" s="66"/>
      <c r="L355" s="68"/>
      <c r="M355" s="63" t="str">
        <f>HYPERLINK("http://nsgreg.nga.mil/genc/view?v=867868&amp;end_month=12&amp;end_day=31&amp;end_year=2016","Correlation")</f>
        <v>Correlation</v>
      </c>
    </row>
    <row r="356" spans="1:13" x14ac:dyDescent="0.2">
      <c r="A356" s="113"/>
      <c r="B356" s="58" t="s">
        <v>2182</v>
      </c>
      <c r="C356" s="58" t="s">
        <v>2048</v>
      </c>
      <c r="D356" s="58" t="s">
        <v>2183</v>
      </c>
      <c r="E356" s="60" t="b">
        <v>1</v>
      </c>
      <c r="F356" s="80" t="s">
        <v>253</v>
      </c>
      <c r="G356" s="58" t="s">
        <v>2180</v>
      </c>
      <c r="H356" s="58" t="s">
        <v>2048</v>
      </c>
      <c r="I356" s="64" t="s">
        <v>2183</v>
      </c>
      <c r="J356" s="66"/>
      <c r="K356" s="66"/>
      <c r="L356" s="68"/>
      <c r="M356" s="63" t="str">
        <f>HYPERLINK("http://nsgreg.nga.mil/genc/view?v=867883&amp;end_month=12&amp;end_day=31&amp;end_year=2016","Correlation")</f>
        <v>Correlation</v>
      </c>
    </row>
    <row r="357" spans="1:13" x14ac:dyDescent="0.2">
      <c r="A357" s="113"/>
      <c r="B357" s="58" t="s">
        <v>2184</v>
      </c>
      <c r="C357" s="58" t="s">
        <v>1796</v>
      </c>
      <c r="D357" s="58" t="s">
        <v>2185</v>
      </c>
      <c r="E357" s="60" t="b">
        <v>1</v>
      </c>
      <c r="F357" s="80" t="s">
        <v>253</v>
      </c>
      <c r="G357" s="58" t="s">
        <v>2184</v>
      </c>
      <c r="H357" s="58" t="s">
        <v>1796</v>
      </c>
      <c r="I357" s="64" t="s">
        <v>2185</v>
      </c>
      <c r="J357" s="66"/>
      <c r="K357" s="66"/>
      <c r="L357" s="68"/>
      <c r="M357" s="63" t="str">
        <f>HYPERLINK("http://nsgreg.nga.mil/genc/view?v=867870&amp;end_month=12&amp;end_day=31&amp;end_year=2016","Correlation")</f>
        <v>Correlation</v>
      </c>
    </row>
    <row r="358" spans="1:13" x14ac:dyDescent="0.2">
      <c r="A358" s="113"/>
      <c r="B358" s="58" t="s">
        <v>2186</v>
      </c>
      <c r="C358" s="58" t="s">
        <v>1796</v>
      </c>
      <c r="D358" s="58" t="s">
        <v>2187</v>
      </c>
      <c r="E358" s="60" t="b">
        <v>1</v>
      </c>
      <c r="F358" s="80" t="s">
        <v>253</v>
      </c>
      <c r="G358" s="58" t="s">
        <v>2186</v>
      </c>
      <c r="H358" s="58" t="s">
        <v>1796</v>
      </c>
      <c r="I358" s="64" t="s">
        <v>2187</v>
      </c>
      <c r="J358" s="66"/>
      <c r="K358" s="66"/>
      <c r="L358" s="68"/>
      <c r="M358" s="63" t="str">
        <f>HYPERLINK("http://nsgreg.nga.mil/genc/view?v=867869&amp;end_month=12&amp;end_day=31&amp;end_year=2016","Correlation")</f>
        <v>Correlation</v>
      </c>
    </row>
    <row r="359" spans="1:13" x14ac:dyDescent="0.2">
      <c r="A359" s="113"/>
      <c r="B359" s="58" t="s">
        <v>2186</v>
      </c>
      <c r="C359" s="58" t="s">
        <v>2048</v>
      </c>
      <c r="D359" s="58" t="s">
        <v>2188</v>
      </c>
      <c r="E359" s="60" t="b">
        <v>1</v>
      </c>
      <c r="F359" s="80" t="s">
        <v>253</v>
      </c>
      <c r="G359" s="58" t="s">
        <v>2186</v>
      </c>
      <c r="H359" s="58" t="s">
        <v>2048</v>
      </c>
      <c r="I359" s="64" t="s">
        <v>2188</v>
      </c>
      <c r="J359" s="66"/>
      <c r="K359" s="66"/>
      <c r="L359" s="68"/>
      <c r="M359" s="63" t="str">
        <f>HYPERLINK("http://nsgreg.nga.mil/genc/view?v=867884&amp;end_month=12&amp;end_day=31&amp;end_year=2016","Correlation")</f>
        <v>Correlation</v>
      </c>
    </row>
    <row r="360" spans="1:13" x14ac:dyDescent="0.2">
      <c r="A360" s="113"/>
      <c r="B360" s="58" t="s">
        <v>2191</v>
      </c>
      <c r="C360" s="58" t="s">
        <v>1796</v>
      </c>
      <c r="D360" s="58" t="s">
        <v>2190</v>
      </c>
      <c r="E360" s="60" t="b">
        <v>1</v>
      </c>
      <c r="F360" s="80" t="s">
        <v>253</v>
      </c>
      <c r="G360" s="58" t="s">
        <v>2189</v>
      </c>
      <c r="H360" s="58" t="s">
        <v>1796</v>
      </c>
      <c r="I360" s="64" t="s">
        <v>2190</v>
      </c>
      <c r="J360" s="66"/>
      <c r="K360" s="66"/>
      <c r="L360" s="68"/>
      <c r="M360" s="63" t="str">
        <f>HYPERLINK("http://nsgreg.nga.mil/genc/view?v=867872&amp;end_month=12&amp;end_day=31&amp;end_year=2016","Correlation")</f>
        <v>Correlation</v>
      </c>
    </row>
    <row r="361" spans="1:13" x14ac:dyDescent="0.2">
      <c r="A361" s="113"/>
      <c r="B361" s="58" t="s">
        <v>2194</v>
      </c>
      <c r="C361" s="58" t="s">
        <v>1796</v>
      </c>
      <c r="D361" s="58" t="s">
        <v>2193</v>
      </c>
      <c r="E361" s="60" t="b">
        <v>1</v>
      </c>
      <c r="F361" s="80" t="s">
        <v>253</v>
      </c>
      <c r="G361" s="58" t="s">
        <v>2192</v>
      </c>
      <c r="H361" s="58" t="s">
        <v>1796</v>
      </c>
      <c r="I361" s="64" t="s">
        <v>2193</v>
      </c>
      <c r="J361" s="66"/>
      <c r="K361" s="66"/>
      <c r="L361" s="68"/>
      <c r="M361" s="63" t="str">
        <f>HYPERLINK("http://nsgreg.nga.mil/genc/view?v=867876&amp;end_month=12&amp;end_day=31&amp;end_year=2016","Correlation")</f>
        <v>Correlation</v>
      </c>
    </row>
    <row r="362" spans="1:13" x14ac:dyDescent="0.2">
      <c r="A362" s="113"/>
      <c r="B362" s="58" t="s">
        <v>2195</v>
      </c>
      <c r="C362" s="58" t="s">
        <v>1796</v>
      </c>
      <c r="D362" s="58" t="s">
        <v>2196</v>
      </c>
      <c r="E362" s="60" t="b">
        <v>1</v>
      </c>
      <c r="F362" s="80" t="s">
        <v>253</v>
      </c>
      <c r="G362" s="58" t="s">
        <v>2195</v>
      </c>
      <c r="H362" s="58" t="s">
        <v>1796</v>
      </c>
      <c r="I362" s="64" t="s">
        <v>2196</v>
      </c>
      <c r="J362" s="66"/>
      <c r="K362" s="66"/>
      <c r="L362" s="68"/>
      <c r="M362" s="63" t="str">
        <f>HYPERLINK("http://nsgreg.nga.mil/genc/view?v=867871&amp;end_month=12&amp;end_day=31&amp;end_year=2016","Correlation")</f>
        <v>Correlation</v>
      </c>
    </row>
    <row r="363" spans="1:13" x14ac:dyDescent="0.2">
      <c r="A363" s="113"/>
      <c r="B363" s="58" t="s">
        <v>2199</v>
      </c>
      <c r="C363" s="58" t="s">
        <v>1796</v>
      </c>
      <c r="D363" s="58" t="s">
        <v>2198</v>
      </c>
      <c r="E363" s="60" t="b">
        <v>1</v>
      </c>
      <c r="F363" s="80" t="s">
        <v>253</v>
      </c>
      <c r="G363" s="58" t="s">
        <v>2197</v>
      </c>
      <c r="H363" s="58" t="s">
        <v>1796</v>
      </c>
      <c r="I363" s="64" t="s">
        <v>2198</v>
      </c>
      <c r="J363" s="66"/>
      <c r="K363" s="66"/>
      <c r="L363" s="68"/>
      <c r="M363" s="63" t="str">
        <f>HYPERLINK("http://nsgreg.nga.mil/genc/view?v=867873&amp;end_month=12&amp;end_day=31&amp;end_year=2016","Correlation")</f>
        <v>Correlation</v>
      </c>
    </row>
    <row r="364" spans="1:13" x14ac:dyDescent="0.2">
      <c r="A364" s="113"/>
      <c r="B364" s="58" t="s">
        <v>2202</v>
      </c>
      <c r="C364" s="58" t="s">
        <v>1796</v>
      </c>
      <c r="D364" s="58" t="s">
        <v>2201</v>
      </c>
      <c r="E364" s="60" t="b">
        <v>1</v>
      </c>
      <c r="F364" s="80" t="s">
        <v>253</v>
      </c>
      <c r="G364" s="58" t="s">
        <v>2200</v>
      </c>
      <c r="H364" s="58" t="s">
        <v>1796</v>
      </c>
      <c r="I364" s="64" t="s">
        <v>2201</v>
      </c>
      <c r="J364" s="66"/>
      <c r="K364" s="66"/>
      <c r="L364" s="68"/>
      <c r="M364" s="63" t="str">
        <f>HYPERLINK("http://nsgreg.nga.mil/genc/view?v=867875&amp;end_month=12&amp;end_day=31&amp;end_year=2016","Correlation")</f>
        <v>Correlation</v>
      </c>
    </row>
    <row r="365" spans="1:13" x14ac:dyDescent="0.2">
      <c r="A365" s="113"/>
      <c r="B365" s="58" t="s">
        <v>2203</v>
      </c>
      <c r="C365" s="58" t="s">
        <v>1796</v>
      </c>
      <c r="D365" s="58" t="s">
        <v>2204</v>
      </c>
      <c r="E365" s="60" t="b">
        <v>1</v>
      </c>
      <c r="F365" s="80" t="s">
        <v>253</v>
      </c>
      <c r="G365" s="58" t="s">
        <v>2203</v>
      </c>
      <c r="H365" s="58" t="s">
        <v>1796</v>
      </c>
      <c r="I365" s="64" t="s">
        <v>2204</v>
      </c>
      <c r="J365" s="66"/>
      <c r="K365" s="66"/>
      <c r="L365" s="68"/>
      <c r="M365" s="63" t="str">
        <f>HYPERLINK("http://nsgreg.nga.mil/genc/view?v=867874&amp;end_month=12&amp;end_day=31&amp;end_year=2016","Correlation")</f>
        <v>Correlation</v>
      </c>
    </row>
    <row r="366" spans="1:13" x14ac:dyDescent="0.2">
      <c r="A366" s="113"/>
      <c r="B366" s="58" t="s">
        <v>2203</v>
      </c>
      <c r="C366" s="58" t="s">
        <v>2048</v>
      </c>
      <c r="D366" s="58" t="s">
        <v>2205</v>
      </c>
      <c r="E366" s="60" t="b">
        <v>1</v>
      </c>
      <c r="F366" s="80" t="s">
        <v>253</v>
      </c>
      <c r="G366" s="58" t="s">
        <v>2203</v>
      </c>
      <c r="H366" s="58" t="s">
        <v>2048</v>
      </c>
      <c r="I366" s="64" t="s">
        <v>2205</v>
      </c>
      <c r="J366" s="66"/>
      <c r="K366" s="66"/>
      <c r="L366" s="68"/>
      <c r="M366" s="63" t="str">
        <f>HYPERLINK("http://nsgreg.nga.mil/genc/view?v=867885&amp;end_month=12&amp;end_day=31&amp;end_year=2016","Correlation")</f>
        <v>Correlation</v>
      </c>
    </row>
    <row r="367" spans="1:13" x14ac:dyDescent="0.2">
      <c r="A367" s="113"/>
      <c r="B367" s="58" t="s">
        <v>2206</v>
      </c>
      <c r="C367" s="58" t="s">
        <v>1796</v>
      </c>
      <c r="D367" s="58" t="s">
        <v>2207</v>
      </c>
      <c r="E367" s="60" t="b">
        <v>1</v>
      </c>
      <c r="F367" s="80" t="s">
        <v>253</v>
      </c>
      <c r="G367" s="58" t="s">
        <v>2206</v>
      </c>
      <c r="H367" s="58" t="s">
        <v>1796</v>
      </c>
      <c r="I367" s="64" t="s">
        <v>2207</v>
      </c>
      <c r="J367" s="66"/>
      <c r="K367" s="66"/>
      <c r="L367" s="68"/>
      <c r="M367" s="63" t="str">
        <f>HYPERLINK("http://nsgreg.nga.mil/genc/view?v=867877&amp;end_month=12&amp;end_day=31&amp;end_year=2016","Correlation")</f>
        <v>Correlation</v>
      </c>
    </row>
    <row r="368" spans="1:13" x14ac:dyDescent="0.2">
      <c r="A368" s="114"/>
      <c r="B368" s="71" t="s">
        <v>2210</v>
      </c>
      <c r="C368" s="71" t="s">
        <v>1796</v>
      </c>
      <c r="D368" s="71" t="s">
        <v>2209</v>
      </c>
      <c r="E368" s="73" t="b">
        <v>1</v>
      </c>
      <c r="F368" s="81" t="s">
        <v>253</v>
      </c>
      <c r="G368" s="71" t="s">
        <v>2208</v>
      </c>
      <c r="H368" s="71" t="s">
        <v>1796</v>
      </c>
      <c r="I368" s="74" t="s">
        <v>2209</v>
      </c>
      <c r="J368" s="76"/>
      <c r="K368" s="76"/>
      <c r="L368" s="82"/>
      <c r="M368" s="77" t="str">
        <f>HYPERLINK("http://nsgreg.nga.mil/genc/view?v=867878&amp;end_month=12&amp;end_day=31&amp;end_year=2016","Correlation")</f>
        <v>Correlation</v>
      </c>
    </row>
    <row r="369" spans="1:13" x14ac:dyDescent="0.2">
      <c r="A369" s="112" t="s">
        <v>257</v>
      </c>
      <c r="B369" s="50" t="s">
        <v>2211</v>
      </c>
      <c r="C369" s="50" t="s">
        <v>1607</v>
      </c>
      <c r="D369" s="50" t="s">
        <v>2212</v>
      </c>
      <c r="E369" s="52" t="b">
        <v>1</v>
      </c>
      <c r="F369" s="78" t="s">
        <v>257</v>
      </c>
      <c r="G369" s="50" t="s">
        <v>2211</v>
      </c>
      <c r="H369" s="50" t="s">
        <v>1607</v>
      </c>
      <c r="I369" s="53" t="s">
        <v>2212</v>
      </c>
      <c r="J369" s="55"/>
      <c r="K369" s="55"/>
      <c r="L369" s="79"/>
      <c r="M369" s="56" t="str">
        <f>HYPERLINK("http://nsgreg.nga.mil/genc/view?v=867804&amp;end_month=12&amp;end_day=31&amp;end_year=2016","Correlation")</f>
        <v>Correlation</v>
      </c>
    </row>
    <row r="370" spans="1:13" x14ac:dyDescent="0.2">
      <c r="A370" s="113"/>
      <c r="B370" s="58" t="s">
        <v>2213</v>
      </c>
      <c r="C370" s="58" t="s">
        <v>1607</v>
      </c>
      <c r="D370" s="58" t="s">
        <v>2214</v>
      </c>
      <c r="E370" s="60" t="b">
        <v>1</v>
      </c>
      <c r="F370" s="80" t="s">
        <v>257</v>
      </c>
      <c r="G370" s="58" t="s">
        <v>2213</v>
      </c>
      <c r="H370" s="58" t="s">
        <v>1607</v>
      </c>
      <c r="I370" s="64" t="s">
        <v>2214</v>
      </c>
      <c r="J370" s="66"/>
      <c r="K370" s="66"/>
      <c r="L370" s="68"/>
      <c r="M370" s="63" t="str">
        <f>HYPERLINK("http://nsgreg.nga.mil/genc/view?v=867805&amp;end_month=12&amp;end_day=31&amp;end_year=2016","Correlation")</f>
        <v>Correlation</v>
      </c>
    </row>
    <row r="371" spans="1:13" x14ac:dyDescent="0.2">
      <c r="A371" s="113"/>
      <c r="B371" s="58" t="s">
        <v>1663</v>
      </c>
      <c r="C371" s="58" t="s">
        <v>1607</v>
      </c>
      <c r="D371" s="58" t="s">
        <v>2215</v>
      </c>
      <c r="E371" s="60" t="b">
        <v>1</v>
      </c>
      <c r="F371" s="80" t="s">
        <v>257</v>
      </c>
      <c r="G371" s="58" t="s">
        <v>1663</v>
      </c>
      <c r="H371" s="58" t="s">
        <v>1607</v>
      </c>
      <c r="I371" s="64" t="s">
        <v>2215</v>
      </c>
      <c r="J371" s="66"/>
      <c r="K371" s="66"/>
      <c r="L371" s="68"/>
      <c r="M371" s="63" t="str">
        <f>HYPERLINK("http://nsgreg.nga.mil/genc/view?v=867806&amp;end_month=12&amp;end_day=31&amp;end_year=2016","Correlation")</f>
        <v>Correlation</v>
      </c>
    </row>
    <row r="372" spans="1:13" x14ac:dyDescent="0.2">
      <c r="A372" s="113"/>
      <c r="B372" s="58" t="s">
        <v>2216</v>
      </c>
      <c r="C372" s="58" t="s">
        <v>1607</v>
      </c>
      <c r="D372" s="58" t="s">
        <v>2217</v>
      </c>
      <c r="E372" s="60" t="b">
        <v>1</v>
      </c>
      <c r="F372" s="80" t="s">
        <v>257</v>
      </c>
      <c r="G372" s="58" t="s">
        <v>2216</v>
      </c>
      <c r="H372" s="58" t="s">
        <v>1607</v>
      </c>
      <c r="I372" s="64" t="s">
        <v>2217</v>
      </c>
      <c r="J372" s="66"/>
      <c r="K372" s="66"/>
      <c r="L372" s="68"/>
      <c r="M372" s="63" t="str">
        <f>HYPERLINK("http://nsgreg.nga.mil/genc/view?v=867807&amp;end_month=12&amp;end_day=31&amp;end_year=2016","Correlation")</f>
        <v>Correlation</v>
      </c>
    </row>
    <row r="373" spans="1:13" x14ac:dyDescent="0.2">
      <c r="A373" s="113"/>
      <c r="B373" s="58" t="s">
        <v>1665</v>
      </c>
      <c r="C373" s="58" t="s">
        <v>1607</v>
      </c>
      <c r="D373" s="58" t="s">
        <v>2218</v>
      </c>
      <c r="E373" s="60" t="b">
        <v>1</v>
      </c>
      <c r="F373" s="80" t="s">
        <v>257</v>
      </c>
      <c r="G373" s="58" t="s">
        <v>1665</v>
      </c>
      <c r="H373" s="58" t="s">
        <v>1607</v>
      </c>
      <c r="I373" s="64" t="s">
        <v>2218</v>
      </c>
      <c r="J373" s="66"/>
      <c r="K373" s="66"/>
      <c r="L373" s="68"/>
      <c r="M373" s="63" t="str">
        <f>HYPERLINK("http://nsgreg.nga.mil/genc/view?v=867808&amp;end_month=12&amp;end_day=31&amp;end_year=2016","Correlation")</f>
        <v>Correlation</v>
      </c>
    </row>
    <row r="374" spans="1:13" x14ac:dyDescent="0.2">
      <c r="A374" s="113"/>
      <c r="B374" s="58" t="s">
        <v>2219</v>
      </c>
      <c r="C374" s="58" t="s">
        <v>1607</v>
      </c>
      <c r="D374" s="58" t="s">
        <v>2220</v>
      </c>
      <c r="E374" s="60" t="b">
        <v>1</v>
      </c>
      <c r="F374" s="80" t="s">
        <v>257</v>
      </c>
      <c r="G374" s="58" t="s">
        <v>2219</v>
      </c>
      <c r="H374" s="58" t="s">
        <v>1607</v>
      </c>
      <c r="I374" s="64" t="s">
        <v>2220</v>
      </c>
      <c r="J374" s="66"/>
      <c r="K374" s="66"/>
      <c r="L374" s="68"/>
      <c r="M374" s="63" t="str">
        <f>HYPERLINK("http://nsgreg.nga.mil/genc/view?v=867809&amp;end_month=12&amp;end_day=31&amp;end_year=2016","Correlation")</f>
        <v>Correlation</v>
      </c>
    </row>
    <row r="375" spans="1:13" x14ac:dyDescent="0.2">
      <c r="A375" s="113"/>
      <c r="B375" s="58" t="s">
        <v>2221</v>
      </c>
      <c r="C375" s="58" t="s">
        <v>1607</v>
      </c>
      <c r="D375" s="58" t="s">
        <v>2222</v>
      </c>
      <c r="E375" s="60" t="b">
        <v>1</v>
      </c>
      <c r="F375" s="80" t="s">
        <v>257</v>
      </c>
      <c r="G375" s="58" t="s">
        <v>2221</v>
      </c>
      <c r="H375" s="58" t="s">
        <v>1607</v>
      </c>
      <c r="I375" s="64" t="s">
        <v>2222</v>
      </c>
      <c r="J375" s="66"/>
      <c r="K375" s="66"/>
      <c r="L375" s="68"/>
      <c r="M375" s="63" t="str">
        <f>HYPERLINK("http://nsgreg.nga.mil/genc/view?v=867810&amp;end_month=12&amp;end_day=31&amp;end_year=2016","Correlation")</f>
        <v>Correlation</v>
      </c>
    </row>
    <row r="376" spans="1:13" x14ac:dyDescent="0.2">
      <c r="A376" s="113"/>
      <c r="B376" s="58" t="s">
        <v>2223</v>
      </c>
      <c r="C376" s="58" t="s">
        <v>1607</v>
      </c>
      <c r="D376" s="58" t="s">
        <v>2224</v>
      </c>
      <c r="E376" s="60" t="b">
        <v>1</v>
      </c>
      <c r="F376" s="80" t="s">
        <v>257</v>
      </c>
      <c r="G376" s="58" t="s">
        <v>2223</v>
      </c>
      <c r="H376" s="58" t="s">
        <v>1607</v>
      </c>
      <c r="I376" s="64" t="s">
        <v>2224</v>
      </c>
      <c r="J376" s="66"/>
      <c r="K376" s="66"/>
      <c r="L376" s="68"/>
      <c r="M376" s="63" t="str">
        <f>HYPERLINK("http://nsgreg.nga.mil/genc/view?v=867811&amp;end_month=12&amp;end_day=31&amp;end_year=2016","Correlation")</f>
        <v>Correlation</v>
      </c>
    </row>
    <row r="377" spans="1:13" x14ac:dyDescent="0.2">
      <c r="A377" s="113"/>
      <c r="B377" s="58" t="s">
        <v>1671</v>
      </c>
      <c r="C377" s="58" t="s">
        <v>1607</v>
      </c>
      <c r="D377" s="58" t="s">
        <v>2225</v>
      </c>
      <c r="E377" s="60" t="b">
        <v>1</v>
      </c>
      <c r="F377" s="80" t="s">
        <v>257</v>
      </c>
      <c r="G377" s="58" t="s">
        <v>1671</v>
      </c>
      <c r="H377" s="58" t="s">
        <v>1607</v>
      </c>
      <c r="I377" s="64" t="s">
        <v>2225</v>
      </c>
      <c r="J377" s="66"/>
      <c r="K377" s="66"/>
      <c r="L377" s="68"/>
      <c r="M377" s="63" t="str">
        <f>HYPERLINK("http://nsgreg.nga.mil/genc/view?v=867812&amp;end_month=12&amp;end_day=31&amp;end_year=2016","Correlation")</f>
        <v>Correlation</v>
      </c>
    </row>
    <row r="378" spans="1:13" x14ac:dyDescent="0.2">
      <c r="A378" s="113"/>
      <c r="B378" s="58" t="s">
        <v>1673</v>
      </c>
      <c r="C378" s="58" t="s">
        <v>1607</v>
      </c>
      <c r="D378" s="58" t="s">
        <v>2226</v>
      </c>
      <c r="E378" s="60" t="b">
        <v>1</v>
      </c>
      <c r="F378" s="80" t="s">
        <v>257</v>
      </c>
      <c r="G378" s="58" t="s">
        <v>1673</v>
      </c>
      <c r="H378" s="58" t="s">
        <v>1607</v>
      </c>
      <c r="I378" s="64" t="s">
        <v>2226</v>
      </c>
      <c r="J378" s="66"/>
      <c r="K378" s="66"/>
      <c r="L378" s="68"/>
      <c r="M378" s="63" t="str">
        <f>HYPERLINK("http://nsgreg.nga.mil/genc/view?v=867813&amp;end_month=12&amp;end_day=31&amp;end_year=2016","Correlation")</f>
        <v>Correlation</v>
      </c>
    </row>
    <row r="379" spans="1:13" x14ac:dyDescent="0.2">
      <c r="A379" s="114"/>
      <c r="B379" s="71" t="s">
        <v>2227</v>
      </c>
      <c r="C379" s="71" t="s">
        <v>1607</v>
      </c>
      <c r="D379" s="71" t="s">
        <v>2228</v>
      </c>
      <c r="E379" s="73" t="b">
        <v>1</v>
      </c>
      <c r="F379" s="81" t="s">
        <v>257</v>
      </c>
      <c r="G379" s="71" t="s">
        <v>2227</v>
      </c>
      <c r="H379" s="71" t="s">
        <v>1607</v>
      </c>
      <c r="I379" s="74" t="s">
        <v>2228</v>
      </c>
      <c r="J379" s="76"/>
      <c r="K379" s="76"/>
      <c r="L379" s="82"/>
      <c r="M379" s="77" t="str">
        <f>HYPERLINK("http://nsgreg.nga.mil/genc/view?v=867814&amp;end_month=12&amp;end_day=31&amp;end_year=2016","Correlation")</f>
        <v>Correlation</v>
      </c>
    </row>
    <row r="380" spans="1:13" x14ac:dyDescent="0.2">
      <c r="A380" s="112" t="s">
        <v>271</v>
      </c>
      <c r="B380" s="50" t="s">
        <v>2231</v>
      </c>
      <c r="C380" s="50" t="s">
        <v>2232</v>
      </c>
      <c r="D380" s="50" t="s">
        <v>2230</v>
      </c>
      <c r="E380" s="52" t="b">
        <v>1</v>
      </c>
      <c r="F380" s="78" t="s">
        <v>271</v>
      </c>
      <c r="G380" s="50" t="s">
        <v>2229</v>
      </c>
      <c r="H380" s="50" t="s">
        <v>1728</v>
      </c>
      <c r="I380" s="53" t="s">
        <v>2230</v>
      </c>
      <c r="J380" s="55"/>
      <c r="K380" s="55"/>
      <c r="L380" s="79"/>
      <c r="M380" s="56" t="str">
        <f>HYPERLINK("http://nsgreg.nga.mil/genc/view?v=868130&amp;end_month=12&amp;end_day=31&amp;end_year=2016","Correlation")</f>
        <v>Correlation</v>
      </c>
    </row>
    <row r="381" spans="1:13" x14ac:dyDescent="0.2">
      <c r="A381" s="113"/>
      <c r="B381" s="58" t="s">
        <v>2235</v>
      </c>
      <c r="C381" s="58" t="s">
        <v>2232</v>
      </c>
      <c r="D381" s="58" t="s">
        <v>2234</v>
      </c>
      <c r="E381" s="60" t="b">
        <v>1</v>
      </c>
      <c r="F381" s="80" t="s">
        <v>271</v>
      </c>
      <c r="G381" s="58" t="s">
        <v>2233</v>
      </c>
      <c r="H381" s="58" t="s">
        <v>1728</v>
      </c>
      <c r="I381" s="64" t="s">
        <v>2234</v>
      </c>
      <c r="J381" s="66"/>
      <c r="K381" s="66"/>
      <c r="L381" s="68"/>
      <c r="M381" s="63" t="str">
        <f>HYPERLINK("http://nsgreg.nga.mil/genc/view?v=868132&amp;end_month=12&amp;end_day=31&amp;end_year=2016","Correlation")</f>
        <v>Correlation</v>
      </c>
    </row>
    <row r="382" spans="1:13" x14ac:dyDescent="0.2">
      <c r="A382" s="113"/>
      <c r="B382" s="58" t="s">
        <v>2244</v>
      </c>
      <c r="C382" s="58" t="s">
        <v>1681</v>
      </c>
      <c r="D382" s="58" t="s">
        <v>2243</v>
      </c>
      <c r="E382" s="60" t="b">
        <v>1</v>
      </c>
      <c r="F382" s="80" t="s">
        <v>271</v>
      </c>
      <c r="G382" s="58" t="s">
        <v>2242</v>
      </c>
      <c r="H382" s="58" t="s">
        <v>1681</v>
      </c>
      <c r="I382" s="64" t="s">
        <v>2243</v>
      </c>
      <c r="J382" s="66"/>
      <c r="K382" s="66"/>
      <c r="L382" s="68"/>
      <c r="M382" s="63" t="str">
        <f>HYPERLINK("http://nsgreg.nga.mil/genc/view?v=868131&amp;end_month=12&amp;end_day=31&amp;end_year=2016","Correlation")</f>
        <v>Correlation</v>
      </c>
    </row>
    <row r="383" spans="1:13" x14ac:dyDescent="0.2">
      <c r="A383" s="113"/>
      <c r="B383" s="58" t="s">
        <v>2238</v>
      </c>
      <c r="C383" s="58" t="s">
        <v>2232</v>
      </c>
      <c r="D383" s="58" t="s">
        <v>2237</v>
      </c>
      <c r="E383" s="60" t="b">
        <v>1</v>
      </c>
      <c r="F383" s="80" t="s">
        <v>271</v>
      </c>
      <c r="G383" s="58" t="s">
        <v>2236</v>
      </c>
      <c r="H383" s="58" t="s">
        <v>1728</v>
      </c>
      <c r="I383" s="64" t="s">
        <v>2237</v>
      </c>
      <c r="J383" s="66"/>
      <c r="K383" s="66"/>
      <c r="L383" s="68"/>
      <c r="M383" s="63" t="str">
        <f>HYPERLINK("http://nsgreg.nga.mil/genc/view?v=868133&amp;end_month=12&amp;end_day=31&amp;end_year=2016","Correlation")</f>
        <v>Correlation</v>
      </c>
    </row>
    <row r="384" spans="1:13" x14ac:dyDescent="0.2">
      <c r="A384" s="113"/>
      <c r="B384" s="58" t="s">
        <v>2241</v>
      </c>
      <c r="C384" s="58" t="s">
        <v>2232</v>
      </c>
      <c r="D384" s="58" t="s">
        <v>2240</v>
      </c>
      <c r="E384" s="60" t="b">
        <v>1</v>
      </c>
      <c r="F384" s="80" t="s">
        <v>271</v>
      </c>
      <c r="G384" s="58" t="s">
        <v>2239</v>
      </c>
      <c r="H384" s="58" t="s">
        <v>1728</v>
      </c>
      <c r="I384" s="64" t="s">
        <v>2240</v>
      </c>
      <c r="J384" s="66"/>
      <c r="K384" s="66"/>
      <c r="L384" s="68"/>
      <c r="M384" s="63" t="str">
        <f>HYPERLINK("http://nsgreg.nga.mil/genc/view?v=868134&amp;end_month=12&amp;end_day=31&amp;end_year=2016","Correlation")</f>
        <v>Correlation</v>
      </c>
    </row>
    <row r="385" spans="1:13" x14ac:dyDescent="0.2">
      <c r="A385" s="113"/>
      <c r="B385" s="58" t="s">
        <v>2247</v>
      </c>
      <c r="C385" s="58" t="s">
        <v>2232</v>
      </c>
      <c r="D385" s="58" t="s">
        <v>2246</v>
      </c>
      <c r="E385" s="60" t="b">
        <v>1</v>
      </c>
      <c r="F385" s="80" t="s">
        <v>271</v>
      </c>
      <c r="G385" s="58" t="s">
        <v>2245</v>
      </c>
      <c r="H385" s="58" t="s">
        <v>1728</v>
      </c>
      <c r="I385" s="64" t="s">
        <v>2246</v>
      </c>
      <c r="J385" s="66"/>
      <c r="K385" s="66"/>
      <c r="L385" s="68"/>
      <c r="M385" s="63" t="str">
        <f>HYPERLINK("http://nsgreg.nga.mil/genc/view?v=868135&amp;end_month=12&amp;end_day=31&amp;end_year=2016","Correlation")</f>
        <v>Correlation</v>
      </c>
    </row>
    <row r="386" spans="1:13" x14ac:dyDescent="0.2">
      <c r="A386" s="114"/>
      <c r="B386" s="71" t="s">
        <v>2250</v>
      </c>
      <c r="C386" s="71" t="s">
        <v>2232</v>
      </c>
      <c r="D386" s="71" t="s">
        <v>2249</v>
      </c>
      <c r="E386" s="73" t="b">
        <v>1</v>
      </c>
      <c r="F386" s="81" t="s">
        <v>271</v>
      </c>
      <c r="G386" s="71" t="s">
        <v>2248</v>
      </c>
      <c r="H386" s="71" t="s">
        <v>1728</v>
      </c>
      <c r="I386" s="74" t="s">
        <v>2249</v>
      </c>
      <c r="J386" s="76"/>
      <c r="K386" s="76"/>
      <c r="L386" s="82"/>
      <c r="M386" s="77" t="str">
        <f>HYPERLINK("http://nsgreg.nga.mil/genc/view?v=868136&amp;end_month=12&amp;end_day=31&amp;end_year=2016","Correlation")</f>
        <v>Correlation</v>
      </c>
    </row>
    <row r="387" spans="1:13" x14ac:dyDescent="0.2">
      <c r="A387" s="112" t="s">
        <v>275</v>
      </c>
      <c r="B387" s="50" t="s">
        <v>2251</v>
      </c>
      <c r="C387" s="50" t="s">
        <v>1413</v>
      </c>
      <c r="D387" s="50" t="s">
        <v>2252</v>
      </c>
      <c r="E387" s="52" t="b">
        <v>1</v>
      </c>
      <c r="F387" s="78" t="s">
        <v>275</v>
      </c>
      <c r="G387" s="50" t="s">
        <v>2251</v>
      </c>
      <c r="H387" s="50" t="s">
        <v>1413</v>
      </c>
      <c r="I387" s="53" t="s">
        <v>2252</v>
      </c>
      <c r="J387" s="55"/>
      <c r="K387" s="55"/>
      <c r="L387" s="79"/>
      <c r="M387" s="56" t="str">
        <f>HYPERLINK("http://nsgreg.nga.mil/genc/view?v=867888&amp;end_month=12&amp;end_day=31&amp;end_year=2016","Correlation")</f>
        <v>Correlation</v>
      </c>
    </row>
    <row r="388" spans="1:13" x14ac:dyDescent="0.2">
      <c r="A388" s="113"/>
      <c r="B388" s="58" t="s">
        <v>2255</v>
      </c>
      <c r="C388" s="58" t="s">
        <v>1413</v>
      </c>
      <c r="D388" s="58" t="s">
        <v>2254</v>
      </c>
      <c r="E388" s="60" t="b">
        <v>1</v>
      </c>
      <c r="F388" s="80" t="s">
        <v>275</v>
      </c>
      <c r="G388" s="58" t="s">
        <v>2253</v>
      </c>
      <c r="H388" s="58" t="s">
        <v>1413</v>
      </c>
      <c r="I388" s="64" t="s">
        <v>2254</v>
      </c>
      <c r="J388" s="66"/>
      <c r="K388" s="66"/>
      <c r="L388" s="68"/>
      <c r="M388" s="63" t="str">
        <f>HYPERLINK("http://nsgreg.nga.mil/genc/view?v=867895&amp;end_month=12&amp;end_day=31&amp;end_year=2016","Correlation")</f>
        <v>Correlation</v>
      </c>
    </row>
    <row r="389" spans="1:13" x14ac:dyDescent="0.2">
      <c r="A389" s="113"/>
      <c r="B389" s="58" t="s">
        <v>2258</v>
      </c>
      <c r="C389" s="58" t="s">
        <v>1728</v>
      </c>
      <c r="D389" s="58" t="s">
        <v>2257</v>
      </c>
      <c r="E389" s="60" t="b">
        <v>1</v>
      </c>
      <c r="F389" s="80" t="s">
        <v>275</v>
      </c>
      <c r="G389" s="58" t="s">
        <v>2256</v>
      </c>
      <c r="H389" s="58" t="s">
        <v>1728</v>
      </c>
      <c r="I389" s="64" t="s">
        <v>2257</v>
      </c>
      <c r="J389" s="66"/>
      <c r="K389" s="66"/>
      <c r="L389" s="68"/>
      <c r="M389" s="63" t="str">
        <f>HYPERLINK("http://nsgreg.nga.mil/genc/view?v=867887&amp;end_month=12&amp;end_day=31&amp;end_year=2016","Correlation")</f>
        <v>Correlation</v>
      </c>
    </row>
    <row r="390" spans="1:13" x14ac:dyDescent="0.2">
      <c r="A390" s="113"/>
      <c r="B390" s="58" t="s">
        <v>2262</v>
      </c>
      <c r="C390" s="58" t="s">
        <v>1413</v>
      </c>
      <c r="D390" s="58" t="s">
        <v>2263</v>
      </c>
      <c r="E390" s="60" t="b">
        <v>1</v>
      </c>
      <c r="F390" s="80" t="s">
        <v>275</v>
      </c>
      <c r="G390" s="58" t="s">
        <v>2262</v>
      </c>
      <c r="H390" s="58" t="s">
        <v>1413</v>
      </c>
      <c r="I390" s="64" t="s">
        <v>2263</v>
      </c>
      <c r="J390" s="66"/>
      <c r="K390" s="66"/>
      <c r="L390" s="68"/>
      <c r="M390" s="63" t="str">
        <f>HYPERLINK("http://nsgreg.nga.mil/genc/view?v=867896&amp;end_month=12&amp;end_day=31&amp;end_year=2016","Correlation")</f>
        <v>Correlation</v>
      </c>
    </row>
    <row r="391" spans="1:13" x14ac:dyDescent="0.2">
      <c r="A391" s="113"/>
      <c r="B391" s="58" t="s">
        <v>2264</v>
      </c>
      <c r="C391" s="58" t="s">
        <v>1413</v>
      </c>
      <c r="D391" s="58" t="s">
        <v>2265</v>
      </c>
      <c r="E391" s="60" t="b">
        <v>1</v>
      </c>
      <c r="F391" s="80" t="s">
        <v>275</v>
      </c>
      <c r="G391" s="58" t="s">
        <v>2264</v>
      </c>
      <c r="H391" s="58" t="s">
        <v>1413</v>
      </c>
      <c r="I391" s="64" t="s">
        <v>2265</v>
      </c>
      <c r="J391" s="66"/>
      <c r="K391" s="66"/>
      <c r="L391" s="68"/>
      <c r="M391" s="63" t="str">
        <f>HYPERLINK("http://nsgreg.nga.mil/genc/view?v=867897&amp;end_month=12&amp;end_day=31&amp;end_year=2016","Correlation")</f>
        <v>Correlation</v>
      </c>
    </row>
    <row r="392" spans="1:13" x14ac:dyDescent="0.2">
      <c r="A392" s="113"/>
      <c r="B392" s="58" t="s">
        <v>2266</v>
      </c>
      <c r="C392" s="58" t="s">
        <v>1413</v>
      </c>
      <c r="D392" s="58" t="s">
        <v>2267</v>
      </c>
      <c r="E392" s="60" t="b">
        <v>1</v>
      </c>
      <c r="F392" s="80" t="s">
        <v>275</v>
      </c>
      <c r="G392" s="58" t="s">
        <v>2266</v>
      </c>
      <c r="H392" s="58" t="s">
        <v>1413</v>
      </c>
      <c r="I392" s="64" t="s">
        <v>2267</v>
      </c>
      <c r="J392" s="66"/>
      <c r="K392" s="66"/>
      <c r="L392" s="68"/>
      <c r="M392" s="63" t="str">
        <f>HYPERLINK("http://nsgreg.nga.mil/genc/view?v=867891&amp;end_month=12&amp;end_day=31&amp;end_year=2016","Correlation")</f>
        <v>Correlation</v>
      </c>
    </row>
    <row r="393" spans="1:13" x14ac:dyDescent="0.2">
      <c r="A393" s="113"/>
      <c r="B393" s="58" t="s">
        <v>2268</v>
      </c>
      <c r="C393" s="58" t="s">
        <v>1413</v>
      </c>
      <c r="D393" s="58" t="s">
        <v>2269</v>
      </c>
      <c r="E393" s="60" t="b">
        <v>1</v>
      </c>
      <c r="F393" s="80" t="s">
        <v>275</v>
      </c>
      <c r="G393" s="58" t="s">
        <v>2268</v>
      </c>
      <c r="H393" s="58" t="s">
        <v>1413</v>
      </c>
      <c r="I393" s="64" t="s">
        <v>2269</v>
      </c>
      <c r="J393" s="66"/>
      <c r="K393" s="66"/>
      <c r="L393" s="68"/>
      <c r="M393" s="63" t="str">
        <f>HYPERLINK("http://nsgreg.nga.mil/genc/view?v=867898&amp;end_month=12&amp;end_day=31&amp;end_year=2016","Correlation")</f>
        <v>Correlation</v>
      </c>
    </row>
    <row r="394" spans="1:13" x14ac:dyDescent="0.2">
      <c r="A394" s="113"/>
      <c r="B394" s="58" t="s">
        <v>2270</v>
      </c>
      <c r="C394" s="58" t="s">
        <v>1413</v>
      </c>
      <c r="D394" s="58" t="s">
        <v>2271</v>
      </c>
      <c r="E394" s="60" t="b">
        <v>1</v>
      </c>
      <c r="F394" s="80" t="s">
        <v>275</v>
      </c>
      <c r="G394" s="58" t="s">
        <v>2270</v>
      </c>
      <c r="H394" s="58" t="s">
        <v>1413</v>
      </c>
      <c r="I394" s="64" t="s">
        <v>2271</v>
      </c>
      <c r="J394" s="66"/>
      <c r="K394" s="66"/>
      <c r="L394" s="68"/>
      <c r="M394" s="63" t="str">
        <f>HYPERLINK("http://nsgreg.nga.mil/genc/view?v=867899&amp;end_month=12&amp;end_day=31&amp;end_year=2016","Correlation")</f>
        <v>Correlation</v>
      </c>
    </row>
    <row r="395" spans="1:13" x14ac:dyDescent="0.2">
      <c r="A395" s="113"/>
      <c r="B395" s="58" t="s">
        <v>2272</v>
      </c>
      <c r="C395" s="58" t="s">
        <v>1413</v>
      </c>
      <c r="D395" s="58" t="s">
        <v>2273</v>
      </c>
      <c r="E395" s="60" t="b">
        <v>1</v>
      </c>
      <c r="F395" s="80" t="s">
        <v>275</v>
      </c>
      <c r="G395" s="58" t="s">
        <v>2272</v>
      </c>
      <c r="H395" s="58" t="s">
        <v>1413</v>
      </c>
      <c r="I395" s="64" t="s">
        <v>2273</v>
      </c>
      <c r="J395" s="66"/>
      <c r="K395" s="66"/>
      <c r="L395" s="68"/>
      <c r="M395" s="63" t="str">
        <f>HYPERLINK("http://nsgreg.nga.mil/genc/view?v=867892&amp;end_month=12&amp;end_day=31&amp;end_year=2016","Correlation")</f>
        <v>Correlation</v>
      </c>
    </row>
    <row r="396" spans="1:13" x14ac:dyDescent="0.2">
      <c r="A396" s="113"/>
      <c r="B396" s="58" t="s">
        <v>2274</v>
      </c>
      <c r="C396" s="58" t="s">
        <v>1413</v>
      </c>
      <c r="D396" s="58" t="s">
        <v>2275</v>
      </c>
      <c r="E396" s="60" t="b">
        <v>1</v>
      </c>
      <c r="F396" s="80" t="s">
        <v>275</v>
      </c>
      <c r="G396" s="58" t="s">
        <v>2274</v>
      </c>
      <c r="H396" s="58" t="s">
        <v>1413</v>
      </c>
      <c r="I396" s="64" t="s">
        <v>2275</v>
      </c>
      <c r="J396" s="66"/>
      <c r="K396" s="66"/>
      <c r="L396" s="68"/>
      <c r="M396" s="63" t="str">
        <f>HYPERLINK("http://nsgreg.nga.mil/genc/view?v=867889&amp;end_month=12&amp;end_day=31&amp;end_year=2016","Correlation")</f>
        <v>Correlation</v>
      </c>
    </row>
    <row r="397" spans="1:13" x14ac:dyDescent="0.2">
      <c r="A397" s="113"/>
      <c r="B397" s="58" t="s">
        <v>2261</v>
      </c>
      <c r="C397" s="58" t="s">
        <v>1728</v>
      </c>
      <c r="D397" s="58" t="s">
        <v>2260</v>
      </c>
      <c r="E397" s="60" t="b">
        <v>1</v>
      </c>
      <c r="F397" s="80" t="s">
        <v>275</v>
      </c>
      <c r="G397" s="58" t="s">
        <v>2259</v>
      </c>
      <c r="H397" s="58" t="s">
        <v>1728</v>
      </c>
      <c r="I397" s="64" t="s">
        <v>2260</v>
      </c>
      <c r="J397" s="66"/>
      <c r="K397" s="66"/>
      <c r="L397" s="68"/>
      <c r="M397" s="63" t="str">
        <f>HYPERLINK("http://nsgreg.nga.mil/genc/view?v=867890&amp;end_month=12&amp;end_day=31&amp;end_year=2016","Correlation")</f>
        <v>Correlation</v>
      </c>
    </row>
    <row r="398" spans="1:13" x14ac:dyDescent="0.2">
      <c r="A398" s="113"/>
      <c r="B398" s="58" t="s">
        <v>2278</v>
      </c>
      <c r="C398" s="58" t="s">
        <v>1728</v>
      </c>
      <c r="D398" s="58" t="s">
        <v>2277</v>
      </c>
      <c r="E398" s="60" t="b">
        <v>1</v>
      </c>
      <c r="F398" s="80" t="s">
        <v>275</v>
      </c>
      <c r="G398" s="58" t="s">
        <v>2276</v>
      </c>
      <c r="H398" s="58" t="s">
        <v>1728</v>
      </c>
      <c r="I398" s="64" t="s">
        <v>2277</v>
      </c>
      <c r="J398" s="66"/>
      <c r="K398" s="66"/>
      <c r="L398" s="68"/>
      <c r="M398" s="63" t="str">
        <f>HYPERLINK("http://nsgreg.nga.mil/genc/view?v=867894&amp;end_month=12&amp;end_day=31&amp;end_year=2016","Correlation")</f>
        <v>Correlation</v>
      </c>
    </row>
    <row r="399" spans="1:13" x14ac:dyDescent="0.2">
      <c r="A399" s="114"/>
      <c r="B399" s="71" t="s">
        <v>2279</v>
      </c>
      <c r="C399" s="71" t="s">
        <v>1413</v>
      </c>
      <c r="D399" s="71" t="s">
        <v>2280</v>
      </c>
      <c r="E399" s="73" t="b">
        <v>1</v>
      </c>
      <c r="F399" s="81" t="s">
        <v>275</v>
      </c>
      <c r="G399" s="71" t="s">
        <v>2279</v>
      </c>
      <c r="H399" s="71" t="s">
        <v>1413</v>
      </c>
      <c r="I399" s="74" t="s">
        <v>2280</v>
      </c>
      <c r="J399" s="76"/>
      <c r="K399" s="76"/>
      <c r="L399" s="82"/>
      <c r="M399" s="77" t="str">
        <f>HYPERLINK("http://nsgreg.nga.mil/genc/view?v=867893&amp;end_month=12&amp;end_day=31&amp;end_year=2016","Correlation")</f>
        <v>Correlation</v>
      </c>
    </row>
    <row r="400" spans="1:13" x14ac:dyDescent="0.2">
      <c r="A400" s="112" t="s">
        <v>279</v>
      </c>
      <c r="B400" s="50" t="s">
        <v>2281</v>
      </c>
      <c r="C400" s="50" t="s">
        <v>1796</v>
      </c>
      <c r="D400" s="50" t="s">
        <v>2282</v>
      </c>
      <c r="E400" s="52" t="b">
        <v>1</v>
      </c>
      <c r="F400" s="78" t="s">
        <v>279</v>
      </c>
      <c r="G400" s="50" t="s">
        <v>2281</v>
      </c>
      <c r="H400" s="50" t="s">
        <v>1796</v>
      </c>
      <c r="I400" s="53" t="s">
        <v>2282</v>
      </c>
      <c r="J400" s="55"/>
      <c r="K400" s="55"/>
      <c r="L400" s="79"/>
      <c r="M400" s="56" t="str">
        <f>HYPERLINK("http://nsgreg.nga.mil/genc/view?v=868137&amp;end_month=12&amp;end_day=31&amp;end_year=2016","Correlation")</f>
        <v>Correlation</v>
      </c>
    </row>
    <row r="401" spans="1:13" x14ac:dyDescent="0.2">
      <c r="A401" s="113"/>
      <c r="B401" s="58" t="s">
        <v>2283</v>
      </c>
      <c r="C401" s="58" t="s">
        <v>1796</v>
      </c>
      <c r="D401" s="58" t="s">
        <v>2284</v>
      </c>
      <c r="E401" s="60" t="b">
        <v>1</v>
      </c>
      <c r="F401" s="80" t="s">
        <v>279</v>
      </c>
      <c r="G401" s="58" t="s">
        <v>2283</v>
      </c>
      <c r="H401" s="58" t="s">
        <v>1796</v>
      </c>
      <c r="I401" s="64" t="s">
        <v>2284</v>
      </c>
      <c r="J401" s="66"/>
      <c r="K401" s="66"/>
      <c r="L401" s="68"/>
      <c r="M401" s="63" t="str">
        <f>HYPERLINK("http://nsgreg.nga.mil/genc/view?v=868138&amp;end_month=12&amp;end_day=31&amp;end_year=2016","Correlation")</f>
        <v>Correlation</v>
      </c>
    </row>
    <row r="402" spans="1:13" x14ac:dyDescent="0.2">
      <c r="A402" s="113"/>
      <c r="B402" s="58" t="s">
        <v>2285</v>
      </c>
      <c r="C402" s="58" t="s">
        <v>1796</v>
      </c>
      <c r="D402" s="58" t="s">
        <v>2286</v>
      </c>
      <c r="E402" s="60" t="b">
        <v>1</v>
      </c>
      <c r="F402" s="80" t="s">
        <v>279</v>
      </c>
      <c r="G402" s="58" t="s">
        <v>2285</v>
      </c>
      <c r="H402" s="58" t="s">
        <v>1796</v>
      </c>
      <c r="I402" s="64" t="s">
        <v>2286</v>
      </c>
      <c r="J402" s="66"/>
      <c r="K402" s="66"/>
      <c r="L402" s="68"/>
      <c r="M402" s="63" t="str">
        <f>HYPERLINK("http://nsgreg.nga.mil/genc/view?v=868139&amp;end_month=12&amp;end_day=31&amp;end_year=2016","Correlation")</f>
        <v>Correlation</v>
      </c>
    </row>
    <row r="403" spans="1:13" x14ac:dyDescent="0.2">
      <c r="A403" s="113"/>
      <c r="B403" s="58" t="s">
        <v>2287</v>
      </c>
      <c r="C403" s="58" t="s">
        <v>1796</v>
      </c>
      <c r="D403" s="58" t="s">
        <v>2288</v>
      </c>
      <c r="E403" s="60" t="b">
        <v>1</v>
      </c>
      <c r="F403" s="80" t="s">
        <v>279</v>
      </c>
      <c r="G403" s="58" t="s">
        <v>2287</v>
      </c>
      <c r="H403" s="58" t="s">
        <v>1796</v>
      </c>
      <c r="I403" s="64" t="s">
        <v>2288</v>
      </c>
      <c r="J403" s="66"/>
      <c r="K403" s="66"/>
      <c r="L403" s="68"/>
      <c r="M403" s="63" t="str">
        <f>HYPERLINK("http://nsgreg.nga.mil/genc/view?v=868140&amp;end_month=12&amp;end_day=31&amp;end_year=2016","Correlation")</f>
        <v>Correlation</v>
      </c>
    </row>
    <row r="404" spans="1:13" x14ac:dyDescent="0.2">
      <c r="A404" s="113"/>
      <c r="B404" s="58" t="s">
        <v>2289</v>
      </c>
      <c r="C404" s="58" t="s">
        <v>1796</v>
      </c>
      <c r="D404" s="58" t="s">
        <v>2290</v>
      </c>
      <c r="E404" s="60" t="b">
        <v>1</v>
      </c>
      <c r="F404" s="80" t="s">
        <v>279</v>
      </c>
      <c r="G404" s="58" t="s">
        <v>2289</v>
      </c>
      <c r="H404" s="58" t="s">
        <v>1796</v>
      </c>
      <c r="I404" s="64" t="s">
        <v>2290</v>
      </c>
      <c r="J404" s="66"/>
      <c r="K404" s="66"/>
      <c r="L404" s="68"/>
      <c r="M404" s="63" t="str">
        <f>HYPERLINK("http://nsgreg.nga.mil/genc/view?v=868141&amp;end_month=12&amp;end_day=31&amp;end_year=2016","Correlation")</f>
        <v>Correlation</v>
      </c>
    </row>
    <row r="405" spans="1:13" x14ac:dyDescent="0.2">
      <c r="A405" s="114"/>
      <c r="B405" s="71" t="s">
        <v>2291</v>
      </c>
      <c r="C405" s="71" t="s">
        <v>1796</v>
      </c>
      <c r="D405" s="71" t="s">
        <v>2292</v>
      </c>
      <c r="E405" s="73" t="b">
        <v>1</v>
      </c>
      <c r="F405" s="81" t="s">
        <v>279</v>
      </c>
      <c r="G405" s="71" t="s">
        <v>2291</v>
      </c>
      <c r="H405" s="71" t="s">
        <v>1796</v>
      </c>
      <c r="I405" s="74" t="s">
        <v>2292</v>
      </c>
      <c r="J405" s="76"/>
      <c r="K405" s="76"/>
      <c r="L405" s="82"/>
      <c r="M405" s="77" t="str">
        <f>HYPERLINK("http://nsgreg.nga.mil/genc/view?v=868142&amp;end_month=12&amp;end_day=31&amp;end_year=2016","Correlation")</f>
        <v>Correlation</v>
      </c>
    </row>
    <row r="406" spans="1:13" x14ac:dyDescent="0.2">
      <c r="A406" s="112" t="s">
        <v>283</v>
      </c>
      <c r="B406" s="50" t="s">
        <v>2293</v>
      </c>
      <c r="C406" s="50" t="s">
        <v>2294</v>
      </c>
      <c r="D406" s="50" t="s">
        <v>2295</v>
      </c>
      <c r="E406" s="52" t="b">
        <v>1</v>
      </c>
      <c r="F406" s="78" t="s">
        <v>283</v>
      </c>
      <c r="G406" s="50" t="s">
        <v>2293</v>
      </c>
      <c r="H406" s="50" t="s">
        <v>2294</v>
      </c>
      <c r="I406" s="53" t="s">
        <v>2295</v>
      </c>
      <c r="J406" s="55"/>
      <c r="K406" s="55"/>
      <c r="L406" s="79"/>
      <c r="M406" s="56" t="str">
        <f>HYPERLINK("http://nsgreg.nga.mil/genc/view?v=868009&amp;end_month=12&amp;end_day=31&amp;end_year=2016","Correlation")</f>
        <v>Correlation</v>
      </c>
    </row>
    <row r="407" spans="1:13" x14ac:dyDescent="0.2">
      <c r="A407" s="113"/>
      <c r="B407" s="58" t="s">
        <v>2296</v>
      </c>
      <c r="C407" s="58" t="s">
        <v>2294</v>
      </c>
      <c r="D407" s="58" t="s">
        <v>2297</v>
      </c>
      <c r="E407" s="60" t="b">
        <v>1</v>
      </c>
      <c r="F407" s="80" t="s">
        <v>283</v>
      </c>
      <c r="G407" s="58" t="s">
        <v>2296</v>
      </c>
      <c r="H407" s="58" t="s">
        <v>2294</v>
      </c>
      <c r="I407" s="64" t="s">
        <v>2297</v>
      </c>
      <c r="J407" s="66"/>
      <c r="K407" s="66"/>
      <c r="L407" s="68"/>
      <c r="M407" s="63" t="str">
        <f>HYPERLINK("http://nsgreg.nga.mil/genc/view?v=868008&amp;end_month=12&amp;end_day=31&amp;end_year=2016","Correlation")</f>
        <v>Correlation</v>
      </c>
    </row>
    <row r="408" spans="1:13" x14ac:dyDescent="0.2">
      <c r="A408" s="113"/>
      <c r="B408" s="58" t="s">
        <v>2298</v>
      </c>
      <c r="C408" s="58" t="s">
        <v>2294</v>
      </c>
      <c r="D408" s="58" t="s">
        <v>2299</v>
      </c>
      <c r="E408" s="60" t="b">
        <v>1</v>
      </c>
      <c r="F408" s="80" t="s">
        <v>283</v>
      </c>
      <c r="G408" s="58" t="s">
        <v>2298</v>
      </c>
      <c r="H408" s="58" t="s">
        <v>2294</v>
      </c>
      <c r="I408" s="64" t="s">
        <v>2299</v>
      </c>
      <c r="J408" s="66"/>
      <c r="K408" s="66"/>
      <c r="L408" s="68"/>
      <c r="M408" s="63" t="str">
        <f>HYPERLINK("http://nsgreg.nga.mil/genc/view?v=868010&amp;end_month=12&amp;end_day=31&amp;end_year=2016","Correlation")</f>
        <v>Correlation</v>
      </c>
    </row>
    <row r="409" spans="1:13" x14ac:dyDescent="0.2">
      <c r="A409" s="113"/>
      <c r="B409" s="58" t="s">
        <v>2300</v>
      </c>
      <c r="C409" s="58" t="s">
        <v>2294</v>
      </c>
      <c r="D409" s="58" t="s">
        <v>2301</v>
      </c>
      <c r="E409" s="60" t="b">
        <v>1</v>
      </c>
      <c r="F409" s="80" t="s">
        <v>283</v>
      </c>
      <c r="G409" s="58" t="s">
        <v>2300</v>
      </c>
      <c r="H409" s="58" t="s">
        <v>2294</v>
      </c>
      <c r="I409" s="64" t="s">
        <v>2301</v>
      </c>
      <c r="J409" s="66"/>
      <c r="K409" s="66"/>
      <c r="L409" s="68"/>
      <c r="M409" s="63" t="str">
        <f>HYPERLINK("http://nsgreg.nga.mil/genc/view?v=868011&amp;end_month=12&amp;end_day=31&amp;end_year=2016","Correlation")</f>
        <v>Correlation</v>
      </c>
    </row>
    <row r="410" spans="1:13" x14ac:dyDescent="0.2">
      <c r="A410" s="113"/>
      <c r="B410" s="58" t="s">
        <v>2302</v>
      </c>
      <c r="C410" s="58" t="s">
        <v>2294</v>
      </c>
      <c r="D410" s="58" t="s">
        <v>2303</v>
      </c>
      <c r="E410" s="60" t="b">
        <v>1</v>
      </c>
      <c r="F410" s="80" t="s">
        <v>283</v>
      </c>
      <c r="G410" s="58" t="s">
        <v>2302</v>
      </c>
      <c r="H410" s="58" t="s">
        <v>2294</v>
      </c>
      <c r="I410" s="64" t="s">
        <v>2303</v>
      </c>
      <c r="J410" s="66"/>
      <c r="K410" s="66"/>
      <c r="L410" s="68"/>
      <c r="M410" s="63" t="str">
        <f>HYPERLINK("http://nsgreg.nga.mil/genc/view?v=868012&amp;end_month=12&amp;end_day=31&amp;end_year=2016","Correlation")</f>
        <v>Correlation</v>
      </c>
    </row>
    <row r="411" spans="1:13" x14ac:dyDescent="0.2">
      <c r="A411" s="113"/>
      <c r="B411" s="58" t="s">
        <v>2304</v>
      </c>
      <c r="C411" s="58" t="s">
        <v>2294</v>
      </c>
      <c r="D411" s="58" t="s">
        <v>2305</v>
      </c>
      <c r="E411" s="60" t="b">
        <v>1</v>
      </c>
      <c r="F411" s="80" t="s">
        <v>283</v>
      </c>
      <c r="G411" s="58" t="s">
        <v>2304</v>
      </c>
      <c r="H411" s="58" t="s">
        <v>2294</v>
      </c>
      <c r="I411" s="64" t="s">
        <v>2305</v>
      </c>
      <c r="J411" s="66"/>
      <c r="K411" s="66"/>
      <c r="L411" s="68"/>
      <c r="M411" s="63" t="str">
        <f>HYPERLINK("http://nsgreg.nga.mil/genc/view?v=868014&amp;end_month=12&amp;end_day=31&amp;end_year=2016","Correlation")</f>
        <v>Correlation</v>
      </c>
    </row>
    <row r="412" spans="1:13" x14ac:dyDescent="0.2">
      <c r="A412" s="113"/>
      <c r="B412" s="58" t="s">
        <v>2306</v>
      </c>
      <c r="C412" s="58" t="s">
        <v>2294</v>
      </c>
      <c r="D412" s="58" t="s">
        <v>2307</v>
      </c>
      <c r="E412" s="60" t="b">
        <v>1</v>
      </c>
      <c r="F412" s="80" t="s">
        <v>283</v>
      </c>
      <c r="G412" s="58" t="s">
        <v>2306</v>
      </c>
      <c r="H412" s="58" t="s">
        <v>2294</v>
      </c>
      <c r="I412" s="64" t="s">
        <v>2307</v>
      </c>
      <c r="J412" s="66"/>
      <c r="K412" s="66"/>
      <c r="L412" s="68"/>
      <c r="M412" s="63" t="str">
        <f>HYPERLINK("http://nsgreg.nga.mil/genc/view?v=868013&amp;end_month=12&amp;end_day=31&amp;end_year=2016","Correlation")</f>
        <v>Correlation</v>
      </c>
    </row>
    <row r="413" spans="1:13" x14ac:dyDescent="0.2">
      <c r="A413" s="113"/>
      <c r="B413" s="58" t="s">
        <v>2308</v>
      </c>
      <c r="C413" s="58" t="s">
        <v>2294</v>
      </c>
      <c r="D413" s="58" t="s">
        <v>2309</v>
      </c>
      <c r="E413" s="60" t="b">
        <v>1</v>
      </c>
      <c r="F413" s="80" t="s">
        <v>283</v>
      </c>
      <c r="G413" s="58" t="s">
        <v>2308</v>
      </c>
      <c r="H413" s="58" t="s">
        <v>2294</v>
      </c>
      <c r="I413" s="64" t="s">
        <v>2309</v>
      </c>
      <c r="J413" s="66"/>
      <c r="K413" s="66"/>
      <c r="L413" s="68"/>
      <c r="M413" s="63" t="str">
        <f>HYPERLINK("http://nsgreg.nga.mil/genc/view?v=868015&amp;end_month=12&amp;end_day=31&amp;end_year=2016","Correlation")</f>
        <v>Correlation</v>
      </c>
    </row>
    <row r="414" spans="1:13" x14ac:dyDescent="0.2">
      <c r="A414" s="113"/>
      <c r="B414" s="58" t="s">
        <v>2310</v>
      </c>
      <c r="C414" s="58" t="s">
        <v>2294</v>
      </c>
      <c r="D414" s="58" t="s">
        <v>2311</v>
      </c>
      <c r="E414" s="60" t="b">
        <v>1</v>
      </c>
      <c r="F414" s="80" t="s">
        <v>283</v>
      </c>
      <c r="G414" s="58" t="s">
        <v>2310</v>
      </c>
      <c r="H414" s="58" t="s">
        <v>2294</v>
      </c>
      <c r="I414" s="64" t="s">
        <v>2311</v>
      </c>
      <c r="J414" s="66"/>
      <c r="K414" s="66"/>
      <c r="L414" s="68"/>
      <c r="M414" s="63" t="str">
        <f>HYPERLINK("http://nsgreg.nga.mil/genc/view?v=868016&amp;end_month=12&amp;end_day=31&amp;end_year=2016","Correlation")</f>
        <v>Correlation</v>
      </c>
    </row>
    <row r="415" spans="1:13" x14ac:dyDescent="0.2">
      <c r="A415" s="113"/>
      <c r="B415" s="58" t="s">
        <v>2312</v>
      </c>
      <c r="C415" s="58" t="s">
        <v>2294</v>
      </c>
      <c r="D415" s="58" t="s">
        <v>2313</v>
      </c>
      <c r="E415" s="60" t="b">
        <v>1</v>
      </c>
      <c r="F415" s="80" t="s">
        <v>283</v>
      </c>
      <c r="G415" s="58" t="s">
        <v>2312</v>
      </c>
      <c r="H415" s="58" t="s">
        <v>2294</v>
      </c>
      <c r="I415" s="64" t="s">
        <v>2313</v>
      </c>
      <c r="J415" s="66"/>
      <c r="K415" s="66"/>
      <c r="L415" s="68"/>
      <c r="M415" s="63" t="str">
        <f>HYPERLINK("http://nsgreg.nga.mil/genc/view?v=868017&amp;end_month=12&amp;end_day=31&amp;end_year=2016","Correlation")</f>
        <v>Correlation</v>
      </c>
    </row>
    <row r="416" spans="1:13" x14ac:dyDescent="0.2">
      <c r="A416" s="113"/>
      <c r="B416" s="58" t="s">
        <v>2314</v>
      </c>
      <c r="C416" s="58" t="s">
        <v>2294</v>
      </c>
      <c r="D416" s="58" t="s">
        <v>2315</v>
      </c>
      <c r="E416" s="60" t="b">
        <v>1</v>
      </c>
      <c r="F416" s="80" t="s">
        <v>283</v>
      </c>
      <c r="G416" s="58" t="s">
        <v>2314</v>
      </c>
      <c r="H416" s="58" t="s">
        <v>2294</v>
      </c>
      <c r="I416" s="64" t="s">
        <v>2315</v>
      </c>
      <c r="J416" s="66"/>
      <c r="K416" s="66"/>
      <c r="L416" s="68"/>
      <c r="M416" s="63" t="str">
        <f>HYPERLINK("http://nsgreg.nga.mil/genc/view?v=868018&amp;end_month=12&amp;end_day=31&amp;end_year=2016","Correlation")</f>
        <v>Correlation</v>
      </c>
    </row>
    <row r="417" spans="1:13" x14ac:dyDescent="0.2">
      <c r="A417" s="114"/>
      <c r="B417" s="71" t="s">
        <v>2316</v>
      </c>
      <c r="C417" s="71" t="s">
        <v>2294</v>
      </c>
      <c r="D417" s="71" t="s">
        <v>2317</v>
      </c>
      <c r="E417" s="73" t="b">
        <v>1</v>
      </c>
      <c r="F417" s="81" t="s">
        <v>283</v>
      </c>
      <c r="G417" s="71" t="s">
        <v>2316</v>
      </c>
      <c r="H417" s="71" t="s">
        <v>2294</v>
      </c>
      <c r="I417" s="74" t="s">
        <v>2317</v>
      </c>
      <c r="J417" s="76"/>
      <c r="K417" s="76"/>
      <c r="L417" s="82"/>
      <c r="M417" s="77" t="str">
        <f>HYPERLINK("http://nsgreg.nga.mil/genc/view?v=868019&amp;end_month=12&amp;end_day=31&amp;end_year=2016","Correlation")</f>
        <v>Correlation</v>
      </c>
    </row>
    <row r="418" spans="1:13" x14ac:dyDescent="0.2">
      <c r="A418" s="112" t="s">
        <v>291</v>
      </c>
      <c r="B418" s="50" t="s">
        <v>2338</v>
      </c>
      <c r="C418" s="50" t="s">
        <v>1796</v>
      </c>
      <c r="D418" s="50" t="s">
        <v>2339</v>
      </c>
      <c r="E418" s="52" t="b">
        <v>1</v>
      </c>
      <c r="F418" s="78" t="s">
        <v>291</v>
      </c>
      <c r="G418" s="50" t="s">
        <v>2338</v>
      </c>
      <c r="H418" s="50" t="s">
        <v>1796</v>
      </c>
      <c r="I418" s="53" t="s">
        <v>2339</v>
      </c>
      <c r="J418" s="55"/>
      <c r="K418" s="55"/>
      <c r="L418" s="79"/>
      <c r="M418" s="56" t="str">
        <f>HYPERLINK("http://nsgreg.nga.mil/genc/view?v=868105&amp;end_month=12&amp;end_day=31&amp;end_year=2016","Correlation")</f>
        <v>Correlation</v>
      </c>
    </row>
    <row r="419" spans="1:13" x14ac:dyDescent="0.2">
      <c r="A419" s="113"/>
      <c r="B419" s="58" t="s">
        <v>2340</v>
      </c>
      <c r="C419" s="58" t="s">
        <v>1796</v>
      </c>
      <c r="D419" s="58" t="s">
        <v>2341</v>
      </c>
      <c r="E419" s="60" t="b">
        <v>1</v>
      </c>
      <c r="F419" s="80" t="s">
        <v>291</v>
      </c>
      <c r="G419" s="58" t="s">
        <v>2340</v>
      </c>
      <c r="H419" s="58" t="s">
        <v>1796</v>
      </c>
      <c r="I419" s="64" t="s">
        <v>2341</v>
      </c>
      <c r="J419" s="66"/>
      <c r="K419" s="66"/>
      <c r="L419" s="68"/>
      <c r="M419" s="63" t="str">
        <f>HYPERLINK("http://nsgreg.nga.mil/genc/view?v=868095&amp;end_month=12&amp;end_day=31&amp;end_year=2016","Correlation")</f>
        <v>Correlation</v>
      </c>
    </row>
    <row r="420" spans="1:13" x14ac:dyDescent="0.2">
      <c r="A420" s="113"/>
      <c r="B420" s="58" t="s">
        <v>2342</v>
      </c>
      <c r="C420" s="58" t="s">
        <v>1796</v>
      </c>
      <c r="D420" s="58" t="s">
        <v>2343</v>
      </c>
      <c r="E420" s="60" t="b">
        <v>1</v>
      </c>
      <c r="F420" s="80" t="s">
        <v>291</v>
      </c>
      <c r="G420" s="58" t="s">
        <v>2342</v>
      </c>
      <c r="H420" s="58" t="s">
        <v>1796</v>
      </c>
      <c r="I420" s="64" t="s">
        <v>2343</v>
      </c>
      <c r="J420" s="66"/>
      <c r="K420" s="66"/>
      <c r="L420" s="68"/>
      <c r="M420" s="63" t="str">
        <f>HYPERLINK("http://nsgreg.nga.mil/genc/view?v=868100&amp;end_month=12&amp;end_day=31&amp;end_year=2016","Correlation")</f>
        <v>Correlation</v>
      </c>
    </row>
    <row r="421" spans="1:13" x14ac:dyDescent="0.2">
      <c r="A421" s="113"/>
      <c r="B421" s="58" t="s">
        <v>2344</v>
      </c>
      <c r="C421" s="58" t="s">
        <v>1796</v>
      </c>
      <c r="D421" s="58" t="s">
        <v>2345</v>
      </c>
      <c r="E421" s="60" t="b">
        <v>1</v>
      </c>
      <c r="F421" s="80" t="s">
        <v>291</v>
      </c>
      <c r="G421" s="58" t="s">
        <v>2344</v>
      </c>
      <c r="H421" s="58" t="s">
        <v>1796</v>
      </c>
      <c r="I421" s="64" t="s">
        <v>2345</v>
      </c>
      <c r="J421" s="66"/>
      <c r="K421" s="66"/>
      <c r="L421" s="68"/>
      <c r="M421" s="63" t="str">
        <f>HYPERLINK("http://nsgreg.nga.mil/genc/view?v=868112&amp;end_month=12&amp;end_day=31&amp;end_year=2016","Correlation")</f>
        <v>Correlation</v>
      </c>
    </row>
    <row r="422" spans="1:13" x14ac:dyDescent="0.2">
      <c r="A422" s="113"/>
      <c r="B422" s="58" t="s">
        <v>2346</v>
      </c>
      <c r="C422" s="58" t="s">
        <v>1796</v>
      </c>
      <c r="D422" s="58" t="s">
        <v>2347</v>
      </c>
      <c r="E422" s="60" t="b">
        <v>1</v>
      </c>
      <c r="F422" s="80" t="s">
        <v>291</v>
      </c>
      <c r="G422" s="58" t="s">
        <v>2346</v>
      </c>
      <c r="H422" s="58" t="s">
        <v>1796</v>
      </c>
      <c r="I422" s="64" t="s">
        <v>2347</v>
      </c>
      <c r="J422" s="66"/>
      <c r="K422" s="66"/>
      <c r="L422" s="68"/>
      <c r="M422" s="63" t="str">
        <f>HYPERLINK("http://nsgreg.nga.mil/genc/view?v=868096&amp;end_month=12&amp;end_day=31&amp;end_year=2016","Correlation")</f>
        <v>Correlation</v>
      </c>
    </row>
    <row r="423" spans="1:13" x14ac:dyDescent="0.2">
      <c r="A423" s="113"/>
      <c r="B423" s="58" t="s">
        <v>2348</v>
      </c>
      <c r="C423" s="58" t="s">
        <v>1796</v>
      </c>
      <c r="D423" s="58" t="s">
        <v>2349</v>
      </c>
      <c r="E423" s="60" t="b">
        <v>1</v>
      </c>
      <c r="F423" s="80" t="s">
        <v>291</v>
      </c>
      <c r="G423" s="58" t="s">
        <v>2348</v>
      </c>
      <c r="H423" s="58" t="s">
        <v>1796</v>
      </c>
      <c r="I423" s="64" t="s">
        <v>2349</v>
      </c>
      <c r="J423" s="66"/>
      <c r="K423" s="66"/>
      <c r="L423" s="68"/>
      <c r="M423" s="63" t="str">
        <f>HYPERLINK("http://nsgreg.nga.mil/genc/view?v=868110&amp;end_month=12&amp;end_day=31&amp;end_year=2016","Correlation")</f>
        <v>Correlation</v>
      </c>
    </row>
    <row r="424" spans="1:13" x14ac:dyDescent="0.2">
      <c r="A424" s="113"/>
      <c r="B424" s="58" t="s">
        <v>2352</v>
      </c>
      <c r="C424" s="58" t="s">
        <v>1796</v>
      </c>
      <c r="D424" s="58" t="s">
        <v>2351</v>
      </c>
      <c r="E424" s="60" t="b">
        <v>1</v>
      </c>
      <c r="F424" s="80" t="s">
        <v>291</v>
      </c>
      <c r="G424" s="58" t="s">
        <v>2350</v>
      </c>
      <c r="H424" s="58" t="s">
        <v>1796</v>
      </c>
      <c r="I424" s="64" t="s">
        <v>2351</v>
      </c>
      <c r="J424" s="66"/>
      <c r="K424" s="66"/>
      <c r="L424" s="68"/>
      <c r="M424" s="63" t="str">
        <f>HYPERLINK("http://nsgreg.nga.mil/genc/view?v=868108&amp;end_month=12&amp;end_day=31&amp;end_year=2016","Correlation")</f>
        <v>Correlation</v>
      </c>
    </row>
    <row r="425" spans="1:13" x14ac:dyDescent="0.2">
      <c r="A425" s="113"/>
      <c r="B425" s="58" t="s">
        <v>2353</v>
      </c>
      <c r="C425" s="58" t="s">
        <v>1796</v>
      </c>
      <c r="D425" s="58" t="s">
        <v>2354</v>
      </c>
      <c r="E425" s="60" t="b">
        <v>1</v>
      </c>
      <c r="F425" s="80" t="s">
        <v>291</v>
      </c>
      <c r="G425" s="58" t="s">
        <v>2353</v>
      </c>
      <c r="H425" s="58" t="s">
        <v>1796</v>
      </c>
      <c r="I425" s="64" t="s">
        <v>2354</v>
      </c>
      <c r="J425" s="66"/>
      <c r="K425" s="66"/>
      <c r="L425" s="68"/>
      <c r="M425" s="63" t="str">
        <f>HYPERLINK("http://nsgreg.nga.mil/genc/view?v=868094&amp;end_month=12&amp;end_day=31&amp;end_year=2016","Correlation")</f>
        <v>Correlation</v>
      </c>
    </row>
    <row r="426" spans="1:13" x14ac:dyDescent="0.2">
      <c r="A426" s="113"/>
      <c r="B426" s="58" t="s">
        <v>2355</v>
      </c>
      <c r="C426" s="58" t="s">
        <v>1796</v>
      </c>
      <c r="D426" s="58" t="s">
        <v>2356</v>
      </c>
      <c r="E426" s="60" t="b">
        <v>1</v>
      </c>
      <c r="F426" s="80" t="s">
        <v>291</v>
      </c>
      <c r="G426" s="58" t="s">
        <v>2355</v>
      </c>
      <c r="H426" s="58" t="s">
        <v>1796</v>
      </c>
      <c r="I426" s="64" t="s">
        <v>2356</v>
      </c>
      <c r="J426" s="66"/>
      <c r="K426" s="66"/>
      <c r="L426" s="68"/>
      <c r="M426" s="63" t="str">
        <f>HYPERLINK("http://nsgreg.nga.mil/genc/view?v=868109&amp;end_month=12&amp;end_day=31&amp;end_year=2016","Correlation")</f>
        <v>Correlation</v>
      </c>
    </row>
    <row r="427" spans="1:13" x14ac:dyDescent="0.2">
      <c r="A427" s="113"/>
      <c r="B427" s="58" t="s">
        <v>2357</v>
      </c>
      <c r="C427" s="58" t="s">
        <v>1796</v>
      </c>
      <c r="D427" s="58" t="s">
        <v>2358</v>
      </c>
      <c r="E427" s="60" t="b">
        <v>1</v>
      </c>
      <c r="F427" s="80" t="s">
        <v>291</v>
      </c>
      <c r="G427" s="58" t="s">
        <v>2357</v>
      </c>
      <c r="H427" s="58" t="s">
        <v>1796</v>
      </c>
      <c r="I427" s="64" t="s">
        <v>2358</v>
      </c>
      <c r="J427" s="66"/>
      <c r="K427" s="66"/>
      <c r="L427" s="68"/>
      <c r="M427" s="63" t="str">
        <f>HYPERLINK("http://nsgreg.nga.mil/genc/view?v=868101&amp;end_month=12&amp;end_day=31&amp;end_year=2016","Correlation")</f>
        <v>Correlation</v>
      </c>
    </row>
    <row r="428" spans="1:13" x14ac:dyDescent="0.2">
      <c r="A428" s="113"/>
      <c r="B428" s="58" t="s">
        <v>2359</v>
      </c>
      <c r="C428" s="58" t="s">
        <v>1796</v>
      </c>
      <c r="D428" s="58" t="s">
        <v>2360</v>
      </c>
      <c r="E428" s="60" t="b">
        <v>1</v>
      </c>
      <c r="F428" s="80" t="s">
        <v>291</v>
      </c>
      <c r="G428" s="58" t="s">
        <v>2359</v>
      </c>
      <c r="H428" s="58" t="s">
        <v>1796</v>
      </c>
      <c r="I428" s="64" t="s">
        <v>2360</v>
      </c>
      <c r="J428" s="66"/>
      <c r="K428" s="66"/>
      <c r="L428" s="68"/>
      <c r="M428" s="63" t="str">
        <f>HYPERLINK("http://nsgreg.nga.mil/genc/view?v=868111&amp;end_month=12&amp;end_day=31&amp;end_year=2016","Correlation")</f>
        <v>Correlation</v>
      </c>
    </row>
    <row r="429" spans="1:13" x14ac:dyDescent="0.2">
      <c r="A429" s="113"/>
      <c r="B429" s="58" t="s">
        <v>2361</v>
      </c>
      <c r="C429" s="58" t="s">
        <v>1796</v>
      </c>
      <c r="D429" s="58" t="s">
        <v>2362</v>
      </c>
      <c r="E429" s="60" t="b">
        <v>1</v>
      </c>
      <c r="F429" s="80" t="s">
        <v>291</v>
      </c>
      <c r="G429" s="58" t="s">
        <v>2361</v>
      </c>
      <c r="H429" s="58" t="s">
        <v>1796</v>
      </c>
      <c r="I429" s="64" t="s">
        <v>2362</v>
      </c>
      <c r="J429" s="66"/>
      <c r="K429" s="66"/>
      <c r="L429" s="68"/>
      <c r="M429" s="63" t="str">
        <f>HYPERLINK("http://nsgreg.nga.mil/genc/view?v=868097&amp;end_month=12&amp;end_day=31&amp;end_year=2016","Correlation")</f>
        <v>Correlation</v>
      </c>
    </row>
    <row r="430" spans="1:13" x14ac:dyDescent="0.2">
      <c r="A430" s="113"/>
      <c r="B430" s="58" t="s">
        <v>2363</v>
      </c>
      <c r="C430" s="58" t="s">
        <v>1796</v>
      </c>
      <c r="D430" s="58" t="s">
        <v>2364</v>
      </c>
      <c r="E430" s="60" t="b">
        <v>1</v>
      </c>
      <c r="F430" s="80" t="s">
        <v>291</v>
      </c>
      <c r="G430" s="58" t="s">
        <v>2363</v>
      </c>
      <c r="H430" s="58" t="s">
        <v>1796</v>
      </c>
      <c r="I430" s="64" t="s">
        <v>2364</v>
      </c>
      <c r="J430" s="66"/>
      <c r="K430" s="66"/>
      <c r="L430" s="68"/>
      <c r="M430" s="63" t="str">
        <f>HYPERLINK("http://nsgreg.nga.mil/genc/view?v=868103&amp;end_month=12&amp;end_day=31&amp;end_year=2016","Correlation")</f>
        <v>Correlation</v>
      </c>
    </row>
    <row r="431" spans="1:13" x14ac:dyDescent="0.2">
      <c r="A431" s="113"/>
      <c r="B431" s="58" t="s">
        <v>2365</v>
      </c>
      <c r="C431" s="58" t="s">
        <v>1796</v>
      </c>
      <c r="D431" s="58" t="s">
        <v>2366</v>
      </c>
      <c r="E431" s="60" t="b">
        <v>1</v>
      </c>
      <c r="F431" s="80" t="s">
        <v>291</v>
      </c>
      <c r="G431" s="58" t="s">
        <v>2365</v>
      </c>
      <c r="H431" s="58" t="s">
        <v>1796</v>
      </c>
      <c r="I431" s="64" t="s">
        <v>2366</v>
      </c>
      <c r="J431" s="66"/>
      <c r="K431" s="66"/>
      <c r="L431" s="68"/>
      <c r="M431" s="63" t="str">
        <f>HYPERLINK("http://nsgreg.nga.mil/genc/view?v=868098&amp;end_month=12&amp;end_day=31&amp;end_year=2016","Correlation")</f>
        <v>Correlation</v>
      </c>
    </row>
    <row r="432" spans="1:13" x14ac:dyDescent="0.2">
      <c r="A432" s="113"/>
      <c r="B432" s="58" t="s">
        <v>2367</v>
      </c>
      <c r="C432" s="58" t="s">
        <v>1796</v>
      </c>
      <c r="D432" s="58" t="s">
        <v>2368</v>
      </c>
      <c r="E432" s="60" t="b">
        <v>1</v>
      </c>
      <c r="F432" s="80" t="s">
        <v>291</v>
      </c>
      <c r="G432" s="58" t="s">
        <v>2367</v>
      </c>
      <c r="H432" s="58" t="s">
        <v>1796</v>
      </c>
      <c r="I432" s="64" t="s">
        <v>2368</v>
      </c>
      <c r="J432" s="66"/>
      <c r="K432" s="66"/>
      <c r="L432" s="68"/>
      <c r="M432" s="63" t="str">
        <f>HYPERLINK("http://nsgreg.nga.mil/genc/view?v=868107&amp;end_month=12&amp;end_day=31&amp;end_year=2016","Correlation")</f>
        <v>Correlation</v>
      </c>
    </row>
    <row r="433" spans="1:13" x14ac:dyDescent="0.2">
      <c r="A433" s="113"/>
      <c r="B433" s="58" t="s">
        <v>2369</v>
      </c>
      <c r="C433" s="58" t="s">
        <v>1796</v>
      </c>
      <c r="D433" s="58" t="s">
        <v>2370</v>
      </c>
      <c r="E433" s="60" t="b">
        <v>1</v>
      </c>
      <c r="F433" s="80" t="s">
        <v>291</v>
      </c>
      <c r="G433" s="58" t="s">
        <v>2369</v>
      </c>
      <c r="H433" s="58" t="s">
        <v>1796</v>
      </c>
      <c r="I433" s="64" t="s">
        <v>2370</v>
      </c>
      <c r="J433" s="66"/>
      <c r="K433" s="66"/>
      <c r="L433" s="68"/>
      <c r="M433" s="63" t="str">
        <f>HYPERLINK("http://nsgreg.nga.mil/genc/view?v=868113&amp;end_month=12&amp;end_day=31&amp;end_year=2016","Correlation")</f>
        <v>Correlation</v>
      </c>
    </row>
    <row r="434" spans="1:13" x14ac:dyDescent="0.2">
      <c r="A434" s="113"/>
      <c r="B434" s="58" t="s">
        <v>2371</v>
      </c>
      <c r="C434" s="58" t="s">
        <v>1796</v>
      </c>
      <c r="D434" s="58" t="s">
        <v>2372</v>
      </c>
      <c r="E434" s="60" t="b">
        <v>1</v>
      </c>
      <c r="F434" s="80" t="s">
        <v>291</v>
      </c>
      <c r="G434" s="58" t="s">
        <v>2371</v>
      </c>
      <c r="H434" s="58" t="s">
        <v>1796</v>
      </c>
      <c r="I434" s="64" t="s">
        <v>2372</v>
      </c>
      <c r="J434" s="66"/>
      <c r="K434" s="66"/>
      <c r="L434" s="68"/>
      <c r="M434" s="63" t="str">
        <f>HYPERLINK("http://nsgreg.nga.mil/genc/view?v=868104&amp;end_month=12&amp;end_day=31&amp;end_year=2016","Correlation")</f>
        <v>Correlation</v>
      </c>
    </row>
    <row r="435" spans="1:13" x14ac:dyDescent="0.2">
      <c r="A435" s="113"/>
      <c r="B435" s="58" t="s">
        <v>2373</v>
      </c>
      <c r="C435" s="58" t="s">
        <v>1796</v>
      </c>
      <c r="D435" s="58" t="s">
        <v>2374</v>
      </c>
      <c r="E435" s="60" t="b">
        <v>1</v>
      </c>
      <c r="F435" s="80" t="s">
        <v>291</v>
      </c>
      <c r="G435" s="58" t="s">
        <v>2373</v>
      </c>
      <c r="H435" s="58" t="s">
        <v>1796</v>
      </c>
      <c r="I435" s="64" t="s">
        <v>2374</v>
      </c>
      <c r="J435" s="66"/>
      <c r="K435" s="66"/>
      <c r="L435" s="68"/>
      <c r="M435" s="63" t="str">
        <f>HYPERLINK("http://nsgreg.nga.mil/genc/view?v=868099&amp;end_month=12&amp;end_day=31&amp;end_year=2016","Correlation")</f>
        <v>Correlation</v>
      </c>
    </row>
    <row r="436" spans="1:13" x14ac:dyDescent="0.2">
      <c r="A436" s="113"/>
      <c r="B436" s="58" t="s">
        <v>2375</v>
      </c>
      <c r="C436" s="58" t="s">
        <v>1796</v>
      </c>
      <c r="D436" s="58" t="s">
        <v>2376</v>
      </c>
      <c r="E436" s="60" t="b">
        <v>1</v>
      </c>
      <c r="F436" s="80" t="s">
        <v>291</v>
      </c>
      <c r="G436" s="58" t="s">
        <v>2375</v>
      </c>
      <c r="H436" s="58" t="s">
        <v>1796</v>
      </c>
      <c r="I436" s="64" t="s">
        <v>2376</v>
      </c>
      <c r="J436" s="66"/>
      <c r="K436" s="66"/>
      <c r="L436" s="68"/>
      <c r="M436" s="63" t="str">
        <f>HYPERLINK("http://nsgreg.nga.mil/genc/view?v=868102&amp;end_month=12&amp;end_day=31&amp;end_year=2016","Correlation")</f>
        <v>Correlation</v>
      </c>
    </row>
    <row r="437" spans="1:13" x14ac:dyDescent="0.2">
      <c r="A437" s="114"/>
      <c r="B437" s="71" t="s">
        <v>2377</v>
      </c>
      <c r="C437" s="71" t="s">
        <v>1796</v>
      </c>
      <c r="D437" s="71" t="s">
        <v>2378</v>
      </c>
      <c r="E437" s="73" t="b">
        <v>1</v>
      </c>
      <c r="F437" s="81" t="s">
        <v>291</v>
      </c>
      <c r="G437" s="71" t="s">
        <v>2377</v>
      </c>
      <c r="H437" s="71" t="s">
        <v>1796</v>
      </c>
      <c r="I437" s="74" t="s">
        <v>2378</v>
      </c>
      <c r="J437" s="76"/>
      <c r="K437" s="76"/>
      <c r="L437" s="82"/>
      <c r="M437" s="77" t="str">
        <f>HYPERLINK("http://nsgreg.nga.mil/genc/view?v=868106&amp;end_month=12&amp;end_day=31&amp;end_year=2016","Correlation")</f>
        <v>Correlation</v>
      </c>
    </row>
    <row r="438" spans="1:13" x14ac:dyDescent="0.2">
      <c r="A438" s="112" t="s">
        <v>299</v>
      </c>
      <c r="B438" s="50" t="s">
        <v>2379</v>
      </c>
      <c r="C438" s="50" t="s">
        <v>2294</v>
      </c>
      <c r="D438" s="50" t="s">
        <v>2380</v>
      </c>
      <c r="E438" s="52" t="b">
        <v>1</v>
      </c>
      <c r="F438" s="78" t="s">
        <v>295</v>
      </c>
      <c r="G438" s="50" t="s">
        <v>2379</v>
      </c>
      <c r="H438" s="50" t="s">
        <v>2294</v>
      </c>
      <c r="I438" s="53" t="s">
        <v>2380</v>
      </c>
      <c r="J438" s="55"/>
      <c r="K438" s="55"/>
      <c r="L438" s="79"/>
      <c r="M438" s="56" t="str">
        <f>HYPERLINK("http://nsgreg.nga.mil/genc/view?v=868026&amp;end_month=12&amp;end_day=31&amp;end_year=2016","Correlation")</f>
        <v>Correlation</v>
      </c>
    </row>
    <row r="439" spans="1:13" x14ac:dyDescent="0.2">
      <c r="A439" s="113"/>
      <c r="B439" s="58" t="s">
        <v>2381</v>
      </c>
      <c r="C439" s="58" t="s">
        <v>2294</v>
      </c>
      <c r="D439" s="58" t="s">
        <v>2382</v>
      </c>
      <c r="E439" s="60" t="b">
        <v>1</v>
      </c>
      <c r="F439" s="80" t="s">
        <v>295</v>
      </c>
      <c r="G439" s="58" t="s">
        <v>2381</v>
      </c>
      <c r="H439" s="58" t="s">
        <v>2294</v>
      </c>
      <c r="I439" s="64" t="s">
        <v>2382</v>
      </c>
      <c r="J439" s="66"/>
      <c r="K439" s="66"/>
      <c r="L439" s="68"/>
      <c r="M439" s="63" t="str">
        <f>HYPERLINK("http://nsgreg.nga.mil/genc/view?v=868025&amp;end_month=12&amp;end_day=31&amp;end_year=2016","Correlation")</f>
        <v>Correlation</v>
      </c>
    </row>
    <row r="440" spans="1:13" x14ac:dyDescent="0.2">
      <c r="A440" s="113"/>
      <c r="B440" s="58" t="s">
        <v>2383</v>
      </c>
      <c r="C440" s="58" t="s">
        <v>2294</v>
      </c>
      <c r="D440" s="58" t="s">
        <v>2384</v>
      </c>
      <c r="E440" s="60" t="b">
        <v>1</v>
      </c>
      <c r="F440" s="80" t="s">
        <v>295</v>
      </c>
      <c r="G440" s="58" t="s">
        <v>2383</v>
      </c>
      <c r="H440" s="58" t="s">
        <v>2294</v>
      </c>
      <c r="I440" s="64" t="s">
        <v>2384</v>
      </c>
      <c r="J440" s="66"/>
      <c r="K440" s="66"/>
      <c r="L440" s="68"/>
      <c r="M440" s="63" t="str">
        <f>HYPERLINK("http://nsgreg.nga.mil/genc/view?v=868024&amp;end_month=12&amp;end_day=31&amp;end_year=2016","Correlation")</f>
        <v>Correlation</v>
      </c>
    </row>
    <row r="441" spans="1:13" x14ac:dyDescent="0.2">
      <c r="A441" s="113"/>
      <c r="B441" s="58" t="s">
        <v>2385</v>
      </c>
      <c r="C441" s="58" t="s">
        <v>2294</v>
      </c>
      <c r="D441" s="58" t="s">
        <v>2386</v>
      </c>
      <c r="E441" s="60" t="b">
        <v>1</v>
      </c>
      <c r="F441" s="80" t="s">
        <v>295</v>
      </c>
      <c r="G441" s="58" t="s">
        <v>2385</v>
      </c>
      <c r="H441" s="58" t="s">
        <v>2294</v>
      </c>
      <c r="I441" s="64" t="s">
        <v>2386</v>
      </c>
      <c r="J441" s="66"/>
      <c r="K441" s="66"/>
      <c r="L441" s="68"/>
      <c r="M441" s="63" t="str">
        <f>HYPERLINK("http://nsgreg.nga.mil/genc/view?v=868027&amp;end_month=12&amp;end_day=31&amp;end_year=2016","Correlation")</f>
        <v>Correlation</v>
      </c>
    </row>
    <row r="442" spans="1:13" x14ac:dyDescent="0.2">
      <c r="A442" s="113"/>
      <c r="B442" s="58" t="s">
        <v>2387</v>
      </c>
      <c r="C442" s="58" t="s">
        <v>2294</v>
      </c>
      <c r="D442" s="58" t="s">
        <v>2388</v>
      </c>
      <c r="E442" s="60" t="b">
        <v>1</v>
      </c>
      <c r="F442" s="80" t="s">
        <v>295</v>
      </c>
      <c r="G442" s="58" t="s">
        <v>2387</v>
      </c>
      <c r="H442" s="58" t="s">
        <v>2294</v>
      </c>
      <c r="I442" s="64" t="s">
        <v>2388</v>
      </c>
      <c r="J442" s="66"/>
      <c r="K442" s="66"/>
      <c r="L442" s="68"/>
      <c r="M442" s="63" t="str">
        <f>HYPERLINK("http://nsgreg.nga.mil/genc/view?v=868029&amp;end_month=12&amp;end_day=31&amp;end_year=2016","Correlation")</f>
        <v>Correlation</v>
      </c>
    </row>
    <row r="443" spans="1:13" x14ac:dyDescent="0.2">
      <c r="A443" s="113"/>
      <c r="B443" s="58" t="s">
        <v>2389</v>
      </c>
      <c r="C443" s="58" t="s">
        <v>2294</v>
      </c>
      <c r="D443" s="58" t="s">
        <v>2390</v>
      </c>
      <c r="E443" s="60" t="b">
        <v>1</v>
      </c>
      <c r="F443" s="80" t="s">
        <v>295</v>
      </c>
      <c r="G443" s="58" t="s">
        <v>2389</v>
      </c>
      <c r="H443" s="58" t="s">
        <v>2294</v>
      </c>
      <c r="I443" s="64" t="s">
        <v>2390</v>
      </c>
      <c r="J443" s="66"/>
      <c r="K443" s="66"/>
      <c r="L443" s="68"/>
      <c r="M443" s="63" t="str">
        <f>HYPERLINK("http://nsgreg.nga.mil/genc/view?v=868028&amp;end_month=12&amp;end_day=31&amp;end_year=2016","Correlation")</f>
        <v>Correlation</v>
      </c>
    </row>
    <row r="444" spans="1:13" x14ac:dyDescent="0.2">
      <c r="A444" s="113"/>
      <c r="B444" s="58" t="s">
        <v>2391</v>
      </c>
      <c r="C444" s="58" t="s">
        <v>2294</v>
      </c>
      <c r="D444" s="58" t="s">
        <v>2392</v>
      </c>
      <c r="E444" s="60" t="b">
        <v>1</v>
      </c>
      <c r="F444" s="80" t="s">
        <v>295</v>
      </c>
      <c r="G444" s="58" t="s">
        <v>2391</v>
      </c>
      <c r="H444" s="58" t="s">
        <v>2294</v>
      </c>
      <c r="I444" s="64" t="s">
        <v>2392</v>
      </c>
      <c r="J444" s="66"/>
      <c r="K444" s="66"/>
      <c r="L444" s="68"/>
      <c r="M444" s="63" t="str">
        <f>HYPERLINK("http://nsgreg.nga.mil/genc/view?v=868030&amp;end_month=12&amp;end_day=31&amp;end_year=2016","Correlation")</f>
        <v>Correlation</v>
      </c>
    </row>
    <row r="445" spans="1:13" x14ac:dyDescent="0.2">
      <c r="A445" s="113"/>
      <c r="B445" s="58" t="s">
        <v>1716</v>
      </c>
      <c r="C445" s="58" t="s">
        <v>2294</v>
      </c>
      <c r="D445" s="58" t="s">
        <v>2393</v>
      </c>
      <c r="E445" s="60" t="b">
        <v>1</v>
      </c>
      <c r="F445" s="80" t="s">
        <v>295</v>
      </c>
      <c r="G445" s="58" t="s">
        <v>1716</v>
      </c>
      <c r="H445" s="58" t="s">
        <v>2294</v>
      </c>
      <c r="I445" s="64" t="s">
        <v>2393</v>
      </c>
      <c r="J445" s="66"/>
      <c r="K445" s="66"/>
      <c r="L445" s="68"/>
      <c r="M445" s="63" t="str">
        <f>HYPERLINK("http://nsgreg.nga.mil/genc/view?v=868031&amp;end_month=12&amp;end_day=31&amp;end_year=2016","Correlation")</f>
        <v>Correlation</v>
      </c>
    </row>
    <row r="446" spans="1:13" x14ac:dyDescent="0.2">
      <c r="A446" s="114"/>
      <c r="B446" s="71" t="s">
        <v>2394</v>
      </c>
      <c r="C446" s="71" t="s">
        <v>2294</v>
      </c>
      <c r="D446" s="71" t="s">
        <v>2395</v>
      </c>
      <c r="E446" s="73" t="b">
        <v>1</v>
      </c>
      <c r="F446" s="81" t="s">
        <v>295</v>
      </c>
      <c r="G446" s="71" t="s">
        <v>2394</v>
      </c>
      <c r="H446" s="71" t="s">
        <v>2294</v>
      </c>
      <c r="I446" s="74" t="s">
        <v>2395</v>
      </c>
      <c r="J446" s="76"/>
      <c r="K446" s="76"/>
      <c r="L446" s="82"/>
      <c r="M446" s="77" t="str">
        <f>HYPERLINK("http://nsgreg.nga.mil/genc/view?v=868032&amp;end_month=12&amp;end_day=31&amp;end_year=2016","Correlation")</f>
        <v>Correlation</v>
      </c>
    </row>
    <row r="447" spans="1:13" x14ac:dyDescent="0.2">
      <c r="A447" s="112" t="s">
        <v>304</v>
      </c>
      <c r="B447" s="50" t="s">
        <v>309</v>
      </c>
      <c r="C447" s="50" t="s">
        <v>2396</v>
      </c>
      <c r="D447" s="50" t="s">
        <v>310</v>
      </c>
      <c r="E447" s="52" t="b">
        <v>1</v>
      </c>
      <c r="F447" s="78" t="s">
        <v>300</v>
      </c>
      <c r="G447" s="50" t="s">
        <v>309</v>
      </c>
      <c r="H447" s="50" t="s">
        <v>2396</v>
      </c>
      <c r="I447" s="53" t="s">
        <v>310</v>
      </c>
      <c r="J447" s="55"/>
      <c r="K447" s="55"/>
      <c r="L447" s="79"/>
      <c r="M447" s="56" t="str">
        <f>HYPERLINK("http://nsgreg.nga.mil/genc/view?v=868033&amp;end_month=12&amp;end_day=31&amp;end_year=2016","Correlation")</f>
        <v>Correlation</v>
      </c>
    </row>
    <row r="448" spans="1:13" x14ac:dyDescent="0.2">
      <c r="A448" s="113"/>
      <c r="B448" s="58" t="s">
        <v>311</v>
      </c>
      <c r="C448" s="58" t="s">
        <v>2396</v>
      </c>
      <c r="D448" s="58" t="s">
        <v>312</v>
      </c>
      <c r="E448" s="60" t="b">
        <v>1</v>
      </c>
      <c r="F448" s="80" t="s">
        <v>300</v>
      </c>
      <c r="G448" s="58" t="s">
        <v>311</v>
      </c>
      <c r="H448" s="58" t="s">
        <v>2396</v>
      </c>
      <c r="I448" s="64" t="s">
        <v>312</v>
      </c>
      <c r="J448" s="66"/>
      <c r="K448" s="66"/>
      <c r="L448" s="68"/>
      <c r="M448" s="63" t="str">
        <f>HYPERLINK("http://nsgreg.nga.mil/genc/view?v=868034&amp;end_month=12&amp;end_day=31&amp;end_year=2016","Correlation")</f>
        <v>Correlation</v>
      </c>
    </row>
    <row r="449" spans="1:13" x14ac:dyDescent="0.2">
      <c r="A449" s="114"/>
      <c r="B449" s="71" t="s">
        <v>313</v>
      </c>
      <c r="C449" s="71" t="s">
        <v>2396</v>
      </c>
      <c r="D449" s="71" t="s">
        <v>314</v>
      </c>
      <c r="E449" s="73" t="b">
        <v>1</v>
      </c>
      <c r="F449" s="81" t="s">
        <v>300</v>
      </c>
      <c r="G449" s="71" t="s">
        <v>313</v>
      </c>
      <c r="H449" s="71" t="s">
        <v>2396</v>
      </c>
      <c r="I449" s="74" t="s">
        <v>314</v>
      </c>
      <c r="J449" s="76"/>
      <c r="K449" s="76"/>
      <c r="L449" s="82"/>
      <c r="M449" s="77" t="str">
        <f>HYPERLINK("http://nsgreg.nga.mil/genc/view?v=868035&amp;end_month=12&amp;end_day=31&amp;end_year=2016","Correlation")</f>
        <v>Correlation</v>
      </c>
    </row>
    <row r="450" spans="1:13" x14ac:dyDescent="0.2">
      <c r="A450" s="112" t="s">
        <v>318</v>
      </c>
      <c r="B450" s="50" t="s">
        <v>2405</v>
      </c>
      <c r="C450" s="50" t="s">
        <v>2406</v>
      </c>
      <c r="D450" s="50" t="s">
        <v>2404</v>
      </c>
      <c r="E450" s="52" t="b">
        <v>1</v>
      </c>
      <c r="F450" s="78" t="s">
        <v>318</v>
      </c>
      <c r="G450" s="50" t="s">
        <v>2403</v>
      </c>
      <c r="H450" s="50" t="s">
        <v>1796</v>
      </c>
      <c r="I450" s="53" t="s">
        <v>2404</v>
      </c>
      <c r="J450" s="55"/>
      <c r="K450" s="55"/>
      <c r="L450" s="79"/>
      <c r="M450" s="56" t="str">
        <f>HYPERLINK("http://nsgreg.nga.mil/genc/view?v=867802&amp;end_month=12&amp;end_day=31&amp;end_year=2016","Correlation")</f>
        <v>Correlation</v>
      </c>
    </row>
    <row r="451" spans="1:13" x14ac:dyDescent="0.2">
      <c r="A451" s="113"/>
      <c r="B451" s="58" t="s">
        <v>2401</v>
      </c>
      <c r="C451" s="58" t="s">
        <v>2402</v>
      </c>
      <c r="D451" s="58" t="s">
        <v>2400</v>
      </c>
      <c r="E451" s="60" t="b">
        <v>1</v>
      </c>
      <c r="F451" s="80" t="s">
        <v>318</v>
      </c>
      <c r="G451" s="58" t="s">
        <v>2398</v>
      </c>
      <c r="H451" s="58" t="s">
        <v>2399</v>
      </c>
      <c r="I451" s="64" t="s">
        <v>2400</v>
      </c>
      <c r="J451" s="66"/>
      <c r="K451" s="66"/>
      <c r="L451" s="68"/>
      <c r="M451" s="63" t="str">
        <f>HYPERLINK("http://nsgreg.nga.mil/genc/view?v=867801&amp;end_month=12&amp;end_day=31&amp;end_year=2016","Correlation")</f>
        <v>Correlation</v>
      </c>
    </row>
    <row r="452" spans="1:13" x14ac:dyDescent="0.2">
      <c r="A452" s="114"/>
      <c r="B452" s="71" t="s">
        <v>2410</v>
      </c>
      <c r="C452" s="71" t="s">
        <v>2402</v>
      </c>
      <c r="D452" s="71" t="s">
        <v>2409</v>
      </c>
      <c r="E452" s="73" t="b">
        <v>1</v>
      </c>
      <c r="F452" s="81" t="s">
        <v>318</v>
      </c>
      <c r="G452" s="71" t="s">
        <v>2407</v>
      </c>
      <c r="H452" s="71" t="s">
        <v>2408</v>
      </c>
      <c r="I452" s="74" t="s">
        <v>2409</v>
      </c>
      <c r="J452" s="76"/>
      <c r="K452" s="76"/>
      <c r="L452" s="82"/>
      <c r="M452" s="77" t="str">
        <f>HYPERLINK("http://nsgreg.nga.mil/genc/view?v=867803&amp;end_month=12&amp;end_day=31&amp;end_year=2016","Correlation")</f>
        <v>Correlation</v>
      </c>
    </row>
    <row r="453" spans="1:13" x14ac:dyDescent="0.2">
      <c r="A453" s="112" t="s">
        <v>322</v>
      </c>
      <c r="B453" s="50" t="s">
        <v>2411</v>
      </c>
      <c r="C453" s="50" t="s">
        <v>1796</v>
      </c>
      <c r="D453" s="50" t="s">
        <v>2412</v>
      </c>
      <c r="E453" s="52" t="b">
        <v>1</v>
      </c>
      <c r="F453" s="78" t="s">
        <v>322</v>
      </c>
      <c r="G453" s="50" t="s">
        <v>2411</v>
      </c>
      <c r="H453" s="50" t="s">
        <v>1796</v>
      </c>
      <c r="I453" s="53" t="s">
        <v>2412</v>
      </c>
      <c r="J453" s="55"/>
      <c r="K453" s="55"/>
      <c r="L453" s="79"/>
      <c r="M453" s="56" t="str">
        <f>HYPERLINK("http://nsgreg.nga.mil/genc/view?v=868114&amp;end_month=12&amp;end_day=31&amp;end_year=2016","Correlation")</f>
        <v>Correlation</v>
      </c>
    </row>
    <row r="454" spans="1:13" x14ac:dyDescent="0.2">
      <c r="A454" s="113"/>
      <c r="B454" s="58" t="s">
        <v>2413</v>
      </c>
      <c r="C454" s="58" t="s">
        <v>1796</v>
      </c>
      <c r="D454" s="58" t="s">
        <v>2414</v>
      </c>
      <c r="E454" s="60" t="b">
        <v>1</v>
      </c>
      <c r="F454" s="80" t="s">
        <v>322</v>
      </c>
      <c r="G454" s="58" t="s">
        <v>2413</v>
      </c>
      <c r="H454" s="58" t="s">
        <v>1796</v>
      </c>
      <c r="I454" s="64" t="s">
        <v>2414</v>
      </c>
      <c r="J454" s="66"/>
      <c r="K454" s="66"/>
      <c r="L454" s="68"/>
      <c r="M454" s="63" t="str">
        <f>HYPERLINK("http://nsgreg.nga.mil/genc/view?v=868115&amp;end_month=12&amp;end_day=31&amp;end_year=2016","Correlation")</f>
        <v>Correlation</v>
      </c>
    </row>
    <row r="455" spans="1:13" x14ac:dyDescent="0.2">
      <c r="A455" s="113"/>
      <c r="B455" s="58" t="s">
        <v>2415</v>
      </c>
      <c r="C455" s="58" t="s">
        <v>1681</v>
      </c>
      <c r="D455" s="58" t="s">
        <v>2416</v>
      </c>
      <c r="E455" s="60" t="b">
        <v>1</v>
      </c>
      <c r="F455" s="80" t="s">
        <v>322</v>
      </c>
      <c r="G455" s="58" t="s">
        <v>2415</v>
      </c>
      <c r="H455" s="58" t="s">
        <v>1681</v>
      </c>
      <c r="I455" s="64" t="s">
        <v>2416</v>
      </c>
      <c r="J455" s="66"/>
      <c r="K455" s="66"/>
      <c r="L455" s="68"/>
      <c r="M455" s="63" t="str">
        <f>HYPERLINK("http://nsgreg.nga.mil/genc/view?v=868116&amp;end_month=12&amp;end_day=31&amp;end_year=2016","Correlation")</f>
        <v>Correlation</v>
      </c>
    </row>
    <row r="456" spans="1:13" x14ac:dyDescent="0.2">
      <c r="A456" s="113"/>
      <c r="B456" s="58" t="s">
        <v>2417</v>
      </c>
      <c r="C456" s="58" t="s">
        <v>1681</v>
      </c>
      <c r="D456" s="58" t="s">
        <v>2418</v>
      </c>
      <c r="E456" s="60" t="b">
        <v>1</v>
      </c>
      <c r="F456" s="80" t="s">
        <v>322</v>
      </c>
      <c r="G456" s="58" t="s">
        <v>2417</v>
      </c>
      <c r="H456" s="58" t="s">
        <v>1681</v>
      </c>
      <c r="I456" s="64" t="s">
        <v>2418</v>
      </c>
      <c r="J456" s="66"/>
      <c r="K456" s="66"/>
      <c r="L456" s="68"/>
      <c r="M456" s="63" t="str">
        <f>HYPERLINK("http://nsgreg.nga.mil/genc/view?v=868117&amp;end_month=12&amp;end_day=31&amp;end_year=2016","Correlation")</f>
        <v>Correlation</v>
      </c>
    </row>
    <row r="457" spans="1:13" x14ac:dyDescent="0.2">
      <c r="A457" s="113"/>
      <c r="B457" s="58" t="s">
        <v>2419</v>
      </c>
      <c r="C457" s="58" t="s">
        <v>1796</v>
      </c>
      <c r="D457" s="58" t="s">
        <v>2420</v>
      </c>
      <c r="E457" s="60" t="b">
        <v>1</v>
      </c>
      <c r="F457" s="80" t="s">
        <v>322</v>
      </c>
      <c r="G457" s="58" t="s">
        <v>2419</v>
      </c>
      <c r="H457" s="58" t="s">
        <v>1796</v>
      </c>
      <c r="I457" s="64" t="s">
        <v>2420</v>
      </c>
      <c r="J457" s="66"/>
      <c r="K457" s="66"/>
      <c r="L457" s="68"/>
      <c r="M457" s="63" t="str">
        <f>HYPERLINK("http://nsgreg.nga.mil/genc/view?v=868118&amp;end_month=12&amp;end_day=31&amp;end_year=2016","Correlation")</f>
        <v>Correlation</v>
      </c>
    </row>
    <row r="458" spans="1:13" x14ac:dyDescent="0.2">
      <c r="A458" s="113"/>
      <c r="B458" s="58" t="s">
        <v>2421</v>
      </c>
      <c r="C458" s="58" t="s">
        <v>2422</v>
      </c>
      <c r="D458" s="58" t="s">
        <v>2423</v>
      </c>
      <c r="E458" s="60" t="b">
        <v>1</v>
      </c>
      <c r="F458" s="80" t="s">
        <v>322</v>
      </c>
      <c r="G458" s="58" t="s">
        <v>2421</v>
      </c>
      <c r="H458" s="58" t="s">
        <v>2422</v>
      </c>
      <c r="I458" s="64" t="s">
        <v>2423</v>
      </c>
      <c r="J458" s="66"/>
      <c r="K458" s="66"/>
      <c r="L458" s="68"/>
      <c r="M458" s="63" t="str">
        <f>HYPERLINK("http://nsgreg.nga.mil/genc/view?v=868119&amp;end_month=12&amp;end_day=31&amp;end_year=2016","Correlation")</f>
        <v>Correlation</v>
      </c>
    </row>
    <row r="459" spans="1:13" x14ac:dyDescent="0.2">
      <c r="A459" s="113"/>
      <c r="B459" s="58" t="s">
        <v>2424</v>
      </c>
      <c r="C459" s="58" t="s">
        <v>1796</v>
      </c>
      <c r="D459" s="58" t="s">
        <v>2425</v>
      </c>
      <c r="E459" s="60" t="b">
        <v>1</v>
      </c>
      <c r="F459" s="80" t="s">
        <v>322</v>
      </c>
      <c r="G459" s="58" t="s">
        <v>2424</v>
      </c>
      <c r="H459" s="58" t="s">
        <v>1796</v>
      </c>
      <c r="I459" s="64" t="s">
        <v>2425</v>
      </c>
      <c r="J459" s="66"/>
      <c r="K459" s="66"/>
      <c r="L459" s="68"/>
      <c r="M459" s="63" t="str">
        <f>HYPERLINK("http://nsgreg.nga.mil/genc/view?v=868120&amp;end_month=12&amp;end_day=31&amp;end_year=2016","Correlation")</f>
        <v>Correlation</v>
      </c>
    </row>
    <row r="460" spans="1:13" x14ac:dyDescent="0.2">
      <c r="A460" s="113"/>
      <c r="B460" s="58" t="s">
        <v>2426</v>
      </c>
      <c r="C460" s="58" t="s">
        <v>1796</v>
      </c>
      <c r="D460" s="58" t="s">
        <v>2427</v>
      </c>
      <c r="E460" s="60" t="b">
        <v>1</v>
      </c>
      <c r="F460" s="80" t="s">
        <v>322</v>
      </c>
      <c r="G460" s="58" t="s">
        <v>2426</v>
      </c>
      <c r="H460" s="58" t="s">
        <v>1796</v>
      </c>
      <c r="I460" s="64" t="s">
        <v>2427</v>
      </c>
      <c r="J460" s="66"/>
      <c r="K460" s="66"/>
      <c r="L460" s="68"/>
      <c r="M460" s="63" t="str">
        <f>HYPERLINK("http://nsgreg.nga.mil/genc/view?v=868121&amp;end_month=12&amp;end_day=31&amp;end_year=2016","Correlation")</f>
        <v>Correlation</v>
      </c>
    </row>
    <row r="461" spans="1:13" x14ac:dyDescent="0.2">
      <c r="A461" s="113"/>
      <c r="B461" s="58" t="s">
        <v>2428</v>
      </c>
      <c r="C461" s="58" t="s">
        <v>1796</v>
      </c>
      <c r="D461" s="58" t="s">
        <v>2429</v>
      </c>
      <c r="E461" s="60" t="b">
        <v>1</v>
      </c>
      <c r="F461" s="80" t="s">
        <v>322</v>
      </c>
      <c r="G461" s="58" t="s">
        <v>2428</v>
      </c>
      <c r="H461" s="58" t="s">
        <v>1796</v>
      </c>
      <c r="I461" s="64" t="s">
        <v>2429</v>
      </c>
      <c r="J461" s="66"/>
      <c r="K461" s="66"/>
      <c r="L461" s="68"/>
      <c r="M461" s="63" t="str">
        <f>HYPERLINK("http://nsgreg.nga.mil/genc/view?v=868122&amp;end_month=12&amp;end_day=31&amp;end_year=2016","Correlation")</f>
        <v>Correlation</v>
      </c>
    </row>
    <row r="462" spans="1:13" x14ac:dyDescent="0.2">
      <c r="A462" s="113"/>
      <c r="B462" s="58" t="s">
        <v>2430</v>
      </c>
      <c r="C462" s="58" t="s">
        <v>2422</v>
      </c>
      <c r="D462" s="58" t="s">
        <v>2431</v>
      </c>
      <c r="E462" s="60" t="b">
        <v>1</v>
      </c>
      <c r="F462" s="80" t="s">
        <v>322</v>
      </c>
      <c r="G462" s="58" t="s">
        <v>2430</v>
      </c>
      <c r="H462" s="58" t="s">
        <v>2422</v>
      </c>
      <c r="I462" s="64" t="s">
        <v>2431</v>
      </c>
      <c r="J462" s="66"/>
      <c r="K462" s="66"/>
      <c r="L462" s="68"/>
      <c r="M462" s="63" t="str">
        <f>HYPERLINK("http://nsgreg.nga.mil/genc/view?v=868123&amp;end_month=12&amp;end_day=31&amp;end_year=2016","Correlation")</f>
        <v>Correlation</v>
      </c>
    </row>
    <row r="463" spans="1:13" x14ac:dyDescent="0.2">
      <c r="A463" s="113"/>
      <c r="B463" s="58" t="s">
        <v>2432</v>
      </c>
      <c r="C463" s="58" t="s">
        <v>1796</v>
      </c>
      <c r="D463" s="58" t="s">
        <v>2433</v>
      </c>
      <c r="E463" s="60" t="b">
        <v>1</v>
      </c>
      <c r="F463" s="80" t="s">
        <v>322</v>
      </c>
      <c r="G463" s="58" t="s">
        <v>2432</v>
      </c>
      <c r="H463" s="58" t="s">
        <v>1796</v>
      </c>
      <c r="I463" s="64" t="s">
        <v>2433</v>
      </c>
      <c r="J463" s="66"/>
      <c r="K463" s="66"/>
      <c r="L463" s="68"/>
      <c r="M463" s="63" t="str">
        <f>HYPERLINK("http://nsgreg.nga.mil/genc/view?v=868124&amp;end_month=12&amp;end_day=31&amp;end_year=2016","Correlation")</f>
        <v>Correlation</v>
      </c>
    </row>
    <row r="464" spans="1:13" x14ac:dyDescent="0.2">
      <c r="A464" s="113"/>
      <c r="B464" s="58" t="s">
        <v>2434</v>
      </c>
      <c r="C464" s="58" t="s">
        <v>1796</v>
      </c>
      <c r="D464" s="58" t="s">
        <v>2435</v>
      </c>
      <c r="E464" s="60" t="b">
        <v>1</v>
      </c>
      <c r="F464" s="80" t="s">
        <v>322</v>
      </c>
      <c r="G464" s="58" t="s">
        <v>2434</v>
      </c>
      <c r="H464" s="58" t="s">
        <v>1796</v>
      </c>
      <c r="I464" s="64" t="s">
        <v>2435</v>
      </c>
      <c r="J464" s="66"/>
      <c r="K464" s="66"/>
      <c r="L464" s="68"/>
      <c r="M464" s="63" t="str">
        <f>HYPERLINK("http://nsgreg.nga.mil/genc/view?v=868125&amp;end_month=12&amp;end_day=31&amp;end_year=2016","Correlation")</f>
        <v>Correlation</v>
      </c>
    </row>
    <row r="465" spans="1:13" x14ac:dyDescent="0.2">
      <c r="A465" s="113"/>
      <c r="B465" s="58" t="s">
        <v>2436</v>
      </c>
      <c r="C465" s="58" t="s">
        <v>2422</v>
      </c>
      <c r="D465" s="58" t="s">
        <v>2437</v>
      </c>
      <c r="E465" s="60" t="b">
        <v>1</v>
      </c>
      <c r="F465" s="80" t="s">
        <v>322</v>
      </c>
      <c r="G465" s="58" t="s">
        <v>2436</v>
      </c>
      <c r="H465" s="58" t="s">
        <v>2422</v>
      </c>
      <c r="I465" s="64" t="s">
        <v>2437</v>
      </c>
      <c r="J465" s="66"/>
      <c r="K465" s="66"/>
      <c r="L465" s="68"/>
      <c r="M465" s="63" t="str">
        <f>HYPERLINK("http://nsgreg.nga.mil/genc/view?v=868128&amp;end_month=12&amp;end_day=31&amp;end_year=2016","Correlation")</f>
        <v>Correlation</v>
      </c>
    </row>
    <row r="466" spans="1:13" x14ac:dyDescent="0.2">
      <c r="A466" s="113"/>
      <c r="B466" s="58" t="s">
        <v>2438</v>
      </c>
      <c r="C466" s="58" t="s">
        <v>1796</v>
      </c>
      <c r="D466" s="58" t="s">
        <v>2439</v>
      </c>
      <c r="E466" s="60" t="b">
        <v>1</v>
      </c>
      <c r="F466" s="80" t="s">
        <v>322</v>
      </c>
      <c r="G466" s="58" t="s">
        <v>2438</v>
      </c>
      <c r="H466" s="58" t="s">
        <v>1796</v>
      </c>
      <c r="I466" s="64" t="s">
        <v>2439</v>
      </c>
      <c r="J466" s="66"/>
      <c r="K466" s="66"/>
      <c r="L466" s="68"/>
      <c r="M466" s="63" t="str">
        <f>HYPERLINK("http://nsgreg.nga.mil/genc/view?v=868126&amp;end_month=12&amp;end_day=31&amp;end_year=2016","Correlation")</f>
        <v>Correlation</v>
      </c>
    </row>
    <row r="467" spans="1:13" x14ac:dyDescent="0.2">
      <c r="A467" s="113"/>
      <c r="B467" s="58" t="s">
        <v>2440</v>
      </c>
      <c r="C467" s="58" t="s">
        <v>1796</v>
      </c>
      <c r="D467" s="58" t="s">
        <v>2441</v>
      </c>
      <c r="E467" s="60" t="b">
        <v>1</v>
      </c>
      <c r="F467" s="80" t="s">
        <v>322</v>
      </c>
      <c r="G467" s="58" t="s">
        <v>2440</v>
      </c>
      <c r="H467" s="58" t="s">
        <v>1796</v>
      </c>
      <c r="I467" s="64" t="s">
        <v>2441</v>
      </c>
      <c r="J467" s="66"/>
      <c r="K467" s="66"/>
      <c r="L467" s="68"/>
      <c r="M467" s="63" t="str">
        <f>HYPERLINK("http://nsgreg.nga.mil/genc/view?v=868127&amp;end_month=12&amp;end_day=31&amp;end_year=2016","Correlation")</f>
        <v>Correlation</v>
      </c>
    </row>
    <row r="468" spans="1:13" x14ac:dyDescent="0.2">
      <c r="A468" s="114"/>
      <c r="B468" s="71" t="s">
        <v>2442</v>
      </c>
      <c r="C468" s="71" t="s">
        <v>2422</v>
      </c>
      <c r="D468" s="71" t="s">
        <v>2443</v>
      </c>
      <c r="E468" s="73" t="b">
        <v>1</v>
      </c>
      <c r="F468" s="81" t="s">
        <v>322</v>
      </c>
      <c r="G468" s="71" t="s">
        <v>2442</v>
      </c>
      <c r="H468" s="71" t="s">
        <v>2422</v>
      </c>
      <c r="I468" s="74" t="s">
        <v>2443</v>
      </c>
      <c r="J468" s="76"/>
      <c r="K468" s="76"/>
      <c r="L468" s="82"/>
      <c r="M468" s="77" t="str">
        <f>HYPERLINK("http://nsgreg.nga.mil/genc/view?v=868129&amp;end_month=12&amp;end_day=31&amp;end_year=2016","Correlation")</f>
        <v>Correlation</v>
      </c>
    </row>
    <row r="469" spans="1:13" x14ac:dyDescent="0.2">
      <c r="A469" s="112" t="s">
        <v>330</v>
      </c>
      <c r="B469" s="50" t="s">
        <v>2444</v>
      </c>
      <c r="C469" s="50" t="s">
        <v>1763</v>
      </c>
      <c r="D469" s="50" t="s">
        <v>2445</v>
      </c>
      <c r="E469" s="52" t="b">
        <v>1</v>
      </c>
      <c r="F469" s="78" t="s">
        <v>330</v>
      </c>
      <c r="G469" s="50" t="s">
        <v>2444</v>
      </c>
      <c r="H469" s="50" t="s">
        <v>1763</v>
      </c>
      <c r="I469" s="53" t="s">
        <v>2445</v>
      </c>
      <c r="J469" s="55"/>
      <c r="K469" s="55"/>
      <c r="L469" s="79"/>
      <c r="M469" s="56" t="str">
        <f>HYPERLINK("http://nsgreg.nga.mil/genc/view?v=868036&amp;end_month=12&amp;end_day=31&amp;end_year=2016","Correlation")</f>
        <v>Correlation</v>
      </c>
    </row>
    <row r="470" spans="1:13" x14ac:dyDescent="0.2">
      <c r="A470" s="113"/>
      <c r="B470" s="58" t="s">
        <v>2446</v>
      </c>
      <c r="C470" s="58" t="s">
        <v>1763</v>
      </c>
      <c r="D470" s="58" t="s">
        <v>2447</v>
      </c>
      <c r="E470" s="60" t="b">
        <v>1</v>
      </c>
      <c r="F470" s="80" t="s">
        <v>330</v>
      </c>
      <c r="G470" s="58" t="s">
        <v>2446</v>
      </c>
      <c r="H470" s="58" t="s">
        <v>1763</v>
      </c>
      <c r="I470" s="64" t="s">
        <v>2447</v>
      </c>
      <c r="J470" s="66"/>
      <c r="K470" s="66"/>
      <c r="L470" s="68"/>
      <c r="M470" s="63" t="str">
        <f>HYPERLINK("http://nsgreg.nga.mil/genc/view?v=868037&amp;end_month=12&amp;end_day=31&amp;end_year=2016","Correlation")</f>
        <v>Correlation</v>
      </c>
    </row>
    <row r="471" spans="1:13" x14ac:dyDescent="0.2">
      <c r="A471" s="113"/>
      <c r="B471" s="58" t="s">
        <v>2448</v>
      </c>
      <c r="C471" s="58" t="s">
        <v>1763</v>
      </c>
      <c r="D471" s="58" t="s">
        <v>2449</v>
      </c>
      <c r="E471" s="60" t="b">
        <v>1</v>
      </c>
      <c r="F471" s="80" t="s">
        <v>330</v>
      </c>
      <c r="G471" s="58" t="s">
        <v>2448</v>
      </c>
      <c r="H471" s="58" t="s">
        <v>1763</v>
      </c>
      <c r="I471" s="64" t="s">
        <v>2449</v>
      </c>
      <c r="J471" s="66"/>
      <c r="K471" s="66"/>
      <c r="L471" s="68"/>
      <c r="M471" s="63" t="str">
        <f>HYPERLINK("http://nsgreg.nga.mil/genc/view?v=868039&amp;end_month=12&amp;end_day=31&amp;end_year=2016","Correlation")</f>
        <v>Correlation</v>
      </c>
    </row>
    <row r="472" spans="1:13" x14ac:dyDescent="0.2">
      <c r="A472" s="113"/>
      <c r="B472" s="58" t="s">
        <v>2450</v>
      </c>
      <c r="C472" s="58" t="s">
        <v>1763</v>
      </c>
      <c r="D472" s="58" t="s">
        <v>2451</v>
      </c>
      <c r="E472" s="60" t="b">
        <v>1</v>
      </c>
      <c r="F472" s="80" t="s">
        <v>330</v>
      </c>
      <c r="G472" s="58" t="s">
        <v>2450</v>
      </c>
      <c r="H472" s="58" t="s">
        <v>1763</v>
      </c>
      <c r="I472" s="64" t="s">
        <v>2451</v>
      </c>
      <c r="J472" s="66"/>
      <c r="K472" s="66"/>
      <c r="L472" s="68"/>
      <c r="M472" s="63" t="str">
        <f>HYPERLINK("http://nsgreg.nga.mil/genc/view?v=868038&amp;end_month=12&amp;end_day=31&amp;end_year=2016","Correlation")</f>
        <v>Correlation</v>
      </c>
    </row>
    <row r="473" spans="1:13" x14ac:dyDescent="0.2">
      <c r="A473" s="113"/>
      <c r="B473" s="58" t="s">
        <v>2452</v>
      </c>
      <c r="C473" s="58" t="s">
        <v>1763</v>
      </c>
      <c r="D473" s="58" t="s">
        <v>2453</v>
      </c>
      <c r="E473" s="60" t="b">
        <v>1</v>
      </c>
      <c r="F473" s="80" t="s">
        <v>330</v>
      </c>
      <c r="G473" s="58" t="s">
        <v>2452</v>
      </c>
      <c r="H473" s="58" t="s">
        <v>1763</v>
      </c>
      <c r="I473" s="64" t="s">
        <v>2453</v>
      </c>
      <c r="J473" s="66"/>
      <c r="K473" s="66"/>
      <c r="L473" s="68"/>
      <c r="M473" s="63" t="str">
        <f>HYPERLINK("http://nsgreg.nga.mil/genc/view?v=868040&amp;end_month=12&amp;end_day=31&amp;end_year=2016","Correlation")</f>
        <v>Correlation</v>
      </c>
    </row>
    <row r="474" spans="1:13" x14ac:dyDescent="0.2">
      <c r="A474" s="113"/>
      <c r="B474" s="58" t="s">
        <v>2454</v>
      </c>
      <c r="C474" s="58" t="s">
        <v>1763</v>
      </c>
      <c r="D474" s="58" t="s">
        <v>2455</v>
      </c>
      <c r="E474" s="60" t="b">
        <v>1</v>
      </c>
      <c r="F474" s="80" t="s">
        <v>330</v>
      </c>
      <c r="G474" s="58" t="s">
        <v>2454</v>
      </c>
      <c r="H474" s="58" t="s">
        <v>1763</v>
      </c>
      <c r="I474" s="64" t="s">
        <v>2455</v>
      </c>
      <c r="J474" s="66"/>
      <c r="K474" s="66"/>
      <c r="L474" s="68"/>
      <c r="M474" s="63" t="str">
        <f>HYPERLINK("http://nsgreg.nga.mil/genc/view?v=868041&amp;end_month=12&amp;end_day=31&amp;end_year=2016","Correlation")</f>
        <v>Correlation</v>
      </c>
    </row>
    <row r="475" spans="1:13" x14ac:dyDescent="0.2">
      <c r="A475" s="113"/>
      <c r="B475" s="58" t="s">
        <v>2456</v>
      </c>
      <c r="C475" s="58" t="s">
        <v>2457</v>
      </c>
      <c r="D475" s="58" t="s">
        <v>2458</v>
      </c>
      <c r="E475" s="60" t="b">
        <v>1</v>
      </c>
      <c r="F475" s="80" t="s">
        <v>330</v>
      </c>
      <c r="G475" s="58" t="s">
        <v>2456</v>
      </c>
      <c r="H475" s="58" t="s">
        <v>2457</v>
      </c>
      <c r="I475" s="64" t="s">
        <v>2458</v>
      </c>
      <c r="J475" s="66"/>
      <c r="K475" s="66"/>
      <c r="L475" s="68"/>
      <c r="M475" s="63" t="str">
        <f>HYPERLINK("http://nsgreg.nga.mil/genc/view?v=868042&amp;end_month=12&amp;end_day=31&amp;end_year=2016","Correlation")</f>
        <v>Correlation</v>
      </c>
    </row>
    <row r="476" spans="1:13" x14ac:dyDescent="0.2">
      <c r="A476" s="113"/>
      <c r="B476" s="58" t="s">
        <v>2459</v>
      </c>
      <c r="C476" s="58" t="s">
        <v>1763</v>
      </c>
      <c r="D476" s="58" t="s">
        <v>2460</v>
      </c>
      <c r="E476" s="60" t="b">
        <v>1</v>
      </c>
      <c r="F476" s="80" t="s">
        <v>330</v>
      </c>
      <c r="G476" s="58" t="s">
        <v>2459</v>
      </c>
      <c r="H476" s="58" t="s">
        <v>1763</v>
      </c>
      <c r="I476" s="64" t="s">
        <v>2460</v>
      </c>
      <c r="J476" s="66"/>
      <c r="K476" s="66"/>
      <c r="L476" s="68"/>
      <c r="M476" s="63" t="str">
        <f>HYPERLINK("http://nsgreg.nga.mil/genc/view?v=868043&amp;end_month=12&amp;end_day=31&amp;end_year=2016","Correlation")</f>
        <v>Correlation</v>
      </c>
    </row>
    <row r="477" spans="1:13" x14ac:dyDescent="0.2">
      <c r="A477" s="113"/>
      <c r="B477" s="58" t="s">
        <v>2461</v>
      </c>
      <c r="C477" s="58" t="s">
        <v>1763</v>
      </c>
      <c r="D477" s="58" t="s">
        <v>2462</v>
      </c>
      <c r="E477" s="60" t="b">
        <v>1</v>
      </c>
      <c r="F477" s="80" t="s">
        <v>330</v>
      </c>
      <c r="G477" s="58" t="s">
        <v>2461</v>
      </c>
      <c r="H477" s="58" t="s">
        <v>1763</v>
      </c>
      <c r="I477" s="64" t="s">
        <v>2462</v>
      </c>
      <c r="J477" s="66"/>
      <c r="K477" s="66"/>
      <c r="L477" s="68"/>
      <c r="M477" s="63" t="str">
        <f>HYPERLINK("http://nsgreg.nga.mil/genc/view?v=868044&amp;end_month=12&amp;end_day=31&amp;end_year=2016","Correlation")</f>
        <v>Correlation</v>
      </c>
    </row>
    <row r="478" spans="1:13" x14ac:dyDescent="0.2">
      <c r="A478" s="113"/>
      <c r="B478" s="58" t="s">
        <v>2463</v>
      </c>
      <c r="C478" s="58" t="s">
        <v>1763</v>
      </c>
      <c r="D478" s="58" t="s">
        <v>2464</v>
      </c>
      <c r="E478" s="60" t="b">
        <v>1</v>
      </c>
      <c r="F478" s="80" t="s">
        <v>330</v>
      </c>
      <c r="G478" s="58" t="s">
        <v>2463</v>
      </c>
      <c r="H478" s="58" t="s">
        <v>1763</v>
      </c>
      <c r="I478" s="64" t="s">
        <v>2464</v>
      </c>
      <c r="J478" s="66"/>
      <c r="K478" s="66"/>
      <c r="L478" s="68"/>
      <c r="M478" s="63" t="str">
        <f>HYPERLINK("http://nsgreg.nga.mil/genc/view?v=868045&amp;end_month=12&amp;end_day=31&amp;end_year=2016","Correlation")</f>
        <v>Correlation</v>
      </c>
    </row>
    <row r="479" spans="1:13" x14ac:dyDescent="0.2">
      <c r="A479" s="113"/>
      <c r="B479" s="58" t="s">
        <v>2465</v>
      </c>
      <c r="C479" s="58" t="s">
        <v>1763</v>
      </c>
      <c r="D479" s="58" t="s">
        <v>2466</v>
      </c>
      <c r="E479" s="60" t="b">
        <v>1</v>
      </c>
      <c r="F479" s="80" t="s">
        <v>330</v>
      </c>
      <c r="G479" s="58" t="s">
        <v>2465</v>
      </c>
      <c r="H479" s="58" t="s">
        <v>1763</v>
      </c>
      <c r="I479" s="64" t="s">
        <v>2466</v>
      </c>
      <c r="J479" s="66"/>
      <c r="K479" s="66"/>
      <c r="L479" s="68"/>
      <c r="M479" s="63" t="str">
        <f>HYPERLINK("http://nsgreg.nga.mil/genc/view?v=868048&amp;end_month=12&amp;end_day=31&amp;end_year=2016","Correlation")</f>
        <v>Correlation</v>
      </c>
    </row>
    <row r="480" spans="1:13" x14ac:dyDescent="0.2">
      <c r="A480" s="113"/>
      <c r="B480" s="58" t="s">
        <v>2467</v>
      </c>
      <c r="C480" s="58" t="s">
        <v>1763</v>
      </c>
      <c r="D480" s="58" t="s">
        <v>2468</v>
      </c>
      <c r="E480" s="60" t="b">
        <v>1</v>
      </c>
      <c r="F480" s="80" t="s">
        <v>330</v>
      </c>
      <c r="G480" s="58" t="s">
        <v>2467</v>
      </c>
      <c r="H480" s="58" t="s">
        <v>1763</v>
      </c>
      <c r="I480" s="64" t="s">
        <v>2468</v>
      </c>
      <c r="J480" s="66"/>
      <c r="K480" s="66"/>
      <c r="L480" s="68"/>
      <c r="M480" s="63" t="str">
        <f>HYPERLINK("http://nsgreg.nga.mil/genc/view?v=868047&amp;end_month=12&amp;end_day=31&amp;end_year=2016","Correlation")</f>
        <v>Correlation</v>
      </c>
    </row>
    <row r="481" spans="1:13" x14ac:dyDescent="0.2">
      <c r="A481" s="113"/>
      <c r="B481" s="58" t="s">
        <v>2469</v>
      </c>
      <c r="C481" s="58" t="s">
        <v>1763</v>
      </c>
      <c r="D481" s="58" t="s">
        <v>2470</v>
      </c>
      <c r="E481" s="60" t="b">
        <v>1</v>
      </c>
      <c r="F481" s="80" t="s">
        <v>330</v>
      </c>
      <c r="G481" s="58" t="s">
        <v>2469</v>
      </c>
      <c r="H481" s="58" t="s">
        <v>1763</v>
      </c>
      <c r="I481" s="64" t="s">
        <v>2470</v>
      </c>
      <c r="J481" s="66"/>
      <c r="K481" s="66"/>
      <c r="L481" s="68"/>
      <c r="M481" s="63" t="str">
        <f>HYPERLINK("http://nsgreg.nga.mil/genc/view?v=868046&amp;end_month=12&amp;end_day=31&amp;end_year=2016","Correlation")</f>
        <v>Correlation</v>
      </c>
    </row>
    <row r="482" spans="1:13" x14ac:dyDescent="0.2">
      <c r="A482" s="113"/>
      <c r="B482" s="58" t="s">
        <v>2471</v>
      </c>
      <c r="C482" s="58" t="s">
        <v>1763</v>
      </c>
      <c r="D482" s="58" t="s">
        <v>2472</v>
      </c>
      <c r="E482" s="60" t="b">
        <v>1</v>
      </c>
      <c r="F482" s="80" t="s">
        <v>330</v>
      </c>
      <c r="G482" s="58" t="s">
        <v>2471</v>
      </c>
      <c r="H482" s="58" t="s">
        <v>1763</v>
      </c>
      <c r="I482" s="64" t="s">
        <v>2472</v>
      </c>
      <c r="J482" s="66"/>
      <c r="K482" s="66"/>
      <c r="L482" s="68"/>
      <c r="M482" s="63" t="str">
        <f>HYPERLINK("http://nsgreg.nga.mil/genc/view?v=868049&amp;end_month=12&amp;end_day=31&amp;end_year=2016","Correlation")</f>
        <v>Correlation</v>
      </c>
    </row>
    <row r="483" spans="1:13" x14ac:dyDescent="0.2">
      <c r="A483" s="113"/>
      <c r="B483" s="58" t="s">
        <v>2473</v>
      </c>
      <c r="C483" s="58" t="s">
        <v>1763</v>
      </c>
      <c r="D483" s="58" t="s">
        <v>2474</v>
      </c>
      <c r="E483" s="60" t="b">
        <v>1</v>
      </c>
      <c r="F483" s="80" t="s">
        <v>330</v>
      </c>
      <c r="G483" s="58" t="s">
        <v>2473</v>
      </c>
      <c r="H483" s="58" t="s">
        <v>1763</v>
      </c>
      <c r="I483" s="64" t="s">
        <v>2474</v>
      </c>
      <c r="J483" s="66"/>
      <c r="K483" s="66"/>
      <c r="L483" s="68"/>
      <c r="M483" s="63" t="str">
        <f>HYPERLINK("http://nsgreg.nga.mil/genc/view?v=868050&amp;end_month=12&amp;end_day=31&amp;end_year=2016","Correlation")</f>
        <v>Correlation</v>
      </c>
    </row>
    <row r="484" spans="1:13" x14ac:dyDescent="0.2">
      <c r="A484" s="113"/>
      <c r="B484" s="58" t="s">
        <v>2475</v>
      </c>
      <c r="C484" s="58" t="s">
        <v>1763</v>
      </c>
      <c r="D484" s="58" t="s">
        <v>2476</v>
      </c>
      <c r="E484" s="60" t="b">
        <v>1</v>
      </c>
      <c r="F484" s="80" t="s">
        <v>330</v>
      </c>
      <c r="G484" s="58" t="s">
        <v>2475</v>
      </c>
      <c r="H484" s="58" t="s">
        <v>1763</v>
      </c>
      <c r="I484" s="64" t="s">
        <v>2476</v>
      </c>
      <c r="J484" s="66"/>
      <c r="K484" s="66"/>
      <c r="L484" s="68"/>
      <c r="M484" s="63" t="str">
        <f>HYPERLINK("http://nsgreg.nga.mil/genc/view?v=868053&amp;end_month=12&amp;end_day=31&amp;end_year=2016","Correlation")</f>
        <v>Correlation</v>
      </c>
    </row>
    <row r="485" spans="1:13" x14ac:dyDescent="0.2">
      <c r="A485" s="113"/>
      <c r="B485" s="58" t="s">
        <v>2477</v>
      </c>
      <c r="C485" s="58" t="s">
        <v>1763</v>
      </c>
      <c r="D485" s="58" t="s">
        <v>2478</v>
      </c>
      <c r="E485" s="60" t="b">
        <v>1</v>
      </c>
      <c r="F485" s="80" t="s">
        <v>330</v>
      </c>
      <c r="G485" s="58" t="s">
        <v>2477</v>
      </c>
      <c r="H485" s="58" t="s">
        <v>1763</v>
      </c>
      <c r="I485" s="64" t="s">
        <v>2478</v>
      </c>
      <c r="J485" s="66"/>
      <c r="K485" s="66"/>
      <c r="L485" s="68"/>
      <c r="M485" s="63" t="str">
        <f>HYPERLINK("http://nsgreg.nga.mil/genc/view?v=868051&amp;end_month=12&amp;end_day=31&amp;end_year=2016","Correlation")</f>
        <v>Correlation</v>
      </c>
    </row>
    <row r="486" spans="1:13" x14ac:dyDescent="0.2">
      <c r="A486" s="113"/>
      <c r="B486" s="58" t="s">
        <v>2479</v>
      </c>
      <c r="C486" s="58" t="s">
        <v>1763</v>
      </c>
      <c r="D486" s="58" t="s">
        <v>2480</v>
      </c>
      <c r="E486" s="60" t="b">
        <v>1</v>
      </c>
      <c r="F486" s="80" t="s">
        <v>330</v>
      </c>
      <c r="G486" s="58" t="s">
        <v>2479</v>
      </c>
      <c r="H486" s="58" t="s">
        <v>1763</v>
      </c>
      <c r="I486" s="64" t="s">
        <v>2480</v>
      </c>
      <c r="J486" s="66"/>
      <c r="K486" s="66"/>
      <c r="L486" s="68"/>
      <c r="M486" s="63" t="str">
        <f>HYPERLINK("http://nsgreg.nga.mil/genc/view?v=868052&amp;end_month=12&amp;end_day=31&amp;end_year=2016","Correlation")</f>
        <v>Correlation</v>
      </c>
    </row>
    <row r="487" spans="1:13" x14ac:dyDescent="0.2">
      <c r="A487" s="113"/>
      <c r="B487" s="58" t="s">
        <v>2481</v>
      </c>
      <c r="C487" s="58" t="s">
        <v>1763</v>
      </c>
      <c r="D487" s="58" t="s">
        <v>2482</v>
      </c>
      <c r="E487" s="60" t="b">
        <v>1</v>
      </c>
      <c r="F487" s="80" t="s">
        <v>330</v>
      </c>
      <c r="G487" s="58" t="s">
        <v>2481</v>
      </c>
      <c r="H487" s="58" t="s">
        <v>1763</v>
      </c>
      <c r="I487" s="64" t="s">
        <v>2482</v>
      </c>
      <c r="J487" s="66"/>
      <c r="K487" s="66"/>
      <c r="L487" s="68"/>
      <c r="M487" s="63" t="str">
        <f>HYPERLINK("http://nsgreg.nga.mil/genc/view?v=868054&amp;end_month=12&amp;end_day=31&amp;end_year=2016","Correlation")</f>
        <v>Correlation</v>
      </c>
    </row>
    <row r="488" spans="1:13" x14ac:dyDescent="0.2">
      <c r="A488" s="113"/>
      <c r="B488" s="58" t="s">
        <v>2483</v>
      </c>
      <c r="C488" s="58" t="s">
        <v>1763</v>
      </c>
      <c r="D488" s="58" t="s">
        <v>2484</v>
      </c>
      <c r="E488" s="60" t="b">
        <v>1</v>
      </c>
      <c r="F488" s="80" t="s">
        <v>330</v>
      </c>
      <c r="G488" s="58" t="s">
        <v>2483</v>
      </c>
      <c r="H488" s="58" t="s">
        <v>1763</v>
      </c>
      <c r="I488" s="64" t="s">
        <v>2484</v>
      </c>
      <c r="J488" s="66"/>
      <c r="K488" s="66"/>
      <c r="L488" s="68"/>
      <c r="M488" s="63" t="str">
        <f>HYPERLINK("http://nsgreg.nga.mil/genc/view?v=868055&amp;end_month=12&amp;end_day=31&amp;end_year=2016","Correlation")</f>
        <v>Correlation</v>
      </c>
    </row>
    <row r="489" spans="1:13" x14ac:dyDescent="0.2">
      <c r="A489" s="113"/>
      <c r="B489" s="58" t="s">
        <v>2485</v>
      </c>
      <c r="C489" s="58" t="s">
        <v>1763</v>
      </c>
      <c r="D489" s="58" t="s">
        <v>2486</v>
      </c>
      <c r="E489" s="60" t="b">
        <v>1</v>
      </c>
      <c r="F489" s="80" t="s">
        <v>330</v>
      </c>
      <c r="G489" s="58" t="s">
        <v>2485</v>
      </c>
      <c r="H489" s="58" t="s">
        <v>1763</v>
      </c>
      <c r="I489" s="64" t="s">
        <v>2486</v>
      </c>
      <c r="J489" s="66"/>
      <c r="K489" s="66"/>
      <c r="L489" s="68"/>
      <c r="M489" s="63" t="str">
        <f>HYPERLINK("http://nsgreg.nga.mil/genc/view?v=868058&amp;end_month=12&amp;end_day=31&amp;end_year=2016","Correlation")</f>
        <v>Correlation</v>
      </c>
    </row>
    <row r="490" spans="1:13" x14ac:dyDescent="0.2">
      <c r="A490" s="113"/>
      <c r="B490" s="58" t="s">
        <v>2487</v>
      </c>
      <c r="C490" s="58" t="s">
        <v>1763</v>
      </c>
      <c r="D490" s="58" t="s">
        <v>2488</v>
      </c>
      <c r="E490" s="60" t="b">
        <v>1</v>
      </c>
      <c r="F490" s="80" t="s">
        <v>330</v>
      </c>
      <c r="G490" s="58" t="s">
        <v>2487</v>
      </c>
      <c r="H490" s="58" t="s">
        <v>1763</v>
      </c>
      <c r="I490" s="64" t="s">
        <v>2488</v>
      </c>
      <c r="J490" s="66"/>
      <c r="K490" s="66"/>
      <c r="L490" s="68"/>
      <c r="M490" s="63" t="str">
        <f>HYPERLINK("http://nsgreg.nga.mil/genc/view?v=868056&amp;end_month=12&amp;end_day=31&amp;end_year=2016","Correlation")</f>
        <v>Correlation</v>
      </c>
    </row>
    <row r="491" spans="1:13" x14ac:dyDescent="0.2">
      <c r="A491" s="113"/>
      <c r="B491" s="58" t="s">
        <v>2489</v>
      </c>
      <c r="C491" s="58" t="s">
        <v>1763</v>
      </c>
      <c r="D491" s="58" t="s">
        <v>2490</v>
      </c>
      <c r="E491" s="60" t="b">
        <v>1</v>
      </c>
      <c r="F491" s="80" t="s">
        <v>330</v>
      </c>
      <c r="G491" s="58" t="s">
        <v>2489</v>
      </c>
      <c r="H491" s="58" t="s">
        <v>1763</v>
      </c>
      <c r="I491" s="64" t="s">
        <v>2490</v>
      </c>
      <c r="J491" s="66"/>
      <c r="K491" s="66"/>
      <c r="L491" s="68"/>
      <c r="M491" s="63" t="str">
        <f>HYPERLINK("http://nsgreg.nga.mil/genc/view?v=868057&amp;end_month=12&amp;end_day=31&amp;end_year=2016","Correlation")</f>
        <v>Correlation</v>
      </c>
    </row>
    <row r="492" spans="1:13" x14ac:dyDescent="0.2">
      <c r="A492" s="113"/>
      <c r="B492" s="58" t="s">
        <v>2491</v>
      </c>
      <c r="C492" s="58" t="s">
        <v>1763</v>
      </c>
      <c r="D492" s="58" t="s">
        <v>2492</v>
      </c>
      <c r="E492" s="60" t="b">
        <v>1</v>
      </c>
      <c r="F492" s="80" t="s">
        <v>330</v>
      </c>
      <c r="G492" s="58" t="s">
        <v>2491</v>
      </c>
      <c r="H492" s="58" t="s">
        <v>1763</v>
      </c>
      <c r="I492" s="64" t="s">
        <v>2492</v>
      </c>
      <c r="J492" s="66"/>
      <c r="K492" s="66"/>
      <c r="L492" s="68"/>
      <c r="M492" s="63" t="str">
        <f>HYPERLINK("http://nsgreg.nga.mil/genc/view?v=868059&amp;end_month=12&amp;end_day=31&amp;end_year=2016","Correlation")</f>
        <v>Correlation</v>
      </c>
    </row>
    <row r="493" spans="1:13" x14ac:dyDescent="0.2">
      <c r="A493" s="113"/>
      <c r="B493" s="58" t="s">
        <v>2493</v>
      </c>
      <c r="C493" s="58" t="s">
        <v>1763</v>
      </c>
      <c r="D493" s="58" t="s">
        <v>2494</v>
      </c>
      <c r="E493" s="60" t="b">
        <v>1</v>
      </c>
      <c r="F493" s="80" t="s">
        <v>330</v>
      </c>
      <c r="G493" s="58" t="s">
        <v>2493</v>
      </c>
      <c r="H493" s="58" t="s">
        <v>1763</v>
      </c>
      <c r="I493" s="64" t="s">
        <v>2494</v>
      </c>
      <c r="J493" s="66"/>
      <c r="K493" s="66"/>
      <c r="L493" s="68"/>
      <c r="M493" s="63" t="str">
        <f>HYPERLINK("http://nsgreg.nga.mil/genc/view?v=868061&amp;end_month=12&amp;end_day=31&amp;end_year=2016","Correlation")</f>
        <v>Correlation</v>
      </c>
    </row>
    <row r="494" spans="1:13" x14ac:dyDescent="0.2">
      <c r="A494" s="113"/>
      <c r="B494" s="58" t="s">
        <v>2495</v>
      </c>
      <c r="C494" s="58" t="s">
        <v>1763</v>
      </c>
      <c r="D494" s="58" t="s">
        <v>2496</v>
      </c>
      <c r="E494" s="60" t="b">
        <v>1</v>
      </c>
      <c r="F494" s="80" t="s">
        <v>330</v>
      </c>
      <c r="G494" s="58" t="s">
        <v>2495</v>
      </c>
      <c r="H494" s="58" t="s">
        <v>1763</v>
      </c>
      <c r="I494" s="64" t="s">
        <v>2496</v>
      </c>
      <c r="J494" s="66"/>
      <c r="K494" s="66"/>
      <c r="L494" s="68"/>
      <c r="M494" s="63" t="str">
        <f>HYPERLINK("http://nsgreg.nga.mil/genc/view?v=868060&amp;end_month=12&amp;end_day=31&amp;end_year=2016","Correlation")</f>
        <v>Correlation</v>
      </c>
    </row>
    <row r="495" spans="1:13" x14ac:dyDescent="0.2">
      <c r="A495" s="114"/>
      <c r="B495" s="71" t="s">
        <v>2497</v>
      </c>
      <c r="C495" s="71" t="s">
        <v>1763</v>
      </c>
      <c r="D495" s="71" t="s">
        <v>2498</v>
      </c>
      <c r="E495" s="73" t="b">
        <v>1</v>
      </c>
      <c r="F495" s="81" t="s">
        <v>330</v>
      </c>
      <c r="G495" s="71" t="s">
        <v>2497</v>
      </c>
      <c r="H495" s="71" t="s">
        <v>1763</v>
      </c>
      <c r="I495" s="74" t="s">
        <v>2498</v>
      </c>
      <c r="J495" s="76"/>
      <c r="K495" s="76"/>
      <c r="L495" s="82"/>
      <c r="M495" s="77" t="str">
        <f>HYPERLINK("http://nsgreg.nga.mil/genc/view?v=868062&amp;end_month=12&amp;end_day=31&amp;end_year=2016","Correlation")</f>
        <v>Correlation</v>
      </c>
    </row>
    <row r="496" spans="1:13" x14ac:dyDescent="0.2">
      <c r="A496" s="112" t="s">
        <v>342</v>
      </c>
      <c r="B496" s="50" t="s">
        <v>2499</v>
      </c>
      <c r="C496" s="50" t="s">
        <v>1796</v>
      </c>
      <c r="D496" s="50" t="s">
        <v>2500</v>
      </c>
      <c r="E496" s="52" t="b">
        <v>1</v>
      </c>
      <c r="F496" s="78" t="s">
        <v>338</v>
      </c>
      <c r="G496" s="50" t="s">
        <v>2499</v>
      </c>
      <c r="H496" s="50" t="s">
        <v>1796</v>
      </c>
      <c r="I496" s="53" t="s">
        <v>2500</v>
      </c>
      <c r="J496" s="55"/>
      <c r="K496" s="55"/>
      <c r="L496" s="79"/>
      <c r="M496" s="56" t="str">
        <f>HYPERLINK("http://nsgreg.nga.mil/genc/view?v=868020&amp;end_month=12&amp;end_day=31&amp;end_year=2016","Correlation")</f>
        <v>Correlation</v>
      </c>
    </row>
    <row r="497" spans="1:13" x14ac:dyDescent="0.2">
      <c r="A497" s="113"/>
      <c r="B497" s="58" t="s">
        <v>2503</v>
      </c>
      <c r="C497" s="58" t="s">
        <v>1796</v>
      </c>
      <c r="D497" s="58" t="s">
        <v>2502</v>
      </c>
      <c r="E497" s="60" t="b">
        <v>1</v>
      </c>
      <c r="F497" s="80" t="s">
        <v>338</v>
      </c>
      <c r="G497" s="58" t="s">
        <v>2501</v>
      </c>
      <c r="H497" s="58" t="s">
        <v>1796</v>
      </c>
      <c r="I497" s="64" t="s">
        <v>2502</v>
      </c>
      <c r="J497" s="66"/>
      <c r="K497" s="66"/>
      <c r="L497" s="68"/>
      <c r="M497" s="63" t="str">
        <f>HYPERLINK("http://nsgreg.nga.mil/genc/view?v=868021&amp;end_month=12&amp;end_day=31&amp;end_year=2016","Correlation")</f>
        <v>Correlation</v>
      </c>
    </row>
    <row r="498" spans="1:13" x14ac:dyDescent="0.2">
      <c r="A498" s="113"/>
      <c r="B498" s="58" t="s">
        <v>2504</v>
      </c>
      <c r="C498" s="58" t="s">
        <v>1796</v>
      </c>
      <c r="D498" s="58" t="s">
        <v>2505</v>
      </c>
      <c r="E498" s="60" t="b">
        <v>1</v>
      </c>
      <c r="F498" s="80" t="s">
        <v>338</v>
      </c>
      <c r="G498" s="58" t="s">
        <v>2504</v>
      </c>
      <c r="H498" s="58" t="s">
        <v>1796</v>
      </c>
      <c r="I498" s="64" t="s">
        <v>2505</v>
      </c>
      <c r="J498" s="66"/>
      <c r="K498" s="66"/>
      <c r="L498" s="68"/>
      <c r="M498" s="63" t="str">
        <f>HYPERLINK("http://nsgreg.nga.mil/genc/view?v=868022&amp;end_month=12&amp;end_day=31&amp;end_year=2016","Correlation")</f>
        <v>Correlation</v>
      </c>
    </row>
    <row r="499" spans="1:13" x14ac:dyDescent="0.2">
      <c r="A499" s="114"/>
      <c r="B499" s="71" t="s">
        <v>2506</v>
      </c>
      <c r="C499" s="71" t="s">
        <v>1796</v>
      </c>
      <c r="D499" s="71" t="s">
        <v>2507</v>
      </c>
      <c r="E499" s="73" t="b">
        <v>1</v>
      </c>
      <c r="F499" s="81" t="s">
        <v>338</v>
      </c>
      <c r="G499" s="71" t="s">
        <v>2506</v>
      </c>
      <c r="H499" s="71" t="s">
        <v>1796</v>
      </c>
      <c r="I499" s="74" t="s">
        <v>2507</v>
      </c>
      <c r="J499" s="76"/>
      <c r="K499" s="76"/>
      <c r="L499" s="82"/>
      <c r="M499" s="77" t="str">
        <f>HYPERLINK("http://nsgreg.nga.mil/genc/view?v=868023&amp;end_month=12&amp;end_day=31&amp;end_year=2016","Correlation")</f>
        <v>Correlation</v>
      </c>
    </row>
    <row r="500" spans="1:13" x14ac:dyDescent="0.2">
      <c r="A500" s="112" t="s">
        <v>343</v>
      </c>
      <c r="B500" s="50" t="s">
        <v>2508</v>
      </c>
      <c r="C500" s="50" t="s">
        <v>1728</v>
      </c>
      <c r="D500" s="50" t="s">
        <v>2509</v>
      </c>
      <c r="E500" s="52" t="b">
        <v>1</v>
      </c>
      <c r="F500" s="78" t="s">
        <v>343</v>
      </c>
      <c r="G500" s="50" t="s">
        <v>2508</v>
      </c>
      <c r="H500" s="50" t="s">
        <v>1413</v>
      </c>
      <c r="I500" s="53" t="s">
        <v>2509</v>
      </c>
      <c r="J500" s="55"/>
      <c r="K500" s="55"/>
      <c r="L500" s="79"/>
      <c r="M500" s="56" t="str">
        <f>HYPERLINK("http://nsgreg.nga.mil/genc/view?v=867958&amp;end_month=12&amp;end_day=31&amp;end_year=2016","Correlation")</f>
        <v>Correlation</v>
      </c>
    </row>
    <row r="501" spans="1:13" x14ac:dyDescent="0.2">
      <c r="A501" s="113"/>
      <c r="B501" s="58" t="s">
        <v>2510</v>
      </c>
      <c r="C501" s="58" t="s">
        <v>1728</v>
      </c>
      <c r="D501" s="58" t="s">
        <v>2511</v>
      </c>
      <c r="E501" s="60" t="b">
        <v>1</v>
      </c>
      <c r="F501" s="80" t="s">
        <v>343</v>
      </c>
      <c r="G501" s="58" t="s">
        <v>2510</v>
      </c>
      <c r="H501" s="58" t="s">
        <v>1413</v>
      </c>
      <c r="I501" s="64" t="s">
        <v>2511</v>
      </c>
      <c r="J501" s="66"/>
      <c r="K501" s="66"/>
      <c r="L501" s="68"/>
      <c r="M501" s="63" t="str">
        <f>HYPERLINK("http://nsgreg.nga.mil/genc/view?v=867959&amp;end_month=12&amp;end_day=31&amp;end_year=2016","Correlation")</f>
        <v>Correlation</v>
      </c>
    </row>
    <row r="502" spans="1:13" x14ac:dyDescent="0.2">
      <c r="A502" s="113"/>
      <c r="B502" s="58" t="s">
        <v>2512</v>
      </c>
      <c r="C502" s="58" t="s">
        <v>1728</v>
      </c>
      <c r="D502" s="58" t="s">
        <v>2513</v>
      </c>
      <c r="E502" s="60" t="b">
        <v>1</v>
      </c>
      <c r="F502" s="80" t="s">
        <v>343</v>
      </c>
      <c r="G502" s="58" t="s">
        <v>2512</v>
      </c>
      <c r="H502" s="58" t="s">
        <v>1413</v>
      </c>
      <c r="I502" s="64" t="s">
        <v>2513</v>
      </c>
      <c r="J502" s="66"/>
      <c r="K502" s="66"/>
      <c r="L502" s="68"/>
      <c r="M502" s="63" t="str">
        <f>HYPERLINK("http://nsgreg.nga.mil/genc/view?v=867965&amp;end_month=12&amp;end_day=31&amp;end_year=2016","Correlation")</f>
        <v>Correlation</v>
      </c>
    </row>
    <row r="503" spans="1:13" x14ac:dyDescent="0.2">
      <c r="A503" s="113"/>
      <c r="B503" s="58" t="s">
        <v>2514</v>
      </c>
      <c r="C503" s="58" t="s">
        <v>1728</v>
      </c>
      <c r="D503" s="58" t="s">
        <v>2515</v>
      </c>
      <c r="E503" s="60" t="b">
        <v>1</v>
      </c>
      <c r="F503" s="80" t="s">
        <v>343</v>
      </c>
      <c r="G503" s="58" t="s">
        <v>2514</v>
      </c>
      <c r="H503" s="58" t="s">
        <v>1413</v>
      </c>
      <c r="I503" s="64" t="s">
        <v>2515</v>
      </c>
      <c r="J503" s="66"/>
      <c r="K503" s="66"/>
      <c r="L503" s="68"/>
      <c r="M503" s="63" t="str">
        <f>HYPERLINK("http://nsgreg.nga.mil/genc/view?v=867964&amp;end_month=12&amp;end_day=31&amp;end_year=2016","Correlation")</f>
        <v>Correlation</v>
      </c>
    </row>
    <row r="504" spans="1:13" x14ac:dyDescent="0.2">
      <c r="A504" s="113"/>
      <c r="B504" s="58" t="s">
        <v>2516</v>
      </c>
      <c r="C504" s="58" t="s">
        <v>1728</v>
      </c>
      <c r="D504" s="58" t="s">
        <v>2517</v>
      </c>
      <c r="E504" s="60" t="b">
        <v>1</v>
      </c>
      <c r="F504" s="80" t="s">
        <v>343</v>
      </c>
      <c r="G504" s="58" t="s">
        <v>2516</v>
      </c>
      <c r="H504" s="58" t="s">
        <v>1413</v>
      </c>
      <c r="I504" s="64" t="s">
        <v>2517</v>
      </c>
      <c r="J504" s="66"/>
      <c r="K504" s="66"/>
      <c r="L504" s="68"/>
      <c r="M504" s="63" t="str">
        <f>HYPERLINK("http://nsgreg.nga.mil/genc/view?v=867983&amp;end_month=12&amp;end_day=31&amp;end_year=2016","Correlation")</f>
        <v>Correlation</v>
      </c>
    </row>
    <row r="505" spans="1:13" x14ac:dyDescent="0.2">
      <c r="A505" s="113"/>
      <c r="B505" s="58" t="s">
        <v>2518</v>
      </c>
      <c r="C505" s="58" t="s">
        <v>1728</v>
      </c>
      <c r="D505" s="58" t="s">
        <v>2519</v>
      </c>
      <c r="E505" s="60" t="b">
        <v>1</v>
      </c>
      <c r="F505" s="80" t="s">
        <v>343</v>
      </c>
      <c r="G505" s="58" t="s">
        <v>2518</v>
      </c>
      <c r="H505" s="58" t="s">
        <v>1413</v>
      </c>
      <c r="I505" s="64" t="s">
        <v>2519</v>
      </c>
      <c r="J505" s="66"/>
      <c r="K505" s="66"/>
      <c r="L505" s="68"/>
      <c r="M505" s="63" t="str">
        <f>HYPERLINK("http://nsgreg.nga.mil/genc/view?v=867966&amp;end_month=12&amp;end_day=31&amp;end_year=2016","Correlation")</f>
        <v>Correlation</v>
      </c>
    </row>
    <row r="506" spans="1:13" x14ac:dyDescent="0.2">
      <c r="A506" s="113"/>
      <c r="B506" s="58" t="s">
        <v>2520</v>
      </c>
      <c r="C506" s="58" t="s">
        <v>1728</v>
      </c>
      <c r="D506" s="58" t="s">
        <v>2521</v>
      </c>
      <c r="E506" s="60" t="b">
        <v>1</v>
      </c>
      <c r="F506" s="80" t="s">
        <v>343</v>
      </c>
      <c r="G506" s="58" t="s">
        <v>2520</v>
      </c>
      <c r="H506" s="58" t="s">
        <v>1413</v>
      </c>
      <c r="I506" s="64" t="s">
        <v>2521</v>
      </c>
      <c r="J506" s="66"/>
      <c r="K506" s="66"/>
      <c r="L506" s="68"/>
      <c r="M506" s="63" t="str">
        <f>HYPERLINK("http://nsgreg.nga.mil/genc/view?v=867967&amp;end_month=12&amp;end_day=31&amp;end_year=2016","Correlation")</f>
        <v>Correlation</v>
      </c>
    </row>
    <row r="507" spans="1:13" x14ac:dyDescent="0.2">
      <c r="A507" s="113"/>
      <c r="B507" s="58" t="s">
        <v>2522</v>
      </c>
      <c r="C507" s="58" t="s">
        <v>1728</v>
      </c>
      <c r="D507" s="58" t="s">
        <v>2523</v>
      </c>
      <c r="E507" s="60" t="b">
        <v>1</v>
      </c>
      <c r="F507" s="80" t="s">
        <v>343</v>
      </c>
      <c r="G507" s="58" t="s">
        <v>2522</v>
      </c>
      <c r="H507" s="58" t="s">
        <v>1413</v>
      </c>
      <c r="I507" s="64" t="s">
        <v>2523</v>
      </c>
      <c r="J507" s="66"/>
      <c r="K507" s="66"/>
      <c r="L507" s="68"/>
      <c r="M507" s="63" t="str">
        <f>HYPERLINK("http://nsgreg.nga.mil/genc/view?v=867968&amp;end_month=12&amp;end_day=31&amp;end_year=2016","Correlation")</f>
        <v>Correlation</v>
      </c>
    </row>
    <row r="508" spans="1:13" x14ac:dyDescent="0.2">
      <c r="A508" s="113"/>
      <c r="B508" s="58" t="s">
        <v>2524</v>
      </c>
      <c r="C508" s="58" t="s">
        <v>1728</v>
      </c>
      <c r="D508" s="58" t="s">
        <v>2525</v>
      </c>
      <c r="E508" s="60" t="b">
        <v>1</v>
      </c>
      <c r="F508" s="80" t="s">
        <v>343</v>
      </c>
      <c r="G508" s="58" t="s">
        <v>2524</v>
      </c>
      <c r="H508" s="58" t="s">
        <v>1413</v>
      </c>
      <c r="I508" s="64" t="s">
        <v>2525</v>
      </c>
      <c r="J508" s="66"/>
      <c r="K508" s="66"/>
      <c r="L508" s="68"/>
      <c r="M508" s="63" t="str">
        <f>HYPERLINK("http://nsgreg.nga.mil/genc/view?v=867969&amp;end_month=12&amp;end_day=31&amp;end_year=2016","Correlation")</f>
        <v>Correlation</v>
      </c>
    </row>
    <row r="509" spans="1:13" x14ac:dyDescent="0.2">
      <c r="A509" s="113"/>
      <c r="B509" s="58" t="s">
        <v>2526</v>
      </c>
      <c r="C509" s="58" t="s">
        <v>1728</v>
      </c>
      <c r="D509" s="58" t="s">
        <v>2527</v>
      </c>
      <c r="E509" s="60" t="b">
        <v>1</v>
      </c>
      <c r="F509" s="80" t="s">
        <v>343</v>
      </c>
      <c r="G509" s="58" t="s">
        <v>2526</v>
      </c>
      <c r="H509" s="58" t="s">
        <v>1413</v>
      </c>
      <c r="I509" s="64" t="s">
        <v>2527</v>
      </c>
      <c r="J509" s="66"/>
      <c r="K509" s="66"/>
      <c r="L509" s="68"/>
      <c r="M509" s="63" t="str">
        <f>HYPERLINK("http://nsgreg.nga.mil/genc/view?v=867970&amp;end_month=12&amp;end_day=31&amp;end_year=2016","Correlation")</f>
        <v>Correlation</v>
      </c>
    </row>
    <row r="510" spans="1:13" x14ac:dyDescent="0.2">
      <c r="A510" s="113"/>
      <c r="B510" s="58" t="s">
        <v>2528</v>
      </c>
      <c r="C510" s="58" t="s">
        <v>1728</v>
      </c>
      <c r="D510" s="58" t="s">
        <v>2529</v>
      </c>
      <c r="E510" s="60" t="b">
        <v>1</v>
      </c>
      <c r="F510" s="80" t="s">
        <v>343</v>
      </c>
      <c r="G510" s="58" t="s">
        <v>2528</v>
      </c>
      <c r="H510" s="58" t="s">
        <v>1413</v>
      </c>
      <c r="I510" s="64" t="s">
        <v>2529</v>
      </c>
      <c r="J510" s="66"/>
      <c r="K510" s="66"/>
      <c r="L510" s="68"/>
      <c r="M510" s="63" t="str">
        <f>HYPERLINK("http://nsgreg.nga.mil/genc/view?v=867971&amp;end_month=12&amp;end_day=31&amp;end_year=2016","Correlation")</f>
        <v>Correlation</v>
      </c>
    </row>
    <row r="511" spans="1:13" x14ac:dyDescent="0.2">
      <c r="A511" s="113"/>
      <c r="B511" s="58" t="s">
        <v>2530</v>
      </c>
      <c r="C511" s="58" t="s">
        <v>1728</v>
      </c>
      <c r="D511" s="58" t="s">
        <v>2531</v>
      </c>
      <c r="E511" s="60" t="b">
        <v>1</v>
      </c>
      <c r="F511" s="80" t="s">
        <v>343</v>
      </c>
      <c r="G511" s="58" t="s">
        <v>2530</v>
      </c>
      <c r="H511" s="58" t="s">
        <v>1413</v>
      </c>
      <c r="I511" s="64" t="s">
        <v>2531</v>
      </c>
      <c r="J511" s="66"/>
      <c r="K511" s="66"/>
      <c r="L511" s="68"/>
      <c r="M511" s="63" t="str">
        <f>HYPERLINK("http://nsgreg.nga.mil/genc/view?v=867972&amp;end_month=12&amp;end_day=31&amp;end_year=2016","Correlation")</f>
        <v>Correlation</v>
      </c>
    </row>
    <row r="512" spans="1:13" x14ac:dyDescent="0.2">
      <c r="A512" s="113"/>
      <c r="B512" s="58" t="s">
        <v>2532</v>
      </c>
      <c r="C512" s="58" t="s">
        <v>1728</v>
      </c>
      <c r="D512" s="58" t="s">
        <v>2533</v>
      </c>
      <c r="E512" s="60" t="b">
        <v>1</v>
      </c>
      <c r="F512" s="80" t="s">
        <v>343</v>
      </c>
      <c r="G512" s="58" t="s">
        <v>2532</v>
      </c>
      <c r="H512" s="58" t="s">
        <v>1413</v>
      </c>
      <c r="I512" s="64" t="s">
        <v>2533</v>
      </c>
      <c r="J512" s="66"/>
      <c r="K512" s="66"/>
      <c r="L512" s="68"/>
      <c r="M512" s="63" t="str">
        <f>HYPERLINK("http://nsgreg.nga.mil/genc/view?v=867973&amp;end_month=12&amp;end_day=31&amp;end_year=2016","Correlation")</f>
        <v>Correlation</v>
      </c>
    </row>
    <row r="513" spans="1:13" x14ac:dyDescent="0.2">
      <c r="A513" s="113"/>
      <c r="B513" s="58" t="s">
        <v>2534</v>
      </c>
      <c r="C513" s="58" t="s">
        <v>1728</v>
      </c>
      <c r="D513" s="58" t="s">
        <v>2535</v>
      </c>
      <c r="E513" s="60" t="b">
        <v>1</v>
      </c>
      <c r="F513" s="80" t="s">
        <v>343</v>
      </c>
      <c r="G513" s="58" t="s">
        <v>2534</v>
      </c>
      <c r="H513" s="58" t="s">
        <v>1413</v>
      </c>
      <c r="I513" s="64" t="s">
        <v>2535</v>
      </c>
      <c r="J513" s="66"/>
      <c r="K513" s="66"/>
      <c r="L513" s="68"/>
      <c r="M513" s="63" t="str">
        <f>HYPERLINK("http://nsgreg.nga.mil/genc/view?v=867974&amp;end_month=12&amp;end_day=31&amp;end_year=2016","Correlation")</f>
        <v>Correlation</v>
      </c>
    </row>
    <row r="514" spans="1:13" x14ac:dyDescent="0.2">
      <c r="A514" s="113"/>
      <c r="B514" s="58" t="s">
        <v>2536</v>
      </c>
      <c r="C514" s="58" t="s">
        <v>1728</v>
      </c>
      <c r="D514" s="58" t="s">
        <v>2537</v>
      </c>
      <c r="E514" s="60" t="b">
        <v>1</v>
      </c>
      <c r="F514" s="80" t="s">
        <v>343</v>
      </c>
      <c r="G514" s="58" t="s">
        <v>2536</v>
      </c>
      <c r="H514" s="58" t="s">
        <v>1413</v>
      </c>
      <c r="I514" s="64" t="s">
        <v>2537</v>
      </c>
      <c r="J514" s="66"/>
      <c r="K514" s="66"/>
      <c r="L514" s="68"/>
      <c r="M514" s="63" t="str">
        <f>HYPERLINK("http://nsgreg.nga.mil/genc/view?v=867975&amp;end_month=12&amp;end_day=31&amp;end_year=2016","Correlation")</f>
        <v>Correlation</v>
      </c>
    </row>
    <row r="515" spans="1:13" x14ac:dyDescent="0.2">
      <c r="A515" s="113"/>
      <c r="B515" s="58" t="s">
        <v>2538</v>
      </c>
      <c r="C515" s="58" t="s">
        <v>1728</v>
      </c>
      <c r="D515" s="58" t="s">
        <v>2539</v>
      </c>
      <c r="E515" s="60" t="b">
        <v>1</v>
      </c>
      <c r="F515" s="80" t="s">
        <v>343</v>
      </c>
      <c r="G515" s="58" t="s">
        <v>2538</v>
      </c>
      <c r="H515" s="58" t="s">
        <v>1413</v>
      </c>
      <c r="I515" s="64" t="s">
        <v>2539</v>
      </c>
      <c r="J515" s="66"/>
      <c r="K515" s="66"/>
      <c r="L515" s="68"/>
      <c r="M515" s="63" t="str">
        <f>HYPERLINK("http://nsgreg.nga.mil/genc/view?v=867984&amp;end_month=12&amp;end_day=31&amp;end_year=2016","Correlation")</f>
        <v>Correlation</v>
      </c>
    </row>
    <row r="516" spans="1:13" x14ac:dyDescent="0.2">
      <c r="A516" s="113"/>
      <c r="B516" s="58" t="s">
        <v>2540</v>
      </c>
      <c r="C516" s="58" t="s">
        <v>1728</v>
      </c>
      <c r="D516" s="58" t="s">
        <v>2541</v>
      </c>
      <c r="E516" s="60" t="b">
        <v>1</v>
      </c>
      <c r="F516" s="80" t="s">
        <v>343</v>
      </c>
      <c r="G516" s="58" t="s">
        <v>2540</v>
      </c>
      <c r="H516" s="58" t="s">
        <v>1413</v>
      </c>
      <c r="I516" s="64" t="s">
        <v>2541</v>
      </c>
      <c r="J516" s="66"/>
      <c r="K516" s="66"/>
      <c r="L516" s="68"/>
      <c r="M516" s="63" t="str">
        <f>HYPERLINK("http://nsgreg.nga.mil/genc/view?v=867976&amp;end_month=12&amp;end_day=31&amp;end_year=2016","Correlation")</f>
        <v>Correlation</v>
      </c>
    </row>
    <row r="517" spans="1:13" x14ac:dyDescent="0.2">
      <c r="A517" s="113"/>
      <c r="B517" s="58" t="s">
        <v>2542</v>
      </c>
      <c r="C517" s="58" t="s">
        <v>1728</v>
      </c>
      <c r="D517" s="58" t="s">
        <v>2543</v>
      </c>
      <c r="E517" s="60" t="b">
        <v>1</v>
      </c>
      <c r="F517" s="80" t="s">
        <v>343</v>
      </c>
      <c r="G517" s="58" t="s">
        <v>2542</v>
      </c>
      <c r="H517" s="58" t="s">
        <v>1413</v>
      </c>
      <c r="I517" s="64" t="s">
        <v>2543</v>
      </c>
      <c r="J517" s="66"/>
      <c r="K517" s="66"/>
      <c r="L517" s="68"/>
      <c r="M517" s="63" t="str">
        <f>HYPERLINK("http://nsgreg.nga.mil/genc/view?v=867977&amp;end_month=12&amp;end_day=31&amp;end_year=2016","Correlation")</f>
        <v>Correlation</v>
      </c>
    </row>
    <row r="518" spans="1:13" x14ac:dyDescent="0.2">
      <c r="A518" s="113"/>
      <c r="B518" s="58" t="s">
        <v>2544</v>
      </c>
      <c r="C518" s="58" t="s">
        <v>1728</v>
      </c>
      <c r="D518" s="58" t="s">
        <v>2545</v>
      </c>
      <c r="E518" s="60" t="b">
        <v>1</v>
      </c>
      <c r="F518" s="80" t="s">
        <v>343</v>
      </c>
      <c r="G518" s="58" t="s">
        <v>2544</v>
      </c>
      <c r="H518" s="58" t="s">
        <v>1413</v>
      </c>
      <c r="I518" s="64" t="s">
        <v>2545</v>
      </c>
      <c r="J518" s="66"/>
      <c r="K518" s="66"/>
      <c r="L518" s="68"/>
      <c r="M518" s="63" t="str">
        <f>HYPERLINK("http://nsgreg.nga.mil/genc/view?v=867978&amp;end_month=12&amp;end_day=31&amp;end_year=2016","Correlation")</f>
        <v>Correlation</v>
      </c>
    </row>
    <row r="519" spans="1:13" x14ac:dyDescent="0.2">
      <c r="A519" s="113"/>
      <c r="B519" s="58" t="s">
        <v>2546</v>
      </c>
      <c r="C519" s="58" t="s">
        <v>1728</v>
      </c>
      <c r="D519" s="58" t="s">
        <v>2547</v>
      </c>
      <c r="E519" s="60" t="b">
        <v>1</v>
      </c>
      <c r="F519" s="80" t="s">
        <v>343</v>
      </c>
      <c r="G519" s="58" t="s">
        <v>2546</v>
      </c>
      <c r="H519" s="58" t="s">
        <v>1413</v>
      </c>
      <c r="I519" s="64" t="s">
        <v>2547</v>
      </c>
      <c r="J519" s="66"/>
      <c r="K519" s="66"/>
      <c r="L519" s="68"/>
      <c r="M519" s="63" t="str">
        <f>HYPERLINK("http://nsgreg.nga.mil/genc/view?v=867980&amp;end_month=12&amp;end_day=31&amp;end_year=2016","Correlation")</f>
        <v>Correlation</v>
      </c>
    </row>
    <row r="520" spans="1:13" x14ac:dyDescent="0.2">
      <c r="A520" s="113"/>
      <c r="B520" s="58" t="s">
        <v>2550</v>
      </c>
      <c r="C520" s="58" t="s">
        <v>1728</v>
      </c>
      <c r="D520" s="58" t="s">
        <v>2549</v>
      </c>
      <c r="E520" s="60" t="b">
        <v>1</v>
      </c>
      <c r="F520" s="80" t="s">
        <v>343</v>
      </c>
      <c r="G520" s="58" t="s">
        <v>2548</v>
      </c>
      <c r="H520" s="58" t="s">
        <v>1413</v>
      </c>
      <c r="I520" s="64" t="s">
        <v>2549</v>
      </c>
      <c r="J520" s="66"/>
      <c r="K520" s="66"/>
      <c r="L520" s="68"/>
      <c r="M520" s="63" t="str">
        <f>HYPERLINK("http://nsgreg.nga.mil/genc/view?v=867979&amp;end_month=12&amp;end_day=31&amp;end_year=2016","Correlation")</f>
        <v>Correlation</v>
      </c>
    </row>
    <row r="521" spans="1:13" x14ac:dyDescent="0.2">
      <c r="A521" s="113"/>
      <c r="B521" s="58" t="s">
        <v>2551</v>
      </c>
      <c r="C521" s="58" t="s">
        <v>1728</v>
      </c>
      <c r="D521" s="58" t="s">
        <v>2552</v>
      </c>
      <c r="E521" s="60" t="b">
        <v>1</v>
      </c>
      <c r="F521" s="80" t="s">
        <v>343</v>
      </c>
      <c r="G521" s="58" t="s">
        <v>2551</v>
      </c>
      <c r="H521" s="58" t="s">
        <v>1413</v>
      </c>
      <c r="I521" s="64" t="s">
        <v>2552</v>
      </c>
      <c r="J521" s="66"/>
      <c r="K521" s="66"/>
      <c r="L521" s="68"/>
      <c r="M521" s="63" t="str">
        <f>HYPERLINK("http://nsgreg.nga.mil/genc/view?v=867981&amp;end_month=12&amp;end_day=31&amp;end_year=2016","Correlation")</f>
        <v>Correlation</v>
      </c>
    </row>
    <row r="522" spans="1:13" x14ac:dyDescent="0.2">
      <c r="A522" s="113"/>
      <c r="B522" s="58" t="s">
        <v>2553</v>
      </c>
      <c r="C522" s="58" t="s">
        <v>1728</v>
      </c>
      <c r="D522" s="58" t="s">
        <v>2554</v>
      </c>
      <c r="E522" s="60" t="b">
        <v>1</v>
      </c>
      <c r="F522" s="80" t="s">
        <v>343</v>
      </c>
      <c r="G522" s="58" t="s">
        <v>2553</v>
      </c>
      <c r="H522" s="58" t="s">
        <v>1413</v>
      </c>
      <c r="I522" s="64" t="s">
        <v>2554</v>
      </c>
      <c r="J522" s="66"/>
      <c r="K522" s="66"/>
      <c r="L522" s="68"/>
      <c r="M522" s="63" t="str">
        <f>HYPERLINK("http://nsgreg.nga.mil/genc/view?v=867982&amp;end_month=12&amp;end_day=31&amp;end_year=2016","Correlation")</f>
        <v>Correlation</v>
      </c>
    </row>
    <row r="523" spans="1:13" x14ac:dyDescent="0.2">
      <c r="A523" s="113"/>
      <c r="B523" s="58" t="s">
        <v>2555</v>
      </c>
      <c r="C523" s="58" t="s">
        <v>1728</v>
      </c>
      <c r="D523" s="58" t="s">
        <v>2556</v>
      </c>
      <c r="E523" s="60" t="b">
        <v>1</v>
      </c>
      <c r="F523" s="80" t="s">
        <v>343</v>
      </c>
      <c r="G523" s="58" t="s">
        <v>2555</v>
      </c>
      <c r="H523" s="58" t="s">
        <v>1413</v>
      </c>
      <c r="I523" s="64" t="s">
        <v>2556</v>
      </c>
      <c r="J523" s="66"/>
      <c r="K523" s="66"/>
      <c r="L523" s="68"/>
      <c r="M523" s="63" t="str">
        <f>HYPERLINK("http://nsgreg.nga.mil/genc/view?v=867960&amp;end_month=12&amp;end_day=31&amp;end_year=2016","Correlation")</f>
        <v>Correlation</v>
      </c>
    </row>
    <row r="524" spans="1:13" x14ac:dyDescent="0.2">
      <c r="A524" s="113"/>
      <c r="B524" s="58" t="s">
        <v>2557</v>
      </c>
      <c r="C524" s="58" t="s">
        <v>1728</v>
      </c>
      <c r="D524" s="58" t="s">
        <v>2558</v>
      </c>
      <c r="E524" s="60" t="b">
        <v>1</v>
      </c>
      <c r="F524" s="80" t="s">
        <v>343</v>
      </c>
      <c r="G524" s="58" t="s">
        <v>2557</v>
      </c>
      <c r="H524" s="58" t="s">
        <v>1413</v>
      </c>
      <c r="I524" s="64" t="s">
        <v>2558</v>
      </c>
      <c r="J524" s="66"/>
      <c r="K524" s="66"/>
      <c r="L524" s="68"/>
      <c r="M524" s="63" t="str">
        <f>HYPERLINK("http://nsgreg.nga.mil/genc/view?v=867961&amp;end_month=12&amp;end_day=31&amp;end_year=2016","Correlation")</f>
        <v>Correlation</v>
      </c>
    </row>
    <row r="525" spans="1:13" x14ac:dyDescent="0.2">
      <c r="A525" s="113"/>
      <c r="B525" s="58" t="s">
        <v>2559</v>
      </c>
      <c r="C525" s="58" t="s">
        <v>1728</v>
      </c>
      <c r="D525" s="58" t="s">
        <v>2560</v>
      </c>
      <c r="E525" s="60" t="b">
        <v>1</v>
      </c>
      <c r="F525" s="80" t="s">
        <v>343</v>
      </c>
      <c r="G525" s="58" t="s">
        <v>2559</v>
      </c>
      <c r="H525" s="58" t="s">
        <v>1413</v>
      </c>
      <c r="I525" s="64" t="s">
        <v>2560</v>
      </c>
      <c r="J525" s="66"/>
      <c r="K525" s="66"/>
      <c r="L525" s="68"/>
      <c r="M525" s="63" t="str">
        <f>HYPERLINK("http://nsgreg.nga.mil/genc/view?v=867962&amp;end_month=12&amp;end_day=31&amp;end_year=2016","Correlation")</f>
        <v>Correlation</v>
      </c>
    </row>
    <row r="526" spans="1:13" x14ac:dyDescent="0.2">
      <c r="A526" s="113"/>
      <c r="B526" s="58" t="s">
        <v>2561</v>
      </c>
      <c r="C526" s="58" t="s">
        <v>1728</v>
      </c>
      <c r="D526" s="58" t="s">
        <v>2562</v>
      </c>
      <c r="E526" s="60" t="b">
        <v>1</v>
      </c>
      <c r="F526" s="80" t="s">
        <v>343</v>
      </c>
      <c r="G526" s="58" t="s">
        <v>2561</v>
      </c>
      <c r="H526" s="58" t="s">
        <v>1413</v>
      </c>
      <c r="I526" s="64" t="s">
        <v>2562</v>
      </c>
      <c r="J526" s="66"/>
      <c r="K526" s="66"/>
      <c r="L526" s="68"/>
      <c r="M526" s="63" t="str">
        <f>HYPERLINK("http://nsgreg.nga.mil/genc/view?v=867963&amp;end_month=12&amp;end_day=31&amp;end_year=2016","Correlation")</f>
        <v>Correlation</v>
      </c>
    </row>
    <row r="527" spans="1:13" x14ac:dyDescent="0.2">
      <c r="A527" s="114"/>
      <c r="B527" s="71" t="s">
        <v>2563</v>
      </c>
      <c r="C527" s="71" t="s">
        <v>1728</v>
      </c>
      <c r="D527" s="71" t="s">
        <v>2564</v>
      </c>
      <c r="E527" s="73" t="b">
        <v>1</v>
      </c>
      <c r="F527" s="81" t="s">
        <v>343</v>
      </c>
      <c r="G527" s="71" t="s">
        <v>2563</v>
      </c>
      <c r="H527" s="71" t="s">
        <v>1413</v>
      </c>
      <c r="I527" s="74" t="s">
        <v>2564</v>
      </c>
      <c r="J527" s="76"/>
      <c r="K527" s="76"/>
      <c r="L527" s="82"/>
      <c r="M527" s="77" t="str">
        <f>HYPERLINK("http://nsgreg.nga.mil/genc/view?v=867985&amp;end_month=12&amp;end_day=31&amp;end_year=2016","Correlation")</f>
        <v>Correlation</v>
      </c>
    </row>
    <row r="528" spans="1:13" x14ac:dyDescent="0.2">
      <c r="A528" s="112" t="s">
        <v>347</v>
      </c>
      <c r="B528" s="50" t="s">
        <v>2565</v>
      </c>
      <c r="C528" s="50" t="s">
        <v>1413</v>
      </c>
      <c r="D528" s="50" t="s">
        <v>2566</v>
      </c>
      <c r="E528" s="52" t="b">
        <v>1</v>
      </c>
      <c r="F528" s="78" t="s">
        <v>347</v>
      </c>
      <c r="G528" s="50" t="s">
        <v>2565</v>
      </c>
      <c r="H528" s="50" t="s">
        <v>1413</v>
      </c>
      <c r="I528" s="53" t="s">
        <v>2566</v>
      </c>
      <c r="J528" s="55"/>
      <c r="K528" s="55"/>
      <c r="L528" s="79"/>
      <c r="M528" s="56" t="str">
        <f>HYPERLINK("http://nsgreg.nga.mil/genc/view?v=867913&amp;end_month=12&amp;end_day=31&amp;end_year=2016","Correlation")</f>
        <v>Correlation</v>
      </c>
    </row>
    <row r="529" spans="1:13" x14ac:dyDescent="0.2">
      <c r="A529" s="113"/>
      <c r="B529" s="58" t="s">
        <v>2567</v>
      </c>
      <c r="C529" s="58" t="s">
        <v>1413</v>
      </c>
      <c r="D529" s="58" t="s">
        <v>2568</v>
      </c>
      <c r="E529" s="60" t="b">
        <v>1</v>
      </c>
      <c r="F529" s="80" t="s">
        <v>347</v>
      </c>
      <c r="G529" s="58" t="s">
        <v>2567</v>
      </c>
      <c r="H529" s="58" t="s">
        <v>1413</v>
      </c>
      <c r="I529" s="64" t="s">
        <v>2568</v>
      </c>
      <c r="J529" s="66"/>
      <c r="K529" s="66"/>
      <c r="L529" s="68"/>
      <c r="M529" s="63" t="str">
        <f>HYPERLINK("http://nsgreg.nga.mil/genc/view?v=867914&amp;end_month=12&amp;end_day=31&amp;end_year=2016","Correlation")</f>
        <v>Correlation</v>
      </c>
    </row>
    <row r="530" spans="1:13" x14ac:dyDescent="0.2">
      <c r="A530" s="113"/>
      <c r="B530" s="58" t="s">
        <v>2569</v>
      </c>
      <c r="C530" s="58" t="s">
        <v>1413</v>
      </c>
      <c r="D530" s="58" t="s">
        <v>2570</v>
      </c>
      <c r="E530" s="60" t="b">
        <v>1</v>
      </c>
      <c r="F530" s="80" t="s">
        <v>347</v>
      </c>
      <c r="G530" s="58" t="s">
        <v>2569</v>
      </c>
      <c r="H530" s="58" t="s">
        <v>1413</v>
      </c>
      <c r="I530" s="64" t="s">
        <v>2570</v>
      </c>
      <c r="J530" s="66"/>
      <c r="K530" s="66"/>
      <c r="L530" s="68"/>
      <c r="M530" s="63" t="str">
        <f>HYPERLINK("http://nsgreg.nga.mil/genc/view?v=867915&amp;end_month=12&amp;end_day=31&amp;end_year=2016","Correlation")</f>
        <v>Correlation</v>
      </c>
    </row>
    <row r="531" spans="1:13" x14ac:dyDescent="0.2">
      <c r="A531" s="113"/>
      <c r="B531" s="58" t="s">
        <v>2571</v>
      </c>
      <c r="C531" s="58" t="s">
        <v>1413</v>
      </c>
      <c r="D531" s="58" t="s">
        <v>2572</v>
      </c>
      <c r="E531" s="60" t="b">
        <v>1</v>
      </c>
      <c r="F531" s="80" t="s">
        <v>347</v>
      </c>
      <c r="G531" s="58" t="s">
        <v>2571</v>
      </c>
      <c r="H531" s="58" t="s">
        <v>1413</v>
      </c>
      <c r="I531" s="64" t="s">
        <v>2572</v>
      </c>
      <c r="J531" s="66"/>
      <c r="K531" s="66"/>
      <c r="L531" s="68"/>
      <c r="M531" s="63" t="str">
        <f>HYPERLINK("http://nsgreg.nga.mil/genc/view?v=867916&amp;end_month=12&amp;end_day=31&amp;end_year=2016","Correlation")</f>
        <v>Correlation</v>
      </c>
    </row>
    <row r="532" spans="1:13" x14ac:dyDescent="0.2">
      <c r="A532" s="113"/>
      <c r="B532" s="58" t="s">
        <v>2573</v>
      </c>
      <c r="C532" s="58" t="s">
        <v>1728</v>
      </c>
      <c r="D532" s="58" t="s">
        <v>2574</v>
      </c>
      <c r="E532" s="60" t="b">
        <v>1</v>
      </c>
      <c r="F532" s="80" t="s">
        <v>347</v>
      </c>
      <c r="G532" s="58" t="s">
        <v>2573</v>
      </c>
      <c r="H532" s="58" t="s">
        <v>1728</v>
      </c>
      <c r="I532" s="64" t="s">
        <v>2574</v>
      </c>
      <c r="J532" s="66"/>
      <c r="K532" s="66"/>
      <c r="L532" s="68"/>
      <c r="M532" s="63" t="str">
        <f>HYPERLINK("http://nsgreg.nga.mil/genc/view?v=867900&amp;end_month=12&amp;end_day=31&amp;end_year=2016","Correlation")</f>
        <v>Correlation</v>
      </c>
    </row>
    <row r="533" spans="1:13" x14ac:dyDescent="0.2">
      <c r="A533" s="113"/>
      <c r="B533" s="58" t="s">
        <v>2575</v>
      </c>
      <c r="C533" s="58" t="s">
        <v>1413</v>
      </c>
      <c r="D533" s="58" t="s">
        <v>2576</v>
      </c>
      <c r="E533" s="60" t="b">
        <v>1</v>
      </c>
      <c r="F533" s="80" t="s">
        <v>347</v>
      </c>
      <c r="G533" s="58" t="s">
        <v>2575</v>
      </c>
      <c r="H533" s="58" t="s">
        <v>1413</v>
      </c>
      <c r="I533" s="64" t="s">
        <v>2576</v>
      </c>
      <c r="J533" s="66"/>
      <c r="K533" s="66"/>
      <c r="L533" s="68"/>
      <c r="M533" s="63" t="str">
        <f>HYPERLINK("http://nsgreg.nga.mil/genc/view?v=867917&amp;end_month=12&amp;end_day=31&amp;end_year=2016","Correlation")</f>
        <v>Correlation</v>
      </c>
    </row>
    <row r="534" spans="1:13" x14ac:dyDescent="0.2">
      <c r="A534" s="113"/>
      <c r="B534" s="58" t="s">
        <v>2577</v>
      </c>
      <c r="C534" s="58" t="s">
        <v>1413</v>
      </c>
      <c r="D534" s="58" t="s">
        <v>2578</v>
      </c>
      <c r="E534" s="60" t="b">
        <v>1</v>
      </c>
      <c r="F534" s="80" t="s">
        <v>347</v>
      </c>
      <c r="G534" s="58" t="s">
        <v>2577</v>
      </c>
      <c r="H534" s="58" t="s">
        <v>1413</v>
      </c>
      <c r="I534" s="64" t="s">
        <v>2578</v>
      </c>
      <c r="J534" s="66"/>
      <c r="K534" s="66"/>
      <c r="L534" s="68"/>
      <c r="M534" s="63" t="str">
        <f>HYPERLINK("http://nsgreg.nga.mil/genc/view?v=867918&amp;end_month=12&amp;end_day=31&amp;end_year=2016","Correlation")</f>
        <v>Correlation</v>
      </c>
    </row>
    <row r="535" spans="1:13" x14ac:dyDescent="0.2">
      <c r="A535" s="113"/>
      <c r="B535" s="58" t="s">
        <v>2579</v>
      </c>
      <c r="C535" s="58" t="s">
        <v>1413</v>
      </c>
      <c r="D535" s="58" t="s">
        <v>2580</v>
      </c>
      <c r="E535" s="60" t="b">
        <v>1</v>
      </c>
      <c r="F535" s="80" t="s">
        <v>347</v>
      </c>
      <c r="G535" s="58" t="s">
        <v>2579</v>
      </c>
      <c r="H535" s="58" t="s">
        <v>1413</v>
      </c>
      <c r="I535" s="64" t="s">
        <v>2580</v>
      </c>
      <c r="J535" s="66"/>
      <c r="K535" s="66"/>
      <c r="L535" s="68"/>
      <c r="M535" s="63" t="str">
        <f>HYPERLINK("http://nsgreg.nga.mil/genc/view?v=867919&amp;end_month=12&amp;end_day=31&amp;end_year=2016","Correlation")</f>
        <v>Correlation</v>
      </c>
    </row>
    <row r="536" spans="1:13" x14ac:dyDescent="0.2">
      <c r="A536" s="113"/>
      <c r="B536" s="58" t="s">
        <v>2581</v>
      </c>
      <c r="C536" s="58" t="s">
        <v>1728</v>
      </c>
      <c r="D536" s="58" t="s">
        <v>2582</v>
      </c>
      <c r="E536" s="60" t="b">
        <v>1</v>
      </c>
      <c r="F536" s="80" t="s">
        <v>347</v>
      </c>
      <c r="G536" s="58" t="s">
        <v>2581</v>
      </c>
      <c r="H536" s="58" t="s">
        <v>1728</v>
      </c>
      <c r="I536" s="64" t="s">
        <v>2582</v>
      </c>
      <c r="J536" s="66"/>
      <c r="K536" s="66"/>
      <c r="L536" s="68"/>
      <c r="M536" s="63" t="str">
        <f>HYPERLINK("http://nsgreg.nga.mil/genc/view?v=867901&amp;end_month=12&amp;end_day=31&amp;end_year=2016","Correlation")</f>
        <v>Correlation</v>
      </c>
    </row>
    <row r="537" spans="1:13" x14ac:dyDescent="0.2">
      <c r="A537" s="113"/>
      <c r="B537" s="58" t="s">
        <v>2583</v>
      </c>
      <c r="C537" s="58" t="s">
        <v>1728</v>
      </c>
      <c r="D537" s="58" t="s">
        <v>2584</v>
      </c>
      <c r="E537" s="60" t="b">
        <v>1</v>
      </c>
      <c r="F537" s="80" t="s">
        <v>347</v>
      </c>
      <c r="G537" s="58" t="s">
        <v>2583</v>
      </c>
      <c r="H537" s="58" t="s">
        <v>1728</v>
      </c>
      <c r="I537" s="64" t="s">
        <v>2584</v>
      </c>
      <c r="J537" s="66"/>
      <c r="K537" s="66"/>
      <c r="L537" s="68"/>
      <c r="M537" s="63" t="str">
        <f>HYPERLINK("http://nsgreg.nga.mil/genc/view?v=867902&amp;end_month=12&amp;end_day=31&amp;end_year=2016","Correlation")</f>
        <v>Correlation</v>
      </c>
    </row>
    <row r="538" spans="1:13" x14ac:dyDescent="0.2">
      <c r="A538" s="113"/>
      <c r="B538" s="58" t="s">
        <v>2585</v>
      </c>
      <c r="C538" s="58" t="s">
        <v>1728</v>
      </c>
      <c r="D538" s="58" t="s">
        <v>2586</v>
      </c>
      <c r="E538" s="60" t="b">
        <v>1</v>
      </c>
      <c r="F538" s="80" t="s">
        <v>347</v>
      </c>
      <c r="G538" s="58" t="s">
        <v>2585</v>
      </c>
      <c r="H538" s="58" t="s">
        <v>1728</v>
      </c>
      <c r="I538" s="64" t="s">
        <v>2586</v>
      </c>
      <c r="J538" s="66"/>
      <c r="K538" s="66"/>
      <c r="L538" s="68"/>
      <c r="M538" s="63" t="str">
        <f>HYPERLINK("http://nsgreg.nga.mil/genc/view?v=867903&amp;end_month=12&amp;end_day=31&amp;end_year=2016","Correlation")</f>
        <v>Correlation</v>
      </c>
    </row>
    <row r="539" spans="1:13" x14ac:dyDescent="0.2">
      <c r="A539" s="113"/>
      <c r="B539" s="58" t="s">
        <v>2587</v>
      </c>
      <c r="C539" s="58" t="s">
        <v>1728</v>
      </c>
      <c r="D539" s="58" t="s">
        <v>2588</v>
      </c>
      <c r="E539" s="60" t="b">
        <v>1</v>
      </c>
      <c r="F539" s="80" t="s">
        <v>347</v>
      </c>
      <c r="G539" s="58" t="s">
        <v>2587</v>
      </c>
      <c r="H539" s="58" t="s">
        <v>1728</v>
      </c>
      <c r="I539" s="64" t="s">
        <v>2588</v>
      </c>
      <c r="J539" s="66"/>
      <c r="K539" s="66"/>
      <c r="L539" s="68"/>
      <c r="M539" s="63" t="str">
        <f>HYPERLINK("http://nsgreg.nga.mil/genc/view?v=867904&amp;end_month=12&amp;end_day=31&amp;end_year=2016","Correlation")</f>
        <v>Correlation</v>
      </c>
    </row>
    <row r="540" spans="1:13" x14ac:dyDescent="0.2">
      <c r="A540" s="113"/>
      <c r="B540" s="58" t="s">
        <v>2589</v>
      </c>
      <c r="C540" s="58" t="s">
        <v>1728</v>
      </c>
      <c r="D540" s="58" t="s">
        <v>2590</v>
      </c>
      <c r="E540" s="60" t="b">
        <v>1</v>
      </c>
      <c r="F540" s="80" t="s">
        <v>347</v>
      </c>
      <c r="G540" s="58" t="s">
        <v>2589</v>
      </c>
      <c r="H540" s="58" t="s">
        <v>1728</v>
      </c>
      <c r="I540" s="64" t="s">
        <v>2590</v>
      </c>
      <c r="J540" s="66"/>
      <c r="K540" s="66"/>
      <c r="L540" s="68"/>
      <c r="M540" s="63" t="str">
        <f>HYPERLINK("http://nsgreg.nga.mil/genc/view?v=867905&amp;end_month=12&amp;end_day=31&amp;end_year=2016","Correlation")</f>
        <v>Correlation</v>
      </c>
    </row>
    <row r="541" spans="1:13" x14ac:dyDescent="0.2">
      <c r="A541" s="113"/>
      <c r="B541" s="58" t="s">
        <v>2591</v>
      </c>
      <c r="C541" s="58" t="s">
        <v>1728</v>
      </c>
      <c r="D541" s="58" t="s">
        <v>2592</v>
      </c>
      <c r="E541" s="60" t="b">
        <v>1</v>
      </c>
      <c r="F541" s="80" t="s">
        <v>347</v>
      </c>
      <c r="G541" s="58" t="s">
        <v>2591</v>
      </c>
      <c r="H541" s="58" t="s">
        <v>1728</v>
      </c>
      <c r="I541" s="64" t="s">
        <v>2592</v>
      </c>
      <c r="J541" s="66"/>
      <c r="K541" s="66"/>
      <c r="L541" s="68"/>
      <c r="M541" s="63" t="str">
        <f>HYPERLINK("http://nsgreg.nga.mil/genc/view?v=867906&amp;end_month=12&amp;end_day=31&amp;end_year=2016","Correlation")</f>
        <v>Correlation</v>
      </c>
    </row>
    <row r="542" spans="1:13" x14ac:dyDescent="0.2">
      <c r="A542" s="113"/>
      <c r="B542" s="58" t="s">
        <v>2593</v>
      </c>
      <c r="C542" s="58" t="s">
        <v>1413</v>
      </c>
      <c r="D542" s="58" t="s">
        <v>2594</v>
      </c>
      <c r="E542" s="60" t="b">
        <v>1</v>
      </c>
      <c r="F542" s="80" t="s">
        <v>347</v>
      </c>
      <c r="G542" s="58" t="s">
        <v>2593</v>
      </c>
      <c r="H542" s="58" t="s">
        <v>1413</v>
      </c>
      <c r="I542" s="64" t="s">
        <v>2594</v>
      </c>
      <c r="J542" s="66"/>
      <c r="K542" s="66"/>
      <c r="L542" s="68"/>
      <c r="M542" s="63" t="str">
        <f>HYPERLINK("http://nsgreg.nga.mil/genc/view?v=867920&amp;end_month=12&amp;end_day=31&amp;end_year=2016","Correlation")</f>
        <v>Correlation</v>
      </c>
    </row>
    <row r="543" spans="1:13" x14ac:dyDescent="0.2">
      <c r="A543" s="113"/>
      <c r="B543" s="58" t="s">
        <v>2595</v>
      </c>
      <c r="C543" s="58" t="s">
        <v>1728</v>
      </c>
      <c r="D543" s="58" t="s">
        <v>2596</v>
      </c>
      <c r="E543" s="60" t="b">
        <v>1</v>
      </c>
      <c r="F543" s="80" t="s">
        <v>347</v>
      </c>
      <c r="G543" s="58" t="s">
        <v>2595</v>
      </c>
      <c r="H543" s="58" t="s">
        <v>1728</v>
      </c>
      <c r="I543" s="64" t="s">
        <v>2596</v>
      </c>
      <c r="J543" s="66"/>
      <c r="K543" s="66"/>
      <c r="L543" s="68"/>
      <c r="M543" s="63" t="str">
        <f>HYPERLINK("http://nsgreg.nga.mil/genc/view?v=867907&amp;end_month=12&amp;end_day=31&amp;end_year=2016","Correlation")</f>
        <v>Correlation</v>
      </c>
    </row>
    <row r="544" spans="1:13" x14ac:dyDescent="0.2">
      <c r="A544" s="113"/>
      <c r="B544" s="58" t="s">
        <v>2597</v>
      </c>
      <c r="C544" s="58" t="s">
        <v>1413</v>
      </c>
      <c r="D544" s="58" t="s">
        <v>2598</v>
      </c>
      <c r="E544" s="60" t="b">
        <v>1</v>
      </c>
      <c r="F544" s="80" t="s">
        <v>347</v>
      </c>
      <c r="G544" s="58" t="s">
        <v>2597</v>
      </c>
      <c r="H544" s="58" t="s">
        <v>1413</v>
      </c>
      <c r="I544" s="64" t="s">
        <v>2598</v>
      </c>
      <c r="J544" s="66"/>
      <c r="K544" s="66"/>
      <c r="L544" s="68"/>
      <c r="M544" s="63" t="str">
        <f>HYPERLINK("http://nsgreg.nga.mil/genc/view?v=867921&amp;end_month=12&amp;end_day=31&amp;end_year=2016","Correlation")</f>
        <v>Correlation</v>
      </c>
    </row>
    <row r="545" spans="1:13" x14ac:dyDescent="0.2">
      <c r="A545" s="113"/>
      <c r="B545" s="58" t="s">
        <v>2599</v>
      </c>
      <c r="C545" s="58" t="s">
        <v>1413</v>
      </c>
      <c r="D545" s="58" t="s">
        <v>2600</v>
      </c>
      <c r="E545" s="60" t="b">
        <v>1</v>
      </c>
      <c r="F545" s="80" t="s">
        <v>347</v>
      </c>
      <c r="G545" s="58" t="s">
        <v>2599</v>
      </c>
      <c r="H545" s="58" t="s">
        <v>1413</v>
      </c>
      <c r="I545" s="64" t="s">
        <v>2600</v>
      </c>
      <c r="J545" s="66"/>
      <c r="K545" s="66"/>
      <c r="L545" s="68"/>
      <c r="M545" s="63" t="str">
        <f>HYPERLINK("http://nsgreg.nga.mil/genc/view?v=867922&amp;end_month=12&amp;end_day=31&amp;end_year=2016","Correlation")</f>
        <v>Correlation</v>
      </c>
    </row>
    <row r="546" spans="1:13" x14ac:dyDescent="0.2">
      <c r="A546" s="113"/>
      <c r="B546" s="58" t="s">
        <v>2601</v>
      </c>
      <c r="C546" s="58" t="s">
        <v>1413</v>
      </c>
      <c r="D546" s="58" t="s">
        <v>2602</v>
      </c>
      <c r="E546" s="60" t="b">
        <v>1</v>
      </c>
      <c r="F546" s="80" t="s">
        <v>347</v>
      </c>
      <c r="G546" s="58" t="s">
        <v>2601</v>
      </c>
      <c r="H546" s="58" t="s">
        <v>1413</v>
      </c>
      <c r="I546" s="64" t="s">
        <v>2602</v>
      </c>
      <c r="J546" s="66"/>
      <c r="K546" s="66"/>
      <c r="L546" s="68"/>
      <c r="M546" s="63" t="str">
        <f>HYPERLINK("http://nsgreg.nga.mil/genc/view?v=867923&amp;end_month=12&amp;end_day=31&amp;end_year=2016","Correlation")</f>
        <v>Correlation</v>
      </c>
    </row>
    <row r="547" spans="1:13" x14ac:dyDescent="0.2">
      <c r="A547" s="113"/>
      <c r="B547" s="58" t="s">
        <v>2603</v>
      </c>
      <c r="C547" s="58" t="s">
        <v>1728</v>
      </c>
      <c r="D547" s="58" t="s">
        <v>2604</v>
      </c>
      <c r="E547" s="60" t="b">
        <v>1</v>
      </c>
      <c r="F547" s="80" t="s">
        <v>347</v>
      </c>
      <c r="G547" s="58" t="s">
        <v>2603</v>
      </c>
      <c r="H547" s="58" t="s">
        <v>1728</v>
      </c>
      <c r="I547" s="64" t="s">
        <v>2604</v>
      </c>
      <c r="J547" s="66"/>
      <c r="K547" s="66"/>
      <c r="L547" s="68"/>
      <c r="M547" s="63" t="str">
        <f>HYPERLINK("http://nsgreg.nga.mil/genc/view?v=867908&amp;end_month=12&amp;end_day=31&amp;end_year=2016","Correlation")</f>
        <v>Correlation</v>
      </c>
    </row>
    <row r="548" spans="1:13" x14ac:dyDescent="0.2">
      <c r="A548" s="113"/>
      <c r="B548" s="58" t="s">
        <v>2605</v>
      </c>
      <c r="C548" s="58" t="s">
        <v>1413</v>
      </c>
      <c r="D548" s="58" t="s">
        <v>2606</v>
      </c>
      <c r="E548" s="60" t="b">
        <v>1</v>
      </c>
      <c r="F548" s="80" t="s">
        <v>347</v>
      </c>
      <c r="G548" s="58" t="s">
        <v>2605</v>
      </c>
      <c r="H548" s="58" t="s">
        <v>1413</v>
      </c>
      <c r="I548" s="64" t="s">
        <v>2606</v>
      </c>
      <c r="J548" s="66"/>
      <c r="K548" s="66"/>
      <c r="L548" s="68"/>
      <c r="M548" s="63" t="str">
        <f>HYPERLINK("http://nsgreg.nga.mil/genc/view?v=867924&amp;end_month=12&amp;end_day=31&amp;end_year=2016","Correlation")</f>
        <v>Correlation</v>
      </c>
    </row>
    <row r="549" spans="1:13" x14ac:dyDescent="0.2">
      <c r="A549" s="113"/>
      <c r="B549" s="58" t="s">
        <v>2607</v>
      </c>
      <c r="C549" s="58" t="s">
        <v>1413</v>
      </c>
      <c r="D549" s="58" t="s">
        <v>2608</v>
      </c>
      <c r="E549" s="60" t="b">
        <v>1</v>
      </c>
      <c r="F549" s="80" t="s">
        <v>347</v>
      </c>
      <c r="G549" s="58" t="s">
        <v>2607</v>
      </c>
      <c r="H549" s="58" t="s">
        <v>1413</v>
      </c>
      <c r="I549" s="64" t="s">
        <v>2608</v>
      </c>
      <c r="J549" s="66"/>
      <c r="K549" s="66"/>
      <c r="L549" s="68"/>
      <c r="M549" s="63" t="str">
        <f>HYPERLINK("http://nsgreg.nga.mil/genc/view?v=867925&amp;end_month=12&amp;end_day=31&amp;end_year=2016","Correlation")</f>
        <v>Correlation</v>
      </c>
    </row>
    <row r="550" spans="1:13" x14ac:dyDescent="0.2">
      <c r="A550" s="113"/>
      <c r="B550" s="58" t="s">
        <v>2609</v>
      </c>
      <c r="C550" s="58" t="s">
        <v>1413</v>
      </c>
      <c r="D550" s="58" t="s">
        <v>2610</v>
      </c>
      <c r="E550" s="60" t="b">
        <v>1</v>
      </c>
      <c r="F550" s="80" t="s">
        <v>347</v>
      </c>
      <c r="G550" s="58" t="s">
        <v>2609</v>
      </c>
      <c r="H550" s="58" t="s">
        <v>1413</v>
      </c>
      <c r="I550" s="64" t="s">
        <v>2610</v>
      </c>
      <c r="J550" s="66"/>
      <c r="K550" s="66"/>
      <c r="L550" s="68"/>
      <c r="M550" s="63" t="str">
        <f>HYPERLINK("http://nsgreg.nga.mil/genc/view?v=867926&amp;end_month=12&amp;end_day=31&amp;end_year=2016","Correlation")</f>
        <v>Correlation</v>
      </c>
    </row>
    <row r="551" spans="1:13" x14ac:dyDescent="0.2">
      <c r="A551" s="113"/>
      <c r="B551" s="58" t="s">
        <v>2611</v>
      </c>
      <c r="C551" s="58" t="s">
        <v>1413</v>
      </c>
      <c r="D551" s="58" t="s">
        <v>2612</v>
      </c>
      <c r="E551" s="60" t="b">
        <v>1</v>
      </c>
      <c r="F551" s="80" t="s">
        <v>347</v>
      </c>
      <c r="G551" s="58" t="s">
        <v>2611</v>
      </c>
      <c r="H551" s="58" t="s">
        <v>1413</v>
      </c>
      <c r="I551" s="64" t="s">
        <v>2612</v>
      </c>
      <c r="J551" s="66"/>
      <c r="K551" s="66"/>
      <c r="L551" s="68"/>
      <c r="M551" s="63" t="str">
        <f>HYPERLINK("http://nsgreg.nga.mil/genc/view?v=867927&amp;end_month=12&amp;end_day=31&amp;end_year=2016","Correlation")</f>
        <v>Correlation</v>
      </c>
    </row>
    <row r="552" spans="1:13" x14ac:dyDescent="0.2">
      <c r="A552" s="113"/>
      <c r="B552" s="58" t="s">
        <v>2613</v>
      </c>
      <c r="C552" s="58" t="s">
        <v>1413</v>
      </c>
      <c r="D552" s="58" t="s">
        <v>2614</v>
      </c>
      <c r="E552" s="60" t="b">
        <v>1</v>
      </c>
      <c r="F552" s="80" t="s">
        <v>347</v>
      </c>
      <c r="G552" s="58" t="s">
        <v>2613</v>
      </c>
      <c r="H552" s="58" t="s">
        <v>1413</v>
      </c>
      <c r="I552" s="64" t="s">
        <v>2614</v>
      </c>
      <c r="J552" s="66"/>
      <c r="K552" s="66"/>
      <c r="L552" s="68"/>
      <c r="M552" s="63" t="str">
        <f>HYPERLINK("http://nsgreg.nga.mil/genc/view?v=867928&amp;end_month=12&amp;end_day=31&amp;end_year=2016","Correlation")</f>
        <v>Correlation</v>
      </c>
    </row>
    <row r="553" spans="1:13" x14ac:dyDescent="0.2">
      <c r="A553" s="113"/>
      <c r="B553" s="58" t="s">
        <v>2615</v>
      </c>
      <c r="C553" s="58" t="s">
        <v>1413</v>
      </c>
      <c r="D553" s="58" t="s">
        <v>2616</v>
      </c>
      <c r="E553" s="60" t="b">
        <v>1</v>
      </c>
      <c r="F553" s="80" t="s">
        <v>347</v>
      </c>
      <c r="G553" s="58" t="s">
        <v>2615</v>
      </c>
      <c r="H553" s="58" t="s">
        <v>1413</v>
      </c>
      <c r="I553" s="64" t="s">
        <v>2616</v>
      </c>
      <c r="J553" s="66"/>
      <c r="K553" s="66"/>
      <c r="L553" s="68"/>
      <c r="M553" s="63" t="str">
        <f>HYPERLINK("http://nsgreg.nga.mil/genc/view?v=867929&amp;end_month=12&amp;end_day=31&amp;end_year=2016","Correlation")</f>
        <v>Correlation</v>
      </c>
    </row>
    <row r="554" spans="1:13" x14ac:dyDescent="0.2">
      <c r="A554" s="113"/>
      <c r="B554" s="58" t="s">
        <v>2617</v>
      </c>
      <c r="C554" s="58" t="s">
        <v>1413</v>
      </c>
      <c r="D554" s="58" t="s">
        <v>2618</v>
      </c>
      <c r="E554" s="60" t="b">
        <v>1</v>
      </c>
      <c r="F554" s="80" t="s">
        <v>347</v>
      </c>
      <c r="G554" s="58" t="s">
        <v>2617</v>
      </c>
      <c r="H554" s="58" t="s">
        <v>1413</v>
      </c>
      <c r="I554" s="64" t="s">
        <v>2618</v>
      </c>
      <c r="J554" s="66"/>
      <c r="K554" s="66"/>
      <c r="L554" s="68"/>
      <c r="M554" s="63" t="str">
        <f>HYPERLINK("http://nsgreg.nga.mil/genc/view?v=867931&amp;end_month=12&amp;end_day=31&amp;end_year=2016","Correlation")</f>
        <v>Correlation</v>
      </c>
    </row>
    <row r="555" spans="1:13" x14ac:dyDescent="0.2">
      <c r="A555" s="113"/>
      <c r="B555" s="58" t="s">
        <v>2619</v>
      </c>
      <c r="C555" s="58" t="s">
        <v>1413</v>
      </c>
      <c r="D555" s="58" t="s">
        <v>2620</v>
      </c>
      <c r="E555" s="60" t="b">
        <v>1</v>
      </c>
      <c r="F555" s="80" t="s">
        <v>347</v>
      </c>
      <c r="G555" s="58" t="s">
        <v>2619</v>
      </c>
      <c r="H555" s="58" t="s">
        <v>1413</v>
      </c>
      <c r="I555" s="64" t="s">
        <v>2620</v>
      </c>
      <c r="J555" s="66"/>
      <c r="K555" s="66"/>
      <c r="L555" s="68"/>
      <c r="M555" s="63" t="str">
        <f>HYPERLINK("http://nsgreg.nga.mil/genc/view?v=867930&amp;end_month=12&amp;end_day=31&amp;end_year=2016","Correlation")</f>
        <v>Correlation</v>
      </c>
    </row>
    <row r="556" spans="1:13" x14ac:dyDescent="0.2">
      <c r="A556" s="113"/>
      <c r="B556" s="58" t="s">
        <v>2621</v>
      </c>
      <c r="C556" s="58" t="s">
        <v>1413</v>
      </c>
      <c r="D556" s="58" t="s">
        <v>2622</v>
      </c>
      <c r="E556" s="60" t="b">
        <v>1</v>
      </c>
      <c r="F556" s="80" t="s">
        <v>347</v>
      </c>
      <c r="G556" s="58" t="s">
        <v>2621</v>
      </c>
      <c r="H556" s="58" t="s">
        <v>1413</v>
      </c>
      <c r="I556" s="64" t="s">
        <v>2622</v>
      </c>
      <c r="J556" s="66"/>
      <c r="K556" s="66"/>
      <c r="L556" s="68"/>
      <c r="M556" s="63" t="str">
        <f>HYPERLINK("http://nsgreg.nga.mil/genc/view?v=867932&amp;end_month=12&amp;end_day=31&amp;end_year=2016","Correlation")</f>
        <v>Correlation</v>
      </c>
    </row>
    <row r="557" spans="1:13" x14ac:dyDescent="0.2">
      <c r="A557" s="113"/>
      <c r="B557" s="58" t="s">
        <v>2623</v>
      </c>
      <c r="C557" s="58" t="s">
        <v>1413</v>
      </c>
      <c r="D557" s="58" t="s">
        <v>2624</v>
      </c>
      <c r="E557" s="60" t="b">
        <v>1</v>
      </c>
      <c r="F557" s="80" t="s">
        <v>347</v>
      </c>
      <c r="G557" s="58" t="s">
        <v>2623</v>
      </c>
      <c r="H557" s="58" t="s">
        <v>1413</v>
      </c>
      <c r="I557" s="64" t="s">
        <v>2624</v>
      </c>
      <c r="J557" s="66"/>
      <c r="K557" s="66"/>
      <c r="L557" s="68"/>
      <c r="M557" s="63" t="str">
        <f>HYPERLINK("http://nsgreg.nga.mil/genc/view?v=867933&amp;end_month=12&amp;end_day=31&amp;end_year=2016","Correlation")</f>
        <v>Correlation</v>
      </c>
    </row>
    <row r="558" spans="1:13" x14ac:dyDescent="0.2">
      <c r="A558" s="113"/>
      <c r="B558" s="58" t="s">
        <v>2625</v>
      </c>
      <c r="C558" s="58" t="s">
        <v>1413</v>
      </c>
      <c r="D558" s="58" t="s">
        <v>2626</v>
      </c>
      <c r="E558" s="60" t="b">
        <v>1</v>
      </c>
      <c r="F558" s="80" t="s">
        <v>347</v>
      </c>
      <c r="G558" s="58" t="s">
        <v>2625</v>
      </c>
      <c r="H558" s="58" t="s">
        <v>1413</v>
      </c>
      <c r="I558" s="64" t="s">
        <v>2626</v>
      </c>
      <c r="J558" s="66"/>
      <c r="K558" s="66"/>
      <c r="L558" s="68"/>
      <c r="M558" s="63" t="str">
        <f>HYPERLINK("http://nsgreg.nga.mil/genc/view?v=867934&amp;end_month=12&amp;end_day=31&amp;end_year=2016","Correlation")</f>
        <v>Correlation</v>
      </c>
    </row>
    <row r="559" spans="1:13" x14ac:dyDescent="0.2">
      <c r="A559" s="113"/>
      <c r="B559" s="58" t="s">
        <v>2627</v>
      </c>
      <c r="C559" s="58" t="s">
        <v>1413</v>
      </c>
      <c r="D559" s="58" t="s">
        <v>2628</v>
      </c>
      <c r="E559" s="60" t="b">
        <v>1</v>
      </c>
      <c r="F559" s="80" t="s">
        <v>347</v>
      </c>
      <c r="G559" s="58" t="s">
        <v>2627</v>
      </c>
      <c r="H559" s="58" t="s">
        <v>1413</v>
      </c>
      <c r="I559" s="64" t="s">
        <v>2628</v>
      </c>
      <c r="J559" s="66"/>
      <c r="K559" s="66"/>
      <c r="L559" s="68"/>
      <c r="M559" s="63" t="str">
        <f>HYPERLINK("http://nsgreg.nga.mil/genc/view?v=867935&amp;end_month=12&amp;end_day=31&amp;end_year=2016","Correlation")</f>
        <v>Correlation</v>
      </c>
    </row>
    <row r="560" spans="1:13" x14ac:dyDescent="0.2">
      <c r="A560" s="113"/>
      <c r="B560" s="58" t="s">
        <v>2629</v>
      </c>
      <c r="C560" s="58" t="s">
        <v>1413</v>
      </c>
      <c r="D560" s="58" t="s">
        <v>2630</v>
      </c>
      <c r="E560" s="60" t="b">
        <v>1</v>
      </c>
      <c r="F560" s="80" t="s">
        <v>347</v>
      </c>
      <c r="G560" s="58" t="s">
        <v>2629</v>
      </c>
      <c r="H560" s="58" t="s">
        <v>1413</v>
      </c>
      <c r="I560" s="64" t="s">
        <v>2630</v>
      </c>
      <c r="J560" s="66"/>
      <c r="K560" s="66"/>
      <c r="L560" s="68"/>
      <c r="M560" s="63" t="str">
        <f>HYPERLINK("http://nsgreg.nga.mil/genc/view?v=867936&amp;end_month=12&amp;end_day=31&amp;end_year=2016","Correlation")</f>
        <v>Correlation</v>
      </c>
    </row>
    <row r="561" spans="1:13" x14ac:dyDescent="0.2">
      <c r="A561" s="113"/>
      <c r="B561" s="58" t="s">
        <v>2631</v>
      </c>
      <c r="C561" s="58" t="s">
        <v>1413</v>
      </c>
      <c r="D561" s="58" t="s">
        <v>2632</v>
      </c>
      <c r="E561" s="60" t="b">
        <v>1</v>
      </c>
      <c r="F561" s="80" t="s">
        <v>347</v>
      </c>
      <c r="G561" s="58" t="s">
        <v>2631</v>
      </c>
      <c r="H561" s="58" t="s">
        <v>1413</v>
      </c>
      <c r="I561" s="64" t="s">
        <v>2632</v>
      </c>
      <c r="J561" s="66"/>
      <c r="K561" s="66"/>
      <c r="L561" s="68"/>
      <c r="M561" s="63" t="str">
        <f>HYPERLINK("http://nsgreg.nga.mil/genc/view?v=867938&amp;end_month=12&amp;end_day=31&amp;end_year=2016","Correlation")</f>
        <v>Correlation</v>
      </c>
    </row>
    <row r="562" spans="1:13" x14ac:dyDescent="0.2">
      <c r="A562" s="113"/>
      <c r="B562" s="58" t="s">
        <v>2633</v>
      </c>
      <c r="C562" s="58" t="s">
        <v>1413</v>
      </c>
      <c r="D562" s="58" t="s">
        <v>2634</v>
      </c>
      <c r="E562" s="60" t="b">
        <v>1</v>
      </c>
      <c r="F562" s="80" t="s">
        <v>347</v>
      </c>
      <c r="G562" s="58" t="s">
        <v>2633</v>
      </c>
      <c r="H562" s="58" t="s">
        <v>1413</v>
      </c>
      <c r="I562" s="64" t="s">
        <v>2634</v>
      </c>
      <c r="J562" s="66"/>
      <c r="K562" s="66"/>
      <c r="L562" s="68"/>
      <c r="M562" s="63" t="str">
        <f>HYPERLINK("http://nsgreg.nga.mil/genc/view?v=867937&amp;end_month=12&amp;end_day=31&amp;end_year=2016","Correlation")</f>
        <v>Correlation</v>
      </c>
    </row>
    <row r="563" spans="1:13" x14ac:dyDescent="0.2">
      <c r="A563" s="113"/>
      <c r="B563" s="58" t="s">
        <v>2635</v>
      </c>
      <c r="C563" s="58" t="s">
        <v>1413</v>
      </c>
      <c r="D563" s="58" t="s">
        <v>2636</v>
      </c>
      <c r="E563" s="60" t="b">
        <v>1</v>
      </c>
      <c r="F563" s="80" t="s">
        <v>347</v>
      </c>
      <c r="G563" s="58" t="s">
        <v>2635</v>
      </c>
      <c r="H563" s="58" t="s">
        <v>1413</v>
      </c>
      <c r="I563" s="64" t="s">
        <v>2636</v>
      </c>
      <c r="J563" s="66"/>
      <c r="K563" s="66"/>
      <c r="L563" s="68"/>
      <c r="M563" s="63" t="str">
        <f>HYPERLINK("http://nsgreg.nga.mil/genc/view?v=867939&amp;end_month=12&amp;end_day=31&amp;end_year=2016","Correlation")</f>
        <v>Correlation</v>
      </c>
    </row>
    <row r="564" spans="1:13" x14ac:dyDescent="0.2">
      <c r="A564" s="113"/>
      <c r="B564" s="58" t="s">
        <v>2637</v>
      </c>
      <c r="C564" s="58" t="s">
        <v>1728</v>
      </c>
      <c r="D564" s="58" t="s">
        <v>2638</v>
      </c>
      <c r="E564" s="60" t="b">
        <v>1</v>
      </c>
      <c r="F564" s="80" t="s">
        <v>347</v>
      </c>
      <c r="G564" s="58" t="s">
        <v>2637</v>
      </c>
      <c r="H564" s="58" t="s">
        <v>1728</v>
      </c>
      <c r="I564" s="64" t="s">
        <v>2638</v>
      </c>
      <c r="J564" s="66"/>
      <c r="K564" s="66"/>
      <c r="L564" s="68"/>
      <c r="M564" s="63" t="str">
        <f>HYPERLINK("http://nsgreg.nga.mil/genc/view?v=867909&amp;end_month=12&amp;end_day=31&amp;end_year=2016","Correlation")</f>
        <v>Correlation</v>
      </c>
    </row>
    <row r="565" spans="1:13" x14ac:dyDescent="0.2">
      <c r="A565" s="113"/>
      <c r="B565" s="58" t="s">
        <v>2639</v>
      </c>
      <c r="C565" s="58" t="s">
        <v>1413</v>
      </c>
      <c r="D565" s="58" t="s">
        <v>2640</v>
      </c>
      <c r="E565" s="60" t="b">
        <v>1</v>
      </c>
      <c r="F565" s="80" t="s">
        <v>347</v>
      </c>
      <c r="G565" s="58" t="s">
        <v>2639</v>
      </c>
      <c r="H565" s="58" t="s">
        <v>1413</v>
      </c>
      <c r="I565" s="64" t="s">
        <v>2640</v>
      </c>
      <c r="J565" s="66"/>
      <c r="K565" s="66"/>
      <c r="L565" s="68"/>
      <c r="M565" s="63" t="str">
        <f>HYPERLINK("http://nsgreg.nga.mil/genc/view?v=867940&amp;end_month=12&amp;end_day=31&amp;end_year=2016","Correlation")</f>
        <v>Correlation</v>
      </c>
    </row>
    <row r="566" spans="1:13" x14ac:dyDescent="0.2">
      <c r="A566" s="113"/>
      <c r="B566" s="58" t="s">
        <v>2641</v>
      </c>
      <c r="C566" s="58" t="s">
        <v>1413</v>
      </c>
      <c r="D566" s="58" t="s">
        <v>2642</v>
      </c>
      <c r="E566" s="60" t="b">
        <v>1</v>
      </c>
      <c r="F566" s="80" t="s">
        <v>347</v>
      </c>
      <c r="G566" s="58" t="s">
        <v>2641</v>
      </c>
      <c r="H566" s="58" t="s">
        <v>1413</v>
      </c>
      <c r="I566" s="64" t="s">
        <v>2642</v>
      </c>
      <c r="J566" s="66"/>
      <c r="K566" s="66"/>
      <c r="L566" s="68"/>
      <c r="M566" s="63" t="str">
        <f>HYPERLINK("http://nsgreg.nga.mil/genc/view?v=867941&amp;end_month=12&amp;end_day=31&amp;end_year=2016","Correlation")</f>
        <v>Correlation</v>
      </c>
    </row>
    <row r="567" spans="1:13" x14ac:dyDescent="0.2">
      <c r="A567" s="113"/>
      <c r="B567" s="58" t="s">
        <v>2643</v>
      </c>
      <c r="C567" s="58" t="s">
        <v>1413</v>
      </c>
      <c r="D567" s="58" t="s">
        <v>2644</v>
      </c>
      <c r="E567" s="60" t="b">
        <v>1</v>
      </c>
      <c r="F567" s="80" t="s">
        <v>347</v>
      </c>
      <c r="G567" s="58" t="s">
        <v>2643</v>
      </c>
      <c r="H567" s="58" t="s">
        <v>1413</v>
      </c>
      <c r="I567" s="64" t="s">
        <v>2644</v>
      </c>
      <c r="J567" s="66"/>
      <c r="K567" s="66"/>
      <c r="L567" s="68"/>
      <c r="M567" s="63" t="str">
        <f>HYPERLINK("http://nsgreg.nga.mil/genc/view?v=867942&amp;end_month=12&amp;end_day=31&amp;end_year=2016","Correlation")</f>
        <v>Correlation</v>
      </c>
    </row>
    <row r="568" spans="1:13" x14ac:dyDescent="0.2">
      <c r="A568" s="113"/>
      <c r="B568" s="58" t="s">
        <v>2645</v>
      </c>
      <c r="C568" s="58" t="s">
        <v>1413</v>
      </c>
      <c r="D568" s="58" t="s">
        <v>2646</v>
      </c>
      <c r="E568" s="60" t="b">
        <v>1</v>
      </c>
      <c r="F568" s="80" t="s">
        <v>347</v>
      </c>
      <c r="G568" s="58" t="s">
        <v>2645</v>
      </c>
      <c r="H568" s="58" t="s">
        <v>1413</v>
      </c>
      <c r="I568" s="64" t="s">
        <v>2646</v>
      </c>
      <c r="J568" s="66"/>
      <c r="K568" s="66"/>
      <c r="L568" s="68"/>
      <c r="M568" s="63" t="str">
        <f>HYPERLINK("http://nsgreg.nga.mil/genc/view?v=867943&amp;end_month=12&amp;end_day=31&amp;end_year=2016","Correlation")</f>
        <v>Correlation</v>
      </c>
    </row>
    <row r="569" spans="1:13" x14ac:dyDescent="0.2">
      <c r="A569" s="113"/>
      <c r="B569" s="58" t="s">
        <v>2647</v>
      </c>
      <c r="C569" s="58" t="s">
        <v>1728</v>
      </c>
      <c r="D569" s="58" t="s">
        <v>2648</v>
      </c>
      <c r="E569" s="60" t="b">
        <v>1</v>
      </c>
      <c r="F569" s="80" t="s">
        <v>347</v>
      </c>
      <c r="G569" s="58" t="s">
        <v>2647</v>
      </c>
      <c r="H569" s="58" t="s">
        <v>1728</v>
      </c>
      <c r="I569" s="64" t="s">
        <v>2648</v>
      </c>
      <c r="J569" s="66"/>
      <c r="K569" s="66"/>
      <c r="L569" s="68"/>
      <c r="M569" s="63" t="str">
        <f>HYPERLINK("http://nsgreg.nga.mil/genc/view?v=867910&amp;end_month=12&amp;end_day=31&amp;end_year=2016","Correlation")</f>
        <v>Correlation</v>
      </c>
    </row>
    <row r="570" spans="1:13" x14ac:dyDescent="0.2">
      <c r="A570" s="113"/>
      <c r="B570" s="58" t="s">
        <v>2649</v>
      </c>
      <c r="C570" s="58" t="s">
        <v>1413</v>
      </c>
      <c r="D570" s="58" t="s">
        <v>2650</v>
      </c>
      <c r="E570" s="60" t="b">
        <v>1</v>
      </c>
      <c r="F570" s="80" t="s">
        <v>347</v>
      </c>
      <c r="G570" s="58" t="s">
        <v>2649</v>
      </c>
      <c r="H570" s="58" t="s">
        <v>1413</v>
      </c>
      <c r="I570" s="64" t="s">
        <v>2650</v>
      </c>
      <c r="J570" s="66"/>
      <c r="K570" s="66"/>
      <c r="L570" s="68"/>
      <c r="M570" s="63" t="str">
        <f>HYPERLINK("http://nsgreg.nga.mil/genc/view?v=867944&amp;end_month=12&amp;end_day=31&amp;end_year=2016","Correlation")</f>
        <v>Correlation</v>
      </c>
    </row>
    <row r="571" spans="1:13" x14ac:dyDescent="0.2">
      <c r="A571" s="113"/>
      <c r="B571" s="58" t="s">
        <v>2651</v>
      </c>
      <c r="C571" s="58" t="s">
        <v>1728</v>
      </c>
      <c r="D571" s="58" t="s">
        <v>2652</v>
      </c>
      <c r="E571" s="60" t="b">
        <v>1</v>
      </c>
      <c r="F571" s="80" t="s">
        <v>347</v>
      </c>
      <c r="G571" s="58" t="s">
        <v>2651</v>
      </c>
      <c r="H571" s="58" t="s">
        <v>1728</v>
      </c>
      <c r="I571" s="64" t="s">
        <v>2652</v>
      </c>
      <c r="J571" s="66"/>
      <c r="K571" s="66"/>
      <c r="L571" s="68"/>
      <c r="M571" s="63" t="str">
        <f>HYPERLINK("http://nsgreg.nga.mil/genc/view?v=867911&amp;end_month=12&amp;end_day=31&amp;end_year=2016","Correlation")</f>
        <v>Correlation</v>
      </c>
    </row>
    <row r="572" spans="1:13" x14ac:dyDescent="0.2">
      <c r="A572" s="113"/>
      <c r="B572" s="58" t="s">
        <v>2653</v>
      </c>
      <c r="C572" s="58" t="s">
        <v>1413</v>
      </c>
      <c r="D572" s="58" t="s">
        <v>2654</v>
      </c>
      <c r="E572" s="60" t="b">
        <v>1</v>
      </c>
      <c r="F572" s="80" t="s">
        <v>347</v>
      </c>
      <c r="G572" s="58" t="s">
        <v>2653</v>
      </c>
      <c r="H572" s="58" t="s">
        <v>1413</v>
      </c>
      <c r="I572" s="64" t="s">
        <v>2654</v>
      </c>
      <c r="J572" s="66"/>
      <c r="K572" s="66"/>
      <c r="L572" s="68"/>
      <c r="M572" s="63" t="str">
        <f>HYPERLINK("http://nsgreg.nga.mil/genc/view?v=867948&amp;end_month=12&amp;end_day=31&amp;end_year=2016","Correlation")</f>
        <v>Correlation</v>
      </c>
    </row>
    <row r="573" spans="1:13" x14ac:dyDescent="0.2">
      <c r="A573" s="113"/>
      <c r="B573" s="58" t="s">
        <v>2655</v>
      </c>
      <c r="C573" s="58" t="s">
        <v>1413</v>
      </c>
      <c r="D573" s="58" t="s">
        <v>2656</v>
      </c>
      <c r="E573" s="60" t="b">
        <v>1</v>
      </c>
      <c r="F573" s="80" t="s">
        <v>347</v>
      </c>
      <c r="G573" s="58" t="s">
        <v>2655</v>
      </c>
      <c r="H573" s="58" t="s">
        <v>1413</v>
      </c>
      <c r="I573" s="64" t="s">
        <v>2656</v>
      </c>
      <c r="J573" s="66"/>
      <c r="K573" s="66"/>
      <c r="L573" s="68"/>
      <c r="M573" s="63" t="str">
        <f>HYPERLINK("http://nsgreg.nga.mil/genc/view?v=867947&amp;end_month=12&amp;end_day=31&amp;end_year=2016","Correlation")</f>
        <v>Correlation</v>
      </c>
    </row>
    <row r="574" spans="1:13" x14ac:dyDescent="0.2">
      <c r="A574" s="113"/>
      <c r="B574" s="58" t="s">
        <v>2657</v>
      </c>
      <c r="C574" s="58" t="s">
        <v>1413</v>
      </c>
      <c r="D574" s="58" t="s">
        <v>2658</v>
      </c>
      <c r="E574" s="60" t="b">
        <v>1</v>
      </c>
      <c r="F574" s="80" t="s">
        <v>347</v>
      </c>
      <c r="G574" s="58" t="s">
        <v>2657</v>
      </c>
      <c r="H574" s="58" t="s">
        <v>1413</v>
      </c>
      <c r="I574" s="64" t="s">
        <v>2658</v>
      </c>
      <c r="J574" s="66"/>
      <c r="K574" s="66"/>
      <c r="L574" s="68"/>
      <c r="M574" s="63" t="str">
        <f>HYPERLINK("http://nsgreg.nga.mil/genc/view?v=867945&amp;end_month=12&amp;end_day=31&amp;end_year=2016","Correlation")</f>
        <v>Correlation</v>
      </c>
    </row>
    <row r="575" spans="1:13" x14ac:dyDescent="0.2">
      <c r="A575" s="113"/>
      <c r="B575" s="58" t="s">
        <v>2659</v>
      </c>
      <c r="C575" s="58" t="s">
        <v>1413</v>
      </c>
      <c r="D575" s="58" t="s">
        <v>2660</v>
      </c>
      <c r="E575" s="60" t="b">
        <v>1</v>
      </c>
      <c r="F575" s="80" t="s">
        <v>347</v>
      </c>
      <c r="G575" s="58" t="s">
        <v>2659</v>
      </c>
      <c r="H575" s="58" t="s">
        <v>1413</v>
      </c>
      <c r="I575" s="64" t="s">
        <v>2660</v>
      </c>
      <c r="J575" s="66"/>
      <c r="K575" s="66"/>
      <c r="L575" s="68"/>
      <c r="M575" s="63" t="str">
        <f>HYPERLINK("http://nsgreg.nga.mil/genc/view?v=867946&amp;end_month=12&amp;end_day=31&amp;end_year=2016","Correlation")</f>
        <v>Correlation</v>
      </c>
    </row>
    <row r="576" spans="1:13" x14ac:dyDescent="0.2">
      <c r="A576" s="113"/>
      <c r="B576" s="58" t="s">
        <v>2661</v>
      </c>
      <c r="C576" s="58" t="s">
        <v>1413</v>
      </c>
      <c r="D576" s="58" t="s">
        <v>2662</v>
      </c>
      <c r="E576" s="60" t="b">
        <v>1</v>
      </c>
      <c r="F576" s="80" t="s">
        <v>347</v>
      </c>
      <c r="G576" s="58" t="s">
        <v>2661</v>
      </c>
      <c r="H576" s="58" t="s">
        <v>1413</v>
      </c>
      <c r="I576" s="64" t="s">
        <v>2662</v>
      </c>
      <c r="J576" s="66"/>
      <c r="K576" s="66"/>
      <c r="L576" s="68"/>
      <c r="M576" s="63" t="str">
        <f>HYPERLINK("http://nsgreg.nga.mil/genc/view?v=867949&amp;end_month=12&amp;end_day=31&amp;end_year=2016","Correlation")</f>
        <v>Correlation</v>
      </c>
    </row>
    <row r="577" spans="1:13" x14ac:dyDescent="0.2">
      <c r="A577" s="113"/>
      <c r="B577" s="58" t="s">
        <v>2663</v>
      </c>
      <c r="C577" s="58" t="s">
        <v>1413</v>
      </c>
      <c r="D577" s="58" t="s">
        <v>2664</v>
      </c>
      <c r="E577" s="60" t="b">
        <v>1</v>
      </c>
      <c r="F577" s="80" t="s">
        <v>347</v>
      </c>
      <c r="G577" s="58" t="s">
        <v>2663</v>
      </c>
      <c r="H577" s="58" t="s">
        <v>1413</v>
      </c>
      <c r="I577" s="64" t="s">
        <v>2664</v>
      </c>
      <c r="J577" s="66"/>
      <c r="K577" s="66"/>
      <c r="L577" s="68"/>
      <c r="M577" s="63" t="str">
        <f>HYPERLINK("http://nsgreg.nga.mil/genc/view?v=867950&amp;end_month=12&amp;end_day=31&amp;end_year=2016","Correlation")</f>
        <v>Correlation</v>
      </c>
    </row>
    <row r="578" spans="1:13" x14ac:dyDescent="0.2">
      <c r="A578" s="113"/>
      <c r="B578" s="58" t="s">
        <v>2665</v>
      </c>
      <c r="C578" s="58" t="s">
        <v>1728</v>
      </c>
      <c r="D578" s="58" t="s">
        <v>2666</v>
      </c>
      <c r="E578" s="60" t="b">
        <v>1</v>
      </c>
      <c r="F578" s="80" t="s">
        <v>347</v>
      </c>
      <c r="G578" s="58" t="s">
        <v>2665</v>
      </c>
      <c r="H578" s="58" t="s">
        <v>1728</v>
      </c>
      <c r="I578" s="64" t="s">
        <v>2666</v>
      </c>
      <c r="J578" s="66"/>
      <c r="K578" s="66"/>
      <c r="L578" s="68"/>
      <c r="M578" s="63" t="str">
        <f>HYPERLINK("http://nsgreg.nga.mil/genc/view?v=867912&amp;end_month=12&amp;end_day=31&amp;end_year=2016","Correlation")</f>
        <v>Correlation</v>
      </c>
    </row>
    <row r="579" spans="1:13" x14ac:dyDescent="0.2">
      <c r="A579" s="113"/>
      <c r="B579" s="58" t="s">
        <v>2667</v>
      </c>
      <c r="C579" s="58" t="s">
        <v>1413</v>
      </c>
      <c r="D579" s="58" t="s">
        <v>2668</v>
      </c>
      <c r="E579" s="60" t="b">
        <v>1</v>
      </c>
      <c r="F579" s="80" t="s">
        <v>347</v>
      </c>
      <c r="G579" s="58" t="s">
        <v>2667</v>
      </c>
      <c r="H579" s="58" t="s">
        <v>1413</v>
      </c>
      <c r="I579" s="64" t="s">
        <v>2668</v>
      </c>
      <c r="J579" s="66"/>
      <c r="K579" s="66"/>
      <c r="L579" s="68"/>
      <c r="M579" s="63" t="str">
        <f>HYPERLINK("http://nsgreg.nga.mil/genc/view?v=867951&amp;end_month=12&amp;end_day=31&amp;end_year=2016","Correlation")</f>
        <v>Correlation</v>
      </c>
    </row>
    <row r="580" spans="1:13" x14ac:dyDescent="0.2">
      <c r="A580" s="113"/>
      <c r="B580" s="58" t="s">
        <v>2669</v>
      </c>
      <c r="C580" s="58" t="s">
        <v>1413</v>
      </c>
      <c r="D580" s="58" t="s">
        <v>2670</v>
      </c>
      <c r="E580" s="60" t="b">
        <v>1</v>
      </c>
      <c r="F580" s="80" t="s">
        <v>347</v>
      </c>
      <c r="G580" s="58" t="s">
        <v>2669</v>
      </c>
      <c r="H580" s="58" t="s">
        <v>1413</v>
      </c>
      <c r="I580" s="64" t="s">
        <v>2670</v>
      </c>
      <c r="J580" s="66"/>
      <c r="K580" s="66"/>
      <c r="L580" s="68"/>
      <c r="M580" s="63" t="str">
        <f>HYPERLINK("http://nsgreg.nga.mil/genc/view?v=867952&amp;end_month=12&amp;end_day=31&amp;end_year=2016","Correlation")</f>
        <v>Correlation</v>
      </c>
    </row>
    <row r="581" spans="1:13" x14ac:dyDescent="0.2">
      <c r="A581" s="113"/>
      <c r="B581" s="58" t="s">
        <v>2671</v>
      </c>
      <c r="C581" s="58" t="s">
        <v>1413</v>
      </c>
      <c r="D581" s="58" t="s">
        <v>2672</v>
      </c>
      <c r="E581" s="60" t="b">
        <v>1</v>
      </c>
      <c r="F581" s="80" t="s">
        <v>347</v>
      </c>
      <c r="G581" s="58" t="s">
        <v>2671</v>
      </c>
      <c r="H581" s="58" t="s">
        <v>1413</v>
      </c>
      <c r="I581" s="64" t="s">
        <v>2672</v>
      </c>
      <c r="J581" s="66"/>
      <c r="K581" s="66"/>
      <c r="L581" s="68"/>
      <c r="M581" s="63" t="str">
        <f>HYPERLINK("http://nsgreg.nga.mil/genc/view?v=867953&amp;end_month=12&amp;end_day=31&amp;end_year=2016","Correlation")</f>
        <v>Correlation</v>
      </c>
    </row>
    <row r="582" spans="1:13" x14ac:dyDescent="0.2">
      <c r="A582" s="113"/>
      <c r="B582" s="58" t="s">
        <v>2673</v>
      </c>
      <c r="C582" s="58" t="s">
        <v>1413</v>
      </c>
      <c r="D582" s="58" t="s">
        <v>2674</v>
      </c>
      <c r="E582" s="60" t="b">
        <v>1</v>
      </c>
      <c r="F582" s="80" t="s">
        <v>347</v>
      </c>
      <c r="G582" s="58" t="s">
        <v>2673</v>
      </c>
      <c r="H582" s="58" t="s">
        <v>1413</v>
      </c>
      <c r="I582" s="64" t="s">
        <v>2674</v>
      </c>
      <c r="J582" s="66"/>
      <c r="K582" s="66"/>
      <c r="L582" s="68"/>
      <c r="M582" s="63" t="str">
        <f>HYPERLINK("http://nsgreg.nga.mil/genc/view?v=867954&amp;end_month=12&amp;end_day=31&amp;end_year=2016","Correlation")</f>
        <v>Correlation</v>
      </c>
    </row>
    <row r="583" spans="1:13" x14ac:dyDescent="0.2">
      <c r="A583" s="113"/>
      <c r="B583" s="58" t="s">
        <v>2675</v>
      </c>
      <c r="C583" s="58" t="s">
        <v>1413</v>
      </c>
      <c r="D583" s="58" t="s">
        <v>2676</v>
      </c>
      <c r="E583" s="60" t="b">
        <v>1</v>
      </c>
      <c r="F583" s="80" t="s">
        <v>347</v>
      </c>
      <c r="G583" s="58" t="s">
        <v>2675</v>
      </c>
      <c r="H583" s="58" t="s">
        <v>1413</v>
      </c>
      <c r="I583" s="64" t="s">
        <v>2676</v>
      </c>
      <c r="J583" s="66"/>
      <c r="K583" s="66"/>
      <c r="L583" s="68"/>
      <c r="M583" s="63" t="str">
        <f>HYPERLINK("http://nsgreg.nga.mil/genc/view?v=867955&amp;end_month=12&amp;end_day=31&amp;end_year=2016","Correlation")</f>
        <v>Correlation</v>
      </c>
    </row>
    <row r="584" spans="1:13" x14ac:dyDescent="0.2">
      <c r="A584" s="113"/>
      <c r="B584" s="58" t="s">
        <v>2677</v>
      </c>
      <c r="C584" s="58" t="s">
        <v>1413</v>
      </c>
      <c r="D584" s="58" t="s">
        <v>2678</v>
      </c>
      <c r="E584" s="60" t="b">
        <v>1</v>
      </c>
      <c r="F584" s="80" t="s">
        <v>347</v>
      </c>
      <c r="G584" s="58" t="s">
        <v>2677</v>
      </c>
      <c r="H584" s="58" t="s">
        <v>1413</v>
      </c>
      <c r="I584" s="64" t="s">
        <v>2678</v>
      </c>
      <c r="J584" s="66"/>
      <c r="K584" s="66"/>
      <c r="L584" s="68"/>
      <c r="M584" s="63" t="str">
        <f>HYPERLINK("http://nsgreg.nga.mil/genc/view?v=867956&amp;end_month=12&amp;end_day=31&amp;end_year=2016","Correlation")</f>
        <v>Correlation</v>
      </c>
    </row>
    <row r="585" spans="1:13" x14ac:dyDescent="0.2">
      <c r="A585" s="114"/>
      <c r="B585" s="71" t="s">
        <v>2679</v>
      </c>
      <c r="C585" s="71" t="s">
        <v>1413</v>
      </c>
      <c r="D585" s="71" t="s">
        <v>2680</v>
      </c>
      <c r="E585" s="73" t="b">
        <v>1</v>
      </c>
      <c r="F585" s="81" t="s">
        <v>347</v>
      </c>
      <c r="G585" s="71" t="s">
        <v>2679</v>
      </c>
      <c r="H585" s="71" t="s">
        <v>1413</v>
      </c>
      <c r="I585" s="74" t="s">
        <v>2680</v>
      </c>
      <c r="J585" s="76"/>
      <c r="K585" s="76"/>
      <c r="L585" s="82"/>
      <c r="M585" s="77" t="str">
        <f>HYPERLINK("http://nsgreg.nga.mil/genc/view?v=867957&amp;end_month=12&amp;end_day=31&amp;end_year=2016","Correlation")</f>
        <v>Correlation</v>
      </c>
    </row>
    <row r="586" spans="1:13" x14ac:dyDescent="0.2">
      <c r="A586" s="112" t="s">
        <v>356</v>
      </c>
      <c r="B586" s="50" t="s">
        <v>2721</v>
      </c>
      <c r="C586" s="50" t="s">
        <v>1413</v>
      </c>
      <c r="D586" s="50" t="s">
        <v>2722</v>
      </c>
      <c r="E586" s="52" t="b">
        <v>1</v>
      </c>
      <c r="F586" s="78" t="s">
        <v>356</v>
      </c>
      <c r="G586" s="50" t="s">
        <v>2721</v>
      </c>
      <c r="H586" s="50" t="s">
        <v>1413</v>
      </c>
      <c r="I586" s="53" t="s">
        <v>2722</v>
      </c>
      <c r="J586" s="55"/>
      <c r="K586" s="55"/>
      <c r="L586" s="79"/>
      <c r="M586" s="56" t="str">
        <f>HYPERLINK("http://nsgreg.nga.mil/genc/view?v=867990&amp;end_month=12&amp;end_day=31&amp;end_year=2016","Correlation")</f>
        <v>Correlation</v>
      </c>
    </row>
    <row r="587" spans="1:13" x14ac:dyDescent="0.2">
      <c r="A587" s="113"/>
      <c r="B587" s="58" t="s">
        <v>2723</v>
      </c>
      <c r="C587" s="58" t="s">
        <v>1413</v>
      </c>
      <c r="D587" s="58" t="s">
        <v>2724</v>
      </c>
      <c r="E587" s="60" t="b">
        <v>1</v>
      </c>
      <c r="F587" s="80" t="s">
        <v>356</v>
      </c>
      <c r="G587" s="58" t="s">
        <v>2723</v>
      </c>
      <c r="H587" s="58" t="s">
        <v>1413</v>
      </c>
      <c r="I587" s="64" t="s">
        <v>2724</v>
      </c>
      <c r="J587" s="66"/>
      <c r="K587" s="66"/>
      <c r="L587" s="68"/>
      <c r="M587" s="63" t="str">
        <f>HYPERLINK("http://nsgreg.nga.mil/genc/view?v=867992&amp;end_month=12&amp;end_day=31&amp;end_year=2016","Correlation")</f>
        <v>Correlation</v>
      </c>
    </row>
    <row r="588" spans="1:13" x14ac:dyDescent="0.2">
      <c r="A588" s="113"/>
      <c r="B588" s="58" t="s">
        <v>2725</v>
      </c>
      <c r="C588" s="58" t="s">
        <v>1413</v>
      </c>
      <c r="D588" s="58" t="s">
        <v>2726</v>
      </c>
      <c r="E588" s="60" t="b">
        <v>1</v>
      </c>
      <c r="F588" s="80" t="s">
        <v>356</v>
      </c>
      <c r="G588" s="58" t="s">
        <v>2725</v>
      </c>
      <c r="H588" s="58" t="s">
        <v>1413</v>
      </c>
      <c r="I588" s="64" t="s">
        <v>2726</v>
      </c>
      <c r="J588" s="66"/>
      <c r="K588" s="66"/>
      <c r="L588" s="68"/>
      <c r="M588" s="63" t="str">
        <f>HYPERLINK("http://nsgreg.nga.mil/genc/view?v=867991&amp;end_month=12&amp;end_day=31&amp;end_year=2016","Correlation")</f>
        <v>Correlation</v>
      </c>
    </row>
    <row r="589" spans="1:13" x14ac:dyDescent="0.2">
      <c r="A589" s="113"/>
      <c r="B589" s="58" t="s">
        <v>2727</v>
      </c>
      <c r="C589" s="58" t="s">
        <v>1413</v>
      </c>
      <c r="D589" s="58" t="s">
        <v>2728</v>
      </c>
      <c r="E589" s="60" t="b">
        <v>1</v>
      </c>
      <c r="F589" s="80" t="s">
        <v>356</v>
      </c>
      <c r="G589" s="58" t="s">
        <v>2727</v>
      </c>
      <c r="H589" s="58" t="s">
        <v>1413</v>
      </c>
      <c r="I589" s="64" t="s">
        <v>2728</v>
      </c>
      <c r="J589" s="66"/>
      <c r="K589" s="66"/>
      <c r="L589" s="68"/>
      <c r="M589" s="63" t="str">
        <f>HYPERLINK("http://nsgreg.nga.mil/genc/view?v=867993&amp;end_month=12&amp;end_day=31&amp;end_year=2016","Correlation")</f>
        <v>Correlation</v>
      </c>
    </row>
    <row r="590" spans="1:13" x14ac:dyDescent="0.2">
      <c r="A590" s="113"/>
      <c r="B590" s="58" t="s">
        <v>2729</v>
      </c>
      <c r="C590" s="58" t="s">
        <v>1413</v>
      </c>
      <c r="D590" s="58" t="s">
        <v>2730</v>
      </c>
      <c r="E590" s="60" t="b">
        <v>1</v>
      </c>
      <c r="F590" s="80" t="s">
        <v>356</v>
      </c>
      <c r="G590" s="58" t="s">
        <v>2729</v>
      </c>
      <c r="H590" s="58" t="s">
        <v>1413</v>
      </c>
      <c r="I590" s="64" t="s">
        <v>2730</v>
      </c>
      <c r="J590" s="66"/>
      <c r="K590" s="66"/>
      <c r="L590" s="68"/>
      <c r="M590" s="63" t="str">
        <f>HYPERLINK("http://nsgreg.nga.mil/genc/view?v=867994&amp;end_month=12&amp;end_day=31&amp;end_year=2016","Correlation")</f>
        <v>Correlation</v>
      </c>
    </row>
    <row r="591" spans="1:13" x14ac:dyDescent="0.2">
      <c r="A591" s="113"/>
      <c r="B591" s="58" t="s">
        <v>2731</v>
      </c>
      <c r="C591" s="58" t="s">
        <v>1413</v>
      </c>
      <c r="D591" s="58" t="s">
        <v>2732</v>
      </c>
      <c r="E591" s="60" t="b">
        <v>1</v>
      </c>
      <c r="F591" s="80" t="s">
        <v>356</v>
      </c>
      <c r="G591" s="58" t="s">
        <v>2731</v>
      </c>
      <c r="H591" s="58" t="s">
        <v>1413</v>
      </c>
      <c r="I591" s="64" t="s">
        <v>2732</v>
      </c>
      <c r="J591" s="66"/>
      <c r="K591" s="66"/>
      <c r="L591" s="68"/>
      <c r="M591" s="63" t="str">
        <f>HYPERLINK("http://nsgreg.nga.mil/genc/view?v=867995&amp;end_month=12&amp;end_day=31&amp;end_year=2016","Correlation")</f>
        <v>Correlation</v>
      </c>
    </row>
    <row r="592" spans="1:13" x14ac:dyDescent="0.2">
      <c r="A592" s="113"/>
      <c r="B592" s="58" t="s">
        <v>2733</v>
      </c>
      <c r="C592" s="58" t="s">
        <v>1413</v>
      </c>
      <c r="D592" s="58" t="s">
        <v>2734</v>
      </c>
      <c r="E592" s="60" t="b">
        <v>1</v>
      </c>
      <c r="F592" s="80" t="s">
        <v>356</v>
      </c>
      <c r="G592" s="58" t="s">
        <v>2733</v>
      </c>
      <c r="H592" s="58" t="s">
        <v>1413</v>
      </c>
      <c r="I592" s="64" t="s">
        <v>2734</v>
      </c>
      <c r="J592" s="66"/>
      <c r="K592" s="66"/>
      <c r="L592" s="68"/>
      <c r="M592" s="63" t="str">
        <f>HYPERLINK("http://nsgreg.nga.mil/genc/view?v=867996&amp;end_month=12&amp;end_day=31&amp;end_year=2016","Correlation")</f>
        <v>Correlation</v>
      </c>
    </row>
    <row r="593" spans="1:13" x14ac:dyDescent="0.2">
      <c r="A593" s="113"/>
      <c r="B593" s="58" t="s">
        <v>2735</v>
      </c>
      <c r="C593" s="58" t="s">
        <v>1413</v>
      </c>
      <c r="D593" s="58" t="s">
        <v>2736</v>
      </c>
      <c r="E593" s="60" t="b">
        <v>1</v>
      </c>
      <c r="F593" s="80" t="s">
        <v>356</v>
      </c>
      <c r="G593" s="58" t="s">
        <v>2735</v>
      </c>
      <c r="H593" s="58" t="s">
        <v>1413</v>
      </c>
      <c r="I593" s="64" t="s">
        <v>2736</v>
      </c>
      <c r="J593" s="66"/>
      <c r="K593" s="66"/>
      <c r="L593" s="68"/>
      <c r="M593" s="63" t="str">
        <f>HYPERLINK("http://nsgreg.nga.mil/genc/view?v=867998&amp;end_month=12&amp;end_day=31&amp;end_year=2016","Correlation")</f>
        <v>Correlation</v>
      </c>
    </row>
    <row r="594" spans="1:13" x14ac:dyDescent="0.2">
      <c r="A594" s="113"/>
      <c r="B594" s="58" t="s">
        <v>2737</v>
      </c>
      <c r="C594" s="58" t="s">
        <v>1413</v>
      </c>
      <c r="D594" s="58" t="s">
        <v>2738</v>
      </c>
      <c r="E594" s="60" t="b">
        <v>1</v>
      </c>
      <c r="F594" s="80" t="s">
        <v>356</v>
      </c>
      <c r="G594" s="58" t="s">
        <v>2737</v>
      </c>
      <c r="H594" s="58" t="s">
        <v>1413</v>
      </c>
      <c r="I594" s="64" t="s">
        <v>2738</v>
      </c>
      <c r="J594" s="66"/>
      <c r="K594" s="66"/>
      <c r="L594" s="68"/>
      <c r="M594" s="63" t="str">
        <f>HYPERLINK("http://nsgreg.nga.mil/genc/view?v=867999&amp;end_month=12&amp;end_day=31&amp;end_year=2016","Correlation")</f>
        <v>Correlation</v>
      </c>
    </row>
    <row r="595" spans="1:13" x14ac:dyDescent="0.2">
      <c r="A595" s="113"/>
      <c r="B595" s="58" t="s">
        <v>2739</v>
      </c>
      <c r="C595" s="58" t="s">
        <v>1413</v>
      </c>
      <c r="D595" s="58" t="s">
        <v>2740</v>
      </c>
      <c r="E595" s="60" t="b">
        <v>1</v>
      </c>
      <c r="F595" s="80" t="s">
        <v>356</v>
      </c>
      <c r="G595" s="58" t="s">
        <v>2739</v>
      </c>
      <c r="H595" s="58" t="s">
        <v>1413</v>
      </c>
      <c r="I595" s="64" t="s">
        <v>2740</v>
      </c>
      <c r="J595" s="66"/>
      <c r="K595" s="66"/>
      <c r="L595" s="68"/>
      <c r="M595" s="63" t="str">
        <f>HYPERLINK("http://nsgreg.nga.mil/genc/view?v=867997&amp;end_month=12&amp;end_day=31&amp;end_year=2016","Correlation")</f>
        <v>Correlation</v>
      </c>
    </row>
    <row r="596" spans="1:13" x14ac:dyDescent="0.2">
      <c r="A596" s="113"/>
      <c r="B596" s="58" t="s">
        <v>2741</v>
      </c>
      <c r="C596" s="58" t="s">
        <v>1413</v>
      </c>
      <c r="D596" s="58" t="s">
        <v>2742</v>
      </c>
      <c r="E596" s="60" t="b">
        <v>1</v>
      </c>
      <c r="F596" s="80" t="s">
        <v>356</v>
      </c>
      <c r="G596" s="58" t="s">
        <v>2741</v>
      </c>
      <c r="H596" s="58" t="s">
        <v>1413</v>
      </c>
      <c r="I596" s="64" t="s">
        <v>2742</v>
      </c>
      <c r="J596" s="66"/>
      <c r="K596" s="66"/>
      <c r="L596" s="68"/>
      <c r="M596" s="63" t="str">
        <f>HYPERLINK("http://nsgreg.nga.mil/genc/view?v=868000&amp;end_month=12&amp;end_day=31&amp;end_year=2016","Correlation")</f>
        <v>Correlation</v>
      </c>
    </row>
    <row r="597" spans="1:13" x14ac:dyDescent="0.2">
      <c r="A597" s="113"/>
      <c r="B597" s="58" t="s">
        <v>2743</v>
      </c>
      <c r="C597" s="58" t="s">
        <v>1413</v>
      </c>
      <c r="D597" s="58" t="s">
        <v>2744</v>
      </c>
      <c r="E597" s="60" t="b">
        <v>1</v>
      </c>
      <c r="F597" s="80" t="s">
        <v>356</v>
      </c>
      <c r="G597" s="58" t="s">
        <v>2743</v>
      </c>
      <c r="H597" s="58" t="s">
        <v>1413</v>
      </c>
      <c r="I597" s="64" t="s">
        <v>2744</v>
      </c>
      <c r="J597" s="66"/>
      <c r="K597" s="66"/>
      <c r="L597" s="68"/>
      <c r="M597" s="63" t="str">
        <f>HYPERLINK("http://nsgreg.nga.mil/genc/view?v=868001&amp;end_month=12&amp;end_day=31&amp;end_year=2016","Correlation")</f>
        <v>Correlation</v>
      </c>
    </row>
    <row r="598" spans="1:13" x14ac:dyDescent="0.2">
      <c r="A598" s="113"/>
      <c r="B598" s="58" t="s">
        <v>2745</v>
      </c>
      <c r="C598" s="58" t="s">
        <v>1413</v>
      </c>
      <c r="D598" s="58" t="s">
        <v>2746</v>
      </c>
      <c r="E598" s="60" t="b">
        <v>1</v>
      </c>
      <c r="F598" s="80" t="s">
        <v>356</v>
      </c>
      <c r="G598" s="58" t="s">
        <v>2745</v>
      </c>
      <c r="H598" s="58" t="s">
        <v>1413</v>
      </c>
      <c r="I598" s="64" t="s">
        <v>2746</v>
      </c>
      <c r="J598" s="66"/>
      <c r="K598" s="66"/>
      <c r="L598" s="68"/>
      <c r="M598" s="63" t="str">
        <f>HYPERLINK("http://nsgreg.nga.mil/genc/view?v=868003&amp;end_month=12&amp;end_day=31&amp;end_year=2016","Correlation")</f>
        <v>Correlation</v>
      </c>
    </row>
    <row r="599" spans="1:13" x14ac:dyDescent="0.2">
      <c r="A599" s="113"/>
      <c r="B599" s="58" t="s">
        <v>2747</v>
      </c>
      <c r="C599" s="58" t="s">
        <v>1413</v>
      </c>
      <c r="D599" s="58" t="s">
        <v>2748</v>
      </c>
      <c r="E599" s="60" t="b">
        <v>1</v>
      </c>
      <c r="F599" s="80" t="s">
        <v>356</v>
      </c>
      <c r="G599" s="58" t="s">
        <v>2747</v>
      </c>
      <c r="H599" s="58" t="s">
        <v>1413</v>
      </c>
      <c r="I599" s="64" t="s">
        <v>2748</v>
      </c>
      <c r="J599" s="66"/>
      <c r="K599" s="66"/>
      <c r="L599" s="68"/>
      <c r="M599" s="63" t="str">
        <f>HYPERLINK("http://nsgreg.nga.mil/genc/view?v=868002&amp;end_month=12&amp;end_day=31&amp;end_year=2016","Correlation")</f>
        <v>Correlation</v>
      </c>
    </row>
    <row r="600" spans="1:13" x14ac:dyDescent="0.2">
      <c r="A600" s="113"/>
      <c r="B600" s="58" t="s">
        <v>2749</v>
      </c>
      <c r="C600" s="58" t="s">
        <v>1413</v>
      </c>
      <c r="D600" s="58" t="s">
        <v>2750</v>
      </c>
      <c r="E600" s="60" t="b">
        <v>1</v>
      </c>
      <c r="F600" s="80" t="s">
        <v>356</v>
      </c>
      <c r="G600" s="58" t="s">
        <v>2749</v>
      </c>
      <c r="H600" s="58" t="s">
        <v>1413</v>
      </c>
      <c r="I600" s="64" t="s">
        <v>2750</v>
      </c>
      <c r="J600" s="66"/>
      <c r="K600" s="66"/>
      <c r="L600" s="68"/>
      <c r="M600" s="63" t="str">
        <f>HYPERLINK("http://nsgreg.nga.mil/genc/view?v=868004&amp;end_month=12&amp;end_day=31&amp;end_year=2016","Correlation")</f>
        <v>Correlation</v>
      </c>
    </row>
    <row r="601" spans="1:13" x14ac:dyDescent="0.2">
      <c r="A601" s="113"/>
      <c r="B601" s="58" t="s">
        <v>2751</v>
      </c>
      <c r="C601" s="58" t="s">
        <v>1413</v>
      </c>
      <c r="D601" s="58" t="s">
        <v>2752</v>
      </c>
      <c r="E601" s="60" t="b">
        <v>1</v>
      </c>
      <c r="F601" s="80" t="s">
        <v>356</v>
      </c>
      <c r="G601" s="58" t="s">
        <v>2751</v>
      </c>
      <c r="H601" s="58" t="s">
        <v>1413</v>
      </c>
      <c r="I601" s="64" t="s">
        <v>2752</v>
      </c>
      <c r="J601" s="66"/>
      <c r="K601" s="66"/>
      <c r="L601" s="68"/>
      <c r="M601" s="63" t="str">
        <f>HYPERLINK("http://nsgreg.nga.mil/genc/view?v=868005&amp;end_month=12&amp;end_day=31&amp;end_year=2016","Correlation")</f>
        <v>Correlation</v>
      </c>
    </row>
    <row r="602" spans="1:13" x14ac:dyDescent="0.2">
      <c r="A602" s="113"/>
      <c r="B602" s="58" t="s">
        <v>2753</v>
      </c>
      <c r="C602" s="58" t="s">
        <v>1413</v>
      </c>
      <c r="D602" s="58" t="s">
        <v>2754</v>
      </c>
      <c r="E602" s="60" t="b">
        <v>1</v>
      </c>
      <c r="F602" s="80" t="s">
        <v>356</v>
      </c>
      <c r="G602" s="58" t="s">
        <v>2753</v>
      </c>
      <c r="H602" s="58" t="s">
        <v>1413</v>
      </c>
      <c r="I602" s="64" t="s">
        <v>2754</v>
      </c>
      <c r="J602" s="66"/>
      <c r="K602" s="66"/>
      <c r="L602" s="68"/>
      <c r="M602" s="63" t="str">
        <f>HYPERLINK("http://nsgreg.nga.mil/genc/view?v=868006&amp;end_month=12&amp;end_day=31&amp;end_year=2016","Correlation")</f>
        <v>Correlation</v>
      </c>
    </row>
    <row r="603" spans="1:13" x14ac:dyDescent="0.2">
      <c r="A603" s="114"/>
      <c r="B603" s="71" t="s">
        <v>2755</v>
      </c>
      <c r="C603" s="71" t="s">
        <v>1413</v>
      </c>
      <c r="D603" s="71" t="s">
        <v>2756</v>
      </c>
      <c r="E603" s="73" t="b">
        <v>1</v>
      </c>
      <c r="F603" s="81" t="s">
        <v>356</v>
      </c>
      <c r="G603" s="71" t="s">
        <v>2755</v>
      </c>
      <c r="H603" s="71" t="s">
        <v>1413</v>
      </c>
      <c r="I603" s="74" t="s">
        <v>2756</v>
      </c>
      <c r="J603" s="76"/>
      <c r="K603" s="76"/>
      <c r="L603" s="82"/>
      <c r="M603" s="77" t="str">
        <f>HYPERLINK("http://nsgreg.nga.mil/genc/view?v=868007&amp;end_month=12&amp;end_day=31&amp;end_year=2016","Correlation")</f>
        <v>Correlation</v>
      </c>
    </row>
    <row r="604" spans="1:13" x14ac:dyDescent="0.2">
      <c r="A604" s="112" t="s">
        <v>360</v>
      </c>
      <c r="B604" s="50" t="s">
        <v>2757</v>
      </c>
      <c r="C604" s="50" t="s">
        <v>1816</v>
      </c>
      <c r="D604" s="50" t="s">
        <v>2758</v>
      </c>
      <c r="E604" s="52" t="b">
        <v>1</v>
      </c>
      <c r="F604" s="78" t="s">
        <v>360</v>
      </c>
      <c r="G604" s="50" t="s">
        <v>2757</v>
      </c>
      <c r="H604" s="50" t="s">
        <v>1816</v>
      </c>
      <c r="I604" s="53" t="s">
        <v>2758</v>
      </c>
      <c r="J604" s="55"/>
      <c r="K604" s="55"/>
      <c r="L604" s="79"/>
      <c r="M604" s="56" t="str">
        <f>HYPERLINK("http://nsgreg.nga.mil/genc/view?v=868368&amp;end_month=12&amp;end_day=31&amp;end_year=2016","Correlation")</f>
        <v>Correlation</v>
      </c>
    </row>
    <row r="605" spans="1:13" x14ac:dyDescent="0.2">
      <c r="A605" s="113"/>
      <c r="B605" s="58" t="s">
        <v>2760</v>
      </c>
      <c r="C605" s="58" t="s">
        <v>1816</v>
      </c>
      <c r="D605" s="58" t="s">
        <v>2761</v>
      </c>
      <c r="E605" s="60" t="b">
        <v>1</v>
      </c>
      <c r="F605" s="80" t="s">
        <v>360</v>
      </c>
      <c r="G605" s="58" t="s">
        <v>2760</v>
      </c>
      <c r="H605" s="58" t="s">
        <v>1816</v>
      </c>
      <c r="I605" s="64" t="s">
        <v>2761</v>
      </c>
      <c r="J605" s="66"/>
      <c r="K605" s="66"/>
      <c r="L605" s="68"/>
      <c r="M605" s="63" t="str">
        <f>HYPERLINK("http://nsgreg.nga.mil/genc/view?v=868367&amp;end_month=12&amp;end_day=31&amp;end_year=2016","Correlation")</f>
        <v>Correlation</v>
      </c>
    </row>
    <row r="606" spans="1:13" x14ac:dyDescent="0.2">
      <c r="A606" s="113"/>
      <c r="B606" s="58" t="s">
        <v>2762</v>
      </c>
      <c r="C606" s="58" t="s">
        <v>2763</v>
      </c>
      <c r="D606" s="58" t="s">
        <v>2764</v>
      </c>
      <c r="E606" s="60" t="b">
        <v>1</v>
      </c>
      <c r="F606" s="80" t="s">
        <v>360</v>
      </c>
      <c r="G606" s="58" t="s">
        <v>2762</v>
      </c>
      <c r="H606" s="58" t="s">
        <v>2763</v>
      </c>
      <c r="I606" s="64" t="s">
        <v>2764</v>
      </c>
      <c r="J606" s="66"/>
      <c r="K606" s="66"/>
      <c r="L606" s="68"/>
      <c r="M606" s="63" t="str">
        <f>HYPERLINK("http://nsgreg.nga.mil/genc/view?v=868366&amp;end_month=12&amp;end_day=31&amp;end_year=2016","Correlation")</f>
        <v>Correlation</v>
      </c>
    </row>
    <row r="607" spans="1:13" x14ac:dyDescent="0.2">
      <c r="A607" s="113"/>
      <c r="B607" s="58" t="s">
        <v>2765</v>
      </c>
      <c r="C607" s="58" t="s">
        <v>2763</v>
      </c>
      <c r="D607" s="58" t="s">
        <v>2766</v>
      </c>
      <c r="E607" s="60" t="b">
        <v>1</v>
      </c>
      <c r="F607" s="80" t="s">
        <v>360</v>
      </c>
      <c r="G607" s="58" t="s">
        <v>2765</v>
      </c>
      <c r="H607" s="58" t="s">
        <v>2763</v>
      </c>
      <c r="I607" s="64" t="s">
        <v>2766</v>
      </c>
      <c r="J607" s="66"/>
      <c r="K607" s="66"/>
      <c r="L607" s="68"/>
      <c r="M607" s="63" t="str">
        <f>HYPERLINK("http://nsgreg.nga.mil/genc/view?v=868380&amp;end_month=12&amp;end_day=31&amp;end_year=2016","Correlation")</f>
        <v>Correlation</v>
      </c>
    </row>
    <row r="608" spans="1:13" x14ac:dyDescent="0.2">
      <c r="A608" s="113"/>
      <c r="B608" s="58" t="s">
        <v>2767</v>
      </c>
      <c r="C608" s="58" t="s">
        <v>1816</v>
      </c>
      <c r="D608" s="58" t="s">
        <v>2768</v>
      </c>
      <c r="E608" s="60" t="b">
        <v>1</v>
      </c>
      <c r="F608" s="80" t="s">
        <v>360</v>
      </c>
      <c r="G608" s="58" t="s">
        <v>2767</v>
      </c>
      <c r="H608" s="58" t="s">
        <v>1816</v>
      </c>
      <c r="I608" s="64" t="s">
        <v>2768</v>
      </c>
      <c r="J608" s="66"/>
      <c r="K608" s="66"/>
      <c r="L608" s="68"/>
      <c r="M608" s="63" t="str">
        <f>HYPERLINK("http://nsgreg.nga.mil/genc/view?v=868372&amp;end_month=12&amp;end_day=31&amp;end_year=2016","Correlation")</f>
        <v>Correlation</v>
      </c>
    </row>
    <row r="609" spans="1:13" x14ac:dyDescent="0.2">
      <c r="A609" s="113"/>
      <c r="B609" s="58" t="s">
        <v>2769</v>
      </c>
      <c r="C609" s="58" t="s">
        <v>1816</v>
      </c>
      <c r="D609" s="58" t="s">
        <v>2770</v>
      </c>
      <c r="E609" s="60" t="b">
        <v>1</v>
      </c>
      <c r="F609" s="80" t="s">
        <v>360</v>
      </c>
      <c r="G609" s="58" t="s">
        <v>2769</v>
      </c>
      <c r="H609" s="58" t="s">
        <v>1816</v>
      </c>
      <c r="I609" s="64" t="s">
        <v>2770</v>
      </c>
      <c r="J609" s="66"/>
      <c r="K609" s="66"/>
      <c r="L609" s="68"/>
      <c r="M609" s="63" t="str">
        <f>HYPERLINK("http://nsgreg.nga.mil/genc/view?v=868373&amp;end_month=12&amp;end_day=31&amp;end_year=2016","Correlation")</f>
        <v>Correlation</v>
      </c>
    </row>
    <row r="610" spans="1:13" x14ac:dyDescent="0.2">
      <c r="A610" s="113"/>
      <c r="B610" s="58" t="s">
        <v>2771</v>
      </c>
      <c r="C610" s="58" t="s">
        <v>1816</v>
      </c>
      <c r="D610" s="58" t="s">
        <v>2772</v>
      </c>
      <c r="E610" s="60" t="b">
        <v>1</v>
      </c>
      <c r="F610" s="80" t="s">
        <v>360</v>
      </c>
      <c r="G610" s="58" t="s">
        <v>2771</v>
      </c>
      <c r="H610" s="58" t="s">
        <v>1816</v>
      </c>
      <c r="I610" s="64" t="s">
        <v>2772</v>
      </c>
      <c r="J610" s="66"/>
      <c r="K610" s="66"/>
      <c r="L610" s="68"/>
      <c r="M610" s="63" t="str">
        <f>HYPERLINK("http://nsgreg.nga.mil/genc/view?v=868374&amp;end_month=12&amp;end_day=31&amp;end_year=2016","Correlation")</f>
        <v>Correlation</v>
      </c>
    </row>
    <row r="611" spans="1:13" x14ac:dyDescent="0.2">
      <c r="A611" s="113"/>
      <c r="B611" s="58" t="s">
        <v>2773</v>
      </c>
      <c r="C611" s="58" t="s">
        <v>1816</v>
      </c>
      <c r="D611" s="58" t="s">
        <v>2774</v>
      </c>
      <c r="E611" s="60" t="b">
        <v>1</v>
      </c>
      <c r="F611" s="80" t="s">
        <v>360</v>
      </c>
      <c r="G611" s="58" t="s">
        <v>2773</v>
      </c>
      <c r="H611" s="58" t="s">
        <v>1816</v>
      </c>
      <c r="I611" s="64" t="s">
        <v>2774</v>
      </c>
      <c r="J611" s="66"/>
      <c r="K611" s="66"/>
      <c r="L611" s="68"/>
      <c r="M611" s="63" t="str">
        <f>HYPERLINK("http://nsgreg.nga.mil/genc/view?v=868375&amp;end_month=12&amp;end_day=31&amp;end_year=2016","Correlation")</f>
        <v>Correlation</v>
      </c>
    </row>
    <row r="612" spans="1:13" x14ac:dyDescent="0.2">
      <c r="A612" s="113"/>
      <c r="B612" s="58" t="s">
        <v>2775</v>
      </c>
      <c r="C612" s="58" t="s">
        <v>1816</v>
      </c>
      <c r="D612" s="58" t="s">
        <v>2776</v>
      </c>
      <c r="E612" s="60" t="b">
        <v>1</v>
      </c>
      <c r="F612" s="80" t="s">
        <v>360</v>
      </c>
      <c r="G612" s="58" t="s">
        <v>2775</v>
      </c>
      <c r="H612" s="58" t="s">
        <v>1816</v>
      </c>
      <c r="I612" s="64" t="s">
        <v>2776</v>
      </c>
      <c r="J612" s="66"/>
      <c r="K612" s="66"/>
      <c r="L612" s="68"/>
      <c r="M612" s="63" t="str">
        <f>HYPERLINK("http://nsgreg.nga.mil/genc/view?v=868376&amp;end_month=12&amp;end_day=31&amp;end_year=2016","Correlation")</f>
        <v>Correlation</v>
      </c>
    </row>
    <row r="613" spans="1:13" x14ac:dyDescent="0.2">
      <c r="A613" s="113"/>
      <c r="B613" s="58" t="s">
        <v>2777</v>
      </c>
      <c r="C613" s="58" t="s">
        <v>1816</v>
      </c>
      <c r="D613" s="58" t="s">
        <v>2778</v>
      </c>
      <c r="E613" s="60" t="b">
        <v>1</v>
      </c>
      <c r="F613" s="80" t="s">
        <v>360</v>
      </c>
      <c r="G613" s="58" t="s">
        <v>2777</v>
      </c>
      <c r="H613" s="58" t="s">
        <v>1816</v>
      </c>
      <c r="I613" s="64" t="s">
        <v>2778</v>
      </c>
      <c r="J613" s="66"/>
      <c r="K613" s="66"/>
      <c r="L613" s="68"/>
      <c r="M613" s="63" t="str">
        <f>HYPERLINK("http://nsgreg.nga.mil/genc/view?v=868377&amp;end_month=12&amp;end_day=31&amp;end_year=2016","Correlation")</f>
        <v>Correlation</v>
      </c>
    </row>
    <row r="614" spans="1:13" x14ac:dyDescent="0.2">
      <c r="A614" s="113"/>
      <c r="B614" s="58" t="s">
        <v>2779</v>
      </c>
      <c r="C614" s="58" t="s">
        <v>1816</v>
      </c>
      <c r="D614" s="58" t="s">
        <v>2780</v>
      </c>
      <c r="E614" s="60" t="b">
        <v>1</v>
      </c>
      <c r="F614" s="80" t="s">
        <v>360</v>
      </c>
      <c r="G614" s="58" t="s">
        <v>2779</v>
      </c>
      <c r="H614" s="58" t="s">
        <v>1816</v>
      </c>
      <c r="I614" s="64" t="s">
        <v>2780</v>
      </c>
      <c r="J614" s="66"/>
      <c r="K614" s="66"/>
      <c r="L614" s="68"/>
      <c r="M614" s="63" t="str">
        <f>HYPERLINK("http://nsgreg.nga.mil/genc/view?v=868378&amp;end_month=12&amp;end_day=31&amp;end_year=2016","Correlation")</f>
        <v>Correlation</v>
      </c>
    </row>
    <row r="615" spans="1:13" x14ac:dyDescent="0.2">
      <c r="A615" s="113"/>
      <c r="B615" s="58" t="s">
        <v>2781</v>
      </c>
      <c r="C615" s="58" t="s">
        <v>1816</v>
      </c>
      <c r="D615" s="58" t="s">
        <v>2782</v>
      </c>
      <c r="E615" s="60" t="b">
        <v>1</v>
      </c>
      <c r="F615" s="80" t="s">
        <v>360</v>
      </c>
      <c r="G615" s="58" t="s">
        <v>2781</v>
      </c>
      <c r="H615" s="58" t="s">
        <v>1816</v>
      </c>
      <c r="I615" s="64" t="s">
        <v>2782</v>
      </c>
      <c r="J615" s="66"/>
      <c r="K615" s="66"/>
      <c r="L615" s="68"/>
      <c r="M615" s="63" t="str">
        <f>HYPERLINK("http://nsgreg.nga.mil/genc/view?v=868379&amp;end_month=12&amp;end_day=31&amp;end_year=2016","Correlation")</f>
        <v>Correlation</v>
      </c>
    </row>
    <row r="616" spans="1:13" x14ac:dyDescent="0.2">
      <c r="A616" s="113"/>
      <c r="B616" s="58" t="s">
        <v>2783</v>
      </c>
      <c r="C616" s="58" t="s">
        <v>1816</v>
      </c>
      <c r="D616" s="58" t="s">
        <v>2784</v>
      </c>
      <c r="E616" s="60" t="b">
        <v>1</v>
      </c>
      <c r="F616" s="80" t="s">
        <v>360</v>
      </c>
      <c r="G616" s="58" t="s">
        <v>2783</v>
      </c>
      <c r="H616" s="58" t="s">
        <v>1816</v>
      </c>
      <c r="I616" s="64" t="s">
        <v>2784</v>
      </c>
      <c r="J616" s="66"/>
      <c r="K616" s="66"/>
      <c r="L616" s="68"/>
      <c r="M616" s="63" t="str">
        <f>HYPERLINK("http://nsgreg.nga.mil/genc/view?v=868383&amp;end_month=12&amp;end_day=31&amp;end_year=2016","Correlation")</f>
        <v>Correlation</v>
      </c>
    </row>
    <row r="617" spans="1:13" x14ac:dyDescent="0.2">
      <c r="A617" s="113"/>
      <c r="B617" s="58" t="s">
        <v>2491</v>
      </c>
      <c r="C617" s="58" t="s">
        <v>1816</v>
      </c>
      <c r="D617" s="58" t="s">
        <v>2785</v>
      </c>
      <c r="E617" s="60" t="b">
        <v>1</v>
      </c>
      <c r="F617" s="80" t="s">
        <v>360</v>
      </c>
      <c r="G617" s="58" t="s">
        <v>2491</v>
      </c>
      <c r="H617" s="58" t="s">
        <v>1816</v>
      </c>
      <c r="I617" s="64" t="s">
        <v>2785</v>
      </c>
      <c r="J617" s="66"/>
      <c r="K617" s="66"/>
      <c r="L617" s="68"/>
      <c r="M617" s="63" t="str">
        <f>HYPERLINK("http://nsgreg.nga.mil/genc/view?v=868369&amp;end_month=12&amp;end_day=31&amp;end_year=2016","Correlation")</f>
        <v>Correlation</v>
      </c>
    </row>
    <row r="618" spans="1:13" x14ac:dyDescent="0.2">
      <c r="A618" s="113"/>
      <c r="B618" s="58" t="s">
        <v>2786</v>
      </c>
      <c r="C618" s="58" t="s">
        <v>1816</v>
      </c>
      <c r="D618" s="58" t="s">
        <v>2787</v>
      </c>
      <c r="E618" s="60" t="b">
        <v>1</v>
      </c>
      <c r="F618" s="80" t="s">
        <v>360</v>
      </c>
      <c r="G618" s="58" t="s">
        <v>2786</v>
      </c>
      <c r="H618" s="58" t="s">
        <v>1816</v>
      </c>
      <c r="I618" s="64" t="s">
        <v>2787</v>
      </c>
      <c r="J618" s="66"/>
      <c r="K618" s="66"/>
      <c r="L618" s="68"/>
      <c r="M618" s="63" t="str">
        <f>HYPERLINK("http://nsgreg.nga.mil/genc/view?v=868370&amp;end_month=12&amp;end_day=31&amp;end_year=2016","Correlation")</f>
        <v>Correlation</v>
      </c>
    </row>
    <row r="619" spans="1:13" x14ac:dyDescent="0.2">
      <c r="A619" s="113"/>
      <c r="B619" s="58" t="s">
        <v>1716</v>
      </c>
      <c r="C619" s="58" t="s">
        <v>1816</v>
      </c>
      <c r="D619" s="58" t="s">
        <v>2788</v>
      </c>
      <c r="E619" s="60" t="b">
        <v>1</v>
      </c>
      <c r="F619" s="80" t="s">
        <v>360</v>
      </c>
      <c r="G619" s="58" t="s">
        <v>1716</v>
      </c>
      <c r="H619" s="58" t="s">
        <v>1816</v>
      </c>
      <c r="I619" s="64" t="s">
        <v>2788</v>
      </c>
      <c r="J619" s="66"/>
      <c r="K619" s="66"/>
      <c r="L619" s="68"/>
      <c r="M619" s="63" t="str">
        <f>HYPERLINK("http://nsgreg.nga.mil/genc/view?v=868371&amp;end_month=12&amp;end_day=31&amp;end_year=2016","Correlation")</f>
        <v>Correlation</v>
      </c>
    </row>
    <row r="620" spans="1:13" x14ac:dyDescent="0.2">
      <c r="A620" s="113"/>
      <c r="B620" s="58" t="s">
        <v>2789</v>
      </c>
      <c r="C620" s="58" t="s">
        <v>1816</v>
      </c>
      <c r="D620" s="58" t="s">
        <v>2790</v>
      </c>
      <c r="E620" s="60" t="b">
        <v>1</v>
      </c>
      <c r="F620" s="80" t="s">
        <v>360</v>
      </c>
      <c r="G620" s="58" t="s">
        <v>2789</v>
      </c>
      <c r="H620" s="58" t="s">
        <v>1816</v>
      </c>
      <c r="I620" s="64" t="s">
        <v>2790</v>
      </c>
      <c r="J620" s="66"/>
      <c r="K620" s="66"/>
      <c r="L620" s="68"/>
      <c r="M620" s="63" t="str">
        <f>HYPERLINK("http://nsgreg.nga.mil/genc/view?v=868381&amp;end_month=12&amp;end_day=31&amp;end_year=2016","Correlation")</f>
        <v>Correlation</v>
      </c>
    </row>
    <row r="621" spans="1:13" x14ac:dyDescent="0.2">
      <c r="A621" s="113"/>
      <c r="B621" s="58" t="s">
        <v>2791</v>
      </c>
      <c r="C621" s="58" t="s">
        <v>1816</v>
      </c>
      <c r="D621" s="58" t="s">
        <v>2792</v>
      </c>
      <c r="E621" s="60" t="b">
        <v>1</v>
      </c>
      <c r="F621" s="80" t="s">
        <v>360</v>
      </c>
      <c r="G621" s="58" t="s">
        <v>2791</v>
      </c>
      <c r="H621" s="58" t="s">
        <v>1816</v>
      </c>
      <c r="I621" s="64" t="s">
        <v>2792</v>
      </c>
      <c r="J621" s="66"/>
      <c r="K621" s="66"/>
      <c r="L621" s="68"/>
      <c r="M621" s="63" t="str">
        <f>HYPERLINK("http://nsgreg.nga.mil/genc/view?v=868382&amp;end_month=12&amp;end_day=31&amp;end_year=2016","Correlation")</f>
        <v>Correlation</v>
      </c>
    </row>
    <row r="622" spans="1:13" x14ac:dyDescent="0.2">
      <c r="A622" s="113"/>
      <c r="B622" s="58" t="s">
        <v>2793</v>
      </c>
      <c r="C622" s="58" t="s">
        <v>1816</v>
      </c>
      <c r="D622" s="58" t="s">
        <v>2794</v>
      </c>
      <c r="E622" s="60" t="b">
        <v>1</v>
      </c>
      <c r="F622" s="80" t="s">
        <v>360</v>
      </c>
      <c r="G622" s="58" t="s">
        <v>2793</v>
      </c>
      <c r="H622" s="58" t="s">
        <v>1816</v>
      </c>
      <c r="I622" s="64" t="s">
        <v>2794</v>
      </c>
      <c r="J622" s="66"/>
      <c r="K622" s="66"/>
      <c r="L622" s="68"/>
      <c r="M622" s="63" t="str">
        <f>HYPERLINK("http://nsgreg.nga.mil/genc/view?v=868385&amp;end_month=12&amp;end_day=31&amp;end_year=2016","Correlation")</f>
        <v>Correlation</v>
      </c>
    </row>
    <row r="623" spans="1:13" x14ac:dyDescent="0.2">
      <c r="A623" s="113"/>
      <c r="B623" s="58" t="s">
        <v>2795</v>
      </c>
      <c r="C623" s="58" t="s">
        <v>1816</v>
      </c>
      <c r="D623" s="58" t="s">
        <v>2796</v>
      </c>
      <c r="E623" s="60" t="b">
        <v>1</v>
      </c>
      <c r="F623" s="80" t="s">
        <v>360</v>
      </c>
      <c r="G623" s="58" t="s">
        <v>2795</v>
      </c>
      <c r="H623" s="58" t="s">
        <v>1816</v>
      </c>
      <c r="I623" s="64" t="s">
        <v>2796</v>
      </c>
      <c r="J623" s="66"/>
      <c r="K623" s="66"/>
      <c r="L623" s="68"/>
      <c r="M623" s="63" t="str">
        <f>HYPERLINK("http://nsgreg.nga.mil/genc/view?v=868384&amp;end_month=12&amp;end_day=31&amp;end_year=2016","Correlation")</f>
        <v>Correlation</v>
      </c>
    </row>
    <row r="624" spans="1:13" x14ac:dyDescent="0.2">
      <c r="A624" s="113"/>
      <c r="B624" s="58" t="s">
        <v>2797</v>
      </c>
      <c r="C624" s="58" t="s">
        <v>1816</v>
      </c>
      <c r="D624" s="58" t="s">
        <v>2798</v>
      </c>
      <c r="E624" s="60" t="b">
        <v>1</v>
      </c>
      <c r="F624" s="80" t="s">
        <v>360</v>
      </c>
      <c r="G624" s="58" t="s">
        <v>2797</v>
      </c>
      <c r="H624" s="58" t="s">
        <v>1816</v>
      </c>
      <c r="I624" s="64" t="s">
        <v>2798</v>
      </c>
      <c r="J624" s="66"/>
      <c r="K624" s="66"/>
      <c r="L624" s="68"/>
      <c r="M624" s="63" t="str">
        <f>HYPERLINK("http://nsgreg.nga.mil/genc/view?v=868386&amp;end_month=12&amp;end_day=31&amp;end_year=2016","Correlation")</f>
        <v>Correlation</v>
      </c>
    </row>
    <row r="625" spans="1:13" x14ac:dyDescent="0.2">
      <c r="A625" s="113"/>
      <c r="B625" s="58" t="s">
        <v>2799</v>
      </c>
      <c r="C625" s="58" t="s">
        <v>1816</v>
      </c>
      <c r="D625" s="58" t="s">
        <v>2800</v>
      </c>
      <c r="E625" s="60" t="b">
        <v>1</v>
      </c>
      <c r="F625" s="80" t="s">
        <v>360</v>
      </c>
      <c r="G625" s="58" t="s">
        <v>2799</v>
      </c>
      <c r="H625" s="58" t="s">
        <v>1816</v>
      </c>
      <c r="I625" s="64" t="s">
        <v>2800</v>
      </c>
      <c r="J625" s="66"/>
      <c r="K625" s="66"/>
      <c r="L625" s="68"/>
      <c r="M625" s="63" t="str">
        <f>HYPERLINK("http://nsgreg.nga.mil/genc/view?v=868387&amp;end_month=12&amp;end_day=31&amp;end_year=2016","Correlation")</f>
        <v>Correlation</v>
      </c>
    </row>
    <row r="626" spans="1:13" x14ac:dyDescent="0.2">
      <c r="A626" s="113"/>
      <c r="B626" s="58" t="s">
        <v>2801</v>
      </c>
      <c r="C626" s="58" t="s">
        <v>1816</v>
      </c>
      <c r="D626" s="58" t="s">
        <v>2802</v>
      </c>
      <c r="E626" s="60" t="b">
        <v>1</v>
      </c>
      <c r="F626" s="80" t="s">
        <v>360</v>
      </c>
      <c r="G626" s="58" t="s">
        <v>2801</v>
      </c>
      <c r="H626" s="58" t="s">
        <v>1816</v>
      </c>
      <c r="I626" s="64" t="s">
        <v>2802</v>
      </c>
      <c r="J626" s="66"/>
      <c r="K626" s="66"/>
      <c r="L626" s="68"/>
      <c r="M626" s="63" t="str">
        <f>HYPERLINK("http://nsgreg.nga.mil/genc/view?v=868388&amp;end_month=12&amp;end_day=31&amp;end_year=2016","Correlation")</f>
        <v>Correlation</v>
      </c>
    </row>
    <row r="627" spans="1:13" x14ac:dyDescent="0.2">
      <c r="A627" s="114"/>
      <c r="B627" s="71" t="s">
        <v>2803</v>
      </c>
      <c r="C627" s="71" t="s">
        <v>1816</v>
      </c>
      <c r="D627" s="71" t="s">
        <v>2804</v>
      </c>
      <c r="E627" s="73" t="b">
        <v>1</v>
      </c>
      <c r="F627" s="81" t="s">
        <v>360</v>
      </c>
      <c r="G627" s="71" t="s">
        <v>2803</v>
      </c>
      <c r="H627" s="71" t="s">
        <v>1816</v>
      </c>
      <c r="I627" s="74" t="s">
        <v>2804</v>
      </c>
      <c r="J627" s="76"/>
      <c r="K627" s="76"/>
      <c r="L627" s="82"/>
      <c r="M627" s="77" t="str">
        <f>HYPERLINK("http://nsgreg.nga.mil/genc/view?v=868389&amp;end_month=12&amp;end_day=31&amp;end_year=2016","Correlation")</f>
        <v>Correlation</v>
      </c>
    </row>
    <row r="628" spans="1:13" x14ac:dyDescent="0.2">
      <c r="A628" s="112" t="s">
        <v>364</v>
      </c>
      <c r="B628" s="50" t="s">
        <v>2810</v>
      </c>
      <c r="C628" s="50" t="s">
        <v>1413</v>
      </c>
      <c r="D628" s="50" t="s">
        <v>2809</v>
      </c>
      <c r="E628" s="52" t="b">
        <v>1</v>
      </c>
      <c r="F628" s="78" t="s">
        <v>364</v>
      </c>
      <c r="G628" s="50" t="s">
        <v>2808</v>
      </c>
      <c r="H628" s="50" t="s">
        <v>1413</v>
      </c>
      <c r="I628" s="53" t="s">
        <v>2809</v>
      </c>
      <c r="J628" s="55"/>
      <c r="K628" s="55"/>
      <c r="L628" s="79"/>
      <c r="M628" s="56" t="str">
        <f>HYPERLINK("http://nsgreg.nga.mil/genc/view?v=869875&amp;end_month=12&amp;end_day=31&amp;end_year=2016","Correlation")</f>
        <v>Correlation</v>
      </c>
    </row>
    <row r="629" spans="1:13" x14ac:dyDescent="0.2">
      <c r="A629" s="113"/>
      <c r="B629" s="58" t="s">
        <v>2807</v>
      </c>
      <c r="C629" s="58" t="s">
        <v>1413</v>
      </c>
      <c r="D629" s="58" t="s">
        <v>2806</v>
      </c>
      <c r="E629" s="60" t="b">
        <v>1</v>
      </c>
      <c r="F629" s="80" t="s">
        <v>364</v>
      </c>
      <c r="G629" s="58" t="s">
        <v>2805</v>
      </c>
      <c r="H629" s="58" t="s">
        <v>1413</v>
      </c>
      <c r="I629" s="64" t="s">
        <v>2806</v>
      </c>
      <c r="J629" s="66"/>
      <c r="K629" s="66"/>
      <c r="L629" s="68"/>
      <c r="M629" s="63" t="str">
        <f>HYPERLINK("http://nsgreg.nga.mil/genc/view?v=869864&amp;end_month=12&amp;end_day=31&amp;end_year=2016","Correlation")</f>
        <v>Correlation</v>
      </c>
    </row>
    <row r="630" spans="1:13" x14ac:dyDescent="0.2">
      <c r="A630" s="113"/>
      <c r="B630" s="58" t="s">
        <v>2813</v>
      </c>
      <c r="C630" s="58" t="s">
        <v>1413</v>
      </c>
      <c r="D630" s="58" t="s">
        <v>2812</v>
      </c>
      <c r="E630" s="60" t="b">
        <v>1</v>
      </c>
      <c r="F630" s="80" t="s">
        <v>364</v>
      </c>
      <c r="G630" s="58" t="s">
        <v>2811</v>
      </c>
      <c r="H630" s="58" t="s">
        <v>1413</v>
      </c>
      <c r="I630" s="64" t="s">
        <v>2812</v>
      </c>
      <c r="J630" s="66"/>
      <c r="K630" s="66"/>
      <c r="L630" s="68"/>
      <c r="M630" s="63" t="str">
        <f>HYPERLINK("http://nsgreg.nga.mil/genc/view?v=869882&amp;end_month=12&amp;end_day=31&amp;end_year=2016","Correlation")</f>
        <v>Correlation</v>
      </c>
    </row>
    <row r="631" spans="1:13" x14ac:dyDescent="0.2">
      <c r="A631" s="113"/>
      <c r="B631" s="58" t="s">
        <v>2814</v>
      </c>
      <c r="C631" s="58" t="s">
        <v>1413</v>
      </c>
      <c r="D631" s="58" t="s">
        <v>2815</v>
      </c>
      <c r="E631" s="60" t="b">
        <v>1</v>
      </c>
      <c r="F631" s="80" t="s">
        <v>364</v>
      </c>
      <c r="G631" s="58" t="s">
        <v>2814</v>
      </c>
      <c r="H631" s="58" t="s">
        <v>1413</v>
      </c>
      <c r="I631" s="64" t="s">
        <v>2815</v>
      </c>
      <c r="J631" s="66"/>
      <c r="K631" s="66"/>
      <c r="L631" s="68"/>
      <c r="M631" s="63" t="str">
        <f>HYPERLINK("http://nsgreg.nga.mil/genc/view?v=869883&amp;end_month=12&amp;end_day=31&amp;end_year=2016","Correlation")</f>
        <v>Correlation</v>
      </c>
    </row>
    <row r="632" spans="1:13" x14ac:dyDescent="0.2">
      <c r="A632" s="113"/>
      <c r="B632" s="58" t="s">
        <v>2818</v>
      </c>
      <c r="C632" s="58" t="s">
        <v>1413</v>
      </c>
      <c r="D632" s="58" t="s">
        <v>2817</v>
      </c>
      <c r="E632" s="60" t="b">
        <v>1</v>
      </c>
      <c r="F632" s="80" t="s">
        <v>364</v>
      </c>
      <c r="G632" s="58" t="s">
        <v>2816</v>
      </c>
      <c r="H632" s="58" t="s">
        <v>1413</v>
      </c>
      <c r="I632" s="64" t="s">
        <v>2817</v>
      </c>
      <c r="J632" s="66"/>
      <c r="K632" s="66"/>
      <c r="L632" s="68"/>
      <c r="M632" s="63" t="str">
        <f>HYPERLINK("http://nsgreg.nga.mil/genc/view?v=869884&amp;end_month=12&amp;end_day=31&amp;end_year=2016","Correlation")</f>
        <v>Correlation</v>
      </c>
    </row>
    <row r="633" spans="1:13" x14ac:dyDescent="0.2">
      <c r="A633" s="113"/>
      <c r="B633" s="58" t="s">
        <v>2821</v>
      </c>
      <c r="C633" s="58" t="s">
        <v>1413</v>
      </c>
      <c r="D633" s="58" t="s">
        <v>2820</v>
      </c>
      <c r="E633" s="60" t="b">
        <v>1</v>
      </c>
      <c r="F633" s="80" t="s">
        <v>364</v>
      </c>
      <c r="G633" s="58" t="s">
        <v>2819</v>
      </c>
      <c r="H633" s="58" t="s">
        <v>1413</v>
      </c>
      <c r="I633" s="64" t="s">
        <v>2820</v>
      </c>
      <c r="J633" s="66"/>
      <c r="K633" s="66"/>
      <c r="L633" s="68"/>
      <c r="M633" s="63" t="str">
        <f>HYPERLINK("http://nsgreg.nga.mil/genc/view?v=869885&amp;end_month=12&amp;end_day=31&amp;end_year=2016","Correlation")</f>
        <v>Correlation</v>
      </c>
    </row>
    <row r="634" spans="1:13" x14ac:dyDescent="0.2">
      <c r="A634" s="113"/>
      <c r="B634" s="58" t="s">
        <v>2822</v>
      </c>
      <c r="C634" s="58" t="s">
        <v>1413</v>
      </c>
      <c r="D634" s="58" t="s">
        <v>2823</v>
      </c>
      <c r="E634" s="60" t="b">
        <v>1</v>
      </c>
      <c r="F634" s="80" t="s">
        <v>364</v>
      </c>
      <c r="G634" s="58" t="s">
        <v>2822</v>
      </c>
      <c r="H634" s="58" t="s">
        <v>1413</v>
      </c>
      <c r="I634" s="64" t="s">
        <v>2823</v>
      </c>
      <c r="J634" s="66"/>
      <c r="K634" s="66"/>
      <c r="L634" s="68"/>
      <c r="M634" s="63" t="str">
        <f>HYPERLINK("http://nsgreg.nga.mil/genc/view?v=869886&amp;end_month=12&amp;end_day=31&amp;end_year=2016","Correlation")</f>
        <v>Correlation</v>
      </c>
    </row>
    <row r="635" spans="1:13" x14ac:dyDescent="0.2">
      <c r="A635" s="113"/>
      <c r="B635" s="58" t="s">
        <v>2826</v>
      </c>
      <c r="C635" s="58" t="s">
        <v>1413</v>
      </c>
      <c r="D635" s="58" t="s">
        <v>2825</v>
      </c>
      <c r="E635" s="60" t="b">
        <v>1</v>
      </c>
      <c r="F635" s="80" t="s">
        <v>364</v>
      </c>
      <c r="G635" s="58" t="s">
        <v>2824</v>
      </c>
      <c r="H635" s="58" t="s">
        <v>1413</v>
      </c>
      <c r="I635" s="64" t="s">
        <v>2825</v>
      </c>
      <c r="J635" s="66"/>
      <c r="K635" s="66"/>
      <c r="L635" s="68"/>
      <c r="M635" s="63" t="str">
        <f>HYPERLINK("http://nsgreg.nga.mil/genc/view?v=869887&amp;end_month=12&amp;end_day=31&amp;end_year=2016","Correlation")</f>
        <v>Correlation</v>
      </c>
    </row>
    <row r="636" spans="1:13" x14ac:dyDescent="0.2">
      <c r="A636" s="113"/>
      <c r="B636" s="58" t="s">
        <v>2832</v>
      </c>
      <c r="C636" s="58" t="s">
        <v>1413</v>
      </c>
      <c r="D636" s="58" t="s">
        <v>2831</v>
      </c>
      <c r="E636" s="60" t="b">
        <v>1</v>
      </c>
      <c r="F636" s="80" t="s">
        <v>364</v>
      </c>
      <c r="G636" s="58" t="s">
        <v>2830</v>
      </c>
      <c r="H636" s="58" t="s">
        <v>1413</v>
      </c>
      <c r="I636" s="64" t="s">
        <v>2831</v>
      </c>
      <c r="J636" s="66"/>
      <c r="K636" s="66"/>
      <c r="L636" s="68"/>
      <c r="M636" s="63" t="str">
        <f>HYPERLINK("http://nsgreg.nga.mil/genc/view?v=869888&amp;end_month=12&amp;end_day=31&amp;end_year=2016","Correlation")</f>
        <v>Correlation</v>
      </c>
    </row>
    <row r="637" spans="1:13" x14ac:dyDescent="0.2">
      <c r="A637" s="113"/>
      <c r="B637" s="58" t="s">
        <v>2835</v>
      </c>
      <c r="C637" s="58" t="s">
        <v>1413</v>
      </c>
      <c r="D637" s="58" t="s">
        <v>2834</v>
      </c>
      <c r="E637" s="60" t="b">
        <v>1</v>
      </c>
      <c r="F637" s="80" t="s">
        <v>364</v>
      </c>
      <c r="G637" s="58" t="s">
        <v>2833</v>
      </c>
      <c r="H637" s="58" t="s">
        <v>1413</v>
      </c>
      <c r="I637" s="64" t="s">
        <v>2834</v>
      </c>
      <c r="J637" s="66"/>
      <c r="K637" s="66"/>
      <c r="L637" s="68"/>
      <c r="M637" s="63" t="str">
        <f>HYPERLINK("http://nsgreg.nga.mil/genc/view?v=869865&amp;end_month=12&amp;end_day=31&amp;end_year=2016","Correlation")</f>
        <v>Correlation</v>
      </c>
    </row>
    <row r="638" spans="1:13" x14ac:dyDescent="0.2">
      <c r="A638" s="113"/>
      <c r="B638" s="58" t="s">
        <v>2829</v>
      </c>
      <c r="C638" s="58" t="s">
        <v>1413</v>
      </c>
      <c r="D638" s="58" t="s">
        <v>2828</v>
      </c>
      <c r="E638" s="60" t="b">
        <v>1</v>
      </c>
      <c r="F638" s="80" t="s">
        <v>364</v>
      </c>
      <c r="G638" s="58" t="s">
        <v>2827</v>
      </c>
      <c r="H638" s="58" t="s">
        <v>1413</v>
      </c>
      <c r="I638" s="64" t="s">
        <v>2828</v>
      </c>
      <c r="J638" s="66"/>
      <c r="K638" s="66"/>
      <c r="L638" s="68"/>
      <c r="M638" s="63" t="str">
        <f>HYPERLINK("http://nsgreg.nga.mil/genc/view?v=869879&amp;end_month=12&amp;end_day=31&amp;end_year=2016","Correlation")</f>
        <v>Correlation</v>
      </c>
    </row>
    <row r="639" spans="1:13" x14ac:dyDescent="0.2">
      <c r="A639" s="113"/>
      <c r="B639" s="58" t="s">
        <v>2844</v>
      </c>
      <c r="C639" s="58" t="s">
        <v>1413</v>
      </c>
      <c r="D639" s="58" t="s">
        <v>2843</v>
      </c>
      <c r="E639" s="60" t="b">
        <v>1</v>
      </c>
      <c r="F639" s="80" t="s">
        <v>364</v>
      </c>
      <c r="G639" s="58" t="s">
        <v>2842</v>
      </c>
      <c r="H639" s="58" t="s">
        <v>1413</v>
      </c>
      <c r="I639" s="64" t="s">
        <v>2843</v>
      </c>
      <c r="J639" s="66"/>
      <c r="K639" s="66"/>
      <c r="L639" s="68"/>
      <c r="M639" s="63" t="str">
        <f>HYPERLINK("http://nsgreg.nga.mil/genc/view?v=869880&amp;end_month=12&amp;end_day=31&amp;end_year=2016","Correlation")</f>
        <v>Correlation</v>
      </c>
    </row>
    <row r="640" spans="1:13" x14ac:dyDescent="0.2">
      <c r="A640" s="113"/>
      <c r="B640" s="58" t="s">
        <v>2864</v>
      </c>
      <c r="C640" s="58" t="s">
        <v>1413</v>
      </c>
      <c r="D640" s="58" t="s">
        <v>2863</v>
      </c>
      <c r="E640" s="60" t="b">
        <v>1</v>
      </c>
      <c r="F640" s="80" t="s">
        <v>364</v>
      </c>
      <c r="G640" s="58" t="s">
        <v>2862</v>
      </c>
      <c r="H640" s="58" t="s">
        <v>1413</v>
      </c>
      <c r="I640" s="64" t="s">
        <v>2863</v>
      </c>
      <c r="J640" s="66"/>
      <c r="K640" s="66"/>
      <c r="L640" s="68"/>
      <c r="M640" s="63" t="str">
        <f>HYPERLINK("http://nsgreg.nga.mil/genc/view?v=869873&amp;end_month=12&amp;end_day=31&amp;end_year=2016","Correlation")</f>
        <v>Correlation</v>
      </c>
    </row>
    <row r="641" spans="1:13" x14ac:dyDescent="0.2">
      <c r="A641" s="113"/>
      <c r="B641" s="58" t="s">
        <v>2838</v>
      </c>
      <c r="C641" s="58" t="s">
        <v>1413</v>
      </c>
      <c r="D641" s="58" t="s">
        <v>2837</v>
      </c>
      <c r="E641" s="60" t="b">
        <v>1</v>
      </c>
      <c r="F641" s="80" t="s">
        <v>364</v>
      </c>
      <c r="G641" s="58" t="s">
        <v>2836</v>
      </c>
      <c r="H641" s="58" t="s">
        <v>1413</v>
      </c>
      <c r="I641" s="64" t="s">
        <v>2837</v>
      </c>
      <c r="J641" s="66"/>
      <c r="K641" s="66"/>
      <c r="L641" s="68"/>
      <c r="M641" s="63" t="str">
        <f>HYPERLINK("http://nsgreg.nga.mil/genc/view?v=869866&amp;end_month=12&amp;end_day=31&amp;end_year=2016","Correlation")</f>
        <v>Correlation</v>
      </c>
    </row>
    <row r="642" spans="1:13" x14ac:dyDescent="0.2">
      <c r="A642" s="113"/>
      <c r="B642" s="58" t="s">
        <v>2841</v>
      </c>
      <c r="C642" s="58" t="s">
        <v>1413</v>
      </c>
      <c r="D642" s="58" t="s">
        <v>2840</v>
      </c>
      <c r="E642" s="60" t="b">
        <v>1</v>
      </c>
      <c r="F642" s="80" t="s">
        <v>364</v>
      </c>
      <c r="G642" s="58" t="s">
        <v>2839</v>
      </c>
      <c r="H642" s="58" t="s">
        <v>1413</v>
      </c>
      <c r="I642" s="64" t="s">
        <v>2840</v>
      </c>
      <c r="J642" s="66"/>
      <c r="K642" s="66"/>
      <c r="L642" s="68"/>
      <c r="M642" s="63" t="str">
        <f>HYPERLINK("http://nsgreg.nga.mil/genc/view?v=869878&amp;end_month=12&amp;end_day=31&amp;end_year=2016","Correlation")</f>
        <v>Correlation</v>
      </c>
    </row>
    <row r="643" spans="1:13" x14ac:dyDescent="0.2">
      <c r="A643" s="113"/>
      <c r="B643" s="58" t="s">
        <v>2845</v>
      </c>
      <c r="C643" s="58" t="s">
        <v>2847</v>
      </c>
      <c r="D643" s="58" t="s">
        <v>2846</v>
      </c>
      <c r="E643" s="60" t="b">
        <v>1</v>
      </c>
      <c r="F643" s="80" t="s">
        <v>364</v>
      </c>
      <c r="G643" s="58" t="s">
        <v>2845</v>
      </c>
      <c r="H643" s="58" t="s">
        <v>1816</v>
      </c>
      <c r="I643" s="64" t="s">
        <v>2846</v>
      </c>
      <c r="J643" s="66"/>
      <c r="K643" s="66"/>
      <c r="L643" s="68"/>
      <c r="M643" s="63" t="str">
        <f>HYPERLINK("http://nsgreg.nga.mil/genc/view?v=869867&amp;end_month=12&amp;end_day=31&amp;end_year=2016","Correlation")</f>
        <v>Correlation</v>
      </c>
    </row>
    <row r="644" spans="1:13" x14ac:dyDescent="0.2">
      <c r="A644" s="113"/>
      <c r="B644" s="58" t="s">
        <v>2855</v>
      </c>
      <c r="C644" s="58" t="s">
        <v>1413</v>
      </c>
      <c r="D644" s="58" t="s">
        <v>2854</v>
      </c>
      <c r="E644" s="60" t="b">
        <v>1</v>
      </c>
      <c r="F644" s="80" t="s">
        <v>364</v>
      </c>
      <c r="G644" s="58" t="s">
        <v>2853</v>
      </c>
      <c r="H644" s="58" t="s">
        <v>1413</v>
      </c>
      <c r="I644" s="64" t="s">
        <v>2854</v>
      </c>
      <c r="J644" s="66"/>
      <c r="K644" s="66"/>
      <c r="L644" s="68"/>
      <c r="M644" s="63" t="str">
        <f>HYPERLINK("http://nsgreg.nga.mil/genc/view?v=869870&amp;end_month=12&amp;end_day=31&amp;end_year=2016","Correlation")</f>
        <v>Correlation</v>
      </c>
    </row>
    <row r="645" spans="1:13" x14ac:dyDescent="0.2">
      <c r="A645" s="113"/>
      <c r="B645" s="58" t="s">
        <v>2848</v>
      </c>
      <c r="C645" s="58" t="s">
        <v>1413</v>
      </c>
      <c r="D645" s="58" t="s">
        <v>2849</v>
      </c>
      <c r="E645" s="60" t="b">
        <v>1</v>
      </c>
      <c r="F645" s="80" t="s">
        <v>364</v>
      </c>
      <c r="G645" s="58" t="s">
        <v>2848</v>
      </c>
      <c r="H645" s="58" t="s">
        <v>1413</v>
      </c>
      <c r="I645" s="64" t="s">
        <v>2849</v>
      </c>
      <c r="J645" s="66"/>
      <c r="K645" s="66"/>
      <c r="L645" s="68"/>
      <c r="M645" s="63" t="str">
        <f>HYPERLINK("http://nsgreg.nga.mil/genc/view?v=869868&amp;end_month=12&amp;end_day=31&amp;end_year=2016","Correlation")</f>
        <v>Correlation</v>
      </c>
    </row>
    <row r="646" spans="1:13" x14ac:dyDescent="0.2">
      <c r="A646" s="113"/>
      <c r="B646" s="58" t="s">
        <v>2852</v>
      </c>
      <c r="C646" s="58" t="s">
        <v>1413</v>
      </c>
      <c r="D646" s="58" t="s">
        <v>2851</v>
      </c>
      <c r="E646" s="60" t="b">
        <v>1</v>
      </c>
      <c r="F646" s="80" t="s">
        <v>364</v>
      </c>
      <c r="G646" s="58" t="s">
        <v>2850</v>
      </c>
      <c r="H646" s="58" t="s">
        <v>1413</v>
      </c>
      <c r="I646" s="64" t="s">
        <v>2851</v>
      </c>
      <c r="J646" s="66"/>
      <c r="K646" s="66"/>
      <c r="L646" s="68"/>
      <c r="M646" s="63" t="str">
        <f>HYPERLINK("http://nsgreg.nga.mil/genc/view?v=869869&amp;end_month=12&amp;end_day=31&amp;end_year=2016","Correlation")</f>
        <v>Correlation</v>
      </c>
    </row>
    <row r="647" spans="1:13" x14ac:dyDescent="0.2">
      <c r="A647" s="113"/>
      <c r="B647" s="58" t="s">
        <v>2858</v>
      </c>
      <c r="C647" s="58" t="s">
        <v>1413</v>
      </c>
      <c r="D647" s="58" t="s">
        <v>2857</v>
      </c>
      <c r="E647" s="60" t="b">
        <v>1</v>
      </c>
      <c r="F647" s="80" t="s">
        <v>364</v>
      </c>
      <c r="G647" s="58" t="s">
        <v>2856</v>
      </c>
      <c r="H647" s="58" t="s">
        <v>1413</v>
      </c>
      <c r="I647" s="64" t="s">
        <v>2857</v>
      </c>
      <c r="J647" s="66"/>
      <c r="K647" s="66"/>
      <c r="L647" s="68"/>
      <c r="M647" s="63" t="str">
        <f>HYPERLINK("http://nsgreg.nga.mil/genc/view?v=869871&amp;end_month=12&amp;end_day=31&amp;end_year=2016","Correlation")</f>
        <v>Correlation</v>
      </c>
    </row>
    <row r="648" spans="1:13" x14ac:dyDescent="0.2">
      <c r="A648" s="113"/>
      <c r="B648" s="58" t="s">
        <v>2861</v>
      </c>
      <c r="C648" s="58" t="s">
        <v>1413</v>
      </c>
      <c r="D648" s="58" t="s">
        <v>2860</v>
      </c>
      <c r="E648" s="60" t="b">
        <v>1</v>
      </c>
      <c r="F648" s="80" t="s">
        <v>364</v>
      </c>
      <c r="G648" s="58" t="s">
        <v>2859</v>
      </c>
      <c r="H648" s="58" t="s">
        <v>1413</v>
      </c>
      <c r="I648" s="64" t="s">
        <v>2860</v>
      </c>
      <c r="J648" s="66"/>
      <c r="K648" s="66"/>
      <c r="L648" s="68"/>
      <c r="M648" s="63" t="str">
        <f>HYPERLINK("http://nsgreg.nga.mil/genc/view?v=869872&amp;end_month=12&amp;end_day=31&amp;end_year=2016","Correlation")</f>
        <v>Correlation</v>
      </c>
    </row>
    <row r="649" spans="1:13" x14ac:dyDescent="0.2">
      <c r="A649" s="113"/>
      <c r="B649" s="58" t="s">
        <v>2867</v>
      </c>
      <c r="C649" s="58" t="s">
        <v>1413</v>
      </c>
      <c r="D649" s="58" t="s">
        <v>2866</v>
      </c>
      <c r="E649" s="60" t="b">
        <v>1</v>
      </c>
      <c r="F649" s="80" t="s">
        <v>364</v>
      </c>
      <c r="G649" s="58" t="s">
        <v>2865</v>
      </c>
      <c r="H649" s="58" t="s">
        <v>1413</v>
      </c>
      <c r="I649" s="64" t="s">
        <v>2866</v>
      </c>
      <c r="J649" s="66"/>
      <c r="K649" s="66"/>
      <c r="L649" s="68"/>
      <c r="M649" s="63" t="str">
        <f>HYPERLINK("http://nsgreg.nga.mil/genc/view?v=869874&amp;end_month=12&amp;end_day=31&amp;end_year=2016","Correlation")</f>
        <v>Correlation</v>
      </c>
    </row>
    <row r="650" spans="1:13" x14ac:dyDescent="0.2">
      <c r="A650" s="113"/>
      <c r="B650" s="58" t="s">
        <v>2870</v>
      </c>
      <c r="C650" s="58" t="s">
        <v>1413</v>
      </c>
      <c r="D650" s="58" t="s">
        <v>2869</v>
      </c>
      <c r="E650" s="60" t="b">
        <v>1</v>
      </c>
      <c r="F650" s="80" t="s">
        <v>364</v>
      </c>
      <c r="G650" s="58" t="s">
        <v>2868</v>
      </c>
      <c r="H650" s="58" t="s">
        <v>1413</v>
      </c>
      <c r="I650" s="64" t="s">
        <v>2869</v>
      </c>
      <c r="J650" s="66"/>
      <c r="K650" s="66"/>
      <c r="L650" s="68"/>
      <c r="M650" s="63" t="str">
        <f>HYPERLINK("http://nsgreg.nga.mil/genc/view?v=869876&amp;end_month=12&amp;end_day=31&amp;end_year=2016","Correlation")</f>
        <v>Correlation</v>
      </c>
    </row>
    <row r="651" spans="1:13" x14ac:dyDescent="0.2">
      <c r="A651" s="113"/>
      <c r="B651" s="58" t="s">
        <v>2873</v>
      </c>
      <c r="C651" s="58" t="s">
        <v>1413</v>
      </c>
      <c r="D651" s="58" t="s">
        <v>2872</v>
      </c>
      <c r="E651" s="60" t="b">
        <v>1</v>
      </c>
      <c r="F651" s="80" t="s">
        <v>364</v>
      </c>
      <c r="G651" s="58" t="s">
        <v>2871</v>
      </c>
      <c r="H651" s="58" t="s">
        <v>1413</v>
      </c>
      <c r="I651" s="64" t="s">
        <v>2872</v>
      </c>
      <c r="J651" s="66"/>
      <c r="K651" s="66"/>
      <c r="L651" s="68"/>
      <c r="M651" s="63" t="str">
        <f>HYPERLINK("http://nsgreg.nga.mil/genc/view?v=869877&amp;end_month=12&amp;end_day=31&amp;end_year=2016","Correlation")</f>
        <v>Correlation</v>
      </c>
    </row>
    <row r="652" spans="1:13" x14ac:dyDescent="0.2">
      <c r="A652" s="114"/>
      <c r="B652" s="71" t="s">
        <v>2874</v>
      </c>
      <c r="C652" s="71" t="s">
        <v>1413</v>
      </c>
      <c r="D652" s="71" t="s">
        <v>2875</v>
      </c>
      <c r="E652" s="73" t="b">
        <v>1</v>
      </c>
      <c r="F652" s="81" t="s">
        <v>364</v>
      </c>
      <c r="G652" s="71" t="s">
        <v>2874</v>
      </c>
      <c r="H652" s="71" t="s">
        <v>1413</v>
      </c>
      <c r="I652" s="74" t="s">
        <v>2875</v>
      </c>
      <c r="J652" s="76"/>
      <c r="K652" s="76"/>
      <c r="L652" s="82"/>
      <c r="M652" s="77" t="str">
        <f>HYPERLINK("http://nsgreg.nga.mil/genc/view?v=869881&amp;end_month=12&amp;end_day=31&amp;end_year=2016","Correlation")</f>
        <v>Correlation</v>
      </c>
    </row>
    <row r="653" spans="1:13" x14ac:dyDescent="0.2">
      <c r="A653" s="112" t="s">
        <v>368</v>
      </c>
      <c r="B653" s="50" t="s">
        <v>2876</v>
      </c>
      <c r="C653" s="50" t="s">
        <v>1728</v>
      </c>
      <c r="D653" s="50" t="s">
        <v>2877</v>
      </c>
      <c r="E653" s="52" t="b">
        <v>1</v>
      </c>
      <c r="F653" s="78" t="s">
        <v>368</v>
      </c>
      <c r="G653" s="50" t="s">
        <v>2876</v>
      </c>
      <c r="H653" s="50" t="s">
        <v>1728</v>
      </c>
      <c r="I653" s="53" t="s">
        <v>2877</v>
      </c>
      <c r="J653" s="55"/>
      <c r="K653" s="55"/>
      <c r="L653" s="79"/>
      <c r="M653" s="56" t="str">
        <f>HYPERLINK("http://nsgreg.nga.mil/genc/view?v=868266&amp;end_month=12&amp;end_day=31&amp;end_year=2016","Correlation")</f>
        <v>Correlation</v>
      </c>
    </row>
    <row r="654" spans="1:13" x14ac:dyDescent="0.2">
      <c r="A654" s="113"/>
      <c r="B654" s="58" t="s">
        <v>2583</v>
      </c>
      <c r="C654" s="58" t="s">
        <v>1728</v>
      </c>
      <c r="D654" s="58" t="s">
        <v>2878</v>
      </c>
      <c r="E654" s="60" t="b">
        <v>1</v>
      </c>
      <c r="F654" s="80" t="s">
        <v>368</v>
      </c>
      <c r="G654" s="58" t="s">
        <v>2583</v>
      </c>
      <c r="H654" s="58" t="s">
        <v>1728</v>
      </c>
      <c r="I654" s="64" t="s">
        <v>2878</v>
      </c>
      <c r="J654" s="66"/>
      <c r="K654" s="66"/>
      <c r="L654" s="68"/>
      <c r="M654" s="63" t="str">
        <f>HYPERLINK("http://nsgreg.nga.mil/genc/view?v=868267&amp;end_month=12&amp;end_day=31&amp;end_year=2016","Correlation")</f>
        <v>Correlation</v>
      </c>
    </row>
    <row r="655" spans="1:13" x14ac:dyDescent="0.2">
      <c r="A655" s="113"/>
      <c r="B655" s="58" t="s">
        <v>2880</v>
      </c>
      <c r="C655" s="58" t="s">
        <v>1728</v>
      </c>
      <c r="D655" s="58" t="s">
        <v>2879</v>
      </c>
      <c r="E655" s="60" t="b">
        <v>1</v>
      </c>
      <c r="F655" s="80" t="s">
        <v>368</v>
      </c>
      <c r="G655" s="58" t="s">
        <v>2595</v>
      </c>
      <c r="H655" s="58" t="s">
        <v>1728</v>
      </c>
      <c r="I655" s="64" t="s">
        <v>2879</v>
      </c>
      <c r="J655" s="66"/>
      <c r="K655" s="66"/>
      <c r="L655" s="68"/>
      <c r="M655" s="63" t="str">
        <f>HYPERLINK("http://nsgreg.nga.mil/genc/view?v=868269&amp;end_month=12&amp;end_day=31&amp;end_year=2016","Correlation")</f>
        <v>Correlation</v>
      </c>
    </row>
    <row r="656" spans="1:13" x14ac:dyDescent="0.2">
      <c r="A656" s="113"/>
      <c r="B656" s="58" t="s">
        <v>2883</v>
      </c>
      <c r="C656" s="58" t="s">
        <v>1728</v>
      </c>
      <c r="D656" s="58" t="s">
        <v>2882</v>
      </c>
      <c r="E656" s="60" t="b">
        <v>1</v>
      </c>
      <c r="F656" s="80" t="s">
        <v>368</v>
      </c>
      <c r="G656" s="58" t="s">
        <v>2881</v>
      </c>
      <c r="H656" s="58" t="s">
        <v>1728</v>
      </c>
      <c r="I656" s="64" t="s">
        <v>2882</v>
      </c>
      <c r="J656" s="66"/>
      <c r="K656" s="66"/>
      <c r="L656" s="68"/>
      <c r="M656" s="63" t="str">
        <f>HYPERLINK("http://nsgreg.nga.mil/genc/view?v=868268&amp;end_month=12&amp;end_day=31&amp;end_year=2016","Correlation")</f>
        <v>Correlation</v>
      </c>
    </row>
    <row r="657" spans="1:13" x14ac:dyDescent="0.2">
      <c r="A657" s="113"/>
      <c r="B657" s="58" t="s">
        <v>2308</v>
      </c>
      <c r="C657" s="58" t="s">
        <v>1728</v>
      </c>
      <c r="D657" s="58" t="s">
        <v>2884</v>
      </c>
      <c r="E657" s="60" t="b">
        <v>1</v>
      </c>
      <c r="F657" s="80" t="s">
        <v>368</v>
      </c>
      <c r="G657" s="58" t="s">
        <v>2308</v>
      </c>
      <c r="H657" s="58" t="s">
        <v>1728</v>
      </c>
      <c r="I657" s="64" t="s">
        <v>2884</v>
      </c>
      <c r="J657" s="66"/>
      <c r="K657" s="66"/>
      <c r="L657" s="68"/>
      <c r="M657" s="63" t="str">
        <f>HYPERLINK("http://nsgreg.nga.mil/genc/view?v=868270&amp;end_month=12&amp;end_day=31&amp;end_year=2016","Correlation")</f>
        <v>Correlation</v>
      </c>
    </row>
    <row r="658" spans="1:13" x14ac:dyDescent="0.2">
      <c r="A658" s="113"/>
      <c r="B658" s="58" t="s">
        <v>2886</v>
      </c>
      <c r="C658" s="58" t="s">
        <v>1728</v>
      </c>
      <c r="D658" s="58" t="s">
        <v>2885</v>
      </c>
      <c r="E658" s="60" t="b">
        <v>1</v>
      </c>
      <c r="F658" s="80" t="s">
        <v>368</v>
      </c>
      <c r="G658" s="58" t="s">
        <v>2637</v>
      </c>
      <c r="H658" s="58" t="s">
        <v>1728</v>
      </c>
      <c r="I658" s="64" t="s">
        <v>2885</v>
      </c>
      <c r="J658" s="66"/>
      <c r="K658" s="66"/>
      <c r="L658" s="68"/>
      <c r="M658" s="63" t="str">
        <f>HYPERLINK("http://nsgreg.nga.mil/genc/view?v=868271&amp;end_month=12&amp;end_day=31&amp;end_year=2016","Correlation")</f>
        <v>Correlation</v>
      </c>
    </row>
    <row r="659" spans="1:13" x14ac:dyDescent="0.2">
      <c r="A659" s="113"/>
      <c r="B659" s="58" t="s">
        <v>2887</v>
      </c>
      <c r="C659" s="58" t="s">
        <v>1728</v>
      </c>
      <c r="D659" s="58" t="s">
        <v>2888</v>
      </c>
      <c r="E659" s="60" t="b">
        <v>1</v>
      </c>
      <c r="F659" s="80" t="s">
        <v>368</v>
      </c>
      <c r="G659" s="58" t="s">
        <v>2887</v>
      </c>
      <c r="H659" s="58" t="s">
        <v>1728</v>
      </c>
      <c r="I659" s="64" t="s">
        <v>2888</v>
      </c>
      <c r="J659" s="66"/>
      <c r="K659" s="66"/>
      <c r="L659" s="68"/>
      <c r="M659" s="63" t="str">
        <f>HYPERLINK("http://nsgreg.nga.mil/genc/view?v=868272&amp;end_month=12&amp;end_day=31&amp;end_year=2016","Correlation")</f>
        <v>Correlation</v>
      </c>
    </row>
    <row r="660" spans="1:13" x14ac:dyDescent="0.2">
      <c r="A660" s="113"/>
      <c r="B660" s="58" t="s">
        <v>2896</v>
      </c>
      <c r="C660" s="58" t="s">
        <v>1728</v>
      </c>
      <c r="D660" s="58" t="s">
        <v>2895</v>
      </c>
      <c r="E660" s="60" t="b">
        <v>1</v>
      </c>
      <c r="F660" s="80" t="s">
        <v>368</v>
      </c>
      <c r="G660" s="58" t="s">
        <v>2894</v>
      </c>
      <c r="H660" s="58" t="s">
        <v>1728</v>
      </c>
      <c r="I660" s="64" t="s">
        <v>2895</v>
      </c>
      <c r="J660" s="66"/>
      <c r="K660" s="66"/>
      <c r="L660" s="68"/>
      <c r="M660" s="63" t="str">
        <f>HYPERLINK("http://nsgreg.nga.mil/genc/view?v=868274&amp;end_month=12&amp;end_day=31&amp;end_year=2016","Correlation")</f>
        <v>Correlation</v>
      </c>
    </row>
    <row r="661" spans="1:13" x14ac:dyDescent="0.2">
      <c r="A661" s="113"/>
      <c r="B661" s="58" t="s">
        <v>2892</v>
      </c>
      <c r="C661" s="58" t="s">
        <v>1728</v>
      </c>
      <c r="D661" s="58" t="s">
        <v>2893</v>
      </c>
      <c r="E661" s="60" t="b">
        <v>1</v>
      </c>
      <c r="F661" s="80" t="s">
        <v>368</v>
      </c>
      <c r="G661" s="58" t="s">
        <v>2892</v>
      </c>
      <c r="H661" s="58" t="s">
        <v>1728</v>
      </c>
      <c r="I661" s="64" t="s">
        <v>2893</v>
      </c>
      <c r="J661" s="66"/>
      <c r="K661" s="66"/>
      <c r="L661" s="68"/>
      <c r="M661" s="63" t="str">
        <f>HYPERLINK("http://nsgreg.nga.mil/genc/view?v=868275&amp;end_month=12&amp;end_day=31&amp;end_year=2016","Correlation")</f>
        <v>Correlation</v>
      </c>
    </row>
    <row r="662" spans="1:13" x14ac:dyDescent="0.2">
      <c r="A662" s="114"/>
      <c r="B662" s="71" t="s">
        <v>2891</v>
      </c>
      <c r="C662" s="71" t="s">
        <v>1728</v>
      </c>
      <c r="D662" s="71" t="s">
        <v>2890</v>
      </c>
      <c r="E662" s="73" t="b">
        <v>1</v>
      </c>
      <c r="F662" s="81" t="s">
        <v>368</v>
      </c>
      <c r="G662" s="71" t="s">
        <v>2889</v>
      </c>
      <c r="H662" s="71" t="s">
        <v>1728</v>
      </c>
      <c r="I662" s="74" t="s">
        <v>2890</v>
      </c>
      <c r="J662" s="76"/>
      <c r="K662" s="76"/>
      <c r="L662" s="82"/>
      <c r="M662" s="77" t="str">
        <f>HYPERLINK("http://nsgreg.nga.mil/genc/view?v=868273&amp;end_month=12&amp;end_day=31&amp;end_year=2016","Correlation")</f>
        <v>Correlation</v>
      </c>
    </row>
    <row r="663" spans="1:13" x14ac:dyDescent="0.2">
      <c r="A663" s="112" t="s">
        <v>372</v>
      </c>
      <c r="B663" s="50" t="s">
        <v>2897</v>
      </c>
      <c r="C663" s="50" t="s">
        <v>1413</v>
      </c>
      <c r="D663" s="50" t="s">
        <v>2898</v>
      </c>
      <c r="E663" s="52" t="b">
        <v>1</v>
      </c>
      <c r="F663" s="78" t="s">
        <v>372</v>
      </c>
      <c r="G663" s="50" t="s">
        <v>2897</v>
      </c>
      <c r="H663" s="50" t="s">
        <v>1413</v>
      </c>
      <c r="I663" s="53" t="s">
        <v>2898</v>
      </c>
      <c r="J663" s="55"/>
      <c r="K663" s="55"/>
      <c r="L663" s="79"/>
      <c r="M663" s="56" t="str">
        <f>HYPERLINK("http://nsgreg.nga.mil/genc/view?v=868143&amp;end_month=12&amp;end_day=31&amp;end_year=2016","Correlation")</f>
        <v>Correlation</v>
      </c>
    </row>
    <row r="664" spans="1:13" x14ac:dyDescent="0.2">
      <c r="A664" s="113"/>
      <c r="B664" s="58" t="s">
        <v>2899</v>
      </c>
      <c r="C664" s="58" t="s">
        <v>1413</v>
      </c>
      <c r="D664" s="58" t="s">
        <v>2900</v>
      </c>
      <c r="E664" s="60" t="b">
        <v>1</v>
      </c>
      <c r="F664" s="80" t="s">
        <v>372</v>
      </c>
      <c r="G664" s="58" t="s">
        <v>2899</v>
      </c>
      <c r="H664" s="58" t="s">
        <v>1413</v>
      </c>
      <c r="I664" s="64" t="s">
        <v>2900</v>
      </c>
      <c r="J664" s="66"/>
      <c r="K664" s="66"/>
      <c r="L664" s="68"/>
      <c r="M664" s="63" t="str">
        <f>HYPERLINK("http://nsgreg.nga.mil/genc/view?v=868144&amp;end_month=12&amp;end_day=31&amp;end_year=2016","Correlation")</f>
        <v>Correlation</v>
      </c>
    </row>
    <row r="665" spans="1:13" x14ac:dyDescent="0.2">
      <c r="A665" s="113"/>
      <c r="B665" s="58" t="s">
        <v>2901</v>
      </c>
      <c r="C665" s="58" t="s">
        <v>1413</v>
      </c>
      <c r="D665" s="58" t="s">
        <v>2902</v>
      </c>
      <c r="E665" s="60" t="b">
        <v>1</v>
      </c>
      <c r="F665" s="80" t="s">
        <v>372</v>
      </c>
      <c r="G665" s="58" t="s">
        <v>2901</v>
      </c>
      <c r="H665" s="58" t="s">
        <v>1413</v>
      </c>
      <c r="I665" s="64" t="s">
        <v>2902</v>
      </c>
      <c r="J665" s="66"/>
      <c r="K665" s="66"/>
      <c r="L665" s="68"/>
      <c r="M665" s="63" t="str">
        <f>HYPERLINK("http://nsgreg.nga.mil/genc/view?v=868145&amp;end_month=12&amp;end_day=31&amp;end_year=2016","Correlation")</f>
        <v>Correlation</v>
      </c>
    </row>
    <row r="666" spans="1:13" x14ac:dyDescent="0.2">
      <c r="A666" s="113"/>
      <c r="B666" s="58" t="s">
        <v>2903</v>
      </c>
      <c r="C666" s="58" t="s">
        <v>1413</v>
      </c>
      <c r="D666" s="58" t="s">
        <v>2904</v>
      </c>
      <c r="E666" s="60" t="b">
        <v>1</v>
      </c>
      <c r="F666" s="80" t="s">
        <v>372</v>
      </c>
      <c r="G666" s="58" t="s">
        <v>2903</v>
      </c>
      <c r="H666" s="58" t="s">
        <v>1413</v>
      </c>
      <c r="I666" s="64" t="s">
        <v>2904</v>
      </c>
      <c r="J666" s="66"/>
      <c r="K666" s="66"/>
      <c r="L666" s="68"/>
      <c r="M666" s="63" t="str">
        <f>HYPERLINK("http://nsgreg.nga.mil/genc/view?v=868146&amp;end_month=12&amp;end_day=31&amp;end_year=2016","Correlation")</f>
        <v>Correlation</v>
      </c>
    </row>
    <row r="667" spans="1:13" x14ac:dyDescent="0.2">
      <c r="A667" s="113"/>
      <c r="B667" s="58" t="s">
        <v>2905</v>
      </c>
      <c r="C667" s="58" t="s">
        <v>1413</v>
      </c>
      <c r="D667" s="58" t="s">
        <v>2906</v>
      </c>
      <c r="E667" s="60" t="b">
        <v>1</v>
      </c>
      <c r="F667" s="80" t="s">
        <v>372</v>
      </c>
      <c r="G667" s="58" t="s">
        <v>2905</v>
      </c>
      <c r="H667" s="58" t="s">
        <v>1413</v>
      </c>
      <c r="I667" s="64" t="s">
        <v>2906</v>
      </c>
      <c r="J667" s="66"/>
      <c r="K667" s="66"/>
      <c r="L667" s="68"/>
      <c r="M667" s="63" t="str">
        <f>HYPERLINK("http://nsgreg.nga.mil/genc/view?v=868147&amp;end_month=12&amp;end_day=31&amp;end_year=2016","Correlation")</f>
        <v>Correlation</v>
      </c>
    </row>
    <row r="668" spans="1:13" x14ac:dyDescent="0.2">
      <c r="A668" s="113"/>
      <c r="B668" s="58" t="s">
        <v>2907</v>
      </c>
      <c r="C668" s="58" t="s">
        <v>1760</v>
      </c>
      <c r="D668" s="58" t="s">
        <v>2908</v>
      </c>
      <c r="E668" s="60" t="b">
        <v>1</v>
      </c>
      <c r="F668" s="80" t="s">
        <v>372</v>
      </c>
      <c r="G668" s="58" t="s">
        <v>2907</v>
      </c>
      <c r="H668" s="58" t="s">
        <v>1760</v>
      </c>
      <c r="I668" s="64" t="s">
        <v>2908</v>
      </c>
      <c r="J668" s="66"/>
      <c r="K668" s="66"/>
      <c r="L668" s="68"/>
      <c r="M668" s="63" t="str">
        <f>HYPERLINK("http://nsgreg.nga.mil/genc/view?v=868149&amp;end_month=12&amp;end_day=31&amp;end_year=2016","Correlation")</f>
        <v>Correlation</v>
      </c>
    </row>
    <row r="669" spans="1:13" x14ac:dyDescent="0.2">
      <c r="A669" s="113"/>
      <c r="B669" s="58" t="s">
        <v>2909</v>
      </c>
      <c r="C669" s="58" t="s">
        <v>1413</v>
      </c>
      <c r="D669" s="58" t="s">
        <v>2910</v>
      </c>
      <c r="E669" s="60" t="b">
        <v>1</v>
      </c>
      <c r="F669" s="80" t="s">
        <v>372</v>
      </c>
      <c r="G669" s="58" t="s">
        <v>2909</v>
      </c>
      <c r="H669" s="58" t="s">
        <v>1413</v>
      </c>
      <c r="I669" s="64" t="s">
        <v>2910</v>
      </c>
      <c r="J669" s="66"/>
      <c r="K669" s="66"/>
      <c r="L669" s="68"/>
      <c r="M669" s="63" t="str">
        <f>HYPERLINK("http://nsgreg.nga.mil/genc/view?v=868148&amp;end_month=12&amp;end_day=31&amp;end_year=2016","Correlation")</f>
        <v>Correlation</v>
      </c>
    </row>
    <row r="670" spans="1:13" x14ac:dyDescent="0.2">
      <c r="A670" s="113"/>
      <c r="B670" s="58" t="s">
        <v>2911</v>
      </c>
      <c r="C670" s="58" t="s">
        <v>1760</v>
      </c>
      <c r="D670" s="58" t="s">
        <v>2912</v>
      </c>
      <c r="E670" s="60" t="b">
        <v>1</v>
      </c>
      <c r="F670" s="80" t="s">
        <v>372</v>
      </c>
      <c r="G670" s="58" t="s">
        <v>2911</v>
      </c>
      <c r="H670" s="58" t="s">
        <v>1760</v>
      </c>
      <c r="I670" s="64" t="s">
        <v>2912</v>
      </c>
      <c r="J670" s="66"/>
      <c r="K670" s="66"/>
      <c r="L670" s="68"/>
      <c r="M670" s="63" t="str">
        <f>HYPERLINK("http://nsgreg.nga.mil/genc/view?v=868150&amp;end_month=12&amp;end_day=31&amp;end_year=2016","Correlation")</f>
        <v>Correlation</v>
      </c>
    </row>
    <row r="671" spans="1:13" x14ac:dyDescent="0.2">
      <c r="A671" s="113"/>
      <c r="B671" s="58" t="s">
        <v>2913</v>
      </c>
      <c r="C671" s="58" t="s">
        <v>1413</v>
      </c>
      <c r="D671" s="58" t="s">
        <v>2914</v>
      </c>
      <c r="E671" s="60" t="b">
        <v>1</v>
      </c>
      <c r="F671" s="80" t="s">
        <v>372</v>
      </c>
      <c r="G671" s="58" t="s">
        <v>2913</v>
      </c>
      <c r="H671" s="58" t="s">
        <v>1413</v>
      </c>
      <c r="I671" s="64" t="s">
        <v>2914</v>
      </c>
      <c r="J671" s="66"/>
      <c r="K671" s="66"/>
      <c r="L671" s="68"/>
      <c r="M671" s="63" t="str">
        <f>HYPERLINK("http://nsgreg.nga.mil/genc/view?v=868151&amp;end_month=12&amp;end_day=31&amp;end_year=2016","Correlation")</f>
        <v>Correlation</v>
      </c>
    </row>
    <row r="672" spans="1:13" x14ac:dyDescent="0.2">
      <c r="A672" s="113"/>
      <c r="B672" s="58" t="s">
        <v>2915</v>
      </c>
      <c r="C672" s="58" t="s">
        <v>1413</v>
      </c>
      <c r="D672" s="58" t="s">
        <v>2916</v>
      </c>
      <c r="E672" s="60" t="b">
        <v>1</v>
      </c>
      <c r="F672" s="80" t="s">
        <v>372</v>
      </c>
      <c r="G672" s="58" t="s">
        <v>2915</v>
      </c>
      <c r="H672" s="58" t="s">
        <v>1413</v>
      </c>
      <c r="I672" s="64" t="s">
        <v>2916</v>
      </c>
      <c r="J672" s="66"/>
      <c r="K672" s="66"/>
      <c r="L672" s="68"/>
      <c r="M672" s="63" t="str">
        <f>HYPERLINK("http://nsgreg.nga.mil/genc/view?v=868152&amp;end_month=12&amp;end_day=31&amp;end_year=2016","Correlation")</f>
        <v>Correlation</v>
      </c>
    </row>
    <row r="673" spans="1:13" x14ac:dyDescent="0.2">
      <c r="A673" s="113"/>
      <c r="B673" s="58" t="s">
        <v>2919</v>
      </c>
      <c r="C673" s="58" t="s">
        <v>1413</v>
      </c>
      <c r="D673" s="58" t="s">
        <v>2918</v>
      </c>
      <c r="E673" s="60" t="b">
        <v>1</v>
      </c>
      <c r="F673" s="80" t="s">
        <v>372</v>
      </c>
      <c r="G673" s="58" t="s">
        <v>2917</v>
      </c>
      <c r="H673" s="58" t="s">
        <v>1413</v>
      </c>
      <c r="I673" s="64" t="s">
        <v>2918</v>
      </c>
      <c r="J673" s="66"/>
      <c r="K673" s="66"/>
      <c r="L673" s="68"/>
      <c r="M673" s="63" t="str">
        <f>HYPERLINK("http://nsgreg.nga.mil/genc/view?v=868153&amp;end_month=12&amp;end_day=31&amp;end_year=2016","Correlation")</f>
        <v>Correlation</v>
      </c>
    </row>
    <row r="674" spans="1:13" x14ac:dyDescent="0.2">
      <c r="A674" s="113"/>
      <c r="B674" s="58" t="s">
        <v>2920</v>
      </c>
      <c r="C674" s="58" t="s">
        <v>1413</v>
      </c>
      <c r="D674" s="58" t="s">
        <v>2921</v>
      </c>
      <c r="E674" s="60" t="b">
        <v>1</v>
      </c>
      <c r="F674" s="80" t="s">
        <v>372</v>
      </c>
      <c r="G674" s="58" t="s">
        <v>2920</v>
      </c>
      <c r="H674" s="58" t="s">
        <v>1413</v>
      </c>
      <c r="I674" s="64" t="s">
        <v>2921</v>
      </c>
      <c r="J674" s="66"/>
      <c r="K674" s="66"/>
      <c r="L674" s="68"/>
      <c r="M674" s="63" t="str">
        <f>HYPERLINK("http://nsgreg.nga.mil/genc/view?v=868154&amp;end_month=12&amp;end_day=31&amp;end_year=2016","Correlation")</f>
        <v>Correlation</v>
      </c>
    </row>
    <row r="675" spans="1:13" x14ac:dyDescent="0.2">
      <c r="A675" s="114"/>
      <c r="B675" s="71" t="s">
        <v>2922</v>
      </c>
      <c r="C675" s="71" t="s">
        <v>1760</v>
      </c>
      <c r="D675" s="71" t="s">
        <v>2923</v>
      </c>
      <c r="E675" s="73" t="b">
        <v>1</v>
      </c>
      <c r="F675" s="81" t="s">
        <v>372</v>
      </c>
      <c r="G675" s="71" t="s">
        <v>2922</v>
      </c>
      <c r="H675" s="71" t="s">
        <v>1760</v>
      </c>
      <c r="I675" s="74" t="s">
        <v>2923</v>
      </c>
      <c r="J675" s="76"/>
      <c r="K675" s="76"/>
      <c r="L675" s="82"/>
      <c r="M675" s="77" t="str">
        <f>HYPERLINK("http://nsgreg.nga.mil/genc/view?v=868155&amp;end_month=12&amp;end_day=31&amp;end_year=2016","Correlation")</f>
        <v>Correlation</v>
      </c>
    </row>
    <row r="676" spans="1:13" x14ac:dyDescent="0.2">
      <c r="A676" s="112" t="s">
        <v>380</v>
      </c>
      <c r="B676" s="50" t="s">
        <v>2924</v>
      </c>
      <c r="C676" s="50" t="s">
        <v>2925</v>
      </c>
      <c r="D676" s="50" t="s">
        <v>2926</v>
      </c>
      <c r="E676" s="52" t="b">
        <v>1</v>
      </c>
      <c r="F676" s="78" t="s">
        <v>380</v>
      </c>
      <c r="G676" s="50" t="s">
        <v>2924</v>
      </c>
      <c r="H676" s="50" t="s">
        <v>2925</v>
      </c>
      <c r="I676" s="53" t="s">
        <v>2926</v>
      </c>
      <c r="J676" s="55"/>
      <c r="K676" s="55"/>
      <c r="L676" s="79"/>
      <c r="M676" s="56" t="str">
        <f>HYPERLINK("http://nsgreg.nga.mil/genc/view?v=868183&amp;end_month=12&amp;end_day=31&amp;end_year=2016","Correlation")</f>
        <v>Correlation</v>
      </c>
    </row>
    <row r="677" spans="1:13" x14ac:dyDescent="0.2">
      <c r="A677" s="113"/>
      <c r="B677" s="58" t="s">
        <v>2927</v>
      </c>
      <c r="C677" s="58" t="s">
        <v>2928</v>
      </c>
      <c r="D677" s="58" t="s">
        <v>2929</v>
      </c>
      <c r="E677" s="60" t="b">
        <v>1</v>
      </c>
      <c r="F677" s="80" t="s">
        <v>380</v>
      </c>
      <c r="G677" s="58" t="s">
        <v>2927</v>
      </c>
      <c r="H677" s="58" t="s">
        <v>2928</v>
      </c>
      <c r="I677" s="64" t="s">
        <v>2929</v>
      </c>
      <c r="J677" s="66"/>
      <c r="K677" s="66"/>
      <c r="L677" s="68"/>
      <c r="M677" s="63" t="str">
        <f>HYPERLINK("http://nsgreg.nga.mil/genc/view?v=868184&amp;end_month=12&amp;end_day=31&amp;end_year=2016","Correlation")</f>
        <v>Correlation</v>
      </c>
    </row>
    <row r="678" spans="1:13" x14ac:dyDescent="0.2">
      <c r="A678" s="113"/>
      <c r="B678" s="58" t="s">
        <v>2930</v>
      </c>
      <c r="C678" s="58" t="s">
        <v>2925</v>
      </c>
      <c r="D678" s="58" t="s">
        <v>2931</v>
      </c>
      <c r="E678" s="60" t="b">
        <v>1</v>
      </c>
      <c r="F678" s="80" t="s">
        <v>380</v>
      </c>
      <c r="G678" s="58" t="s">
        <v>2930</v>
      </c>
      <c r="H678" s="58" t="s">
        <v>2925</v>
      </c>
      <c r="I678" s="64" t="s">
        <v>2931</v>
      </c>
      <c r="J678" s="66"/>
      <c r="K678" s="66"/>
      <c r="L678" s="68"/>
      <c r="M678" s="63" t="str">
        <f>HYPERLINK("http://nsgreg.nga.mil/genc/view?v=868185&amp;end_month=12&amp;end_day=31&amp;end_year=2016","Correlation")</f>
        <v>Correlation</v>
      </c>
    </row>
    <row r="679" spans="1:13" x14ac:dyDescent="0.2">
      <c r="A679" s="113"/>
      <c r="B679" s="58" t="s">
        <v>2949</v>
      </c>
      <c r="C679" s="58" t="s">
        <v>2947</v>
      </c>
      <c r="D679" s="58" t="s">
        <v>2948</v>
      </c>
      <c r="E679" s="60" t="b">
        <v>1</v>
      </c>
      <c r="F679" s="80" t="s">
        <v>380</v>
      </c>
      <c r="G679" s="58" t="s">
        <v>2946</v>
      </c>
      <c r="H679" s="58" t="s">
        <v>2947</v>
      </c>
      <c r="I679" s="64" t="s">
        <v>2948</v>
      </c>
      <c r="J679" s="66"/>
      <c r="K679" s="66"/>
      <c r="L679" s="68"/>
      <c r="M679" s="63" t="str">
        <f>HYPERLINK("http://nsgreg.nga.mil/genc/view?v=868189&amp;end_month=12&amp;end_day=31&amp;end_year=2016","Correlation")</f>
        <v>Correlation</v>
      </c>
    </row>
    <row r="680" spans="1:13" x14ac:dyDescent="0.2">
      <c r="A680" s="113"/>
      <c r="B680" s="58" t="s">
        <v>2932</v>
      </c>
      <c r="C680" s="58" t="s">
        <v>2925</v>
      </c>
      <c r="D680" s="58" t="s">
        <v>2933</v>
      </c>
      <c r="E680" s="60" t="b">
        <v>1</v>
      </c>
      <c r="F680" s="80" t="s">
        <v>380</v>
      </c>
      <c r="G680" s="58" t="s">
        <v>2932</v>
      </c>
      <c r="H680" s="58" t="s">
        <v>2925</v>
      </c>
      <c r="I680" s="64" t="s">
        <v>2933</v>
      </c>
      <c r="J680" s="66"/>
      <c r="K680" s="66"/>
      <c r="L680" s="68"/>
      <c r="M680" s="63" t="str">
        <f>HYPERLINK("http://nsgreg.nga.mil/genc/view?v=868186&amp;end_month=12&amp;end_day=31&amp;end_year=2016","Correlation")</f>
        <v>Correlation</v>
      </c>
    </row>
    <row r="681" spans="1:13" x14ac:dyDescent="0.2">
      <c r="A681" s="113"/>
      <c r="B681" s="58" t="s">
        <v>2943</v>
      </c>
      <c r="C681" s="58" t="s">
        <v>2925</v>
      </c>
      <c r="D681" s="58" t="s">
        <v>2942</v>
      </c>
      <c r="E681" s="60" t="b">
        <v>1</v>
      </c>
      <c r="F681" s="80" t="s">
        <v>380</v>
      </c>
      <c r="G681" s="58" t="s">
        <v>2941</v>
      </c>
      <c r="H681" s="58" t="s">
        <v>2925</v>
      </c>
      <c r="I681" s="64" t="s">
        <v>2942</v>
      </c>
      <c r="J681" s="66"/>
      <c r="K681" s="66"/>
      <c r="L681" s="68"/>
      <c r="M681" s="63" t="str">
        <f>HYPERLINK("http://nsgreg.nga.mil/genc/view?v=868188&amp;end_month=12&amp;end_day=31&amp;end_year=2016","Correlation")</f>
        <v>Correlation</v>
      </c>
    </row>
    <row r="682" spans="1:13" x14ac:dyDescent="0.2">
      <c r="A682" s="113"/>
      <c r="B682" s="58" t="s">
        <v>2934</v>
      </c>
      <c r="C682" s="58" t="s">
        <v>2925</v>
      </c>
      <c r="D682" s="58" t="s">
        <v>2935</v>
      </c>
      <c r="E682" s="60" t="b">
        <v>1</v>
      </c>
      <c r="F682" s="80" t="s">
        <v>380</v>
      </c>
      <c r="G682" s="58" t="s">
        <v>2934</v>
      </c>
      <c r="H682" s="58" t="s">
        <v>2925</v>
      </c>
      <c r="I682" s="64" t="s">
        <v>2935</v>
      </c>
      <c r="J682" s="66"/>
      <c r="K682" s="66"/>
      <c r="L682" s="68"/>
      <c r="M682" s="63" t="str">
        <f>HYPERLINK("http://nsgreg.nga.mil/genc/view?v=868187&amp;end_month=12&amp;end_day=31&amp;end_year=2016","Correlation")</f>
        <v>Correlation</v>
      </c>
    </row>
    <row r="683" spans="1:13" x14ac:dyDescent="0.2">
      <c r="A683" s="113"/>
      <c r="B683" s="58" t="s">
        <v>2938</v>
      </c>
      <c r="C683" s="58" t="s">
        <v>2925</v>
      </c>
      <c r="D683" s="58" t="s">
        <v>2937</v>
      </c>
      <c r="E683" s="60" t="b">
        <v>1</v>
      </c>
      <c r="F683" s="80" t="s">
        <v>380</v>
      </c>
      <c r="G683" s="58" t="s">
        <v>2936</v>
      </c>
      <c r="H683" s="58" t="s">
        <v>2925</v>
      </c>
      <c r="I683" s="64" t="s">
        <v>2937</v>
      </c>
      <c r="J683" s="66"/>
      <c r="K683" s="66"/>
      <c r="L683" s="68"/>
      <c r="M683" s="63" t="str">
        <f>HYPERLINK("http://nsgreg.nga.mil/genc/view?v=868190&amp;end_month=12&amp;end_day=31&amp;end_year=2016","Correlation")</f>
        <v>Correlation</v>
      </c>
    </row>
    <row r="684" spans="1:13" x14ac:dyDescent="0.2">
      <c r="A684" s="113"/>
      <c r="B684" s="58" t="s">
        <v>2939</v>
      </c>
      <c r="C684" s="58" t="s">
        <v>2925</v>
      </c>
      <c r="D684" s="58" t="s">
        <v>2940</v>
      </c>
      <c r="E684" s="60" t="b">
        <v>1</v>
      </c>
      <c r="F684" s="80" t="s">
        <v>380</v>
      </c>
      <c r="G684" s="58" t="s">
        <v>2939</v>
      </c>
      <c r="H684" s="58" t="s">
        <v>2925</v>
      </c>
      <c r="I684" s="64" t="s">
        <v>2940</v>
      </c>
      <c r="J684" s="66"/>
      <c r="K684" s="66"/>
      <c r="L684" s="68"/>
      <c r="M684" s="63" t="str">
        <f>HYPERLINK("http://nsgreg.nga.mil/genc/view?v=868191&amp;end_month=12&amp;end_day=31&amp;end_year=2016","Correlation")</f>
        <v>Correlation</v>
      </c>
    </row>
    <row r="685" spans="1:13" x14ac:dyDescent="0.2">
      <c r="A685" s="113"/>
      <c r="B685" s="58" t="s">
        <v>2944</v>
      </c>
      <c r="C685" s="58" t="s">
        <v>2925</v>
      </c>
      <c r="D685" s="58" t="s">
        <v>2945</v>
      </c>
      <c r="E685" s="60" t="b">
        <v>1</v>
      </c>
      <c r="F685" s="80" t="s">
        <v>380</v>
      </c>
      <c r="G685" s="58" t="s">
        <v>2944</v>
      </c>
      <c r="H685" s="58" t="s">
        <v>2925</v>
      </c>
      <c r="I685" s="64" t="s">
        <v>2945</v>
      </c>
      <c r="J685" s="66"/>
      <c r="K685" s="66"/>
      <c r="L685" s="68"/>
      <c r="M685" s="63" t="str">
        <f>HYPERLINK("http://nsgreg.nga.mil/genc/view?v=868192&amp;end_month=12&amp;end_day=31&amp;end_year=2016","Correlation")</f>
        <v>Correlation</v>
      </c>
    </row>
    <row r="686" spans="1:13" x14ac:dyDescent="0.2">
      <c r="A686" s="113"/>
      <c r="B686" s="58" t="s">
        <v>2950</v>
      </c>
      <c r="C686" s="58" t="s">
        <v>2925</v>
      </c>
      <c r="D686" s="58" t="s">
        <v>2951</v>
      </c>
      <c r="E686" s="60" t="b">
        <v>1</v>
      </c>
      <c r="F686" s="80" t="s">
        <v>380</v>
      </c>
      <c r="G686" s="58" t="s">
        <v>2950</v>
      </c>
      <c r="H686" s="58" t="s">
        <v>2925</v>
      </c>
      <c r="I686" s="64" t="s">
        <v>2951</v>
      </c>
      <c r="J686" s="66"/>
      <c r="K686" s="66"/>
      <c r="L686" s="68"/>
      <c r="M686" s="63" t="str">
        <f>HYPERLINK("http://nsgreg.nga.mil/genc/view?v=868194&amp;end_month=12&amp;end_day=31&amp;end_year=2016","Correlation")</f>
        <v>Correlation</v>
      </c>
    </row>
    <row r="687" spans="1:13" x14ac:dyDescent="0.2">
      <c r="A687" s="113"/>
      <c r="B687" s="58" t="s">
        <v>2952</v>
      </c>
      <c r="C687" s="58" t="s">
        <v>2925</v>
      </c>
      <c r="D687" s="58" t="s">
        <v>2953</v>
      </c>
      <c r="E687" s="60" t="b">
        <v>1</v>
      </c>
      <c r="F687" s="80" t="s">
        <v>380</v>
      </c>
      <c r="G687" s="58" t="s">
        <v>2952</v>
      </c>
      <c r="H687" s="58" t="s">
        <v>2925</v>
      </c>
      <c r="I687" s="64" t="s">
        <v>2953</v>
      </c>
      <c r="J687" s="66"/>
      <c r="K687" s="66"/>
      <c r="L687" s="68"/>
      <c r="M687" s="63" t="str">
        <f>HYPERLINK("http://nsgreg.nga.mil/genc/view?v=868193&amp;end_month=12&amp;end_day=31&amp;end_year=2016","Correlation")</f>
        <v>Correlation</v>
      </c>
    </row>
    <row r="688" spans="1:13" x14ac:dyDescent="0.2">
      <c r="A688" s="113"/>
      <c r="B688" s="58" t="s">
        <v>2954</v>
      </c>
      <c r="C688" s="58" t="s">
        <v>2925</v>
      </c>
      <c r="D688" s="58" t="s">
        <v>2955</v>
      </c>
      <c r="E688" s="60" t="b">
        <v>1</v>
      </c>
      <c r="F688" s="80" t="s">
        <v>380</v>
      </c>
      <c r="G688" s="58" t="s">
        <v>2954</v>
      </c>
      <c r="H688" s="58" t="s">
        <v>2925</v>
      </c>
      <c r="I688" s="64" t="s">
        <v>2955</v>
      </c>
      <c r="J688" s="66"/>
      <c r="K688" s="66"/>
      <c r="L688" s="68"/>
      <c r="M688" s="63" t="str">
        <f>HYPERLINK("http://nsgreg.nga.mil/genc/view?v=868197&amp;end_month=12&amp;end_day=31&amp;end_year=2016","Correlation")</f>
        <v>Correlation</v>
      </c>
    </row>
    <row r="689" spans="1:13" x14ac:dyDescent="0.2">
      <c r="A689" s="113"/>
      <c r="B689" s="58" t="s">
        <v>2956</v>
      </c>
      <c r="C689" s="58" t="s">
        <v>2925</v>
      </c>
      <c r="D689" s="58" t="s">
        <v>2957</v>
      </c>
      <c r="E689" s="60" t="b">
        <v>1</v>
      </c>
      <c r="F689" s="80" t="s">
        <v>380</v>
      </c>
      <c r="G689" s="58" t="s">
        <v>2956</v>
      </c>
      <c r="H689" s="58" t="s">
        <v>2925</v>
      </c>
      <c r="I689" s="64" t="s">
        <v>2957</v>
      </c>
      <c r="J689" s="66"/>
      <c r="K689" s="66"/>
      <c r="L689" s="68"/>
      <c r="M689" s="63" t="str">
        <f>HYPERLINK("http://nsgreg.nga.mil/genc/view?v=868182&amp;end_month=12&amp;end_day=31&amp;end_year=2016","Correlation")</f>
        <v>Correlation</v>
      </c>
    </row>
    <row r="690" spans="1:13" x14ac:dyDescent="0.2">
      <c r="A690" s="113"/>
      <c r="B690" s="58" t="s">
        <v>2958</v>
      </c>
      <c r="C690" s="58" t="s">
        <v>2925</v>
      </c>
      <c r="D690" s="58" t="s">
        <v>2959</v>
      </c>
      <c r="E690" s="60" t="b">
        <v>1</v>
      </c>
      <c r="F690" s="80" t="s">
        <v>380</v>
      </c>
      <c r="G690" s="58" t="s">
        <v>2958</v>
      </c>
      <c r="H690" s="58" t="s">
        <v>2925</v>
      </c>
      <c r="I690" s="64" t="s">
        <v>2959</v>
      </c>
      <c r="J690" s="66"/>
      <c r="K690" s="66"/>
      <c r="L690" s="68"/>
      <c r="M690" s="63" t="str">
        <f>HYPERLINK("http://nsgreg.nga.mil/genc/view?v=868195&amp;end_month=12&amp;end_day=31&amp;end_year=2016","Correlation")</f>
        <v>Correlation</v>
      </c>
    </row>
    <row r="691" spans="1:13" x14ac:dyDescent="0.2">
      <c r="A691" s="113"/>
      <c r="B691" s="58" t="s">
        <v>2962</v>
      </c>
      <c r="C691" s="58" t="s">
        <v>2947</v>
      </c>
      <c r="D691" s="58" t="s">
        <v>2961</v>
      </c>
      <c r="E691" s="60" t="b">
        <v>1</v>
      </c>
      <c r="F691" s="80" t="s">
        <v>380</v>
      </c>
      <c r="G691" s="58" t="s">
        <v>2960</v>
      </c>
      <c r="H691" s="58" t="s">
        <v>2947</v>
      </c>
      <c r="I691" s="64" t="s">
        <v>2961</v>
      </c>
      <c r="J691" s="66"/>
      <c r="K691" s="66"/>
      <c r="L691" s="68"/>
      <c r="M691" s="63" t="str">
        <f>HYPERLINK("http://nsgreg.nga.mil/genc/view?v=868196&amp;end_month=12&amp;end_day=31&amp;end_year=2016","Correlation")</f>
        <v>Correlation</v>
      </c>
    </row>
    <row r="692" spans="1:13" x14ac:dyDescent="0.2">
      <c r="A692" s="114"/>
      <c r="B692" s="71" t="s">
        <v>2963</v>
      </c>
      <c r="C692" s="71" t="s">
        <v>2925</v>
      </c>
      <c r="D692" s="71" t="s">
        <v>2964</v>
      </c>
      <c r="E692" s="73" t="b">
        <v>1</v>
      </c>
      <c r="F692" s="81" t="s">
        <v>380</v>
      </c>
      <c r="G692" s="71" t="s">
        <v>2963</v>
      </c>
      <c r="H692" s="71" t="s">
        <v>2925</v>
      </c>
      <c r="I692" s="74" t="s">
        <v>2964</v>
      </c>
      <c r="J692" s="76"/>
      <c r="K692" s="76"/>
      <c r="L692" s="82"/>
      <c r="M692" s="77" t="str">
        <f>HYPERLINK("http://nsgreg.nga.mil/genc/view?v=868198&amp;end_month=12&amp;end_day=31&amp;end_year=2016","Correlation")</f>
        <v>Correlation</v>
      </c>
    </row>
    <row r="693" spans="1:13" x14ac:dyDescent="0.2">
      <c r="A693" s="112" t="s">
        <v>384</v>
      </c>
      <c r="B693" s="50" t="s">
        <v>2970</v>
      </c>
      <c r="C693" s="50" t="s">
        <v>1728</v>
      </c>
      <c r="D693" s="50" t="s">
        <v>2969</v>
      </c>
      <c r="E693" s="52" t="b">
        <v>1</v>
      </c>
      <c r="F693" s="78" t="s">
        <v>384</v>
      </c>
      <c r="G693" s="50" t="s">
        <v>2968</v>
      </c>
      <c r="H693" s="50" t="s">
        <v>1728</v>
      </c>
      <c r="I693" s="53" t="s">
        <v>2969</v>
      </c>
      <c r="J693" s="55"/>
      <c r="K693" s="55"/>
      <c r="L693" s="79"/>
      <c r="M693" s="56" t="str">
        <f>HYPERLINK("http://nsgreg.nga.mil/genc/view?v=871825&amp;end_month=12&amp;end_day=31&amp;end_year=2016","Correlation")</f>
        <v>Correlation</v>
      </c>
    </row>
    <row r="694" spans="1:13" x14ac:dyDescent="0.2">
      <c r="A694" s="113"/>
      <c r="B694" s="58" t="s">
        <v>2992</v>
      </c>
      <c r="C694" s="58" t="s">
        <v>1728</v>
      </c>
      <c r="D694" s="58" t="s">
        <v>2991</v>
      </c>
      <c r="E694" s="60" t="b">
        <v>1</v>
      </c>
      <c r="F694" s="80" t="s">
        <v>384</v>
      </c>
      <c r="G694" s="58" t="s">
        <v>2990</v>
      </c>
      <c r="H694" s="58" t="s">
        <v>1728</v>
      </c>
      <c r="I694" s="64" t="s">
        <v>2991</v>
      </c>
      <c r="J694" s="66"/>
      <c r="K694" s="66"/>
      <c r="L694" s="68"/>
      <c r="M694" s="63" t="str">
        <f>HYPERLINK("http://nsgreg.nga.mil/genc/view?v=871834&amp;end_month=12&amp;end_day=31&amp;end_year=2016","Correlation")</f>
        <v>Correlation</v>
      </c>
    </row>
    <row r="695" spans="1:13" x14ac:dyDescent="0.2">
      <c r="A695" s="113"/>
      <c r="B695" s="58" t="s">
        <v>2967</v>
      </c>
      <c r="C695" s="58" t="s">
        <v>1728</v>
      </c>
      <c r="D695" s="58" t="s">
        <v>2966</v>
      </c>
      <c r="E695" s="60" t="b">
        <v>1</v>
      </c>
      <c r="F695" s="80" t="s">
        <v>384</v>
      </c>
      <c r="G695" s="58" t="s">
        <v>2965</v>
      </c>
      <c r="H695" s="58" t="s">
        <v>1728</v>
      </c>
      <c r="I695" s="64" t="s">
        <v>2966</v>
      </c>
      <c r="J695" s="66"/>
      <c r="K695" s="66"/>
      <c r="L695" s="68"/>
      <c r="M695" s="63" t="str">
        <f>HYPERLINK("http://nsgreg.nga.mil/genc/view?v=871826&amp;end_month=12&amp;end_day=31&amp;end_year=2016","Correlation")</f>
        <v>Correlation</v>
      </c>
    </row>
    <row r="696" spans="1:13" x14ac:dyDescent="0.2">
      <c r="A696" s="113"/>
      <c r="B696" s="58" t="s">
        <v>2973</v>
      </c>
      <c r="C696" s="58" t="s">
        <v>1728</v>
      </c>
      <c r="D696" s="58" t="s">
        <v>2972</v>
      </c>
      <c r="E696" s="60" t="b">
        <v>1</v>
      </c>
      <c r="F696" s="80" t="s">
        <v>384</v>
      </c>
      <c r="G696" s="58" t="s">
        <v>2971</v>
      </c>
      <c r="H696" s="58" t="s">
        <v>1728</v>
      </c>
      <c r="I696" s="64" t="s">
        <v>2972</v>
      </c>
      <c r="J696" s="66"/>
      <c r="K696" s="66"/>
      <c r="L696" s="68"/>
      <c r="M696" s="63" t="str">
        <f>HYPERLINK("http://nsgreg.nga.mil/genc/view?v=871827&amp;end_month=12&amp;end_day=31&amp;end_year=2016","Correlation")</f>
        <v>Correlation</v>
      </c>
    </row>
    <row r="697" spans="1:13" x14ac:dyDescent="0.2">
      <c r="A697" s="113"/>
      <c r="B697" s="58" t="s">
        <v>2977</v>
      </c>
      <c r="C697" s="58" t="s">
        <v>1728</v>
      </c>
      <c r="D697" s="58" t="s">
        <v>2978</v>
      </c>
      <c r="E697" s="60" t="b">
        <v>1</v>
      </c>
      <c r="F697" s="80" t="s">
        <v>384</v>
      </c>
      <c r="G697" s="58" t="s">
        <v>2977</v>
      </c>
      <c r="H697" s="58" t="s">
        <v>1728</v>
      </c>
      <c r="I697" s="64" t="s">
        <v>2978</v>
      </c>
      <c r="J697" s="66"/>
      <c r="K697" s="66"/>
      <c r="L697" s="68"/>
      <c r="M697" s="63" t="str">
        <f>HYPERLINK("http://nsgreg.nga.mil/genc/view?v=871829&amp;end_month=12&amp;end_day=31&amp;end_year=2016","Correlation")</f>
        <v>Correlation</v>
      </c>
    </row>
    <row r="698" spans="1:13" x14ac:dyDescent="0.2">
      <c r="A698" s="113"/>
      <c r="B698" s="58" t="s">
        <v>2979</v>
      </c>
      <c r="C698" s="58" t="s">
        <v>1728</v>
      </c>
      <c r="D698" s="58" t="s">
        <v>2980</v>
      </c>
      <c r="E698" s="60" t="b">
        <v>1</v>
      </c>
      <c r="F698" s="80" t="s">
        <v>384</v>
      </c>
      <c r="G698" s="58" t="s">
        <v>2979</v>
      </c>
      <c r="H698" s="58" t="s">
        <v>1728</v>
      </c>
      <c r="I698" s="64" t="s">
        <v>2980</v>
      </c>
      <c r="J698" s="66"/>
      <c r="K698" s="66"/>
      <c r="L698" s="68"/>
      <c r="M698" s="63" t="str">
        <f>HYPERLINK("http://nsgreg.nga.mil/genc/view?v=871830&amp;end_month=12&amp;end_day=31&amp;end_year=2016","Correlation")</f>
        <v>Correlation</v>
      </c>
    </row>
    <row r="699" spans="1:13" x14ac:dyDescent="0.2">
      <c r="A699" s="113"/>
      <c r="B699" s="58" t="s">
        <v>2986</v>
      </c>
      <c r="C699" s="58" t="s">
        <v>1728</v>
      </c>
      <c r="D699" s="58" t="s">
        <v>2985</v>
      </c>
      <c r="E699" s="60" t="b">
        <v>1</v>
      </c>
      <c r="F699" s="80" t="s">
        <v>384</v>
      </c>
      <c r="G699" s="58" t="s">
        <v>2984</v>
      </c>
      <c r="H699" s="58" t="s">
        <v>1728</v>
      </c>
      <c r="I699" s="64" t="s">
        <v>2985</v>
      </c>
      <c r="J699" s="66"/>
      <c r="K699" s="66"/>
      <c r="L699" s="68"/>
      <c r="M699" s="63" t="str">
        <f>HYPERLINK("http://nsgreg.nga.mil/genc/view?v=871832&amp;end_month=12&amp;end_day=31&amp;end_year=2016","Correlation")</f>
        <v>Correlation</v>
      </c>
    </row>
    <row r="700" spans="1:13" x14ac:dyDescent="0.2">
      <c r="A700" s="113"/>
      <c r="B700" s="58" t="s">
        <v>2989</v>
      </c>
      <c r="C700" s="58" t="s">
        <v>1728</v>
      </c>
      <c r="D700" s="58" t="s">
        <v>2988</v>
      </c>
      <c r="E700" s="60" t="b">
        <v>1</v>
      </c>
      <c r="F700" s="80" t="s">
        <v>384</v>
      </c>
      <c r="G700" s="58" t="s">
        <v>2987</v>
      </c>
      <c r="H700" s="58" t="s">
        <v>1728</v>
      </c>
      <c r="I700" s="64" t="s">
        <v>2988</v>
      </c>
      <c r="J700" s="66"/>
      <c r="K700" s="66"/>
      <c r="L700" s="68"/>
      <c r="M700" s="63" t="str">
        <f>HYPERLINK("http://nsgreg.nga.mil/genc/view?v=871833&amp;end_month=12&amp;end_day=31&amp;end_year=2016","Correlation")</f>
        <v>Correlation</v>
      </c>
    </row>
    <row r="701" spans="1:13" x14ac:dyDescent="0.2">
      <c r="A701" s="113"/>
      <c r="B701" s="58" t="s">
        <v>2995</v>
      </c>
      <c r="C701" s="58" t="s">
        <v>1728</v>
      </c>
      <c r="D701" s="58" t="s">
        <v>2994</v>
      </c>
      <c r="E701" s="60" t="b">
        <v>1</v>
      </c>
      <c r="F701" s="80" t="s">
        <v>384</v>
      </c>
      <c r="G701" s="58" t="s">
        <v>2993</v>
      </c>
      <c r="H701" s="58" t="s">
        <v>1728</v>
      </c>
      <c r="I701" s="64" t="s">
        <v>2994</v>
      </c>
      <c r="J701" s="66"/>
      <c r="K701" s="66"/>
      <c r="L701" s="68"/>
      <c r="M701" s="63" t="str">
        <f>HYPERLINK("http://nsgreg.nga.mil/genc/view?v=871835&amp;end_month=12&amp;end_day=31&amp;end_year=2016","Correlation")</f>
        <v>Correlation</v>
      </c>
    </row>
    <row r="702" spans="1:13" x14ac:dyDescent="0.2">
      <c r="A702" s="113"/>
      <c r="B702" s="58" t="s">
        <v>2998</v>
      </c>
      <c r="C702" s="58" t="s">
        <v>1728</v>
      </c>
      <c r="D702" s="58" t="s">
        <v>2997</v>
      </c>
      <c r="E702" s="60" t="b">
        <v>1</v>
      </c>
      <c r="F702" s="80" t="s">
        <v>384</v>
      </c>
      <c r="G702" s="58" t="s">
        <v>2996</v>
      </c>
      <c r="H702" s="58" t="s">
        <v>1728</v>
      </c>
      <c r="I702" s="64" t="s">
        <v>2997</v>
      </c>
      <c r="J702" s="66"/>
      <c r="K702" s="66"/>
      <c r="L702" s="68"/>
      <c r="M702" s="63" t="str">
        <f>HYPERLINK("http://nsgreg.nga.mil/genc/view?v=871836&amp;end_month=12&amp;end_day=31&amp;end_year=2016","Correlation")</f>
        <v>Correlation</v>
      </c>
    </row>
    <row r="703" spans="1:13" x14ac:dyDescent="0.2">
      <c r="A703" s="113"/>
      <c r="B703" s="58" t="s">
        <v>3028</v>
      </c>
      <c r="C703" s="58" t="s">
        <v>1728</v>
      </c>
      <c r="D703" s="58" t="s">
        <v>3027</v>
      </c>
      <c r="E703" s="60" t="b">
        <v>1</v>
      </c>
      <c r="F703" s="80" t="s">
        <v>384</v>
      </c>
      <c r="G703" s="58" t="s">
        <v>3026</v>
      </c>
      <c r="H703" s="58" t="s">
        <v>1728</v>
      </c>
      <c r="I703" s="64" t="s">
        <v>3027</v>
      </c>
      <c r="J703" s="66"/>
      <c r="K703" s="66"/>
      <c r="L703" s="68"/>
      <c r="M703" s="63" t="str">
        <f>HYPERLINK("http://nsgreg.nga.mil/genc/view?v=871841&amp;end_month=12&amp;end_day=31&amp;end_year=2016","Correlation")</f>
        <v>Correlation</v>
      </c>
    </row>
    <row r="704" spans="1:13" x14ac:dyDescent="0.2">
      <c r="A704" s="113"/>
      <c r="B704" s="58" t="s">
        <v>3001</v>
      </c>
      <c r="C704" s="58" t="s">
        <v>1728</v>
      </c>
      <c r="D704" s="58" t="s">
        <v>3000</v>
      </c>
      <c r="E704" s="60" t="b">
        <v>1</v>
      </c>
      <c r="F704" s="80" t="s">
        <v>384</v>
      </c>
      <c r="G704" s="58" t="s">
        <v>2999</v>
      </c>
      <c r="H704" s="58" t="s">
        <v>1728</v>
      </c>
      <c r="I704" s="64" t="s">
        <v>3000</v>
      </c>
      <c r="J704" s="66"/>
      <c r="K704" s="66"/>
      <c r="L704" s="68"/>
      <c r="M704" s="63" t="str">
        <f>HYPERLINK("http://nsgreg.nga.mil/genc/view?v=871837&amp;end_month=12&amp;end_day=31&amp;end_year=2016","Correlation")</f>
        <v>Correlation</v>
      </c>
    </row>
    <row r="705" spans="1:13" x14ac:dyDescent="0.2">
      <c r="A705" s="113"/>
      <c r="B705" s="58" t="s">
        <v>3007</v>
      </c>
      <c r="C705" s="58" t="s">
        <v>1728</v>
      </c>
      <c r="D705" s="58" t="s">
        <v>3006</v>
      </c>
      <c r="E705" s="60" t="b">
        <v>1</v>
      </c>
      <c r="F705" s="80" t="s">
        <v>384</v>
      </c>
      <c r="G705" s="58" t="s">
        <v>3005</v>
      </c>
      <c r="H705" s="58" t="s">
        <v>1728</v>
      </c>
      <c r="I705" s="64" t="s">
        <v>3006</v>
      </c>
      <c r="J705" s="66"/>
      <c r="K705" s="66"/>
      <c r="L705" s="68"/>
      <c r="M705" s="63" t="str">
        <f>HYPERLINK("http://nsgreg.nga.mil/genc/view?v=871840&amp;end_month=12&amp;end_day=31&amp;end_year=2016","Correlation")</f>
        <v>Correlation</v>
      </c>
    </row>
    <row r="706" spans="1:13" x14ac:dyDescent="0.2">
      <c r="A706" s="113"/>
      <c r="B706" s="58" t="s">
        <v>3004</v>
      </c>
      <c r="C706" s="58" t="s">
        <v>1728</v>
      </c>
      <c r="D706" s="58" t="s">
        <v>3003</v>
      </c>
      <c r="E706" s="60" t="b">
        <v>1</v>
      </c>
      <c r="F706" s="80" t="s">
        <v>384</v>
      </c>
      <c r="G706" s="58" t="s">
        <v>3002</v>
      </c>
      <c r="H706" s="58" t="s">
        <v>1728</v>
      </c>
      <c r="I706" s="64" t="s">
        <v>3003</v>
      </c>
      <c r="J706" s="66"/>
      <c r="K706" s="66"/>
      <c r="L706" s="68"/>
      <c r="M706" s="63" t="str">
        <f>HYPERLINK("http://nsgreg.nga.mil/genc/view?v=871839&amp;end_month=12&amp;end_day=31&amp;end_year=2016","Correlation")</f>
        <v>Correlation</v>
      </c>
    </row>
    <row r="707" spans="1:13" x14ac:dyDescent="0.2">
      <c r="A707" s="113"/>
      <c r="B707" s="58" t="s">
        <v>2983</v>
      </c>
      <c r="C707" s="58" t="s">
        <v>1728</v>
      </c>
      <c r="D707" s="58" t="s">
        <v>2982</v>
      </c>
      <c r="E707" s="60" t="b">
        <v>1</v>
      </c>
      <c r="F707" s="80" t="s">
        <v>384</v>
      </c>
      <c r="G707" s="58" t="s">
        <v>2981</v>
      </c>
      <c r="H707" s="58" t="s">
        <v>1728</v>
      </c>
      <c r="I707" s="64" t="s">
        <v>2982</v>
      </c>
      <c r="J707" s="66"/>
      <c r="K707" s="66"/>
      <c r="L707" s="68"/>
      <c r="M707" s="63" t="str">
        <f>HYPERLINK("http://nsgreg.nga.mil/genc/view?v=871831&amp;end_month=12&amp;end_day=31&amp;end_year=2016","Correlation")</f>
        <v>Correlation</v>
      </c>
    </row>
    <row r="708" spans="1:13" x14ac:dyDescent="0.2">
      <c r="A708" s="113"/>
      <c r="B708" s="58" t="s">
        <v>3016</v>
      </c>
      <c r="C708" s="58" t="s">
        <v>1728</v>
      </c>
      <c r="D708" s="58" t="s">
        <v>3015</v>
      </c>
      <c r="E708" s="60" t="b">
        <v>1</v>
      </c>
      <c r="F708" s="80" t="s">
        <v>384</v>
      </c>
      <c r="G708" s="58" t="s">
        <v>3014</v>
      </c>
      <c r="H708" s="58" t="s">
        <v>1728</v>
      </c>
      <c r="I708" s="64" t="s">
        <v>3015</v>
      </c>
      <c r="J708" s="66"/>
      <c r="K708" s="66"/>
      <c r="L708" s="68"/>
      <c r="M708" s="63" t="str">
        <f>HYPERLINK("http://nsgreg.nga.mil/genc/view?v=871843&amp;end_month=12&amp;end_day=31&amp;end_year=2016","Correlation")</f>
        <v>Correlation</v>
      </c>
    </row>
    <row r="709" spans="1:13" x14ac:dyDescent="0.2">
      <c r="A709" s="113"/>
      <c r="B709" s="58" t="s">
        <v>3010</v>
      </c>
      <c r="C709" s="58" t="s">
        <v>1728</v>
      </c>
      <c r="D709" s="58" t="s">
        <v>3009</v>
      </c>
      <c r="E709" s="60" t="b">
        <v>1</v>
      </c>
      <c r="F709" s="80" t="s">
        <v>384</v>
      </c>
      <c r="G709" s="58" t="s">
        <v>3008</v>
      </c>
      <c r="H709" s="58" t="s">
        <v>1728</v>
      </c>
      <c r="I709" s="64" t="s">
        <v>3009</v>
      </c>
      <c r="J709" s="66"/>
      <c r="K709" s="66"/>
      <c r="L709" s="68"/>
      <c r="M709" s="63" t="str">
        <f>HYPERLINK("http://nsgreg.nga.mil/genc/view?v=871838&amp;end_month=12&amp;end_day=31&amp;end_year=2016","Correlation")</f>
        <v>Correlation</v>
      </c>
    </row>
    <row r="710" spans="1:13" x14ac:dyDescent="0.2">
      <c r="A710" s="113"/>
      <c r="B710" s="58" t="s">
        <v>2976</v>
      </c>
      <c r="C710" s="58" t="s">
        <v>1728</v>
      </c>
      <c r="D710" s="58" t="s">
        <v>2975</v>
      </c>
      <c r="E710" s="60" t="b">
        <v>1</v>
      </c>
      <c r="F710" s="80" t="s">
        <v>384</v>
      </c>
      <c r="G710" s="58" t="s">
        <v>2974</v>
      </c>
      <c r="H710" s="58" t="s">
        <v>1728</v>
      </c>
      <c r="I710" s="64" t="s">
        <v>2975</v>
      </c>
      <c r="J710" s="66"/>
      <c r="K710" s="66"/>
      <c r="L710" s="68"/>
      <c r="M710" s="63" t="str">
        <f>HYPERLINK("http://nsgreg.nga.mil/genc/view?v=871828&amp;end_month=12&amp;end_day=31&amp;end_year=2016","Correlation")</f>
        <v>Correlation</v>
      </c>
    </row>
    <row r="711" spans="1:13" x14ac:dyDescent="0.2">
      <c r="A711" s="113"/>
      <c r="B711" s="58" t="s">
        <v>3019</v>
      </c>
      <c r="C711" s="58" t="s">
        <v>1728</v>
      </c>
      <c r="D711" s="58" t="s">
        <v>3018</v>
      </c>
      <c r="E711" s="60" t="b">
        <v>1</v>
      </c>
      <c r="F711" s="80" t="s">
        <v>384</v>
      </c>
      <c r="G711" s="58" t="s">
        <v>3017</v>
      </c>
      <c r="H711" s="58" t="s">
        <v>1728</v>
      </c>
      <c r="I711" s="64" t="s">
        <v>3018</v>
      </c>
      <c r="J711" s="66"/>
      <c r="K711" s="66"/>
      <c r="L711" s="68"/>
      <c r="M711" s="63" t="str">
        <f>HYPERLINK("http://nsgreg.nga.mil/genc/view?v=871844&amp;end_month=12&amp;end_day=31&amp;end_year=2016","Correlation")</f>
        <v>Correlation</v>
      </c>
    </row>
    <row r="712" spans="1:13" x14ac:dyDescent="0.2">
      <c r="A712" s="113"/>
      <c r="B712" s="58" t="s">
        <v>3022</v>
      </c>
      <c r="C712" s="58" t="s">
        <v>1728</v>
      </c>
      <c r="D712" s="58" t="s">
        <v>3021</v>
      </c>
      <c r="E712" s="60" t="b">
        <v>1</v>
      </c>
      <c r="F712" s="80" t="s">
        <v>384</v>
      </c>
      <c r="G712" s="58" t="s">
        <v>3020</v>
      </c>
      <c r="H712" s="58" t="s">
        <v>1728</v>
      </c>
      <c r="I712" s="64" t="s">
        <v>3021</v>
      </c>
      <c r="J712" s="66"/>
      <c r="K712" s="66"/>
      <c r="L712" s="68"/>
      <c r="M712" s="63" t="str">
        <f>HYPERLINK("http://nsgreg.nga.mil/genc/view?v=871845&amp;end_month=12&amp;end_day=31&amp;end_year=2016","Correlation")</f>
        <v>Correlation</v>
      </c>
    </row>
    <row r="713" spans="1:13" x14ac:dyDescent="0.2">
      <c r="A713" s="113"/>
      <c r="B713" s="58" t="s">
        <v>3025</v>
      </c>
      <c r="C713" s="58" t="s">
        <v>1728</v>
      </c>
      <c r="D713" s="58" t="s">
        <v>3024</v>
      </c>
      <c r="E713" s="60" t="b">
        <v>1</v>
      </c>
      <c r="F713" s="80" t="s">
        <v>384</v>
      </c>
      <c r="G713" s="58" t="s">
        <v>3023</v>
      </c>
      <c r="H713" s="58" t="s">
        <v>1728</v>
      </c>
      <c r="I713" s="64" t="s">
        <v>3024</v>
      </c>
      <c r="J713" s="66"/>
      <c r="K713" s="66"/>
      <c r="L713" s="68"/>
      <c r="M713" s="63" t="str">
        <f>HYPERLINK("http://nsgreg.nga.mil/genc/view?v=871846&amp;end_month=12&amp;end_day=31&amp;end_year=2016","Correlation")</f>
        <v>Correlation</v>
      </c>
    </row>
    <row r="714" spans="1:13" x14ac:dyDescent="0.2">
      <c r="A714" s="113"/>
      <c r="B714" s="58" t="s">
        <v>3013</v>
      </c>
      <c r="C714" s="58" t="s">
        <v>1728</v>
      </c>
      <c r="D714" s="58" t="s">
        <v>3012</v>
      </c>
      <c r="E714" s="60" t="b">
        <v>1</v>
      </c>
      <c r="F714" s="80" t="s">
        <v>384</v>
      </c>
      <c r="G714" s="58" t="s">
        <v>3011</v>
      </c>
      <c r="H714" s="58" t="s">
        <v>1728</v>
      </c>
      <c r="I714" s="64" t="s">
        <v>3012</v>
      </c>
      <c r="J714" s="66"/>
      <c r="K714" s="66"/>
      <c r="L714" s="68"/>
      <c r="M714" s="63" t="str">
        <f>HYPERLINK("http://nsgreg.nga.mil/genc/view?v=871842&amp;end_month=12&amp;end_day=31&amp;end_year=2016","Correlation")</f>
        <v>Correlation</v>
      </c>
    </row>
    <row r="715" spans="1:13" x14ac:dyDescent="0.2">
      <c r="A715" s="114"/>
      <c r="B715" s="71" t="s">
        <v>3031</v>
      </c>
      <c r="C715" s="71" t="s">
        <v>1728</v>
      </c>
      <c r="D715" s="71" t="s">
        <v>3030</v>
      </c>
      <c r="E715" s="73" t="b">
        <v>1</v>
      </c>
      <c r="F715" s="81" t="s">
        <v>384</v>
      </c>
      <c r="G715" s="71" t="s">
        <v>3029</v>
      </c>
      <c r="H715" s="71" t="s">
        <v>1728</v>
      </c>
      <c r="I715" s="74" t="s">
        <v>3030</v>
      </c>
      <c r="J715" s="76"/>
      <c r="K715" s="76"/>
      <c r="L715" s="82"/>
      <c r="M715" s="77" t="str">
        <f>HYPERLINK("http://nsgreg.nga.mil/genc/view?v=871847&amp;end_month=12&amp;end_day=31&amp;end_year=2016","Correlation")</f>
        <v>Correlation</v>
      </c>
    </row>
    <row r="716" spans="1:13" x14ac:dyDescent="0.2">
      <c r="A716" s="112" t="s">
        <v>388</v>
      </c>
      <c r="B716" s="50" t="s">
        <v>3043</v>
      </c>
      <c r="C716" s="50" t="s">
        <v>1728</v>
      </c>
      <c r="D716" s="50" t="s">
        <v>3042</v>
      </c>
      <c r="E716" s="52" t="b">
        <v>1</v>
      </c>
      <c r="F716" s="78" t="s">
        <v>388</v>
      </c>
      <c r="G716" s="50" t="s">
        <v>3041</v>
      </c>
      <c r="H716" s="50" t="s">
        <v>1728</v>
      </c>
      <c r="I716" s="53" t="s">
        <v>3042</v>
      </c>
      <c r="J716" s="55"/>
      <c r="K716" s="55"/>
      <c r="L716" s="79"/>
      <c r="M716" s="56" t="str">
        <f>HYPERLINK("http://nsgreg.nga.mil/genc/view?v=868251&amp;end_month=12&amp;end_day=31&amp;end_year=2016","Correlation")</f>
        <v>Correlation</v>
      </c>
    </row>
    <row r="717" spans="1:13" x14ac:dyDescent="0.2">
      <c r="A717" s="113"/>
      <c r="B717" s="58" t="s">
        <v>3032</v>
      </c>
      <c r="C717" s="58" t="s">
        <v>1728</v>
      </c>
      <c r="D717" s="58" t="s">
        <v>3033</v>
      </c>
      <c r="E717" s="60" t="b">
        <v>1</v>
      </c>
      <c r="F717" s="80" t="s">
        <v>388</v>
      </c>
      <c r="G717" s="58" t="s">
        <v>3032</v>
      </c>
      <c r="H717" s="58" t="s">
        <v>1728</v>
      </c>
      <c r="I717" s="64" t="s">
        <v>3033</v>
      </c>
      <c r="J717" s="66"/>
      <c r="K717" s="66"/>
      <c r="L717" s="68"/>
      <c r="M717" s="63" t="str">
        <f>HYPERLINK("http://nsgreg.nga.mil/genc/view?v=868252&amp;end_month=12&amp;end_day=31&amp;end_year=2016","Correlation")</f>
        <v>Correlation</v>
      </c>
    </row>
    <row r="718" spans="1:13" x14ac:dyDescent="0.2">
      <c r="A718" s="113"/>
      <c r="B718" s="58" t="s">
        <v>3037</v>
      </c>
      <c r="C718" s="58" t="s">
        <v>1728</v>
      </c>
      <c r="D718" s="58" t="s">
        <v>3038</v>
      </c>
      <c r="E718" s="60" t="b">
        <v>1</v>
      </c>
      <c r="F718" s="80" t="s">
        <v>388</v>
      </c>
      <c r="G718" s="58" t="s">
        <v>3037</v>
      </c>
      <c r="H718" s="58" t="s">
        <v>1728</v>
      </c>
      <c r="I718" s="64" t="s">
        <v>3038</v>
      </c>
      <c r="J718" s="66"/>
      <c r="K718" s="66"/>
      <c r="L718" s="68"/>
      <c r="M718" s="63" t="str">
        <f>HYPERLINK("http://nsgreg.nga.mil/genc/view?v=868253&amp;end_month=12&amp;end_day=31&amp;end_year=2016","Correlation")</f>
        <v>Correlation</v>
      </c>
    </row>
    <row r="719" spans="1:13" x14ac:dyDescent="0.2">
      <c r="A719" s="113"/>
      <c r="B719" s="58" t="s">
        <v>3039</v>
      </c>
      <c r="C719" s="58" t="s">
        <v>1728</v>
      </c>
      <c r="D719" s="58" t="s">
        <v>3040</v>
      </c>
      <c r="E719" s="60" t="b">
        <v>1</v>
      </c>
      <c r="F719" s="80" t="s">
        <v>388</v>
      </c>
      <c r="G719" s="58" t="s">
        <v>3039</v>
      </c>
      <c r="H719" s="58" t="s">
        <v>1728</v>
      </c>
      <c r="I719" s="64" t="s">
        <v>3040</v>
      </c>
      <c r="J719" s="66"/>
      <c r="K719" s="66"/>
      <c r="L719" s="68"/>
      <c r="M719" s="63" t="str">
        <f>HYPERLINK("http://nsgreg.nga.mil/genc/view?v=868255&amp;end_month=12&amp;end_day=31&amp;end_year=2016","Correlation")</f>
        <v>Correlation</v>
      </c>
    </row>
    <row r="720" spans="1:13" x14ac:dyDescent="0.2">
      <c r="A720" s="113"/>
      <c r="B720" s="58" t="s">
        <v>3044</v>
      </c>
      <c r="C720" s="58" t="s">
        <v>1728</v>
      </c>
      <c r="D720" s="58" t="s">
        <v>3045</v>
      </c>
      <c r="E720" s="60" t="b">
        <v>1</v>
      </c>
      <c r="F720" s="80" t="s">
        <v>388</v>
      </c>
      <c r="G720" s="58" t="s">
        <v>3044</v>
      </c>
      <c r="H720" s="58" t="s">
        <v>1728</v>
      </c>
      <c r="I720" s="64" t="s">
        <v>3045</v>
      </c>
      <c r="J720" s="66"/>
      <c r="K720" s="66"/>
      <c r="L720" s="68"/>
      <c r="M720" s="63" t="str">
        <f>HYPERLINK("http://nsgreg.nga.mil/genc/view?v=868256&amp;end_month=12&amp;end_day=31&amp;end_year=2016","Correlation")</f>
        <v>Correlation</v>
      </c>
    </row>
    <row r="721" spans="1:13" x14ac:dyDescent="0.2">
      <c r="A721" s="113"/>
      <c r="B721" s="58" t="s">
        <v>3046</v>
      </c>
      <c r="C721" s="58" t="s">
        <v>1728</v>
      </c>
      <c r="D721" s="58" t="s">
        <v>3047</v>
      </c>
      <c r="E721" s="60" t="b">
        <v>1</v>
      </c>
      <c r="F721" s="80" t="s">
        <v>388</v>
      </c>
      <c r="G721" s="58" t="s">
        <v>3046</v>
      </c>
      <c r="H721" s="58" t="s">
        <v>1728</v>
      </c>
      <c r="I721" s="64" t="s">
        <v>3047</v>
      </c>
      <c r="J721" s="66"/>
      <c r="K721" s="66"/>
      <c r="L721" s="68"/>
      <c r="M721" s="63" t="str">
        <f>HYPERLINK("http://nsgreg.nga.mil/genc/view?v=868257&amp;end_month=12&amp;end_day=31&amp;end_year=2016","Correlation")</f>
        <v>Correlation</v>
      </c>
    </row>
    <row r="722" spans="1:13" x14ac:dyDescent="0.2">
      <c r="A722" s="113"/>
      <c r="B722" s="58" t="s">
        <v>3036</v>
      </c>
      <c r="C722" s="58" t="s">
        <v>1728</v>
      </c>
      <c r="D722" s="58" t="s">
        <v>3035</v>
      </c>
      <c r="E722" s="60" t="b">
        <v>1</v>
      </c>
      <c r="F722" s="80" t="s">
        <v>388</v>
      </c>
      <c r="G722" s="58" t="s">
        <v>3034</v>
      </c>
      <c r="H722" s="58" t="s">
        <v>1728</v>
      </c>
      <c r="I722" s="64" t="s">
        <v>3035</v>
      </c>
      <c r="J722" s="66"/>
      <c r="K722" s="66"/>
      <c r="L722" s="68"/>
      <c r="M722" s="63" t="str">
        <f>HYPERLINK("http://nsgreg.nga.mil/genc/view?v=868254&amp;end_month=12&amp;end_day=31&amp;end_year=2016","Correlation")</f>
        <v>Correlation</v>
      </c>
    </row>
    <row r="723" spans="1:13" x14ac:dyDescent="0.2">
      <c r="A723" s="113"/>
      <c r="B723" s="58" t="s">
        <v>3050</v>
      </c>
      <c r="C723" s="58" t="s">
        <v>1728</v>
      </c>
      <c r="D723" s="58" t="s">
        <v>3049</v>
      </c>
      <c r="E723" s="60" t="b">
        <v>1</v>
      </c>
      <c r="F723" s="80" t="s">
        <v>388</v>
      </c>
      <c r="G723" s="58" t="s">
        <v>3048</v>
      </c>
      <c r="H723" s="58" t="s">
        <v>1728</v>
      </c>
      <c r="I723" s="64" t="s">
        <v>3049</v>
      </c>
      <c r="J723" s="66"/>
      <c r="K723" s="66"/>
      <c r="L723" s="68"/>
      <c r="M723" s="63" t="str">
        <f>HYPERLINK("http://nsgreg.nga.mil/genc/view?v=868258&amp;end_month=12&amp;end_day=31&amp;end_year=2016","Correlation")</f>
        <v>Correlation</v>
      </c>
    </row>
    <row r="724" spans="1:13" x14ac:dyDescent="0.2">
      <c r="A724" s="113"/>
      <c r="B724" s="58" t="s">
        <v>3051</v>
      </c>
      <c r="C724" s="58" t="s">
        <v>1728</v>
      </c>
      <c r="D724" s="58" t="s">
        <v>3052</v>
      </c>
      <c r="E724" s="60" t="b">
        <v>1</v>
      </c>
      <c r="F724" s="80" t="s">
        <v>388</v>
      </c>
      <c r="G724" s="58" t="s">
        <v>3051</v>
      </c>
      <c r="H724" s="58" t="s">
        <v>1728</v>
      </c>
      <c r="I724" s="64" t="s">
        <v>3052</v>
      </c>
      <c r="J724" s="66"/>
      <c r="K724" s="66"/>
      <c r="L724" s="68"/>
      <c r="M724" s="63" t="str">
        <f>HYPERLINK("http://nsgreg.nga.mil/genc/view?v=868259&amp;end_month=12&amp;end_day=31&amp;end_year=2016","Correlation")</f>
        <v>Correlation</v>
      </c>
    </row>
    <row r="725" spans="1:13" x14ac:dyDescent="0.2">
      <c r="A725" s="113"/>
      <c r="B725" s="58" t="s">
        <v>3053</v>
      </c>
      <c r="C725" s="58" t="s">
        <v>1728</v>
      </c>
      <c r="D725" s="58" t="s">
        <v>3054</v>
      </c>
      <c r="E725" s="60" t="b">
        <v>1</v>
      </c>
      <c r="F725" s="80" t="s">
        <v>388</v>
      </c>
      <c r="G725" s="58" t="s">
        <v>3053</v>
      </c>
      <c r="H725" s="58" t="s">
        <v>1728</v>
      </c>
      <c r="I725" s="64" t="s">
        <v>3054</v>
      </c>
      <c r="J725" s="66"/>
      <c r="K725" s="66"/>
      <c r="L725" s="68"/>
      <c r="M725" s="63" t="str">
        <f>HYPERLINK("http://nsgreg.nga.mil/genc/view?v=868260&amp;end_month=12&amp;end_day=31&amp;end_year=2016","Correlation")</f>
        <v>Correlation</v>
      </c>
    </row>
    <row r="726" spans="1:13" x14ac:dyDescent="0.2">
      <c r="A726" s="113"/>
      <c r="B726" s="58" t="s">
        <v>3057</v>
      </c>
      <c r="C726" s="58" t="s">
        <v>1728</v>
      </c>
      <c r="D726" s="58" t="s">
        <v>3056</v>
      </c>
      <c r="E726" s="60" t="b">
        <v>1</v>
      </c>
      <c r="F726" s="80" t="s">
        <v>388</v>
      </c>
      <c r="G726" s="58" t="s">
        <v>3055</v>
      </c>
      <c r="H726" s="58" t="s">
        <v>1728</v>
      </c>
      <c r="I726" s="64" t="s">
        <v>3056</v>
      </c>
      <c r="J726" s="66"/>
      <c r="K726" s="66"/>
      <c r="L726" s="68"/>
      <c r="M726" s="63" t="str">
        <f>HYPERLINK("http://nsgreg.nga.mil/genc/view?v=868261&amp;end_month=12&amp;end_day=31&amp;end_year=2016","Correlation")</f>
        <v>Correlation</v>
      </c>
    </row>
    <row r="727" spans="1:13" x14ac:dyDescent="0.2">
      <c r="A727" s="113"/>
      <c r="B727" s="58" t="s">
        <v>3058</v>
      </c>
      <c r="C727" s="58" t="s">
        <v>1728</v>
      </c>
      <c r="D727" s="58" t="s">
        <v>3059</v>
      </c>
      <c r="E727" s="60" t="b">
        <v>1</v>
      </c>
      <c r="F727" s="80" t="s">
        <v>388</v>
      </c>
      <c r="G727" s="58" t="s">
        <v>3058</v>
      </c>
      <c r="H727" s="58" t="s">
        <v>1728</v>
      </c>
      <c r="I727" s="64" t="s">
        <v>3059</v>
      </c>
      <c r="J727" s="66"/>
      <c r="K727" s="66"/>
      <c r="L727" s="68"/>
      <c r="M727" s="63" t="str">
        <f>HYPERLINK("http://nsgreg.nga.mil/genc/view?v=868262&amp;end_month=12&amp;end_day=31&amp;end_year=2016","Correlation")</f>
        <v>Correlation</v>
      </c>
    </row>
    <row r="728" spans="1:13" x14ac:dyDescent="0.2">
      <c r="A728" s="113"/>
      <c r="B728" s="58" t="s">
        <v>3062</v>
      </c>
      <c r="C728" s="58" t="s">
        <v>1728</v>
      </c>
      <c r="D728" s="58" t="s">
        <v>3061</v>
      </c>
      <c r="E728" s="60" t="b">
        <v>1</v>
      </c>
      <c r="F728" s="80" t="s">
        <v>388</v>
      </c>
      <c r="G728" s="58" t="s">
        <v>3060</v>
      </c>
      <c r="H728" s="58" t="s">
        <v>1728</v>
      </c>
      <c r="I728" s="64" t="s">
        <v>3061</v>
      </c>
      <c r="J728" s="66"/>
      <c r="K728" s="66"/>
      <c r="L728" s="68"/>
      <c r="M728" s="63" t="str">
        <f>HYPERLINK("http://nsgreg.nga.mil/genc/view?v=868263&amp;end_month=12&amp;end_day=31&amp;end_year=2016","Correlation")</f>
        <v>Correlation</v>
      </c>
    </row>
    <row r="729" spans="1:13" x14ac:dyDescent="0.2">
      <c r="A729" s="113"/>
      <c r="B729" s="58" t="s">
        <v>3063</v>
      </c>
      <c r="C729" s="58" t="s">
        <v>1728</v>
      </c>
      <c r="D729" s="58" t="s">
        <v>3064</v>
      </c>
      <c r="E729" s="60" t="b">
        <v>1</v>
      </c>
      <c r="F729" s="80" t="s">
        <v>388</v>
      </c>
      <c r="G729" s="58" t="s">
        <v>3063</v>
      </c>
      <c r="H729" s="58" t="s">
        <v>1728</v>
      </c>
      <c r="I729" s="64" t="s">
        <v>3064</v>
      </c>
      <c r="J729" s="66"/>
      <c r="K729" s="66"/>
      <c r="L729" s="68"/>
      <c r="M729" s="63" t="str">
        <f>HYPERLINK("http://nsgreg.nga.mil/genc/view?v=868264&amp;end_month=12&amp;end_day=31&amp;end_year=2016","Correlation")</f>
        <v>Correlation</v>
      </c>
    </row>
    <row r="730" spans="1:13" x14ac:dyDescent="0.2">
      <c r="A730" s="114"/>
      <c r="B730" s="71" t="s">
        <v>3065</v>
      </c>
      <c r="C730" s="71" t="s">
        <v>1728</v>
      </c>
      <c r="D730" s="71" t="s">
        <v>3066</v>
      </c>
      <c r="E730" s="73" t="b">
        <v>1</v>
      </c>
      <c r="F730" s="81" t="s">
        <v>388</v>
      </c>
      <c r="G730" s="71" t="s">
        <v>3065</v>
      </c>
      <c r="H730" s="71" t="s">
        <v>1728</v>
      </c>
      <c r="I730" s="74" t="s">
        <v>3066</v>
      </c>
      <c r="J730" s="76"/>
      <c r="K730" s="76"/>
      <c r="L730" s="82"/>
      <c r="M730" s="77" t="str">
        <f>HYPERLINK("http://nsgreg.nga.mil/genc/view?v=868265&amp;end_month=12&amp;end_day=31&amp;end_year=2016","Correlation")</f>
        <v>Correlation</v>
      </c>
    </row>
    <row r="731" spans="1:13" x14ac:dyDescent="0.2">
      <c r="A731" s="112" t="s">
        <v>392</v>
      </c>
      <c r="B731" s="50" t="s">
        <v>3067</v>
      </c>
      <c r="C731" s="50" t="s">
        <v>1413</v>
      </c>
      <c r="D731" s="50" t="s">
        <v>3068</v>
      </c>
      <c r="E731" s="52" t="b">
        <v>1</v>
      </c>
      <c r="F731" s="78" t="s">
        <v>392</v>
      </c>
      <c r="G731" s="50" t="s">
        <v>3067</v>
      </c>
      <c r="H731" s="50" t="s">
        <v>1413</v>
      </c>
      <c r="I731" s="53" t="s">
        <v>3068</v>
      </c>
      <c r="J731" s="55"/>
      <c r="K731" s="55"/>
      <c r="L731" s="79"/>
      <c r="M731" s="56" t="str">
        <f>HYPERLINK("http://nsgreg.nga.mil/genc/view?v=868287&amp;end_month=12&amp;end_day=31&amp;end_year=2016","Correlation")</f>
        <v>Correlation</v>
      </c>
    </row>
    <row r="732" spans="1:13" x14ac:dyDescent="0.2">
      <c r="A732" s="113"/>
      <c r="B732" s="58" t="s">
        <v>858</v>
      </c>
      <c r="C732" s="58" t="s">
        <v>12337</v>
      </c>
      <c r="D732" s="58" t="s">
        <v>859</v>
      </c>
      <c r="E732" s="60" t="b">
        <v>1</v>
      </c>
      <c r="F732" s="80" t="s">
        <v>853</v>
      </c>
      <c r="G732" s="88"/>
      <c r="H732" s="88"/>
      <c r="I732" s="66"/>
      <c r="J732" s="64" t="s">
        <v>854</v>
      </c>
      <c r="K732" s="64" t="s">
        <v>855</v>
      </c>
      <c r="L732" s="65" t="s">
        <v>856</v>
      </c>
      <c r="M732" s="63" t="str">
        <f>HYPERLINK("http://nsgreg.nga.mil/genc/view?v=868309&amp;end_month=12&amp;end_day=31&amp;end_year=2016","Correlation")</f>
        <v>Correlation</v>
      </c>
    </row>
    <row r="733" spans="1:13" x14ac:dyDescent="0.2">
      <c r="A733" s="113"/>
      <c r="B733" s="58" t="s">
        <v>3069</v>
      </c>
      <c r="C733" s="58" t="s">
        <v>1816</v>
      </c>
      <c r="D733" s="58" t="s">
        <v>3070</v>
      </c>
      <c r="E733" s="60" t="b">
        <v>1</v>
      </c>
      <c r="F733" s="80" t="s">
        <v>392</v>
      </c>
      <c r="G733" s="58" t="s">
        <v>3069</v>
      </c>
      <c r="H733" s="58" t="s">
        <v>1816</v>
      </c>
      <c r="I733" s="64" t="s">
        <v>3070</v>
      </c>
      <c r="J733" s="66"/>
      <c r="K733" s="66"/>
      <c r="L733" s="68"/>
      <c r="M733" s="63" t="str">
        <f>HYPERLINK("http://nsgreg.nga.mil/genc/view?v=868276&amp;end_month=12&amp;end_day=31&amp;end_year=2016","Correlation")</f>
        <v>Correlation</v>
      </c>
    </row>
    <row r="734" spans="1:13" x14ac:dyDescent="0.2">
      <c r="A734" s="113"/>
      <c r="B734" s="58" t="s">
        <v>3071</v>
      </c>
      <c r="C734" s="58" t="s">
        <v>1816</v>
      </c>
      <c r="D734" s="58" t="s">
        <v>3072</v>
      </c>
      <c r="E734" s="60" t="b">
        <v>1</v>
      </c>
      <c r="F734" s="80" t="s">
        <v>392</v>
      </c>
      <c r="G734" s="58" t="s">
        <v>3071</v>
      </c>
      <c r="H734" s="58" t="s">
        <v>1816</v>
      </c>
      <c r="I734" s="64" t="s">
        <v>3072</v>
      </c>
      <c r="J734" s="66"/>
      <c r="K734" s="66"/>
      <c r="L734" s="68"/>
      <c r="M734" s="63" t="str">
        <f>HYPERLINK("http://nsgreg.nga.mil/genc/view?v=868297&amp;end_month=12&amp;end_day=31&amp;end_year=2016","Correlation")</f>
        <v>Correlation</v>
      </c>
    </row>
    <row r="735" spans="1:13" x14ac:dyDescent="0.2">
      <c r="A735" s="113"/>
      <c r="B735" s="58" t="s">
        <v>3073</v>
      </c>
      <c r="C735" s="58" t="s">
        <v>1413</v>
      </c>
      <c r="D735" s="58" t="s">
        <v>3074</v>
      </c>
      <c r="E735" s="60" t="b">
        <v>1</v>
      </c>
      <c r="F735" s="80" t="s">
        <v>392</v>
      </c>
      <c r="G735" s="58" t="s">
        <v>3073</v>
      </c>
      <c r="H735" s="58" t="s">
        <v>1413</v>
      </c>
      <c r="I735" s="64" t="s">
        <v>3074</v>
      </c>
      <c r="J735" s="66"/>
      <c r="K735" s="66"/>
      <c r="L735" s="68"/>
      <c r="M735" s="63" t="str">
        <f>HYPERLINK("http://nsgreg.nga.mil/genc/view?v=868288&amp;end_month=12&amp;end_day=31&amp;end_year=2016","Correlation")</f>
        <v>Correlation</v>
      </c>
    </row>
    <row r="736" spans="1:13" x14ac:dyDescent="0.2">
      <c r="A736" s="113"/>
      <c r="B736" s="58" t="s">
        <v>3075</v>
      </c>
      <c r="C736" s="58" t="s">
        <v>1413</v>
      </c>
      <c r="D736" s="58" t="s">
        <v>3076</v>
      </c>
      <c r="E736" s="60" t="b">
        <v>1</v>
      </c>
      <c r="F736" s="80" t="s">
        <v>392</v>
      </c>
      <c r="G736" s="58" t="s">
        <v>3075</v>
      </c>
      <c r="H736" s="58" t="s">
        <v>1413</v>
      </c>
      <c r="I736" s="64" t="s">
        <v>3076</v>
      </c>
      <c r="J736" s="66"/>
      <c r="K736" s="66"/>
      <c r="L736" s="68"/>
      <c r="M736" s="63" t="str">
        <f>HYPERLINK("http://nsgreg.nga.mil/genc/view?v=868303&amp;end_month=12&amp;end_day=31&amp;end_year=2016","Correlation")</f>
        <v>Correlation</v>
      </c>
    </row>
    <row r="737" spans="1:13" x14ac:dyDescent="0.2">
      <c r="A737" s="113"/>
      <c r="B737" s="58" t="s">
        <v>3077</v>
      </c>
      <c r="C737" s="58" t="s">
        <v>1413</v>
      </c>
      <c r="D737" s="58" t="s">
        <v>3078</v>
      </c>
      <c r="E737" s="60" t="b">
        <v>1</v>
      </c>
      <c r="F737" s="80" t="s">
        <v>392</v>
      </c>
      <c r="G737" s="58" t="s">
        <v>3077</v>
      </c>
      <c r="H737" s="58" t="s">
        <v>1413</v>
      </c>
      <c r="I737" s="64" t="s">
        <v>3078</v>
      </c>
      <c r="J737" s="66"/>
      <c r="K737" s="66"/>
      <c r="L737" s="68"/>
      <c r="M737" s="63" t="str">
        <f>HYPERLINK("http://nsgreg.nga.mil/genc/view?v=868294&amp;end_month=12&amp;end_day=31&amp;end_year=2016","Correlation")</f>
        <v>Correlation</v>
      </c>
    </row>
    <row r="738" spans="1:13" x14ac:dyDescent="0.2">
      <c r="A738" s="113"/>
      <c r="B738" s="58" t="s">
        <v>3079</v>
      </c>
      <c r="C738" s="58" t="s">
        <v>3080</v>
      </c>
      <c r="D738" s="58" t="s">
        <v>3081</v>
      </c>
      <c r="E738" s="60" t="b">
        <v>1</v>
      </c>
      <c r="F738" s="80" t="s">
        <v>392</v>
      </c>
      <c r="G738" s="58" t="s">
        <v>3079</v>
      </c>
      <c r="H738" s="58" t="s">
        <v>3080</v>
      </c>
      <c r="I738" s="64" t="s">
        <v>3081</v>
      </c>
      <c r="J738" s="66"/>
      <c r="K738" s="66"/>
      <c r="L738" s="68"/>
      <c r="M738" s="63" t="str">
        <f>HYPERLINK("http://nsgreg.nga.mil/genc/view?v=868295&amp;end_month=12&amp;end_day=31&amp;end_year=2016","Correlation")</f>
        <v>Correlation</v>
      </c>
    </row>
    <row r="739" spans="1:13" x14ac:dyDescent="0.2">
      <c r="A739" s="113"/>
      <c r="B739" s="58" t="s">
        <v>3082</v>
      </c>
      <c r="C739" s="58" t="s">
        <v>1413</v>
      </c>
      <c r="D739" s="58" t="s">
        <v>3083</v>
      </c>
      <c r="E739" s="60" t="b">
        <v>1</v>
      </c>
      <c r="F739" s="80" t="s">
        <v>392</v>
      </c>
      <c r="G739" s="58" t="s">
        <v>3082</v>
      </c>
      <c r="H739" s="58" t="s">
        <v>1413</v>
      </c>
      <c r="I739" s="64" t="s">
        <v>3083</v>
      </c>
      <c r="J739" s="66"/>
      <c r="K739" s="66"/>
      <c r="L739" s="68"/>
      <c r="M739" s="63" t="str">
        <f>HYPERLINK("http://nsgreg.nga.mil/genc/view?v=868299&amp;end_month=12&amp;end_day=31&amp;end_year=2016","Correlation")</f>
        <v>Correlation</v>
      </c>
    </row>
    <row r="740" spans="1:13" x14ac:dyDescent="0.2">
      <c r="A740" s="113"/>
      <c r="B740" s="58" t="s">
        <v>3084</v>
      </c>
      <c r="C740" s="58" t="s">
        <v>1413</v>
      </c>
      <c r="D740" s="58" t="s">
        <v>3085</v>
      </c>
      <c r="E740" s="60" t="b">
        <v>1</v>
      </c>
      <c r="F740" s="80" t="s">
        <v>392</v>
      </c>
      <c r="G740" s="58" t="s">
        <v>3084</v>
      </c>
      <c r="H740" s="58" t="s">
        <v>1413</v>
      </c>
      <c r="I740" s="64" t="s">
        <v>3085</v>
      </c>
      <c r="J740" s="66"/>
      <c r="K740" s="66"/>
      <c r="L740" s="68"/>
      <c r="M740" s="63" t="str">
        <f>HYPERLINK("http://nsgreg.nga.mil/genc/view?v=868296&amp;end_month=12&amp;end_day=31&amp;end_year=2016","Correlation")</f>
        <v>Correlation</v>
      </c>
    </row>
    <row r="741" spans="1:13" x14ac:dyDescent="0.2">
      <c r="A741" s="113"/>
      <c r="B741" s="58" t="s">
        <v>3086</v>
      </c>
      <c r="C741" s="58" t="s">
        <v>1413</v>
      </c>
      <c r="D741" s="58" t="s">
        <v>3087</v>
      </c>
      <c r="E741" s="60" t="b">
        <v>1</v>
      </c>
      <c r="F741" s="80" t="s">
        <v>392</v>
      </c>
      <c r="G741" s="58" t="s">
        <v>3086</v>
      </c>
      <c r="H741" s="58" t="s">
        <v>1413</v>
      </c>
      <c r="I741" s="64" t="s">
        <v>3087</v>
      </c>
      <c r="J741" s="66"/>
      <c r="K741" s="66"/>
      <c r="L741" s="68"/>
      <c r="M741" s="63" t="str">
        <f>HYPERLINK("http://nsgreg.nga.mil/genc/view?v=868278&amp;end_month=12&amp;end_day=31&amp;end_year=2016","Correlation")</f>
        <v>Correlation</v>
      </c>
    </row>
    <row r="742" spans="1:13" x14ac:dyDescent="0.2">
      <c r="A742" s="113"/>
      <c r="B742" s="58" t="s">
        <v>3088</v>
      </c>
      <c r="C742" s="58" t="s">
        <v>1413</v>
      </c>
      <c r="D742" s="58" t="s">
        <v>3089</v>
      </c>
      <c r="E742" s="60" t="b">
        <v>1</v>
      </c>
      <c r="F742" s="80" t="s">
        <v>392</v>
      </c>
      <c r="G742" s="58" t="s">
        <v>3088</v>
      </c>
      <c r="H742" s="58" t="s">
        <v>1413</v>
      </c>
      <c r="I742" s="64" t="s">
        <v>3089</v>
      </c>
      <c r="J742" s="66"/>
      <c r="K742" s="66"/>
      <c r="L742" s="68"/>
      <c r="M742" s="63" t="str">
        <f>HYPERLINK("http://nsgreg.nga.mil/genc/view?v=868283&amp;end_month=12&amp;end_day=31&amp;end_year=2016","Correlation")</f>
        <v>Correlation</v>
      </c>
    </row>
    <row r="743" spans="1:13" x14ac:dyDescent="0.2">
      <c r="A743" s="113"/>
      <c r="B743" s="58" t="s">
        <v>3090</v>
      </c>
      <c r="C743" s="58" t="s">
        <v>1413</v>
      </c>
      <c r="D743" s="58" t="s">
        <v>3091</v>
      </c>
      <c r="E743" s="60" t="b">
        <v>1</v>
      </c>
      <c r="F743" s="80" t="s">
        <v>392</v>
      </c>
      <c r="G743" s="58" t="s">
        <v>3090</v>
      </c>
      <c r="H743" s="58" t="s">
        <v>1413</v>
      </c>
      <c r="I743" s="64" t="s">
        <v>3091</v>
      </c>
      <c r="J743" s="66"/>
      <c r="K743" s="66"/>
      <c r="L743" s="68"/>
      <c r="M743" s="63" t="str">
        <f>HYPERLINK("http://nsgreg.nga.mil/genc/view?v=868291&amp;end_month=12&amp;end_day=31&amp;end_year=2016","Correlation")</f>
        <v>Correlation</v>
      </c>
    </row>
    <row r="744" spans="1:13" x14ac:dyDescent="0.2">
      <c r="A744" s="113"/>
      <c r="B744" s="58" t="s">
        <v>3092</v>
      </c>
      <c r="C744" s="58" t="s">
        <v>1413</v>
      </c>
      <c r="D744" s="58" t="s">
        <v>3093</v>
      </c>
      <c r="E744" s="60" t="b">
        <v>1</v>
      </c>
      <c r="F744" s="80" t="s">
        <v>392</v>
      </c>
      <c r="G744" s="58" t="s">
        <v>3092</v>
      </c>
      <c r="H744" s="58" t="s">
        <v>1413</v>
      </c>
      <c r="I744" s="64" t="s">
        <v>3093</v>
      </c>
      <c r="J744" s="66"/>
      <c r="K744" s="66"/>
      <c r="L744" s="68"/>
      <c r="M744" s="63" t="str">
        <f>HYPERLINK("http://nsgreg.nga.mil/genc/view?v=868292&amp;end_month=12&amp;end_day=31&amp;end_year=2016","Correlation")</f>
        <v>Correlation</v>
      </c>
    </row>
    <row r="745" spans="1:13" x14ac:dyDescent="0.2">
      <c r="A745" s="113"/>
      <c r="B745" s="58" t="s">
        <v>3094</v>
      </c>
      <c r="C745" s="58" t="s">
        <v>1413</v>
      </c>
      <c r="D745" s="58" t="s">
        <v>3095</v>
      </c>
      <c r="E745" s="60" t="b">
        <v>1</v>
      </c>
      <c r="F745" s="80" t="s">
        <v>392</v>
      </c>
      <c r="G745" s="58" t="s">
        <v>3094</v>
      </c>
      <c r="H745" s="58" t="s">
        <v>1413</v>
      </c>
      <c r="I745" s="64" t="s">
        <v>3095</v>
      </c>
      <c r="J745" s="66"/>
      <c r="K745" s="66"/>
      <c r="L745" s="68"/>
      <c r="M745" s="63" t="str">
        <f>HYPERLINK("http://nsgreg.nga.mil/genc/view?v=868293&amp;end_month=12&amp;end_day=31&amp;end_year=2016","Correlation")</f>
        <v>Correlation</v>
      </c>
    </row>
    <row r="746" spans="1:13" x14ac:dyDescent="0.2">
      <c r="A746" s="113"/>
      <c r="B746" s="58" t="s">
        <v>3099</v>
      </c>
      <c r="C746" s="58" t="s">
        <v>1413</v>
      </c>
      <c r="D746" s="58" t="s">
        <v>3100</v>
      </c>
      <c r="E746" s="60" t="b">
        <v>1</v>
      </c>
      <c r="F746" s="80" t="s">
        <v>392</v>
      </c>
      <c r="G746" s="58" t="s">
        <v>3099</v>
      </c>
      <c r="H746" s="58" t="s">
        <v>1413</v>
      </c>
      <c r="I746" s="64" t="s">
        <v>3100</v>
      </c>
      <c r="J746" s="66"/>
      <c r="K746" s="66"/>
      <c r="L746" s="68"/>
      <c r="M746" s="63" t="str">
        <f>HYPERLINK("http://nsgreg.nga.mil/genc/view?v=868285&amp;end_month=12&amp;end_day=31&amp;end_year=2016","Correlation")</f>
        <v>Correlation</v>
      </c>
    </row>
    <row r="747" spans="1:13" x14ac:dyDescent="0.2">
      <c r="A747" s="113"/>
      <c r="B747" s="58" t="s">
        <v>3101</v>
      </c>
      <c r="C747" s="58" t="s">
        <v>1413</v>
      </c>
      <c r="D747" s="58" t="s">
        <v>3102</v>
      </c>
      <c r="E747" s="60" t="b">
        <v>1</v>
      </c>
      <c r="F747" s="80" t="s">
        <v>392</v>
      </c>
      <c r="G747" s="58" t="s">
        <v>3101</v>
      </c>
      <c r="H747" s="58" t="s">
        <v>1413</v>
      </c>
      <c r="I747" s="64" t="s">
        <v>3102</v>
      </c>
      <c r="J747" s="66"/>
      <c r="K747" s="66"/>
      <c r="L747" s="68"/>
      <c r="M747" s="63" t="str">
        <f>HYPERLINK("http://nsgreg.nga.mil/genc/view?v=868289&amp;end_month=12&amp;end_day=31&amp;end_year=2016","Correlation")</f>
        <v>Correlation</v>
      </c>
    </row>
    <row r="748" spans="1:13" x14ac:dyDescent="0.2">
      <c r="A748" s="113"/>
      <c r="B748" s="58" t="s">
        <v>3103</v>
      </c>
      <c r="C748" s="58" t="s">
        <v>1413</v>
      </c>
      <c r="D748" s="58" t="s">
        <v>3104</v>
      </c>
      <c r="E748" s="60" t="b">
        <v>1</v>
      </c>
      <c r="F748" s="80" t="s">
        <v>392</v>
      </c>
      <c r="G748" s="58" t="s">
        <v>3103</v>
      </c>
      <c r="H748" s="58" t="s">
        <v>1413</v>
      </c>
      <c r="I748" s="64" t="s">
        <v>3104</v>
      </c>
      <c r="J748" s="66"/>
      <c r="K748" s="66"/>
      <c r="L748" s="68"/>
      <c r="M748" s="63" t="str">
        <f>HYPERLINK("http://nsgreg.nga.mil/genc/view?v=868282&amp;end_month=12&amp;end_day=31&amp;end_year=2016","Correlation")</f>
        <v>Correlation</v>
      </c>
    </row>
    <row r="749" spans="1:13" x14ac:dyDescent="0.2">
      <c r="A749" s="113"/>
      <c r="B749" s="58" t="s">
        <v>3105</v>
      </c>
      <c r="C749" s="58" t="s">
        <v>1413</v>
      </c>
      <c r="D749" s="58" t="s">
        <v>3106</v>
      </c>
      <c r="E749" s="60" t="b">
        <v>1</v>
      </c>
      <c r="F749" s="80" t="s">
        <v>392</v>
      </c>
      <c r="G749" s="58" t="s">
        <v>3105</v>
      </c>
      <c r="H749" s="58" t="s">
        <v>1413</v>
      </c>
      <c r="I749" s="64" t="s">
        <v>3106</v>
      </c>
      <c r="J749" s="66"/>
      <c r="K749" s="66"/>
      <c r="L749" s="68"/>
      <c r="M749" s="63" t="str">
        <f>HYPERLINK("http://nsgreg.nga.mil/genc/view?v=868281&amp;end_month=12&amp;end_day=31&amp;end_year=2016","Correlation")</f>
        <v>Correlation</v>
      </c>
    </row>
    <row r="750" spans="1:13" x14ac:dyDescent="0.2">
      <c r="A750" s="113"/>
      <c r="B750" s="58" t="s">
        <v>3098</v>
      </c>
      <c r="C750" s="58" t="s">
        <v>3080</v>
      </c>
      <c r="D750" s="58" t="s">
        <v>3097</v>
      </c>
      <c r="E750" s="60" t="b">
        <v>1</v>
      </c>
      <c r="F750" s="80" t="s">
        <v>392</v>
      </c>
      <c r="G750" s="58" t="s">
        <v>3096</v>
      </c>
      <c r="H750" s="58" t="s">
        <v>3080</v>
      </c>
      <c r="I750" s="64" t="s">
        <v>3097</v>
      </c>
      <c r="J750" s="66"/>
      <c r="K750" s="66"/>
      <c r="L750" s="68"/>
      <c r="M750" s="63" t="str">
        <f>HYPERLINK("http://nsgreg.nga.mil/genc/view?v=868280&amp;end_month=12&amp;end_day=31&amp;end_year=2016","Correlation")</f>
        <v>Correlation</v>
      </c>
    </row>
    <row r="751" spans="1:13" x14ac:dyDescent="0.2">
      <c r="A751" s="113"/>
      <c r="B751" s="58" t="s">
        <v>3107</v>
      </c>
      <c r="C751" s="58" t="s">
        <v>3080</v>
      </c>
      <c r="D751" s="58" t="s">
        <v>3108</v>
      </c>
      <c r="E751" s="60" t="b">
        <v>1</v>
      </c>
      <c r="F751" s="80" t="s">
        <v>392</v>
      </c>
      <c r="G751" s="58" t="s">
        <v>3107</v>
      </c>
      <c r="H751" s="58" t="s">
        <v>3080</v>
      </c>
      <c r="I751" s="64" t="s">
        <v>3108</v>
      </c>
      <c r="J751" s="66"/>
      <c r="K751" s="66"/>
      <c r="L751" s="68"/>
      <c r="M751" s="63" t="str">
        <f>HYPERLINK("http://nsgreg.nga.mil/genc/view?v=868305&amp;end_month=12&amp;end_day=31&amp;end_year=2016","Correlation")</f>
        <v>Correlation</v>
      </c>
    </row>
    <row r="752" spans="1:13" x14ac:dyDescent="0.2">
      <c r="A752" s="113"/>
      <c r="B752" s="58" t="s">
        <v>3109</v>
      </c>
      <c r="C752" s="58" t="s">
        <v>1413</v>
      </c>
      <c r="D752" s="58" t="s">
        <v>3110</v>
      </c>
      <c r="E752" s="60" t="b">
        <v>1</v>
      </c>
      <c r="F752" s="80" t="s">
        <v>392</v>
      </c>
      <c r="G752" s="58" t="s">
        <v>3109</v>
      </c>
      <c r="H752" s="58" t="s">
        <v>1413</v>
      </c>
      <c r="I752" s="64" t="s">
        <v>3110</v>
      </c>
      <c r="J752" s="66"/>
      <c r="K752" s="66"/>
      <c r="L752" s="68"/>
      <c r="M752" s="63" t="str">
        <f>HYPERLINK("http://nsgreg.nga.mil/genc/view?v=868304&amp;end_month=12&amp;end_day=31&amp;end_year=2016","Correlation")</f>
        <v>Correlation</v>
      </c>
    </row>
    <row r="753" spans="1:13" x14ac:dyDescent="0.2">
      <c r="A753" s="113"/>
      <c r="B753" s="58" t="s">
        <v>3111</v>
      </c>
      <c r="C753" s="58" t="s">
        <v>1413</v>
      </c>
      <c r="D753" s="58" t="s">
        <v>3112</v>
      </c>
      <c r="E753" s="60" t="b">
        <v>1</v>
      </c>
      <c r="F753" s="80" t="s">
        <v>392</v>
      </c>
      <c r="G753" s="58" t="s">
        <v>3111</v>
      </c>
      <c r="H753" s="58" t="s">
        <v>1413</v>
      </c>
      <c r="I753" s="64" t="s">
        <v>3112</v>
      </c>
      <c r="J753" s="66"/>
      <c r="K753" s="66"/>
      <c r="L753" s="68"/>
      <c r="M753" s="63" t="str">
        <f>HYPERLINK("http://nsgreg.nga.mil/genc/view?v=868302&amp;end_month=12&amp;end_day=31&amp;end_year=2016","Correlation")</f>
        <v>Correlation</v>
      </c>
    </row>
    <row r="754" spans="1:13" x14ac:dyDescent="0.2">
      <c r="A754" s="113"/>
      <c r="B754" s="58" t="s">
        <v>3113</v>
      </c>
      <c r="C754" s="58" t="s">
        <v>1413</v>
      </c>
      <c r="D754" s="58" t="s">
        <v>3114</v>
      </c>
      <c r="E754" s="60" t="b">
        <v>1</v>
      </c>
      <c r="F754" s="80" t="s">
        <v>392</v>
      </c>
      <c r="G754" s="58" t="s">
        <v>3113</v>
      </c>
      <c r="H754" s="58" t="s">
        <v>1413</v>
      </c>
      <c r="I754" s="64" t="s">
        <v>3114</v>
      </c>
      <c r="J754" s="66"/>
      <c r="K754" s="66"/>
      <c r="L754" s="68"/>
      <c r="M754" s="63" t="str">
        <f>HYPERLINK("http://nsgreg.nga.mil/genc/view?v=868290&amp;end_month=12&amp;end_day=31&amp;end_year=2016","Correlation")</f>
        <v>Correlation</v>
      </c>
    </row>
    <row r="755" spans="1:13" x14ac:dyDescent="0.2">
      <c r="A755" s="113"/>
      <c r="B755" s="58" t="s">
        <v>3115</v>
      </c>
      <c r="C755" s="58" t="s">
        <v>1816</v>
      </c>
      <c r="D755" s="58" t="s">
        <v>3116</v>
      </c>
      <c r="E755" s="60" t="b">
        <v>1</v>
      </c>
      <c r="F755" s="80" t="s">
        <v>392</v>
      </c>
      <c r="G755" s="58" t="s">
        <v>3115</v>
      </c>
      <c r="H755" s="58" t="s">
        <v>1816</v>
      </c>
      <c r="I755" s="64" t="s">
        <v>3116</v>
      </c>
      <c r="J755" s="66"/>
      <c r="K755" s="66"/>
      <c r="L755" s="68"/>
      <c r="M755" s="63" t="str">
        <f>HYPERLINK("http://nsgreg.nga.mil/genc/view?v=868284&amp;end_month=12&amp;end_day=31&amp;end_year=2016","Correlation")</f>
        <v>Correlation</v>
      </c>
    </row>
    <row r="756" spans="1:13" x14ac:dyDescent="0.2">
      <c r="A756" s="113"/>
      <c r="B756" s="58" t="s">
        <v>3117</v>
      </c>
      <c r="C756" s="58" t="s">
        <v>1413</v>
      </c>
      <c r="D756" s="58" t="s">
        <v>3118</v>
      </c>
      <c r="E756" s="60" t="b">
        <v>1</v>
      </c>
      <c r="F756" s="80" t="s">
        <v>392</v>
      </c>
      <c r="G756" s="58" t="s">
        <v>3117</v>
      </c>
      <c r="H756" s="58" t="s">
        <v>1413</v>
      </c>
      <c r="I756" s="64" t="s">
        <v>3118</v>
      </c>
      <c r="J756" s="66"/>
      <c r="K756" s="66"/>
      <c r="L756" s="68"/>
      <c r="M756" s="63" t="str">
        <f>HYPERLINK("http://nsgreg.nga.mil/genc/view?v=868279&amp;end_month=12&amp;end_day=31&amp;end_year=2016","Correlation")</f>
        <v>Correlation</v>
      </c>
    </row>
    <row r="757" spans="1:13" x14ac:dyDescent="0.2">
      <c r="A757" s="113"/>
      <c r="B757" s="58" t="s">
        <v>3119</v>
      </c>
      <c r="C757" s="58" t="s">
        <v>1413</v>
      </c>
      <c r="D757" s="58" t="s">
        <v>3120</v>
      </c>
      <c r="E757" s="60" t="b">
        <v>1</v>
      </c>
      <c r="F757" s="80" t="s">
        <v>392</v>
      </c>
      <c r="G757" s="58" t="s">
        <v>3119</v>
      </c>
      <c r="H757" s="58" t="s">
        <v>1413</v>
      </c>
      <c r="I757" s="64" t="s">
        <v>3120</v>
      </c>
      <c r="J757" s="66"/>
      <c r="K757" s="66"/>
      <c r="L757" s="68"/>
      <c r="M757" s="63" t="str">
        <f>HYPERLINK("http://nsgreg.nga.mil/genc/view?v=868298&amp;end_month=12&amp;end_day=31&amp;end_year=2016","Correlation")</f>
        <v>Correlation</v>
      </c>
    </row>
    <row r="758" spans="1:13" x14ac:dyDescent="0.2">
      <c r="A758" s="113"/>
      <c r="B758" s="58" t="s">
        <v>12338</v>
      </c>
      <c r="C758" s="58" t="s">
        <v>1413</v>
      </c>
      <c r="D758" s="58" t="s">
        <v>12339</v>
      </c>
      <c r="E758" s="60" t="b">
        <v>1</v>
      </c>
      <c r="F758" s="61" t="s">
        <v>167</v>
      </c>
      <c r="G758" s="61"/>
      <c r="H758" s="61"/>
      <c r="I758" s="61"/>
      <c r="J758" s="61"/>
      <c r="K758" s="61"/>
      <c r="L758" s="62"/>
      <c r="M758" s="63" t="str">
        <f>HYPERLINK("http://nsgreg.nga.mil/genc/view?v=868307&amp;end_month=12&amp;end_day=31&amp;end_year=2016","Correlation")</f>
        <v>Correlation</v>
      </c>
    </row>
    <row r="759" spans="1:13" x14ac:dyDescent="0.2">
      <c r="A759" s="113"/>
      <c r="B759" s="58" t="s">
        <v>3121</v>
      </c>
      <c r="C759" s="58" t="s">
        <v>1816</v>
      </c>
      <c r="D759" s="58" t="s">
        <v>3122</v>
      </c>
      <c r="E759" s="60" t="b">
        <v>1</v>
      </c>
      <c r="F759" s="80" t="s">
        <v>392</v>
      </c>
      <c r="G759" s="58" t="s">
        <v>3121</v>
      </c>
      <c r="H759" s="58" t="s">
        <v>1816</v>
      </c>
      <c r="I759" s="64" t="s">
        <v>3122</v>
      </c>
      <c r="J759" s="66"/>
      <c r="K759" s="66"/>
      <c r="L759" s="68"/>
      <c r="M759" s="63" t="str">
        <f>HYPERLINK("http://nsgreg.nga.mil/genc/view?v=868277&amp;end_month=12&amp;end_day=31&amp;end_year=2016","Correlation")</f>
        <v>Correlation</v>
      </c>
    </row>
    <row r="760" spans="1:13" x14ac:dyDescent="0.2">
      <c r="A760" s="113"/>
      <c r="B760" s="58" t="s">
        <v>683</v>
      </c>
      <c r="C760" s="58" t="s">
        <v>12337</v>
      </c>
      <c r="D760" s="58" t="s">
        <v>684</v>
      </c>
      <c r="E760" s="60" t="b">
        <v>1</v>
      </c>
      <c r="F760" s="80" t="s">
        <v>679</v>
      </c>
      <c r="G760" s="88"/>
      <c r="H760" s="88"/>
      <c r="I760" s="66"/>
      <c r="J760" s="64" t="s">
        <v>680</v>
      </c>
      <c r="K760" s="64" t="s">
        <v>681</v>
      </c>
      <c r="L760" s="65" t="s">
        <v>682</v>
      </c>
      <c r="M760" s="63" t="str">
        <f>HYPERLINK("http://nsgreg.nga.mil/genc/view?v=868308&amp;end_month=12&amp;end_day=31&amp;end_year=2016","Correlation")</f>
        <v>Correlation</v>
      </c>
    </row>
    <row r="761" spans="1:13" x14ac:dyDescent="0.2">
      <c r="A761" s="113"/>
      <c r="B761" s="58" t="s">
        <v>3126</v>
      </c>
      <c r="C761" s="58" t="s">
        <v>3080</v>
      </c>
      <c r="D761" s="58" t="s">
        <v>3127</v>
      </c>
      <c r="E761" s="60" t="b">
        <v>1</v>
      </c>
      <c r="F761" s="80" t="s">
        <v>392</v>
      </c>
      <c r="G761" s="58" t="s">
        <v>3126</v>
      </c>
      <c r="H761" s="58" t="s">
        <v>3080</v>
      </c>
      <c r="I761" s="64" t="s">
        <v>3127</v>
      </c>
      <c r="J761" s="66"/>
      <c r="K761" s="66"/>
      <c r="L761" s="68"/>
      <c r="M761" s="63" t="str">
        <f>HYPERLINK("http://nsgreg.nga.mil/genc/view?v=868306&amp;end_month=12&amp;end_day=31&amp;end_year=2016","Correlation")</f>
        <v>Correlation</v>
      </c>
    </row>
    <row r="762" spans="1:13" x14ac:dyDescent="0.2">
      <c r="A762" s="113"/>
      <c r="B762" s="58" t="s">
        <v>3125</v>
      </c>
      <c r="C762" s="58" t="s">
        <v>3080</v>
      </c>
      <c r="D762" s="58" t="s">
        <v>3124</v>
      </c>
      <c r="E762" s="60" t="b">
        <v>1</v>
      </c>
      <c r="F762" s="80" t="s">
        <v>392</v>
      </c>
      <c r="G762" s="58" t="s">
        <v>3123</v>
      </c>
      <c r="H762" s="58" t="s">
        <v>3080</v>
      </c>
      <c r="I762" s="64" t="s">
        <v>3124</v>
      </c>
      <c r="J762" s="66"/>
      <c r="K762" s="66"/>
      <c r="L762" s="68"/>
      <c r="M762" s="63" t="str">
        <f>HYPERLINK("http://nsgreg.nga.mil/genc/view?v=868301&amp;end_month=12&amp;end_day=31&amp;end_year=2016","Correlation")</f>
        <v>Correlation</v>
      </c>
    </row>
    <row r="763" spans="1:13" x14ac:dyDescent="0.2">
      <c r="A763" s="113"/>
      <c r="B763" s="58" t="s">
        <v>3128</v>
      </c>
      <c r="C763" s="58" t="s">
        <v>1413</v>
      </c>
      <c r="D763" s="58" t="s">
        <v>3129</v>
      </c>
      <c r="E763" s="60" t="b">
        <v>1</v>
      </c>
      <c r="F763" s="80" t="s">
        <v>392</v>
      </c>
      <c r="G763" s="58" t="s">
        <v>3128</v>
      </c>
      <c r="H763" s="58" t="s">
        <v>1413</v>
      </c>
      <c r="I763" s="64" t="s">
        <v>3129</v>
      </c>
      <c r="J763" s="66"/>
      <c r="K763" s="66"/>
      <c r="L763" s="68"/>
      <c r="M763" s="63" t="str">
        <f>HYPERLINK("http://nsgreg.nga.mil/genc/view?v=868300&amp;end_month=12&amp;end_day=31&amp;end_year=2016","Correlation")</f>
        <v>Correlation</v>
      </c>
    </row>
    <row r="764" spans="1:13" x14ac:dyDescent="0.2">
      <c r="A764" s="114"/>
      <c r="B764" s="71" t="s">
        <v>3130</v>
      </c>
      <c r="C764" s="71" t="s">
        <v>1413</v>
      </c>
      <c r="D764" s="71" t="s">
        <v>3131</v>
      </c>
      <c r="E764" s="73" t="b">
        <v>1</v>
      </c>
      <c r="F764" s="81" t="s">
        <v>392</v>
      </c>
      <c r="G764" s="71" t="s">
        <v>3130</v>
      </c>
      <c r="H764" s="71" t="s">
        <v>1413</v>
      </c>
      <c r="I764" s="74" t="s">
        <v>3131</v>
      </c>
      <c r="J764" s="76"/>
      <c r="K764" s="76"/>
      <c r="L764" s="82"/>
      <c r="M764" s="77" t="str">
        <f>HYPERLINK("http://nsgreg.nga.mil/genc/view?v=868286&amp;end_month=12&amp;end_day=31&amp;end_year=2016","Correlation")</f>
        <v>Correlation</v>
      </c>
    </row>
    <row r="765" spans="1:13" x14ac:dyDescent="0.2">
      <c r="A765" s="112" t="s">
        <v>414</v>
      </c>
      <c r="B765" s="50" t="s">
        <v>2450</v>
      </c>
      <c r="C765" s="50" t="s">
        <v>2294</v>
      </c>
      <c r="D765" s="50" t="s">
        <v>3132</v>
      </c>
      <c r="E765" s="52" t="b">
        <v>1</v>
      </c>
      <c r="F765" s="78" t="s">
        <v>414</v>
      </c>
      <c r="G765" s="50" t="s">
        <v>2450</v>
      </c>
      <c r="H765" s="50" t="s">
        <v>2294</v>
      </c>
      <c r="I765" s="53" t="s">
        <v>3132</v>
      </c>
      <c r="J765" s="55"/>
      <c r="K765" s="55"/>
      <c r="L765" s="79"/>
      <c r="M765" s="56" t="str">
        <f>HYPERLINK("http://nsgreg.nga.mil/genc/view?v=868310&amp;end_month=12&amp;end_day=31&amp;end_year=2016","Correlation")</f>
        <v>Correlation</v>
      </c>
    </row>
    <row r="766" spans="1:13" x14ac:dyDescent="0.2">
      <c r="A766" s="113"/>
      <c r="B766" s="58" t="s">
        <v>3133</v>
      </c>
      <c r="C766" s="58" t="s">
        <v>2294</v>
      </c>
      <c r="D766" s="58" t="s">
        <v>3134</v>
      </c>
      <c r="E766" s="60" t="b">
        <v>1</v>
      </c>
      <c r="F766" s="80" t="s">
        <v>414</v>
      </c>
      <c r="G766" s="58" t="s">
        <v>3133</v>
      </c>
      <c r="H766" s="58" t="s">
        <v>2294</v>
      </c>
      <c r="I766" s="64" t="s">
        <v>3134</v>
      </c>
      <c r="J766" s="66"/>
      <c r="K766" s="66"/>
      <c r="L766" s="68"/>
      <c r="M766" s="63" t="str">
        <f>HYPERLINK("http://nsgreg.nga.mil/genc/view?v=868311&amp;end_month=12&amp;end_day=31&amp;end_year=2016","Correlation")</f>
        <v>Correlation</v>
      </c>
    </row>
    <row r="767" spans="1:13" x14ac:dyDescent="0.2">
      <c r="A767" s="113"/>
      <c r="B767" s="58" t="s">
        <v>3135</v>
      </c>
      <c r="C767" s="58" t="s">
        <v>2294</v>
      </c>
      <c r="D767" s="58" t="s">
        <v>3136</v>
      </c>
      <c r="E767" s="60" t="b">
        <v>1</v>
      </c>
      <c r="F767" s="80" t="s">
        <v>414</v>
      </c>
      <c r="G767" s="58" t="s">
        <v>3135</v>
      </c>
      <c r="H767" s="58" t="s">
        <v>2294</v>
      </c>
      <c r="I767" s="64" t="s">
        <v>3136</v>
      </c>
      <c r="J767" s="66"/>
      <c r="K767" s="66"/>
      <c r="L767" s="68"/>
      <c r="M767" s="63" t="str">
        <f>HYPERLINK("http://nsgreg.nga.mil/genc/view?v=868312&amp;end_month=12&amp;end_day=31&amp;end_year=2016","Correlation")</f>
        <v>Correlation</v>
      </c>
    </row>
    <row r="768" spans="1:13" x14ac:dyDescent="0.2">
      <c r="A768" s="113"/>
      <c r="B768" s="58" t="s">
        <v>3137</v>
      </c>
      <c r="C768" s="58" t="s">
        <v>2294</v>
      </c>
      <c r="D768" s="58" t="s">
        <v>3138</v>
      </c>
      <c r="E768" s="60" t="b">
        <v>1</v>
      </c>
      <c r="F768" s="80" t="s">
        <v>414</v>
      </c>
      <c r="G768" s="58" t="s">
        <v>3137</v>
      </c>
      <c r="H768" s="58" t="s">
        <v>2294</v>
      </c>
      <c r="I768" s="64" t="s">
        <v>3138</v>
      </c>
      <c r="J768" s="66"/>
      <c r="K768" s="66"/>
      <c r="L768" s="68"/>
      <c r="M768" s="63" t="str">
        <f>HYPERLINK("http://nsgreg.nga.mil/genc/view?v=868313&amp;end_month=12&amp;end_day=31&amp;end_year=2016","Correlation")</f>
        <v>Correlation</v>
      </c>
    </row>
    <row r="769" spans="1:13" x14ac:dyDescent="0.2">
      <c r="A769" s="113"/>
      <c r="B769" s="58" t="s">
        <v>3143</v>
      </c>
      <c r="C769" s="58" t="s">
        <v>2294</v>
      </c>
      <c r="D769" s="58" t="s">
        <v>3144</v>
      </c>
      <c r="E769" s="60" t="b">
        <v>1</v>
      </c>
      <c r="F769" s="80" t="s">
        <v>414</v>
      </c>
      <c r="G769" s="58" t="s">
        <v>3143</v>
      </c>
      <c r="H769" s="58" t="s">
        <v>2294</v>
      </c>
      <c r="I769" s="64" t="s">
        <v>3144</v>
      </c>
      <c r="J769" s="66"/>
      <c r="K769" s="66"/>
      <c r="L769" s="68"/>
      <c r="M769" s="63" t="str">
        <f>HYPERLINK("http://nsgreg.nga.mil/genc/view?v=868314&amp;end_month=12&amp;end_day=31&amp;end_year=2016","Correlation")</f>
        <v>Correlation</v>
      </c>
    </row>
    <row r="770" spans="1:13" x14ac:dyDescent="0.2">
      <c r="A770" s="113"/>
      <c r="B770" s="58" t="s">
        <v>3145</v>
      </c>
      <c r="C770" s="58" t="s">
        <v>2294</v>
      </c>
      <c r="D770" s="58" t="s">
        <v>3146</v>
      </c>
      <c r="E770" s="60" t="b">
        <v>1</v>
      </c>
      <c r="F770" s="80" t="s">
        <v>414</v>
      </c>
      <c r="G770" s="58" t="s">
        <v>3145</v>
      </c>
      <c r="H770" s="58" t="s">
        <v>2294</v>
      </c>
      <c r="I770" s="64" t="s">
        <v>3146</v>
      </c>
      <c r="J770" s="66"/>
      <c r="K770" s="66"/>
      <c r="L770" s="68"/>
      <c r="M770" s="63" t="str">
        <f>HYPERLINK("http://nsgreg.nga.mil/genc/view?v=868315&amp;end_month=12&amp;end_day=31&amp;end_year=2016","Correlation")</f>
        <v>Correlation</v>
      </c>
    </row>
    <row r="771" spans="1:13" x14ac:dyDescent="0.2">
      <c r="A771" s="113"/>
      <c r="B771" s="58" t="s">
        <v>3147</v>
      </c>
      <c r="C771" s="58" t="s">
        <v>2294</v>
      </c>
      <c r="D771" s="58" t="s">
        <v>3148</v>
      </c>
      <c r="E771" s="60" t="b">
        <v>1</v>
      </c>
      <c r="F771" s="80" t="s">
        <v>414</v>
      </c>
      <c r="G771" s="58" t="s">
        <v>3147</v>
      </c>
      <c r="H771" s="58" t="s">
        <v>2294</v>
      </c>
      <c r="I771" s="64" t="s">
        <v>3148</v>
      </c>
      <c r="J771" s="66"/>
      <c r="K771" s="66"/>
      <c r="L771" s="68"/>
      <c r="M771" s="63" t="str">
        <f>HYPERLINK("http://nsgreg.nga.mil/genc/view?v=868316&amp;end_month=12&amp;end_day=31&amp;end_year=2016","Correlation")</f>
        <v>Correlation</v>
      </c>
    </row>
    <row r="772" spans="1:13" x14ac:dyDescent="0.2">
      <c r="A772" s="113"/>
      <c r="B772" s="58" t="s">
        <v>3149</v>
      </c>
      <c r="C772" s="58" t="s">
        <v>2294</v>
      </c>
      <c r="D772" s="58" t="s">
        <v>3150</v>
      </c>
      <c r="E772" s="60" t="b">
        <v>1</v>
      </c>
      <c r="F772" s="80" t="s">
        <v>414</v>
      </c>
      <c r="G772" s="58" t="s">
        <v>3149</v>
      </c>
      <c r="H772" s="58" t="s">
        <v>2294</v>
      </c>
      <c r="I772" s="64" t="s">
        <v>3150</v>
      </c>
      <c r="J772" s="66"/>
      <c r="K772" s="66"/>
      <c r="L772" s="68"/>
      <c r="M772" s="63" t="str">
        <f>HYPERLINK("http://nsgreg.nga.mil/genc/view?v=868317&amp;end_month=12&amp;end_day=31&amp;end_year=2016","Correlation")</f>
        <v>Correlation</v>
      </c>
    </row>
    <row r="773" spans="1:13" x14ac:dyDescent="0.2">
      <c r="A773" s="113"/>
      <c r="B773" s="58" t="s">
        <v>3151</v>
      </c>
      <c r="C773" s="58" t="s">
        <v>2294</v>
      </c>
      <c r="D773" s="58" t="s">
        <v>3152</v>
      </c>
      <c r="E773" s="60" t="b">
        <v>1</v>
      </c>
      <c r="F773" s="80" t="s">
        <v>414</v>
      </c>
      <c r="G773" s="58" t="s">
        <v>3151</v>
      </c>
      <c r="H773" s="58" t="s">
        <v>2294</v>
      </c>
      <c r="I773" s="64" t="s">
        <v>3152</v>
      </c>
      <c r="J773" s="66"/>
      <c r="K773" s="66"/>
      <c r="L773" s="68"/>
      <c r="M773" s="63" t="str">
        <f>HYPERLINK("http://nsgreg.nga.mil/genc/view?v=868318&amp;end_month=12&amp;end_day=31&amp;end_year=2016","Correlation")</f>
        <v>Correlation</v>
      </c>
    </row>
    <row r="774" spans="1:13" x14ac:dyDescent="0.2">
      <c r="A774" s="113"/>
      <c r="B774" s="58" t="s">
        <v>3153</v>
      </c>
      <c r="C774" s="58" t="s">
        <v>2294</v>
      </c>
      <c r="D774" s="58" t="s">
        <v>3154</v>
      </c>
      <c r="E774" s="60" t="b">
        <v>1</v>
      </c>
      <c r="F774" s="80" t="s">
        <v>414</v>
      </c>
      <c r="G774" s="58" t="s">
        <v>3153</v>
      </c>
      <c r="H774" s="58" t="s">
        <v>2294</v>
      </c>
      <c r="I774" s="64" t="s">
        <v>3154</v>
      </c>
      <c r="J774" s="66"/>
      <c r="K774" s="66"/>
      <c r="L774" s="68"/>
      <c r="M774" s="63" t="str">
        <f>HYPERLINK("http://nsgreg.nga.mil/genc/view?v=868319&amp;end_month=12&amp;end_day=31&amp;end_year=2016","Correlation")</f>
        <v>Correlation</v>
      </c>
    </row>
    <row r="775" spans="1:13" x14ac:dyDescent="0.2">
      <c r="A775" s="113"/>
      <c r="B775" s="58" t="s">
        <v>3155</v>
      </c>
      <c r="C775" s="58" t="s">
        <v>2294</v>
      </c>
      <c r="D775" s="58" t="s">
        <v>3156</v>
      </c>
      <c r="E775" s="60" t="b">
        <v>1</v>
      </c>
      <c r="F775" s="80" t="s">
        <v>414</v>
      </c>
      <c r="G775" s="58" t="s">
        <v>3155</v>
      </c>
      <c r="H775" s="58" t="s">
        <v>2294</v>
      </c>
      <c r="I775" s="64" t="s">
        <v>3156</v>
      </c>
      <c r="J775" s="66"/>
      <c r="K775" s="66"/>
      <c r="L775" s="68"/>
      <c r="M775" s="63" t="str">
        <f>HYPERLINK("http://nsgreg.nga.mil/genc/view?v=868320&amp;end_month=12&amp;end_day=31&amp;end_year=2016","Correlation")</f>
        <v>Correlation</v>
      </c>
    </row>
    <row r="776" spans="1:13" x14ac:dyDescent="0.2">
      <c r="A776" s="113"/>
      <c r="B776" s="58" t="s">
        <v>3157</v>
      </c>
      <c r="C776" s="58" t="s">
        <v>2294</v>
      </c>
      <c r="D776" s="58" t="s">
        <v>3158</v>
      </c>
      <c r="E776" s="60" t="b">
        <v>1</v>
      </c>
      <c r="F776" s="80" t="s">
        <v>414</v>
      </c>
      <c r="G776" s="58" t="s">
        <v>3157</v>
      </c>
      <c r="H776" s="58" t="s">
        <v>2294</v>
      </c>
      <c r="I776" s="64" t="s">
        <v>3158</v>
      </c>
      <c r="J776" s="66"/>
      <c r="K776" s="66"/>
      <c r="L776" s="68"/>
      <c r="M776" s="63" t="str">
        <f>HYPERLINK("http://nsgreg.nga.mil/genc/view?v=868321&amp;end_month=12&amp;end_day=31&amp;end_year=2016","Correlation")</f>
        <v>Correlation</v>
      </c>
    </row>
    <row r="777" spans="1:13" x14ac:dyDescent="0.2">
      <c r="A777" s="113"/>
      <c r="B777" s="58" t="s">
        <v>1688</v>
      </c>
      <c r="C777" s="58" t="s">
        <v>2294</v>
      </c>
      <c r="D777" s="58" t="s">
        <v>3159</v>
      </c>
      <c r="E777" s="60" t="b">
        <v>1</v>
      </c>
      <c r="F777" s="80" t="s">
        <v>414</v>
      </c>
      <c r="G777" s="58" t="s">
        <v>1688</v>
      </c>
      <c r="H777" s="58" t="s">
        <v>2294</v>
      </c>
      <c r="I777" s="64" t="s">
        <v>3159</v>
      </c>
      <c r="J777" s="66"/>
      <c r="K777" s="66"/>
      <c r="L777" s="68"/>
      <c r="M777" s="63" t="str">
        <f>HYPERLINK("http://nsgreg.nga.mil/genc/view?v=868322&amp;end_month=12&amp;end_day=31&amp;end_year=2016","Correlation")</f>
        <v>Correlation</v>
      </c>
    </row>
    <row r="778" spans="1:13" x14ac:dyDescent="0.2">
      <c r="A778" s="113"/>
      <c r="B778" s="58" t="s">
        <v>3160</v>
      </c>
      <c r="C778" s="58" t="s">
        <v>2294</v>
      </c>
      <c r="D778" s="58" t="s">
        <v>3161</v>
      </c>
      <c r="E778" s="60" t="b">
        <v>1</v>
      </c>
      <c r="F778" s="80" t="s">
        <v>414</v>
      </c>
      <c r="G778" s="58" t="s">
        <v>3160</v>
      </c>
      <c r="H778" s="58" t="s">
        <v>2294</v>
      </c>
      <c r="I778" s="64" t="s">
        <v>3161</v>
      </c>
      <c r="J778" s="66"/>
      <c r="K778" s="66"/>
      <c r="L778" s="68"/>
      <c r="M778" s="63" t="str">
        <f>HYPERLINK("http://nsgreg.nga.mil/genc/view?v=868323&amp;end_month=12&amp;end_day=31&amp;end_year=2016","Correlation")</f>
        <v>Correlation</v>
      </c>
    </row>
    <row r="779" spans="1:13" x14ac:dyDescent="0.2">
      <c r="A779" s="113"/>
      <c r="B779" s="58" t="s">
        <v>3142</v>
      </c>
      <c r="C779" s="58" t="s">
        <v>3140</v>
      </c>
      <c r="D779" s="58" t="s">
        <v>3141</v>
      </c>
      <c r="E779" s="60" t="b">
        <v>1</v>
      </c>
      <c r="F779" s="80" t="s">
        <v>414</v>
      </c>
      <c r="G779" s="58" t="s">
        <v>3139</v>
      </c>
      <c r="H779" s="58" t="s">
        <v>3140</v>
      </c>
      <c r="I779" s="64" t="s">
        <v>3141</v>
      </c>
      <c r="J779" s="66"/>
      <c r="K779" s="66"/>
      <c r="L779" s="68"/>
      <c r="M779" s="63" t="str">
        <f>HYPERLINK("http://nsgreg.nga.mil/genc/view?v=868324&amp;end_month=12&amp;end_day=31&amp;end_year=2016","Correlation")</f>
        <v>Correlation</v>
      </c>
    </row>
    <row r="780" spans="1:13" x14ac:dyDescent="0.2">
      <c r="A780" s="113"/>
      <c r="B780" s="58" t="s">
        <v>3162</v>
      </c>
      <c r="C780" s="58" t="s">
        <v>2294</v>
      </c>
      <c r="D780" s="58" t="s">
        <v>3163</v>
      </c>
      <c r="E780" s="60" t="b">
        <v>1</v>
      </c>
      <c r="F780" s="80" t="s">
        <v>414</v>
      </c>
      <c r="G780" s="58" t="s">
        <v>3162</v>
      </c>
      <c r="H780" s="58" t="s">
        <v>2294</v>
      </c>
      <c r="I780" s="64" t="s">
        <v>3163</v>
      </c>
      <c r="J780" s="66"/>
      <c r="K780" s="66"/>
      <c r="L780" s="68"/>
      <c r="M780" s="63" t="str">
        <f>HYPERLINK("http://nsgreg.nga.mil/genc/view?v=868325&amp;end_month=12&amp;end_day=31&amp;end_year=2016","Correlation")</f>
        <v>Correlation</v>
      </c>
    </row>
    <row r="781" spans="1:13" x14ac:dyDescent="0.2">
      <c r="A781" s="113"/>
      <c r="B781" s="58" t="s">
        <v>3164</v>
      </c>
      <c r="C781" s="58" t="s">
        <v>2294</v>
      </c>
      <c r="D781" s="58" t="s">
        <v>3165</v>
      </c>
      <c r="E781" s="60" t="b">
        <v>1</v>
      </c>
      <c r="F781" s="80" t="s">
        <v>414</v>
      </c>
      <c r="G781" s="58" t="s">
        <v>3164</v>
      </c>
      <c r="H781" s="58" t="s">
        <v>2294</v>
      </c>
      <c r="I781" s="64" t="s">
        <v>3165</v>
      </c>
      <c r="J781" s="66"/>
      <c r="K781" s="66"/>
      <c r="L781" s="68"/>
      <c r="M781" s="63" t="str">
        <f>HYPERLINK("http://nsgreg.nga.mil/genc/view?v=868326&amp;end_month=12&amp;end_day=31&amp;end_year=2016","Correlation")</f>
        <v>Correlation</v>
      </c>
    </row>
    <row r="782" spans="1:13" x14ac:dyDescent="0.2">
      <c r="A782" s="113"/>
      <c r="B782" s="58" t="s">
        <v>3166</v>
      </c>
      <c r="C782" s="58" t="s">
        <v>2294</v>
      </c>
      <c r="D782" s="58" t="s">
        <v>3167</v>
      </c>
      <c r="E782" s="60" t="b">
        <v>1</v>
      </c>
      <c r="F782" s="80" t="s">
        <v>414</v>
      </c>
      <c r="G782" s="58" t="s">
        <v>3166</v>
      </c>
      <c r="H782" s="58" t="s">
        <v>2294</v>
      </c>
      <c r="I782" s="64" t="s">
        <v>3167</v>
      </c>
      <c r="J782" s="66"/>
      <c r="K782" s="66"/>
      <c r="L782" s="68"/>
      <c r="M782" s="63" t="str">
        <f>HYPERLINK("http://nsgreg.nga.mil/genc/view?v=868327&amp;end_month=12&amp;end_day=31&amp;end_year=2016","Correlation")</f>
        <v>Correlation</v>
      </c>
    </row>
    <row r="783" spans="1:13" x14ac:dyDescent="0.2">
      <c r="A783" s="113"/>
      <c r="B783" s="58" t="s">
        <v>3168</v>
      </c>
      <c r="C783" s="58" t="s">
        <v>2294</v>
      </c>
      <c r="D783" s="58" t="s">
        <v>3169</v>
      </c>
      <c r="E783" s="60" t="b">
        <v>1</v>
      </c>
      <c r="F783" s="80" t="s">
        <v>414</v>
      </c>
      <c r="G783" s="58" t="s">
        <v>3168</v>
      </c>
      <c r="H783" s="58" t="s">
        <v>2294</v>
      </c>
      <c r="I783" s="64" t="s">
        <v>3169</v>
      </c>
      <c r="J783" s="66"/>
      <c r="K783" s="66"/>
      <c r="L783" s="68"/>
      <c r="M783" s="63" t="str">
        <f>HYPERLINK("http://nsgreg.nga.mil/genc/view?v=868328&amp;end_month=12&amp;end_day=31&amp;end_year=2016","Correlation")</f>
        <v>Correlation</v>
      </c>
    </row>
    <row r="784" spans="1:13" x14ac:dyDescent="0.2">
      <c r="A784" s="113"/>
      <c r="B784" s="58" t="s">
        <v>3170</v>
      </c>
      <c r="C784" s="58" t="s">
        <v>2294</v>
      </c>
      <c r="D784" s="58" t="s">
        <v>3171</v>
      </c>
      <c r="E784" s="60" t="b">
        <v>1</v>
      </c>
      <c r="F784" s="80" t="s">
        <v>414</v>
      </c>
      <c r="G784" s="58" t="s">
        <v>3170</v>
      </c>
      <c r="H784" s="58" t="s">
        <v>2294</v>
      </c>
      <c r="I784" s="64" t="s">
        <v>3171</v>
      </c>
      <c r="J784" s="66"/>
      <c r="K784" s="66"/>
      <c r="L784" s="68"/>
      <c r="M784" s="63" t="str">
        <f>HYPERLINK("http://nsgreg.nga.mil/genc/view?v=868329&amp;end_month=12&amp;end_day=31&amp;end_year=2016","Correlation")</f>
        <v>Correlation</v>
      </c>
    </row>
    <row r="785" spans="1:13" x14ac:dyDescent="0.2">
      <c r="A785" s="113"/>
      <c r="B785" s="58" t="s">
        <v>3172</v>
      </c>
      <c r="C785" s="58" t="s">
        <v>2294</v>
      </c>
      <c r="D785" s="58" t="s">
        <v>3173</v>
      </c>
      <c r="E785" s="60" t="b">
        <v>1</v>
      </c>
      <c r="F785" s="80" t="s">
        <v>414</v>
      </c>
      <c r="G785" s="58" t="s">
        <v>3172</v>
      </c>
      <c r="H785" s="58" t="s">
        <v>2294</v>
      </c>
      <c r="I785" s="64" t="s">
        <v>3173</v>
      </c>
      <c r="J785" s="66"/>
      <c r="K785" s="66"/>
      <c r="L785" s="68"/>
      <c r="M785" s="63" t="str">
        <f>HYPERLINK("http://nsgreg.nga.mil/genc/view?v=868330&amp;end_month=12&amp;end_day=31&amp;end_year=2016","Correlation")</f>
        <v>Correlation</v>
      </c>
    </row>
    <row r="786" spans="1:13" x14ac:dyDescent="0.2">
      <c r="A786" s="113"/>
      <c r="B786" s="58" t="s">
        <v>3174</v>
      </c>
      <c r="C786" s="58" t="s">
        <v>2294</v>
      </c>
      <c r="D786" s="58" t="s">
        <v>3175</v>
      </c>
      <c r="E786" s="60" t="b">
        <v>1</v>
      </c>
      <c r="F786" s="80" t="s">
        <v>414</v>
      </c>
      <c r="G786" s="58" t="s">
        <v>3174</v>
      </c>
      <c r="H786" s="58" t="s">
        <v>2294</v>
      </c>
      <c r="I786" s="64" t="s">
        <v>3175</v>
      </c>
      <c r="J786" s="66"/>
      <c r="K786" s="66"/>
      <c r="L786" s="68"/>
      <c r="M786" s="63" t="str">
        <f>HYPERLINK("http://nsgreg.nga.mil/genc/view?v=868331&amp;end_month=12&amp;end_day=31&amp;end_year=2016","Correlation")</f>
        <v>Correlation</v>
      </c>
    </row>
    <row r="787" spans="1:13" x14ac:dyDescent="0.2">
      <c r="A787" s="113"/>
      <c r="B787" s="58" t="s">
        <v>3176</v>
      </c>
      <c r="C787" s="58" t="s">
        <v>2294</v>
      </c>
      <c r="D787" s="58" t="s">
        <v>3177</v>
      </c>
      <c r="E787" s="60" t="b">
        <v>1</v>
      </c>
      <c r="F787" s="80" t="s">
        <v>414</v>
      </c>
      <c r="G787" s="58" t="s">
        <v>3176</v>
      </c>
      <c r="H787" s="58" t="s">
        <v>2294</v>
      </c>
      <c r="I787" s="64" t="s">
        <v>3177</v>
      </c>
      <c r="J787" s="66"/>
      <c r="K787" s="66"/>
      <c r="L787" s="68"/>
      <c r="M787" s="63" t="str">
        <f>HYPERLINK("http://nsgreg.nga.mil/genc/view?v=868332&amp;end_month=12&amp;end_day=31&amp;end_year=2016","Correlation")</f>
        <v>Correlation</v>
      </c>
    </row>
    <row r="788" spans="1:13" x14ac:dyDescent="0.2">
      <c r="A788" s="113"/>
      <c r="B788" s="58" t="s">
        <v>3178</v>
      </c>
      <c r="C788" s="58" t="s">
        <v>2294</v>
      </c>
      <c r="D788" s="58" t="s">
        <v>3179</v>
      </c>
      <c r="E788" s="60" t="b">
        <v>1</v>
      </c>
      <c r="F788" s="80" t="s">
        <v>414</v>
      </c>
      <c r="G788" s="58" t="s">
        <v>3178</v>
      </c>
      <c r="H788" s="58" t="s">
        <v>2294</v>
      </c>
      <c r="I788" s="64" t="s">
        <v>3179</v>
      </c>
      <c r="J788" s="66"/>
      <c r="K788" s="66"/>
      <c r="L788" s="68"/>
      <c r="M788" s="63" t="str">
        <f>HYPERLINK("http://nsgreg.nga.mil/genc/view?v=868333&amp;end_month=12&amp;end_day=31&amp;end_year=2016","Correlation")</f>
        <v>Correlation</v>
      </c>
    </row>
    <row r="789" spans="1:13" x14ac:dyDescent="0.2">
      <c r="A789" s="113"/>
      <c r="B789" s="58" t="s">
        <v>3180</v>
      </c>
      <c r="C789" s="58" t="s">
        <v>2294</v>
      </c>
      <c r="D789" s="58" t="s">
        <v>3181</v>
      </c>
      <c r="E789" s="60" t="b">
        <v>1</v>
      </c>
      <c r="F789" s="80" t="s">
        <v>414</v>
      </c>
      <c r="G789" s="58" t="s">
        <v>3180</v>
      </c>
      <c r="H789" s="58" t="s">
        <v>2294</v>
      </c>
      <c r="I789" s="64" t="s">
        <v>3181</v>
      </c>
      <c r="J789" s="66"/>
      <c r="K789" s="66"/>
      <c r="L789" s="68"/>
      <c r="M789" s="63" t="str">
        <f>HYPERLINK("http://nsgreg.nga.mil/genc/view?v=868334&amp;end_month=12&amp;end_day=31&amp;end_year=2016","Correlation")</f>
        <v>Correlation</v>
      </c>
    </row>
    <row r="790" spans="1:13" x14ac:dyDescent="0.2">
      <c r="A790" s="113"/>
      <c r="B790" s="58" t="s">
        <v>3182</v>
      </c>
      <c r="C790" s="58" t="s">
        <v>2294</v>
      </c>
      <c r="D790" s="58" t="s">
        <v>3183</v>
      </c>
      <c r="E790" s="60" t="b">
        <v>1</v>
      </c>
      <c r="F790" s="80" t="s">
        <v>414</v>
      </c>
      <c r="G790" s="58" t="s">
        <v>3182</v>
      </c>
      <c r="H790" s="58" t="s">
        <v>2294</v>
      </c>
      <c r="I790" s="64" t="s">
        <v>3183</v>
      </c>
      <c r="J790" s="66"/>
      <c r="K790" s="66"/>
      <c r="L790" s="68"/>
      <c r="M790" s="63" t="str">
        <f>HYPERLINK("http://nsgreg.nga.mil/genc/view?v=868335&amp;end_month=12&amp;end_day=31&amp;end_year=2016","Correlation")</f>
        <v>Correlation</v>
      </c>
    </row>
    <row r="791" spans="1:13" x14ac:dyDescent="0.2">
      <c r="A791" s="113"/>
      <c r="B791" s="58" t="s">
        <v>3186</v>
      </c>
      <c r="C791" s="58" t="s">
        <v>2294</v>
      </c>
      <c r="D791" s="58" t="s">
        <v>3185</v>
      </c>
      <c r="E791" s="60" t="b">
        <v>1</v>
      </c>
      <c r="F791" s="80" t="s">
        <v>414</v>
      </c>
      <c r="G791" s="58" t="s">
        <v>3184</v>
      </c>
      <c r="H791" s="58" t="s">
        <v>2294</v>
      </c>
      <c r="I791" s="64" t="s">
        <v>3185</v>
      </c>
      <c r="J791" s="66"/>
      <c r="K791" s="66"/>
      <c r="L791" s="68"/>
      <c r="M791" s="63" t="str">
        <f>HYPERLINK("http://nsgreg.nga.mil/genc/view?v=868337&amp;end_month=12&amp;end_day=31&amp;end_year=2016","Correlation")</f>
        <v>Correlation</v>
      </c>
    </row>
    <row r="792" spans="1:13" x14ac:dyDescent="0.2">
      <c r="A792" s="113"/>
      <c r="B792" s="58" t="s">
        <v>3187</v>
      </c>
      <c r="C792" s="58" t="s">
        <v>2294</v>
      </c>
      <c r="D792" s="58" t="s">
        <v>3188</v>
      </c>
      <c r="E792" s="60" t="b">
        <v>1</v>
      </c>
      <c r="F792" s="80" t="s">
        <v>414</v>
      </c>
      <c r="G792" s="58" t="s">
        <v>3187</v>
      </c>
      <c r="H792" s="58" t="s">
        <v>2294</v>
      </c>
      <c r="I792" s="64" t="s">
        <v>3188</v>
      </c>
      <c r="J792" s="66"/>
      <c r="K792" s="66"/>
      <c r="L792" s="68"/>
      <c r="M792" s="63" t="str">
        <f>HYPERLINK("http://nsgreg.nga.mil/genc/view?v=868336&amp;end_month=12&amp;end_day=31&amp;end_year=2016","Correlation")</f>
        <v>Correlation</v>
      </c>
    </row>
    <row r="793" spans="1:13" x14ac:dyDescent="0.2">
      <c r="A793" s="113"/>
      <c r="B793" s="58" t="s">
        <v>3189</v>
      </c>
      <c r="C793" s="58" t="s">
        <v>2294</v>
      </c>
      <c r="D793" s="58" t="s">
        <v>3190</v>
      </c>
      <c r="E793" s="60" t="b">
        <v>1</v>
      </c>
      <c r="F793" s="80" t="s">
        <v>414</v>
      </c>
      <c r="G793" s="58" t="s">
        <v>3189</v>
      </c>
      <c r="H793" s="58" t="s">
        <v>2294</v>
      </c>
      <c r="I793" s="64" t="s">
        <v>3190</v>
      </c>
      <c r="J793" s="66"/>
      <c r="K793" s="66"/>
      <c r="L793" s="68"/>
      <c r="M793" s="63" t="str">
        <f>HYPERLINK("http://nsgreg.nga.mil/genc/view?v=868338&amp;end_month=12&amp;end_day=31&amp;end_year=2016","Correlation")</f>
        <v>Correlation</v>
      </c>
    </row>
    <row r="794" spans="1:13" x14ac:dyDescent="0.2">
      <c r="A794" s="113"/>
      <c r="B794" s="58" t="s">
        <v>3191</v>
      </c>
      <c r="C794" s="58" t="s">
        <v>2294</v>
      </c>
      <c r="D794" s="58" t="s">
        <v>3192</v>
      </c>
      <c r="E794" s="60" t="b">
        <v>1</v>
      </c>
      <c r="F794" s="80" t="s">
        <v>414</v>
      </c>
      <c r="G794" s="58" t="s">
        <v>3191</v>
      </c>
      <c r="H794" s="58" t="s">
        <v>2294</v>
      </c>
      <c r="I794" s="64" t="s">
        <v>3192</v>
      </c>
      <c r="J794" s="66"/>
      <c r="K794" s="66"/>
      <c r="L794" s="68"/>
      <c r="M794" s="63" t="str">
        <f>HYPERLINK("http://nsgreg.nga.mil/genc/view?v=868339&amp;end_month=12&amp;end_day=31&amp;end_year=2016","Correlation")</f>
        <v>Correlation</v>
      </c>
    </row>
    <row r="795" spans="1:13" x14ac:dyDescent="0.2">
      <c r="A795" s="113"/>
      <c r="B795" s="58" t="s">
        <v>3193</v>
      </c>
      <c r="C795" s="58" t="s">
        <v>2294</v>
      </c>
      <c r="D795" s="58" t="s">
        <v>3194</v>
      </c>
      <c r="E795" s="60" t="b">
        <v>1</v>
      </c>
      <c r="F795" s="80" t="s">
        <v>414</v>
      </c>
      <c r="G795" s="58" t="s">
        <v>3193</v>
      </c>
      <c r="H795" s="58" t="s">
        <v>2294</v>
      </c>
      <c r="I795" s="64" t="s">
        <v>3194</v>
      </c>
      <c r="J795" s="66"/>
      <c r="K795" s="66"/>
      <c r="L795" s="68"/>
      <c r="M795" s="63" t="str">
        <f>HYPERLINK("http://nsgreg.nga.mil/genc/view?v=868340&amp;end_month=12&amp;end_day=31&amp;end_year=2016","Correlation")</f>
        <v>Correlation</v>
      </c>
    </row>
    <row r="796" spans="1:13" x14ac:dyDescent="0.2">
      <c r="A796" s="113"/>
      <c r="B796" s="58" t="s">
        <v>3195</v>
      </c>
      <c r="C796" s="58" t="s">
        <v>2294</v>
      </c>
      <c r="D796" s="58" t="s">
        <v>3196</v>
      </c>
      <c r="E796" s="60" t="b">
        <v>1</v>
      </c>
      <c r="F796" s="80" t="s">
        <v>414</v>
      </c>
      <c r="G796" s="58" t="s">
        <v>3195</v>
      </c>
      <c r="H796" s="58" t="s">
        <v>2294</v>
      </c>
      <c r="I796" s="64" t="s">
        <v>3196</v>
      </c>
      <c r="J796" s="66"/>
      <c r="K796" s="66"/>
      <c r="L796" s="68"/>
      <c r="M796" s="63" t="str">
        <f>HYPERLINK("http://nsgreg.nga.mil/genc/view?v=868341&amp;end_month=12&amp;end_day=31&amp;end_year=2016","Correlation")</f>
        <v>Correlation</v>
      </c>
    </row>
    <row r="797" spans="1:13" x14ac:dyDescent="0.2">
      <c r="A797" s="114"/>
      <c r="B797" s="71" t="s">
        <v>3197</v>
      </c>
      <c r="C797" s="71" t="s">
        <v>2294</v>
      </c>
      <c r="D797" s="71" t="s">
        <v>3198</v>
      </c>
      <c r="E797" s="73" t="b">
        <v>1</v>
      </c>
      <c r="F797" s="81" t="s">
        <v>414</v>
      </c>
      <c r="G797" s="71" t="s">
        <v>3197</v>
      </c>
      <c r="H797" s="71" t="s">
        <v>2294</v>
      </c>
      <c r="I797" s="74" t="s">
        <v>3198</v>
      </c>
      <c r="J797" s="76"/>
      <c r="K797" s="76"/>
      <c r="L797" s="82"/>
      <c r="M797" s="77" t="str">
        <f>HYPERLINK("http://nsgreg.nga.mil/genc/view?v=868342&amp;end_month=12&amp;end_day=31&amp;end_year=2016","Correlation")</f>
        <v>Correlation</v>
      </c>
    </row>
    <row r="798" spans="1:13" x14ac:dyDescent="0.2">
      <c r="A798" s="112" t="s">
        <v>418</v>
      </c>
      <c r="B798" s="50" t="s">
        <v>3206</v>
      </c>
      <c r="C798" s="50" t="s">
        <v>3203</v>
      </c>
      <c r="D798" s="50" t="s">
        <v>3205</v>
      </c>
      <c r="E798" s="52" t="b">
        <v>1</v>
      </c>
      <c r="F798" s="78" t="s">
        <v>418</v>
      </c>
      <c r="G798" s="50" t="s">
        <v>3204</v>
      </c>
      <c r="H798" s="50" t="s">
        <v>3200</v>
      </c>
      <c r="I798" s="53" t="s">
        <v>3205</v>
      </c>
      <c r="J798" s="55"/>
      <c r="K798" s="55"/>
      <c r="L798" s="79"/>
      <c r="M798" s="56" t="str">
        <f>HYPERLINK("http://nsgreg.nga.mil/genc/view?v=869893&amp;end_month=12&amp;end_day=31&amp;end_year=2016","Correlation")</f>
        <v>Correlation</v>
      </c>
    </row>
    <row r="799" spans="1:13" x14ac:dyDescent="0.2">
      <c r="A799" s="113"/>
      <c r="B799" s="58" t="s">
        <v>3202</v>
      </c>
      <c r="C799" s="58" t="s">
        <v>3203</v>
      </c>
      <c r="D799" s="58" t="s">
        <v>3201</v>
      </c>
      <c r="E799" s="60" t="b">
        <v>1</v>
      </c>
      <c r="F799" s="80" t="s">
        <v>418</v>
      </c>
      <c r="G799" s="58" t="s">
        <v>3199</v>
      </c>
      <c r="H799" s="58" t="s">
        <v>3200</v>
      </c>
      <c r="I799" s="64" t="s">
        <v>3201</v>
      </c>
      <c r="J799" s="66"/>
      <c r="K799" s="66"/>
      <c r="L799" s="68"/>
      <c r="M799" s="63" t="str">
        <f>HYPERLINK("http://nsgreg.nga.mil/genc/view?v=869892&amp;end_month=12&amp;end_day=31&amp;end_year=2016","Correlation")</f>
        <v>Correlation</v>
      </c>
    </row>
    <row r="800" spans="1:13" x14ac:dyDescent="0.2">
      <c r="A800" s="114"/>
      <c r="B800" s="71" t="s">
        <v>3209</v>
      </c>
      <c r="C800" s="71" t="s">
        <v>3203</v>
      </c>
      <c r="D800" s="71" t="s">
        <v>3208</v>
      </c>
      <c r="E800" s="73" t="b">
        <v>1</v>
      </c>
      <c r="F800" s="81" t="s">
        <v>418</v>
      </c>
      <c r="G800" s="71" t="s">
        <v>3207</v>
      </c>
      <c r="H800" s="71" t="s">
        <v>3200</v>
      </c>
      <c r="I800" s="74" t="s">
        <v>3208</v>
      </c>
      <c r="J800" s="76"/>
      <c r="K800" s="76"/>
      <c r="L800" s="82"/>
      <c r="M800" s="77" t="str">
        <f>HYPERLINK("http://nsgreg.nga.mil/genc/view?v=869894&amp;end_month=12&amp;end_day=31&amp;end_year=2016","Correlation")</f>
        <v>Correlation</v>
      </c>
    </row>
    <row r="801" spans="1:13" x14ac:dyDescent="0.2">
      <c r="A801" s="112" t="s">
        <v>426</v>
      </c>
      <c r="B801" s="50" t="s">
        <v>3210</v>
      </c>
      <c r="C801" s="50" t="s">
        <v>2294</v>
      </c>
      <c r="D801" s="50" t="s">
        <v>3211</v>
      </c>
      <c r="E801" s="52" t="b">
        <v>1</v>
      </c>
      <c r="F801" s="78" t="s">
        <v>422</v>
      </c>
      <c r="G801" s="50" t="s">
        <v>3210</v>
      </c>
      <c r="H801" s="50" t="s">
        <v>2294</v>
      </c>
      <c r="I801" s="53" t="s">
        <v>3211</v>
      </c>
      <c r="J801" s="55"/>
      <c r="K801" s="55"/>
      <c r="L801" s="79"/>
      <c r="M801" s="56" t="str">
        <f>HYPERLINK("http://nsgreg.nga.mil/genc/view?v=868199&amp;end_month=12&amp;end_day=31&amp;end_year=2016","Correlation")</f>
        <v>Correlation</v>
      </c>
    </row>
    <row r="802" spans="1:13" x14ac:dyDescent="0.2">
      <c r="A802" s="113"/>
      <c r="B802" s="58" t="s">
        <v>3212</v>
      </c>
      <c r="C802" s="58" t="s">
        <v>2294</v>
      </c>
      <c r="D802" s="58" t="s">
        <v>3213</v>
      </c>
      <c r="E802" s="60" t="b">
        <v>1</v>
      </c>
      <c r="F802" s="80" t="s">
        <v>422</v>
      </c>
      <c r="G802" s="58" t="s">
        <v>3212</v>
      </c>
      <c r="H802" s="58" t="s">
        <v>2294</v>
      </c>
      <c r="I802" s="64" t="s">
        <v>3213</v>
      </c>
      <c r="J802" s="66"/>
      <c r="K802" s="66"/>
      <c r="L802" s="68"/>
      <c r="M802" s="63" t="str">
        <f>HYPERLINK("http://nsgreg.nga.mil/genc/view?v=868210&amp;end_month=12&amp;end_day=31&amp;end_year=2016","Correlation")</f>
        <v>Correlation</v>
      </c>
    </row>
    <row r="803" spans="1:13" x14ac:dyDescent="0.2">
      <c r="A803" s="113"/>
      <c r="B803" s="58" t="s">
        <v>3214</v>
      </c>
      <c r="C803" s="58" t="s">
        <v>2294</v>
      </c>
      <c r="D803" s="58" t="s">
        <v>3215</v>
      </c>
      <c r="E803" s="60" t="b">
        <v>1</v>
      </c>
      <c r="F803" s="80" t="s">
        <v>422</v>
      </c>
      <c r="G803" s="58" t="s">
        <v>3214</v>
      </c>
      <c r="H803" s="58" t="s">
        <v>2294</v>
      </c>
      <c r="I803" s="64" t="s">
        <v>3215</v>
      </c>
      <c r="J803" s="66"/>
      <c r="K803" s="66"/>
      <c r="L803" s="68"/>
      <c r="M803" s="63" t="str">
        <f>HYPERLINK("http://nsgreg.nga.mil/genc/view?v=868208&amp;end_month=12&amp;end_day=31&amp;end_year=2016","Correlation")</f>
        <v>Correlation</v>
      </c>
    </row>
    <row r="804" spans="1:13" x14ac:dyDescent="0.2">
      <c r="A804" s="113"/>
      <c r="B804" s="58" t="s">
        <v>3216</v>
      </c>
      <c r="C804" s="58" t="s">
        <v>2294</v>
      </c>
      <c r="D804" s="58" t="s">
        <v>3217</v>
      </c>
      <c r="E804" s="60" t="b">
        <v>1</v>
      </c>
      <c r="F804" s="80" t="s">
        <v>422</v>
      </c>
      <c r="G804" s="58" t="s">
        <v>3216</v>
      </c>
      <c r="H804" s="58" t="s">
        <v>2294</v>
      </c>
      <c r="I804" s="64" t="s">
        <v>3217</v>
      </c>
      <c r="J804" s="66"/>
      <c r="K804" s="66"/>
      <c r="L804" s="68"/>
      <c r="M804" s="63" t="str">
        <f>HYPERLINK("http://nsgreg.nga.mil/genc/view?v=868203&amp;end_month=12&amp;end_day=31&amp;end_year=2016","Correlation")</f>
        <v>Correlation</v>
      </c>
    </row>
    <row r="805" spans="1:13" x14ac:dyDescent="0.2">
      <c r="A805" s="113"/>
      <c r="B805" s="58" t="s">
        <v>3218</v>
      </c>
      <c r="C805" s="58" t="s">
        <v>2294</v>
      </c>
      <c r="D805" s="58" t="s">
        <v>3219</v>
      </c>
      <c r="E805" s="60" t="b">
        <v>1</v>
      </c>
      <c r="F805" s="80" t="s">
        <v>422</v>
      </c>
      <c r="G805" s="58" t="s">
        <v>3218</v>
      </c>
      <c r="H805" s="58" t="s">
        <v>2294</v>
      </c>
      <c r="I805" s="64" t="s">
        <v>3219</v>
      </c>
      <c r="J805" s="66"/>
      <c r="K805" s="66"/>
      <c r="L805" s="68"/>
      <c r="M805" s="63" t="str">
        <f>HYPERLINK("http://nsgreg.nga.mil/genc/view?v=868206&amp;end_month=12&amp;end_day=31&amp;end_year=2016","Correlation")</f>
        <v>Correlation</v>
      </c>
    </row>
    <row r="806" spans="1:13" x14ac:dyDescent="0.2">
      <c r="A806" s="113"/>
      <c r="B806" s="58" t="s">
        <v>3220</v>
      </c>
      <c r="C806" s="58" t="s">
        <v>2294</v>
      </c>
      <c r="D806" s="58" t="s">
        <v>3221</v>
      </c>
      <c r="E806" s="60" t="b">
        <v>1</v>
      </c>
      <c r="F806" s="80" t="s">
        <v>422</v>
      </c>
      <c r="G806" s="58" t="s">
        <v>3220</v>
      </c>
      <c r="H806" s="58" t="s">
        <v>2294</v>
      </c>
      <c r="I806" s="64" t="s">
        <v>3221</v>
      </c>
      <c r="J806" s="66"/>
      <c r="K806" s="66"/>
      <c r="L806" s="68"/>
      <c r="M806" s="63" t="str">
        <f>HYPERLINK("http://nsgreg.nga.mil/genc/view?v=868205&amp;end_month=12&amp;end_day=31&amp;end_year=2016","Correlation")</f>
        <v>Correlation</v>
      </c>
    </row>
    <row r="807" spans="1:13" x14ac:dyDescent="0.2">
      <c r="A807" s="113"/>
      <c r="B807" s="58" t="s">
        <v>3222</v>
      </c>
      <c r="C807" s="58" t="s">
        <v>2294</v>
      </c>
      <c r="D807" s="58" t="s">
        <v>3223</v>
      </c>
      <c r="E807" s="60" t="b">
        <v>1</v>
      </c>
      <c r="F807" s="80" t="s">
        <v>422</v>
      </c>
      <c r="G807" s="58" t="s">
        <v>3222</v>
      </c>
      <c r="H807" s="58" t="s">
        <v>2294</v>
      </c>
      <c r="I807" s="64" t="s">
        <v>3223</v>
      </c>
      <c r="J807" s="66"/>
      <c r="K807" s="66"/>
      <c r="L807" s="68"/>
      <c r="M807" s="63" t="str">
        <f>HYPERLINK("http://nsgreg.nga.mil/genc/view?v=868207&amp;end_month=12&amp;end_day=31&amp;end_year=2016","Correlation")</f>
        <v>Correlation</v>
      </c>
    </row>
    <row r="808" spans="1:13" x14ac:dyDescent="0.2">
      <c r="A808" s="113"/>
      <c r="B808" s="58" t="s">
        <v>3224</v>
      </c>
      <c r="C808" s="58" t="s">
        <v>2294</v>
      </c>
      <c r="D808" s="58" t="s">
        <v>3225</v>
      </c>
      <c r="E808" s="60" t="b">
        <v>1</v>
      </c>
      <c r="F808" s="80" t="s">
        <v>422</v>
      </c>
      <c r="G808" s="58" t="s">
        <v>3224</v>
      </c>
      <c r="H808" s="58" t="s">
        <v>2294</v>
      </c>
      <c r="I808" s="64" t="s">
        <v>3225</v>
      </c>
      <c r="J808" s="66"/>
      <c r="K808" s="66"/>
      <c r="L808" s="68"/>
      <c r="M808" s="63" t="str">
        <f>HYPERLINK("http://nsgreg.nga.mil/genc/view?v=868209&amp;end_month=12&amp;end_day=31&amp;end_year=2016","Correlation")</f>
        <v>Correlation</v>
      </c>
    </row>
    <row r="809" spans="1:13" x14ac:dyDescent="0.2">
      <c r="A809" s="113"/>
      <c r="B809" s="58" t="s">
        <v>3226</v>
      </c>
      <c r="C809" s="58" t="s">
        <v>2294</v>
      </c>
      <c r="D809" s="58" t="s">
        <v>3227</v>
      </c>
      <c r="E809" s="60" t="b">
        <v>1</v>
      </c>
      <c r="F809" s="80" t="s">
        <v>422</v>
      </c>
      <c r="G809" s="58" t="s">
        <v>3226</v>
      </c>
      <c r="H809" s="58" t="s">
        <v>2294</v>
      </c>
      <c r="I809" s="64" t="s">
        <v>3227</v>
      </c>
      <c r="J809" s="66"/>
      <c r="K809" s="66"/>
      <c r="L809" s="68"/>
      <c r="M809" s="63" t="str">
        <f>HYPERLINK("http://nsgreg.nga.mil/genc/view?v=868202&amp;end_month=12&amp;end_day=31&amp;end_year=2016","Correlation")</f>
        <v>Correlation</v>
      </c>
    </row>
    <row r="810" spans="1:13" x14ac:dyDescent="0.2">
      <c r="A810" s="113"/>
      <c r="B810" s="58" t="s">
        <v>3228</v>
      </c>
      <c r="C810" s="58" t="s">
        <v>2294</v>
      </c>
      <c r="D810" s="58" t="s">
        <v>3229</v>
      </c>
      <c r="E810" s="60" t="b">
        <v>1</v>
      </c>
      <c r="F810" s="80" t="s">
        <v>422</v>
      </c>
      <c r="G810" s="58" t="s">
        <v>3228</v>
      </c>
      <c r="H810" s="58" t="s">
        <v>2294</v>
      </c>
      <c r="I810" s="64" t="s">
        <v>3229</v>
      </c>
      <c r="J810" s="66"/>
      <c r="K810" s="66"/>
      <c r="L810" s="68"/>
      <c r="M810" s="63" t="str">
        <f>HYPERLINK("http://nsgreg.nga.mil/genc/view?v=868204&amp;end_month=12&amp;end_day=31&amp;end_year=2016","Correlation")</f>
        <v>Correlation</v>
      </c>
    </row>
    <row r="811" spans="1:13" x14ac:dyDescent="0.2">
      <c r="A811" s="113"/>
      <c r="B811" s="58" t="s">
        <v>3230</v>
      </c>
      <c r="C811" s="58" t="s">
        <v>2294</v>
      </c>
      <c r="D811" s="58" t="s">
        <v>3231</v>
      </c>
      <c r="E811" s="60" t="b">
        <v>1</v>
      </c>
      <c r="F811" s="80" t="s">
        <v>422</v>
      </c>
      <c r="G811" s="58" t="s">
        <v>3230</v>
      </c>
      <c r="H811" s="58" t="s">
        <v>2294</v>
      </c>
      <c r="I811" s="64" t="s">
        <v>3231</v>
      </c>
      <c r="J811" s="66"/>
      <c r="K811" s="66"/>
      <c r="L811" s="68"/>
      <c r="M811" s="63" t="str">
        <f>HYPERLINK("http://nsgreg.nga.mil/genc/view?v=868200&amp;end_month=12&amp;end_day=31&amp;end_year=2016","Correlation")</f>
        <v>Correlation</v>
      </c>
    </row>
    <row r="812" spans="1:13" x14ac:dyDescent="0.2">
      <c r="A812" s="114"/>
      <c r="B812" s="71" t="s">
        <v>2962</v>
      </c>
      <c r="C812" s="71" t="s">
        <v>2294</v>
      </c>
      <c r="D812" s="71" t="s">
        <v>3232</v>
      </c>
      <c r="E812" s="73" t="b">
        <v>1</v>
      </c>
      <c r="F812" s="81" t="s">
        <v>422</v>
      </c>
      <c r="G812" s="71" t="s">
        <v>2962</v>
      </c>
      <c r="H812" s="71" t="s">
        <v>2294</v>
      </c>
      <c r="I812" s="74" t="s">
        <v>3232</v>
      </c>
      <c r="J812" s="76"/>
      <c r="K812" s="76"/>
      <c r="L812" s="82"/>
      <c r="M812" s="77" t="str">
        <f>HYPERLINK("http://nsgreg.nga.mil/genc/view?v=868201&amp;end_month=12&amp;end_day=31&amp;end_year=2016","Correlation")</f>
        <v>Correlation</v>
      </c>
    </row>
    <row r="813" spans="1:13" x14ac:dyDescent="0.2">
      <c r="A813" s="112" t="s">
        <v>431</v>
      </c>
      <c r="B813" s="50" t="s">
        <v>3233</v>
      </c>
      <c r="C813" s="50" t="s">
        <v>1413</v>
      </c>
      <c r="D813" s="50" t="s">
        <v>3234</v>
      </c>
      <c r="E813" s="52" t="b">
        <v>1</v>
      </c>
      <c r="F813" s="78" t="s">
        <v>427</v>
      </c>
      <c r="G813" s="50" t="s">
        <v>3233</v>
      </c>
      <c r="H813" s="50" t="s">
        <v>1413</v>
      </c>
      <c r="I813" s="53" t="s">
        <v>3234</v>
      </c>
      <c r="J813" s="55"/>
      <c r="K813" s="55"/>
      <c r="L813" s="79"/>
      <c r="M813" s="56" t="str">
        <f>HYPERLINK("http://nsgreg.nga.mil/genc/view?v=868157&amp;end_month=12&amp;end_day=31&amp;end_year=2016","Correlation")</f>
        <v>Correlation</v>
      </c>
    </row>
    <row r="814" spans="1:13" x14ac:dyDescent="0.2">
      <c r="A814" s="113"/>
      <c r="B814" s="58" t="s">
        <v>3236</v>
      </c>
      <c r="C814" s="58" t="s">
        <v>1413</v>
      </c>
      <c r="D814" s="58" t="s">
        <v>3237</v>
      </c>
      <c r="E814" s="60" t="b">
        <v>1</v>
      </c>
      <c r="F814" s="80" t="s">
        <v>427</v>
      </c>
      <c r="G814" s="58" t="s">
        <v>3236</v>
      </c>
      <c r="H814" s="58" t="s">
        <v>1413</v>
      </c>
      <c r="I814" s="64" t="s">
        <v>3237</v>
      </c>
      <c r="J814" s="66"/>
      <c r="K814" s="66"/>
      <c r="L814" s="68"/>
      <c r="M814" s="63" t="str">
        <f>HYPERLINK("http://nsgreg.nga.mil/genc/view?v=868158&amp;end_month=12&amp;end_day=31&amp;end_year=2016","Correlation")</f>
        <v>Correlation</v>
      </c>
    </row>
    <row r="815" spans="1:13" x14ac:dyDescent="0.2">
      <c r="A815" s="113"/>
      <c r="B815" s="58" t="s">
        <v>3238</v>
      </c>
      <c r="C815" s="58" t="s">
        <v>1413</v>
      </c>
      <c r="D815" s="58" t="s">
        <v>3239</v>
      </c>
      <c r="E815" s="60" t="b">
        <v>1</v>
      </c>
      <c r="F815" s="80" t="s">
        <v>427</v>
      </c>
      <c r="G815" s="58" t="s">
        <v>3238</v>
      </c>
      <c r="H815" s="58" t="s">
        <v>1413</v>
      </c>
      <c r="I815" s="64" t="s">
        <v>3239</v>
      </c>
      <c r="J815" s="66"/>
      <c r="K815" s="66"/>
      <c r="L815" s="68"/>
      <c r="M815" s="63" t="str">
        <f>HYPERLINK("http://nsgreg.nga.mil/genc/view?v=868159&amp;end_month=12&amp;end_day=31&amp;end_year=2016","Correlation")</f>
        <v>Correlation</v>
      </c>
    </row>
    <row r="816" spans="1:13" x14ac:dyDescent="0.2">
      <c r="A816" s="113"/>
      <c r="B816" s="58" t="s">
        <v>3240</v>
      </c>
      <c r="C816" s="58" t="s">
        <v>1413</v>
      </c>
      <c r="D816" s="58" t="s">
        <v>3241</v>
      </c>
      <c r="E816" s="60" t="b">
        <v>1</v>
      </c>
      <c r="F816" s="80" t="s">
        <v>427</v>
      </c>
      <c r="G816" s="58" t="s">
        <v>3240</v>
      </c>
      <c r="H816" s="58" t="s">
        <v>1413</v>
      </c>
      <c r="I816" s="64" t="s">
        <v>3241</v>
      </c>
      <c r="J816" s="66"/>
      <c r="K816" s="66"/>
      <c r="L816" s="68"/>
      <c r="M816" s="63" t="str">
        <f>HYPERLINK("http://nsgreg.nga.mil/genc/view?v=868160&amp;end_month=12&amp;end_day=31&amp;end_year=2016","Correlation")</f>
        <v>Correlation</v>
      </c>
    </row>
    <row r="817" spans="1:13" x14ac:dyDescent="0.2">
      <c r="A817" s="113"/>
      <c r="B817" s="58" t="s">
        <v>3242</v>
      </c>
      <c r="C817" s="58" t="s">
        <v>1413</v>
      </c>
      <c r="D817" s="58" t="s">
        <v>3243</v>
      </c>
      <c r="E817" s="60" t="b">
        <v>1</v>
      </c>
      <c r="F817" s="80" t="s">
        <v>427</v>
      </c>
      <c r="G817" s="58" t="s">
        <v>3242</v>
      </c>
      <c r="H817" s="58" t="s">
        <v>1413</v>
      </c>
      <c r="I817" s="64" t="s">
        <v>3243</v>
      </c>
      <c r="J817" s="66"/>
      <c r="K817" s="66"/>
      <c r="L817" s="68"/>
      <c r="M817" s="63" t="str">
        <f>HYPERLINK("http://nsgreg.nga.mil/genc/view?v=868161&amp;end_month=12&amp;end_day=31&amp;end_year=2016","Correlation")</f>
        <v>Correlation</v>
      </c>
    </row>
    <row r="818" spans="1:13" x14ac:dyDescent="0.2">
      <c r="A818" s="113"/>
      <c r="B818" s="58" t="s">
        <v>3244</v>
      </c>
      <c r="C818" s="58" t="s">
        <v>1413</v>
      </c>
      <c r="D818" s="58" t="s">
        <v>3245</v>
      </c>
      <c r="E818" s="60" t="b">
        <v>1</v>
      </c>
      <c r="F818" s="80" t="s">
        <v>427</v>
      </c>
      <c r="G818" s="58" t="s">
        <v>3244</v>
      </c>
      <c r="H818" s="58" t="s">
        <v>1413</v>
      </c>
      <c r="I818" s="64" t="s">
        <v>3245</v>
      </c>
      <c r="J818" s="66"/>
      <c r="K818" s="66"/>
      <c r="L818" s="68"/>
      <c r="M818" s="63" t="str">
        <f>HYPERLINK("http://nsgreg.nga.mil/genc/view?v=868162&amp;end_month=12&amp;end_day=31&amp;end_year=2016","Correlation")</f>
        <v>Correlation</v>
      </c>
    </row>
    <row r="819" spans="1:13" x14ac:dyDescent="0.2">
      <c r="A819" s="113"/>
      <c r="B819" s="58" t="s">
        <v>3246</v>
      </c>
      <c r="C819" s="58" t="s">
        <v>1413</v>
      </c>
      <c r="D819" s="58" t="s">
        <v>3247</v>
      </c>
      <c r="E819" s="60" t="b">
        <v>1</v>
      </c>
      <c r="F819" s="80" t="s">
        <v>427</v>
      </c>
      <c r="G819" s="58" t="s">
        <v>3246</v>
      </c>
      <c r="H819" s="58" t="s">
        <v>1413</v>
      </c>
      <c r="I819" s="64" t="s">
        <v>3247</v>
      </c>
      <c r="J819" s="66"/>
      <c r="K819" s="66"/>
      <c r="L819" s="68"/>
      <c r="M819" s="63" t="str">
        <f>HYPERLINK("http://nsgreg.nga.mil/genc/view?v=868168&amp;end_month=12&amp;end_day=31&amp;end_year=2016","Correlation")</f>
        <v>Correlation</v>
      </c>
    </row>
    <row r="820" spans="1:13" x14ac:dyDescent="0.2">
      <c r="A820" s="113"/>
      <c r="B820" s="58" t="s">
        <v>3248</v>
      </c>
      <c r="C820" s="58" t="s">
        <v>1413</v>
      </c>
      <c r="D820" s="58" t="s">
        <v>3249</v>
      </c>
      <c r="E820" s="60" t="b">
        <v>1</v>
      </c>
      <c r="F820" s="80" t="s">
        <v>427</v>
      </c>
      <c r="G820" s="58" t="s">
        <v>3248</v>
      </c>
      <c r="H820" s="58" t="s">
        <v>1413</v>
      </c>
      <c r="I820" s="64" t="s">
        <v>3249</v>
      </c>
      <c r="J820" s="66"/>
      <c r="K820" s="66"/>
      <c r="L820" s="68"/>
      <c r="M820" s="63" t="str">
        <f>HYPERLINK("http://nsgreg.nga.mil/genc/view?v=868163&amp;end_month=12&amp;end_day=31&amp;end_year=2016","Correlation")</f>
        <v>Correlation</v>
      </c>
    </row>
    <row r="821" spans="1:13" x14ac:dyDescent="0.2">
      <c r="A821" s="113"/>
      <c r="B821" s="58" t="s">
        <v>3250</v>
      </c>
      <c r="C821" s="58" t="s">
        <v>1413</v>
      </c>
      <c r="D821" s="58" t="s">
        <v>3251</v>
      </c>
      <c r="E821" s="60" t="b">
        <v>1</v>
      </c>
      <c r="F821" s="80" t="s">
        <v>427</v>
      </c>
      <c r="G821" s="58" t="s">
        <v>3250</v>
      </c>
      <c r="H821" s="58" t="s">
        <v>1413</v>
      </c>
      <c r="I821" s="64" t="s">
        <v>3251</v>
      </c>
      <c r="J821" s="66"/>
      <c r="K821" s="66"/>
      <c r="L821" s="68"/>
      <c r="M821" s="63" t="str">
        <f>HYPERLINK("http://nsgreg.nga.mil/genc/view?v=868164&amp;end_month=12&amp;end_day=31&amp;end_year=2016","Correlation")</f>
        <v>Correlation</v>
      </c>
    </row>
    <row r="822" spans="1:13" x14ac:dyDescent="0.2">
      <c r="A822" s="113"/>
      <c r="B822" s="58" t="s">
        <v>3252</v>
      </c>
      <c r="C822" s="58" t="s">
        <v>1681</v>
      </c>
      <c r="D822" s="58" t="s">
        <v>3253</v>
      </c>
      <c r="E822" s="60" t="b">
        <v>1</v>
      </c>
      <c r="F822" s="80" t="s">
        <v>427</v>
      </c>
      <c r="G822" s="58" t="s">
        <v>3252</v>
      </c>
      <c r="H822" s="58" t="s">
        <v>1681</v>
      </c>
      <c r="I822" s="64" t="s">
        <v>3253</v>
      </c>
      <c r="J822" s="66"/>
      <c r="K822" s="66"/>
      <c r="L822" s="68"/>
      <c r="M822" s="63" t="str">
        <f>HYPERLINK("http://nsgreg.nga.mil/genc/view?v=868167&amp;end_month=12&amp;end_day=31&amp;end_year=2016","Correlation")</f>
        <v>Correlation</v>
      </c>
    </row>
    <row r="823" spans="1:13" x14ac:dyDescent="0.2">
      <c r="A823" s="113"/>
      <c r="B823" s="58" t="s">
        <v>3254</v>
      </c>
      <c r="C823" s="58" t="s">
        <v>1413</v>
      </c>
      <c r="D823" s="58" t="s">
        <v>3255</v>
      </c>
      <c r="E823" s="60" t="b">
        <v>1</v>
      </c>
      <c r="F823" s="80" t="s">
        <v>427</v>
      </c>
      <c r="G823" s="58" t="s">
        <v>3254</v>
      </c>
      <c r="H823" s="58" t="s">
        <v>1413</v>
      </c>
      <c r="I823" s="64" t="s">
        <v>3255</v>
      </c>
      <c r="J823" s="66"/>
      <c r="K823" s="66"/>
      <c r="L823" s="68"/>
      <c r="M823" s="63" t="str">
        <f>HYPERLINK("http://nsgreg.nga.mil/genc/view?v=868156&amp;end_month=12&amp;end_day=31&amp;end_year=2016","Correlation")</f>
        <v>Correlation</v>
      </c>
    </row>
    <row r="824" spans="1:13" x14ac:dyDescent="0.2">
      <c r="A824" s="113"/>
      <c r="B824" s="58" t="s">
        <v>3256</v>
      </c>
      <c r="C824" s="58" t="s">
        <v>1413</v>
      </c>
      <c r="D824" s="58" t="s">
        <v>3257</v>
      </c>
      <c r="E824" s="60" t="b">
        <v>1</v>
      </c>
      <c r="F824" s="80" t="s">
        <v>427</v>
      </c>
      <c r="G824" s="58" t="s">
        <v>3256</v>
      </c>
      <c r="H824" s="58" t="s">
        <v>1413</v>
      </c>
      <c r="I824" s="64" t="s">
        <v>3257</v>
      </c>
      <c r="J824" s="66"/>
      <c r="K824" s="66"/>
      <c r="L824" s="68"/>
      <c r="M824" s="63" t="str">
        <f>HYPERLINK("http://nsgreg.nga.mil/genc/view?v=868165&amp;end_month=12&amp;end_day=31&amp;end_year=2016","Correlation")</f>
        <v>Correlation</v>
      </c>
    </row>
    <row r="825" spans="1:13" x14ac:dyDescent="0.2">
      <c r="A825" s="113"/>
      <c r="B825" s="58" t="s">
        <v>3258</v>
      </c>
      <c r="C825" s="58" t="s">
        <v>1413</v>
      </c>
      <c r="D825" s="58" t="s">
        <v>3259</v>
      </c>
      <c r="E825" s="60" t="b">
        <v>1</v>
      </c>
      <c r="F825" s="80" t="s">
        <v>427</v>
      </c>
      <c r="G825" s="58" t="s">
        <v>3258</v>
      </c>
      <c r="H825" s="58" t="s">
        <v>1413</v>
      </c>
      <c r="I825" s="64" t="s">
        <v>3259</v>
      </c>
      <c r="J825" s="66"/>
      <c r="K825" s="66"/>
      <c r="L825" s="68"/>
      <c r="M825" s="63" t="str">
        <f>HYPERLINK("http://nsgreg.nga.mil/genc/view?v=868166&amp;end_month=12&amp;end_day=31&amp;end_year=2016","Correlation")</f>
        <v>Correlation</v>
      </c>
    </row>
    <row r="826" spans="1:13" x14ac:dyDescent="0.2">
      <c r="A826" s="113"/>
      <c r="B826" s="58" t="s">
        <v>3260</v>
      </c>
      <c r="C826" s="58" t="s">
        <v>1413</v>
      </c>
      <c r="D826" s="58" t="s">
        <v>3261</v>
      </c>
      <c r="E826" s="60" t="b">
        <v>1</v>
      </c>
      <c r="F826" s="80" t="s">
        <v>427</v>
      </c>
      <c r="G826" s="58" t="s">
        <v>3260</v>
      </c>
      <c r="H826" s="58" t="s">
        <v>1413</v>
      </c>
      <c r="I826" s="64" t="s">
        <v>3261</v>
      </c>
      <c r="J826" s="66"/>
      <c r="K826" s="66"/>
      <c r="L826" s="68"/>
      <c r="M826" s="63" t="str">
        <f>HYPERLINK("http://nsgreg.nga.mil/genc/view?v=868169&amp;end_month=12&amp;end_day=31&amp;end_year=2016","Correlation")</f>
        <v>Correlation</v>
      </c>
    </row>
    <row r="827" spans="1:13" x14ac:dyDescent="0.2">
      <c r="A827" s="113"/>
      <c r="B827" s="58" t="s">
        <v>3262</v>
      </c>
      <c r="C827" s="58" t="s">
        <v>1413</v>
      </c>
      <c r="D827" s="58" t="s">
        <v>3263</v>
      </c>
      <c r="E827" s="60" t="b">
        <v>1</v>
      </c>
      <c r="F827" s="80" t="s">
        <v>427</v>
      </c>
      <c r="G827" s="58" t="s">
        <v>3262</v>
      </c>
      <c r="H827" s="58" t="s">
        <v>1413</v>
      </c>
      <c r="I827" s="64" t="s">
        <v>3263</v>
      </c>
      <c r="J827" s="66"/>
      <c r="K827" s="66"/>
      <c r="L827" s="68"/>
      <c r="M827" s="63" t="str">
        <f>HYPERLINK("http://nsgreg.nga.mil/genc/view?v=868170&amp;end_month=12&amp;end_day=31&amp;end_year=2016","Correlation")</f>
        <v>Correlation</v>
      </c>
    </row>
    <row r="828" spans="1:13" x14ac:dyDescent="0.2">
      <c r="A828" s="113"/>
      <c r="B828" s="58" t="s">
        <v>3264</v>
      </c>
      <c r="C828" s="58" t="s">
        <v>1413</v>
      </c>
      <c r="D828" s="58" t="s">
        <v>3265</v>
      </c>
      <c r="E828" s="60" t="b">
        <v>1</v>
      </c>
      <c r="F828" s="80" t="s">
        <v>427</v>
      </c>
      <c r="G828" s="58" t="s">
        <v>3264</v>
      </c>
      <c r="H828" s="58" t="s">
        <v>1413</v>
      </c>
      <c r="I828" s="64" t="s">
        <v>3265</v>
      </c>
      <c r="J828" s="66"/>
      <c r="K828" s="66"/>
      <c r="L828" s="68"/>
      <c r="M828" s="63" t="str">
        <f>HYPERLINK("http://nsgreg.nga.mil/genc/view?v=868172&amp;end_month=12&amp;end_day=31&amp;end_year=2016","Correlation")</f>
        <v>Correlation</v>
      </c>
    </row>
    <row r="829" spans="1:13" x14ac:dyDescent="0.2">
      <c r="A829" s="113"/>
      <c r="B829" s="58" t="s">
        <v>3266</v>
      </c>
      <c r="C829" s="58" t="s">
        <v>1413</v>
      </c>
      <c r="D829" s="58" t="s">
        <v>3267</v>
      </c>
      <c r="E829" s="60" t="b">
        <v>1</v>
      </c>
      <c r="F829" s="80" t="s">
        <v>427</v>
      </c>
      <c r="G829" s="58" t="s">
        <v>3266</v>
      </c>
      <c r="H829" s="58" t="s">
        <v>1413</v>
      </c>
      <c r="I829" s="64" t="s">
        <v>3267</v>
      </c>
      <c r="J829" s="66"/>
      <c r="K829" s="66"/>
      <c r="L829" s="68"/>
      <c r="M829" s="63" t="str">
        <f>HYPERLINK("http://nsgreg.nga.mil/genc/view?v=868171&amp;end_month=12&amp;end_day=31&amp;end_year=2016","Correlation")</f>
        <v>Correlation</v>
      </c>
    </row>
    <row r="830" spans="1:13" x14ac:dyDescent="0.2">
      <c r="A830" s="113"/>
      <c r="B830" s="58" t="s">
        <v>3268</v>
      </c>
      <c r="C830" s="58" t="s">
        <v>1413</v>
      </c>
      <c r="D830" s="58" t="s">
        <v>3269</v>
      </c>
      <c r="E830" s="60" t="b">
        <v>1</v>
      </c>
      <c r="F830" s="80" t="s">
        <v>427</v>
      </c>
      <c r="G830" s="58" t="s">
        <v>3268</v>
      </c>
      <c r="H830" s="58" t="s">
        <v>1413</v>
      </c>
      <c r="I830" s="64" t="s">
        <v>3269</v>
      </c>
      <c r="J830" s="66"/>
      <c r="K830" s="66"/>
      <c r="L830" s="68"/>
      <c r="M830" s="63" t="str">
        <f>HYPERLINK("http://nsgreg.nga.mil/genc/view?v=868173&amp;end_month=12&amp;end_day=31&amp;end_year=2016","Correlation")</f>
        <v>Correlation</v>
      </c>
    </row>
    <row r="831" spans="1:13" x14ac:dyDescent="0.2">
      <c r="A831" s="113"/>
      <c r="B831" s="58" t="s">
        <v>3270</v>
      </c>
      <c r="C831" s="58" t="s">
        <v>1413</v>
      </c>
      <c r="D831" s="58" t="s">
        <v>3271</v>
      </c>
      <c r="E831" s="60" t="b">
        <v>1</v>
      </c>
      <c r="F831" s="80" t="s">
        <v>427</v>
      </c>
      <c r="G831" s="58" t="s">
        <v>3270</v>
      </c>
      <c r="H831" s="58" t="s">
        <v>1413</v>
      </c>
      <c r="I831" s="64" t="s">
        <v>3271</v>
      </c>
      <c r="J831" s="66"/>
      <c r="K831" s="66"/>
      <c r="L831" s="68"/>
      <c r="M831" s="63" t="str">
        <f>HYPERLINK("http://nsgreg.nga.mil/genc/view?v=868174&amp;end_month=12&amp;end_day=31&amp;end_year=2016","Correlation")</f>
        <v>Correlation</v>
      </c>
    </row>
    <row r="832" spans="1:13" x14ac:dyDescent="0.2">
      <c r="A832" s="113"/>
      <c r="B832" s="58" t="s">
        <v>3272</v>
      </c>
      <c r="C832" s="58" t="s">
        <v>1413</v>
      </c>
      <c r="D832" s="58" t="s">
        <v>3273</v>
      </c>
      <c r="E832" s="60" t="b">
        <v>1</v>
      </c>
      <c r="F832" s="80" t="s">
        <v>427</v>
      </c>
      <c r="G832" s="58" t="s">
        <v>3272</v>
      </c>
      <c r="H832" s="58" t="s">
        <v>1413</v>
      </c>
      <c r="I832" s="64" t="s">
        <v>3273</v>
      </c>
      <c r="J832" s="66"/>
      <c r="K832" s="66"/>
      <c r="L832" s="68"/>
      <c r="M832" s="63" t="str">
        <f>HYPERLINK("http://nsgreg.nga.mil/genc/view?v=868175&amp;end_month=12&amp;end_day=31&amp;end_year=2016","Correlation")</f>
        <v>Correlation</v>
      </c>
    </row>
    <row r="833" spans="1:13" x14ac:dyDescent="0.2">
      <c r="A833" s="113"/>
      <c r="B833" s="58" t="s">
        <v>3274</v>
      </c>
      <c r="C833" s="58" t="s">
        <v>1413</v>
      </c>
      <c r="D833" s="58" t="s">
        <v>3275</v>
      </c>
      <c r="E833" s="60" t="b">
        <v>1</v>
      </c>
      <c r="F833" s="80" t="s">
        <v>427</v>
      </c>
      <c r="G833" s="58" t="s">
        <v>3274</v>
      </c>
      <c r="H833" s="58" t="s">
        <v>1413</v>
      </c>
      <c r="I833" s="64" t="s">
        <v>3275</v>
      </c>
      <c r="J833" s="66"/>
      <c r="K833" s="66"/>
      <c r="L833" s="68"/>
      <c r="M833" s="63" t="str">
        <f>HYPERLINK("http://nsgreg.nga.mil/genc/view?v=868176&amp;end_month=12&amp;end_day=31&amp;end_year=2016","Correlation")</f>
        <v>Correlation</v>
      </c>
    </row>
    <row r="834" spans="1:13" x14ac:dyDescent="0.2">
      <c r="A834" s="113"/>
      <c r="B834" s="58" t="s">
        <v>3276</v>
      </c>
      <c r="C834" s="58" t="s">
        <v>1413</v>
      </c>
      <c r="D834" s="58" t="s">
        <v>3277</v>
      </c>
      <c r="E834" s="60" t="b">
        <v>1</v>
      </c>
      <c r="F834" s="80" t="s">
        <v>427</v>
      </c>
      <c r="G834" s="58" t="s">
        <v>3276</v>
      </c>
      <c r="H834" s="58" t="s">
        <v>1413</v>
      </c>
      <c r="I834" s="64" t="s">
        <v>3277</v>
      </c>
      <c r="J834" s="66"/>
      <c r="K834" s="66"/>
      <c r="L834" s="68"/>
      <c r="M834" s="63" t="str">
        <f>HYPERLINK("http://nsgreg.nga.mil/genc/view?v=868181&amp;end_month=12&amp;end_day=31&amp;end_year=2016","Correlation")</f>
        <v>Correlation</v>
      </c>
    </row>
    <row r="835" spans="1:13" x14ac:dyDescent="0.2">
      <c r="A835" s="113"/>
      <c r="B835" s="58" t="s">
        <v>3278</v>
      </c>
      <c r="C835" s="58" t="s">
        <v>1413</v>
      </c>
      <c r="D835" s="58" t="s">
        <v>3279</v>
      </c>
      <c r="E835" s="60" t="b">
        <v>1</v>
      </c>
      <c r="F835" s="80" t="s">
        <v>427</v>
      </c>
      <c r="G835" s="58" t="s">
        <v>3278</v>
      </c>
      <c r="H835" s="58" t="s">
        <v>1413</v>
      </c>
      <c r="I835" s="64" t="s">
        <v>3279</v>
      </c>
      <c r="J835" s="66"/>
      <c r="K835" s="66"/>
      <c r="L835" s="68"/>
      <c r="M835" s="63" t="str">
        <f>HYPERLINK("http://nsgreg.nga.mil/genc/view?v=868177&amp;end_month=12&amp;end_day=31&amp;end_year=2016","Correlation")</f>
        <v>Correlation</v>
      </c>
    </row>
    <row r="836" spans="1:13" x14ac:dyDescent="0.2">
      <c r="A836" s="113"/>
      <c r="B836" s="58" t="s">
        <v>3280</v>
      </c>
      <c r="C836" s="58" t="s">
        <v>1413</v>
      </c>
      <c r="D836" s="58" t="s">
        <v>3281</v>
      </c>
      <c r="E836" s="60" t="b">
        <v>1</v>
      </c>
      <c r="F836" s="80" t="s">
        <v>427</v>
      </c>
      <c r="G836" s="58" t="s">
        <v>3280</v>
      </c>
      <c r="H836" s="58" t="s">
        <v>1413</v>
      </c>
      <c r="I836" s="64" t="s">
        <v>3281</v>
      </c>
      <c r="J836" s="66"/>
      <c r="K836" s="66"/>
      <c r="L836" s="68"/>
      <c r="M836" s="63" t="str">
        <f>HYPERLINK("http://nsgreg.nga.mil/genc/view?v=868178&amp;end_month=12&amp;end_day=31&amp;end_year=2016","Correlation")</f>
        <v>Correlation</v>
      </c>
    </row>
    <row r="837" spans="1:13" x14ac:dyDescent="0.2">
      <c r="A837" s="113"/>
      <c r="B837" s="58" t="s">
        <v>3282</v>
      </c>
      <c r="C837" s="58" t="s">
        <v>1413</v>
      </c>
      <c r="D837" s="58" t="s">
        <v>3283</v>
      </c>
      <c r="E837" s="60" t="b">
        <v>1</v>
      </c>
      <c r="F837" s="80" t="s">
        <v>427</v>
      </c>
      <c r="G837" s="58" t="s">
        <v>3282</v>
      </c>
      <c r="H837" s="58" t="s">
        <v>1413</v>
      </c>
      <c r="I837" s="64" t="s">
        <v>3283</v>
      </c>
      <c r="J837" s="66"/>
      <c r="K837" s="66"/>
      <c r="L837" s="68"/>
      <c r="M837" s="63" t="str">
        <f>HYPERLINK("http://nsgreg.nga.mil/genc/view?v=868179&amp;end_month=12&amp;end_day=31&amp;end_year=2016","Correlation")</f>
        <v>Correlation</v>
      </c>
    </row>
    <row r="838" spans="1:13" x14ac:dyDescent="0.2">
      <c r="A838" s="114"/>
      <c r="B838" s="71" t="s">
        <v>3284</v>
      </c>
      <c r="C838" s="71" t="s">
        <v>1413</v>
      </c>
      <c r="D838" s="71" t="s">
        <v>3285</v>
      </c>
      <c r="E838" s="73" t="b">
        <v>1</v>
      </c>
      <c r="F838" s="81" t="s">
        <v>427</v>
      </c>
      <c r="G838" s="71" t="s">
        <v>3284</v>
      </c>
      <c r="H838" s="71" t="s">
        <v>1413</v>
      </c>
      <c r="I838" s="74" t="s">
        <v>3285</v>
      </c>
      <c r="J838" s="76"/>
      <c r="K838" s="76"/>
      <c r="L838" s="82"/>
      <c r="M838" s="77" t="str">
        <f>HYPERLINK("http://nsgreg.nga.mil/genc/view?v=868180&amp;end_month=12&amp;end_day=31&amp;end_year=2016","Correlation")</f>
        <v>Correlation</v>
      </c>
    </row>
    <row r="839" spans="1:13" x14ac:dyDescent="0.2">
      <c r="A839" s="112" t="s">
        <v>440</v>
      </c>
      <c r="B839" s="50" t="s">
        <v>3286</v>
      </c>
      <c r="C839" s="50" t="s">
        <v>1413</v>
      </c>
      <c r="D839" s="50" t="s">
        <v>3287</v>
      </c>
      <c r="E839" s="52" t="b">
        <v>1</v>
      </c>
      <c r="F839" s="78" t="s">
        <v>440</v>
      </c>
      <c r="G839" s="50" t="s">
        <v>3286</v>
      </c>
      <c r="H839" s="50" t="s">
        <v>1413</v>
      </c>
      <c r="I839" s="53" t="s">
        <v>3287</v>
      </c>
      <c r="J839" s="55"/>
      <c r="K839" s="55"/>
      <c r="L839" s="79"/>
      <c r="M839" s="56" t="str">
        <f>HYPERLINK("http://nsgreg.nga.mil/genc/view?v=868343&amp;end_month=12&amp;end_day=31&amp;end_year=2016","Correlation")</f>
        <v>Correlation</v>
      </c>
    </row>
    <row r="840" spans="1:13" x14ac:dyDescent="0.2">
      <c r="A840" s="113"/>
      <c r="B840" s="58" t="s">
        <v>3288</v>
      </c>
      <c r="C840" s="58" t="s">
        <v>1413</v>
      </c>
      <c r="D840" s="58" t="s">
        <v>3289</v>
      </c>
      <c r="E840" s="60" t="b">
        <v>1</v>
      </c>
      <c r="F840" s="80" t="s">
        <v>440</v>
      </c>
      <c r="G840" s="58" t="s">
        <v>3288</v>
      </c>
      <c r="H840" s="58" t="s">
        <v>1413</v>
      </c>
      <c r="I840" s="64" t="s">
        <v>3289</v>
      </c>
      <c r="J840" s="66"/>
      <c r="K840" s="66"/>
      <c r="L840" s="68"/>
      <c r="M840" s="63" t="str">
        <f>HYPERLINK("http://nsgreg.nga.mil/genc/view?v=868344&amp;end_month=12&amp;end_day=31&amp;end_year=2016","Correlation")</f>
        <v>Correlation</v>
      </c>
    </row>
    <row r="841" spans="1:13" x14ac:dyDescent="0.2">
      <c r="A841" s="113"/>
      <c r="B841" s="58" t="s">
        <v>3290</v>
      </c>
      <c r="C841" s="58" t="s">
        <v>1413</v>
      </c>
      <c r="D841" s="58" t="s">
        <v>3291</v>
      </c>
      <c r="E841" s="60" t="b">
        <v>1</v>
      </c>
      <c r="F841" s="80" t="s">
        <v>440</v>
      </c>
      <c r="G841" s="58" t="s">
        <v>3290</v>
      </c>
      <c r="H841" s="58" t="s">
        <v>1413</v>
      </c>
      <c r="I841" s="64" t="s">
        <v>3291</v>
      </c>
      <c r="J841" s="66"/>
      <c r="K841" s="66"/>
      <c r="L841" s="68"/>
      <c r="M841" s="63" t="str">
        <f>HYPERLINK("http://nsgreg.nga.mil/genc/view?v=868345&amp;end_month=12&amp;end_day=31&amp;end_year=2016","Correlation")</f>
        <v>Correlation</v>
      </c>
    </row>
    <row r="842" spans="1:13" x14ac:dyDescent="0.2">
      <c r="A842" s="113"/>
      <c r="B842" s="58" t="s">
        <v>3292</v>
      </c>
      <c r="C842" s="58" t="s">
        <v>1413</v>
      </c>
      <c r="D842" s="58" t="s">
        <v>3293</v>
      </c>
      <c r="E842" s="60" t="b">
        <v>1</v>
      </c>
      <c r="F842" s="80" t="s">
        <v>440</v>
      </c>
      <c r="G842" s="58" t="s">
        <v>3292</v>
      </c>
      <c r="H842" s="58" t="s">
        <v>1413</v>
      </c>
      <c r="I842" s="64" t="s">
        <v>3293</v>
      </c>
      <c r="J842" s="66"/>
      <c r="K842" s="66"/>
      <c r="L842" s="68"/>
      <c r="M842" s="63" t="str">
        <f>HYPERLINK("http://nsgreg.nga.mil/genc/view?v=868346&amp;end_month=12&amp;end_day=31&amp;end_year=2016","Correlation")</f>
        <v>Correlation</v>
      </c>
    </row>
    <row r="843" spans="1:13" x14ac:dyDescent="0.2">
      <c r="A843" s="113"/>
      <c r="B843" s="58" t="s">
        <v>3294</v>
      </c>
      <c r="C843" s="58" t="s">
        <v>1413</v>
      </c>
      <c r="D843" s="58" t="s">
        <v>3295</v>
      </c>
      <c r="E843" s="60" t="b">
        <v>1</v>
      </c>
      <c r="F843" s="80" t="s">
        <v>440</v>
      </c>
      <c r="G843" s="58" t="s">
        <v>3294</v>
      </c>
      <c r="H843" s="58" t="s">
        <v>1413</v>
      </c>
      <c r="I843" s="64" t="s">
        <v>3295</v>
      </c>
      <c r="J843" s="66"/>
      <c r="K843" s="66"/>
      <c r="L843" s="68"/>
      <c r="M843" s="63" t="str">
        <f>HYPERLINK("http://nsgreg.nga.mil/genc/view?v=868347&amp;end_month=12&amp;end_day=31&amp;end_year=2016","Correlation")</f>
        <v>Correlation</v>
      </c>
    </row>
    <row r="844" spans="1:13" x14ac:dyDescent="0.2">
      <c r="A844" s="113"/>
      <c r="B844" s="58" t="s">
        <v>3296</v>
      </c>
      <c r="C844" s="58" t="s">
        <v>1413</v>
      </c>
      <c r="D844" s="58" t="s">
        <v>3297</v>
      </c>
      <c r="E844" s="60" t="b">
        <v>1</v>
      </c>
      <c r="F844" s="80" t="s">
        <v>440</v>
      </c>
      <c r="G844" s="58" t="s">
        <v>3296</v>
      </c>
      <c r="H844" s="58" t="s">
        <v>1413</v>
      </c>
      <c r="I844" s="64" t="s">
        <v>3297</v>
      </c>
      <c r="J844" s="66"/>
      <c r="K844" s="66"/>
      <c r="L844" s="68"/>
      <c r="M844" s="63" t="str">
        <f>HYPERLINK("http://nsgreg.nga.mil/genc/view?v=868348&amp;end_month=12&amp;end_day=31&amp;end_year=2016","Correlation")</f>
        <v>Correlation</v>
      </c>
    </row>
    <row r="845" spans="1:13" x14ac:dyDescent="0.2">
      <c r="A845" s="114"/>
      <c r="B845" s="71" t="s">
        <v>3298</v>
      </c>
      <c r="C845" s="71" t="s">
        <v>1413</v>
      </c>
      <c r="D845" s="71" t="s">
        <v>3299</v>
      </c>
      <c r="E845" s="73" t="b">
        <v>1</v>
      </c>
      <c r="F845" s="81" t="s">
        <v>440</v>
      </c>
      <c r="G845" s="71" t="s">
        <v>3298</v>
      </c>
      <c r="H845" s="71" t="s">
        <v>1413</v>
      </c>
      <c r="I845" s="74" t="s">
        <v>3299</v>
      </c>
      <c r="J845" s="76"/>
      <c r="K845" s="76"/>
      <c r="L845" s="82"/>
      <c r="M845" s="77" t="str">
        <f>HYPERLINK("http://nsgreg.nga.mil/genc/view?v=868349&amp;end_month=12&amp;end_day=31&amp;end_year=2016","Correlation")</f>
        <v>Correlation</v>
      </c>
    </row>
    <row r="846" spans="1:13" x14ac:dyDescent="0.2">
      <c r="A846" s="112" t="s">
        <v>448</v>
      </c>
      <c r="B846" s="50" t="s">
        <v>3300</v>
      </c>
      <c r="C846" s="50" t="s">
        <v>3301</v>
      </c>
      <c r="D846" s="50" t="s">
        <v>3302</v>
      </c>
      <c r="E846" s="52" t="b">
        <v>1</v>
      </c>
      <c r="F846" s="78" t="s">
        <v>444</v>
      </c>
      <c r="G846" s="50" t="s">
        <v>3300</v>
      </c>
      <c r="H846" s="50" t="s">
        <v>3301</v>
      </c>
      <c r="I846" s="53" t="s">
        <v>3302</v>
      </c>
      <c r="J846" s="55"/>
      <c r="K846" s="55"/>
      <c r="L846" s="79"/>
      <c r="M846" s="56" t="str">
        <f>HYPERLINK("http://nsgreg.nga.mil/genc/view?v=868237&amp;end_month=12&amp;end_day=31&amp;end_year=2016","Correlation")</f>
        <v>Correlation</v>
      </c>
    </row>
    <row r="847" spans="1:13" x14ac:dyDescent="0.2">
      <c r="A847" s="113"/>
      <c r="B847" s="58" t="s">
        <v>3303</v>
      </c>
      <c r="C847" s="58" t="s">
        <v>1796</v>
      </c>
      <c r="D847" s="58" t="s">
        <v>3304</v>
      </c>
      <c r="E847" s="60" t="b">
        <v>1</v>
      </c>
      <c r="F847" s="80" t="s">
        <v>444</v>
      </c>
      <c r="G847" s="58" t="s">
        <v>3303</v>
      </c>
      <c r="H847" s="58" t="s">
        <v>1796</v>
      </c>
      <c r="I847" s="64" t="s">
        <v>3304</v>
      </c>
      <c r="J847" s="66"/>
      <c r="K847" s="66"/>
      <c r="L847" s="68"/>
      <c r="M847" s="63" t="str">
        <f>HYPERLINK("http://nsgreg.nga.mil/genc/view?v=868238&amp;end_month=12&amp;end_day=31&amp;end_year=2016","Correlation")</f>
        <v>Correlation</v>
      </c>
    </row>
    <row r="848" spans="1:13" x14ac:dyDescent="0.2">
      <c r="A848" s="113"/>
      <c r="B848" s="58" t="s">
        <v>2593</v>
      </c>
      <c r="C848" s="58" t="s">
        <v>1796</v>
      </c>
      <c r="D848" s="58" t="s">
        <v>3305</v>
      </c>
      <c r="E848" s="60" t="b">
        <v>1</v>
      </c>
      <c r="F848" s="80" t="s">
        <v>444</v>
      </c>
      <c r="G848" s="58" t="s">
        <v>2593</v>
      </c>
      <c r="H848" s="58" t="s">
        <v>1796</v>
      </c>
      <c r="I848" s="64" t="s">
        <v>3305</v>
      </c>
      <c r="J848" s="66"/>
      <c r="K848" s="66"/>
      <c r="L848" s="68"/>
      <c r="M848" s="63" t="str">
        <f>HYPERLINK("http://nsgreg.nga.mil/genc/view?v=868239&amp;end_month=12&amp;end_day=31&amp;end_year=2016","Correlation")</f>
        <v>Correlation</v>
      </c>
    </row>
    <row r="849" spans="1:13" x14ac:dyDescent="0.2">
      <c r="A849" s="113"/>
      <c r="B849" s="58" t="s">
        <v>3306</v>
      </c>
      <c r="C849" s="58" t="s">
        <v>1796</v>
      </c>
      <c r="D849" s="58" t="s">
        <v>3307</v>
      </c>
      <c r="E849" s="60" t="b">
        <v>1</v>
      </c>
      <c r="F849" s="80" t="s">
        <v>444</v>
      </c>
      <c r="G849" s="58" t="s">
        <v>3306</v>
      </c>
      <c r="H849" s="58" t="s">
        <v>1796</v>
      </c>
      <c r="I849" s="64" t="s">
        <v>3307</v>
      </c>
      <c r="J849" s="66"/>
      <c r="K849" s="66"/>
      <c r="L849" s="68"/>
      <c r="M849" s="63" t="str">
        <f>HYPERLINK("http://nsgreg.nga.mil/genc/view?v=868240&amp;end_month=12&amp;end_day=31&amp;end_year=2016","Correlation")</f>
        <v>Correlation</v>
      </c>
    </row>
    <row r="850" spans="1:13" x14ac:dyDescent="0.2">
      <c r="A850" s="113"/>
      <c r="B850" s="58" t="s">
        <v>3308</v>
      </c>
      <c r="C850" s="58" t="s">
        <v>1796</v>
      </c>
      <c r="D850" s="58" t="s">
        <v>3309</v>
      </c>
      <c r="E850" s="60" t="b">
        <v>1</v>
      </c>
      <c r="F850" s="80" t="s">
        <v>444</v>
      </c>
      <c r="G850" s="58" t="s">
        <v>3308</v>
      </c>
      <c r="H850" s="58" t="s">
        <v>1796</v>
      </c>
      <c r="I850" s="64" t="s">
        <v>3309</v>
      </c>
      <c r="J850" s="66"/>
      <c r="K850" s="66"/>
      <c r="L850" s="68"/>
      <c r="M850" s="63" t="str">
        <f>HYPERLINK("http://nsgreg.nga.mil/genc/view?v=868241&amp;end_month=12&amp;end_day=31&amp;end_year=2016","Correlation")</f>
        <v>Correlation</v>
      </c>
    </row>
    <row r="851" spans="1:13" x14ac:dyDescent="0.2">
      <c r="A851" s="113"/>
      <c r="B851" s="58" t="s">
        <v>3310</v>
      </c>
      <c r="C851" s="58" t="s">
        <v>1796</v>
      </c>
      <c r="D851" s="58" t="s">
        <v>3311</v>
      </c>
      <c r="E851" s="60" t="b">
        <v>1</v>
      </c>
      <c r="F851" s="80" t="s">
        <v>444</v>
      </c>
      <c r="G851" s="58" t="s">
        <v>3310</v>
      </c>
      <c r="H851" s="58" t="s">
        <v>1796</v>
      </c>
      <c r="I851" s="64" t="s">
        <v>3311</v>
      </c>
      <c r="J851" s="66"/>
      <c r="K851" s="66"/>
      <c r="L851" s="68"/>
      <c r="M851" s="63" t="str">
        <f>HYPERLINK("http://nsgreg.nga.mil/genc/view?v=868242&amp;end_month=12&amp;end_day=31&amp;end_year=2016","Correlation")</f>
        <v>Correlation</v>
      </c>
    </row>
    <row r="852" spans="1:13" x14ac:dyDescent="0.2">
      <c r="A852" s="113"/>
      <c r="B852" s="58" t="s">
        <v>3312</v>
      </c>
      <c r="C852" s="58" t="s">
        <v>1796</v>
      </c>
      <c r="D852" s="58" t="s">
        <v>3313</v>
      </c>
      <c r="E852" s="60" t="b">
        <v>1</v>
      </c>
      <c r="F852" s="80" t="s">
        <v>444</v>
      </c>
      <c r="G852" s="58" t="s">
        <v>3312</v>
      </c>
      <c r="H852" s="58" t="s">
        <v>1796</v>
      </c>
      <c r="I852" s="64" t="s">
        <v>3313</v>
      </c>
      <c r="J852" s="66"/>
      <c r="K852" s="66"/>
      <c r="L852" s="68"/>
      <c r="M852" s="63" t="str">
        <f>HYPERLINK("http://nsgreg.nga.mil/genc/view?v=868243&amp;end_month=12&amp;end_day=31&amp;end_year=2016","Correlation")</f>
        <v>Correlation</v>
      </c>
    </row>
    <row r="853" spans="1:13" x14ac:dyDescent="0.2">
      <c r="A853" s="113"/>
      <c r="B853" s="58" t="s">
        <v>3314</v>
      </c>
      <c r="C853" s="58" t="s">
        <v>1796</v>
      </c>
      <c r="D853" s="58" t="s">
        <v>3315</v>
      </c>
      <c r="E853" s="60" t="b">
        <v>1</v>
      </c>
      <c r="F853" s="80" t="s">
        <v>444</v>
      </c>
      <c r="G853" s="58" t="s">
        <v>3314</v>
      </c>
      <c r="H853" s="58" t="s">
        <v>1796</v>
      </c>
      <c r="I853" s="64" t="s">
        <v>3315</v>
      </c>
      <c r="J853" s="66"/>
      <c r="K853" s="66"/>
      <c r="L853" s="68"/>
      <c r="M853" s="63" t="str">
        <f>HYPERLINK("http://nsgreg.nga.mil/genc/view?v=868244&amp;end_month=12&amp;end_day=31&amp;end_year=2016","Correlation")</f>
        <v>Correlation</v>
      </c>
    </row>
    <row r="854" spans="1:13" x14ac:dyDescent="0.2">
      <c r="A854" s="113"/>
      <c r="B854" s="58" t="s">
        <v>3316</v>
      </c>
      <c r="C854" s="58" t="s">
        <v>1796</v>
      </c>
      <c r="D854" s="58" t="s">
        <v>3317</v>
      </c>
      <c r="E854" s="60" t="b">
        <v>1</v>
      </c>
      <c r="F854" s="80" t="s">
        <v>444</v>
      </c>
      <c r="G854" s="58" t="s">
        <v>3316</v>
      </c>
      <c r="H854" s="58" t="s">
        <v>1796</v>
      </c>
      <c r="I854" s="64" t="s">
        <v>3317</v>
      </c>
      <c r="J854" s="66"/>
      <c r="K854" s="66"/>
      <c r="L854" s="68"/>
      <c r="M854" s="63" t="str">
        <f>HYPERLINK("http://nsgreg.nga.mil/genc/view?v=868245&amp;end_month=12&amp;end_day=31&amp;end_year=2016","Correlation")</f>
        <v>Correlation</v>
      </c>
    </row>
    <row r="855" spans="1:13" x14ac:dyDescent="0.2">
      <c r="A855" s="113"/>
      <c r="B855" s="58" t="s">
        <v>3318</v>
      </c>
      <c r="C855" s="58" t="s">
        <v>1796</v>
      </c>
      <c r="D855" s="58" t="s">
        <v>3319</v>
      </c>
      <c r="E855" s="60" t="b">
        <v>1</v>
      </c>
      <c r="F855" s="80" t="s">
        <v>444</v>
      </c>
      <c r="G855" s="58" t="s">
        <v>3318</v>
      </c>
      <c r="H855" s="58" t="s">
        <v>1796</v>
      </c>
      <c r="I855" s="64" t="s">
        <v>3319</v>
      </c>
      <c r="J855" s="66"/>
      <c r="K855" s="66"/>
      <c r="L855" s="68"/>
      <c r="M855" s="63" t="str">
        <f>HYPERLINK("http://nsgreg.nga.mil/genc/view?v=868246&amp;end_month=12&amp;end_day=31&amp;end_year=2016","Correlation")</f>
        <v>Correlation</v>
      </c>
    </row>
    <row r="856" spans="1:13" x14ac:dyDescent="0.2">
      <c r="A856" s="113"/>
      <c r="B856" s="58" t="s">
        <v>3320</v>
      </c>
      <c r="C856" s="58" t="s">
        <v>1796</v>
      </c>
      <c r="D856" s="58" t="s">
        <v>3321</v>
      </c>
      <c r="E856" s="60" t="b">
        <v>1</v>
      </c>
      <c r="F856" s="80" t="s">
        <v>444</v>
      </c>
      <c r="G856" s="58" t="s">
        <v>3320</v>
      </c>
      <c r="H856" s="58" t="s">
        <v>1796</v>
      </c>
      <c r="I856" s="64" t="s">
        <v>3321</v>
      </c>
      <c r="J856" s="66"/>
      <c r="K856" s="66"/>
      <c r="L856" s="68"/>
      <c r="M856" s="63" t="str">
        <f>HYPERLINK("http://nsgreg.nga.mil/genc/view?v=868247&amp;end_month=12&amp;end_day=31&amp;end_year=2016","Correlation")</f>
        <v>Correlation</v>
      </c>
    </row>
    <row r="857" spans="1:13" x14ac:dyDescent="0.2">
      <c r="A857" s="113"/>
      <c r="B857" s="58" t="s">
        <v>3322</v>
      </c>
      <c r="C857" s="58" t="s">
        <v>1796</v>
      </c>
      <c r="D857" s="58" t="s">
        <v>3323</v>
      </c>
      <c r="E857" s="60" t="b">
        <v>1</v>
      </c>
      <c r="F857" s="80" t="s">
        <v>444</v>
      </c>
      <c r="G857" s="58" t="s">
        <v>3322</v>
      </c>
      <c r="H857" s="58" t="s">
        <v>1796</v>
      </c>
      <c r="I857" s="64" t="s">
        <v>3323</v>
      </c>
      <c r="J857" s="66"/>
      <c r="K857" s="66"/>
      <c r="L857" s="68"/>
      <c r="M857" s="63" t="str">
        <f>HYPERLINK("http://nsgreg.nga.mil/genc/view?v=868248&amp;end_month=12&amp;end_day=31&amp;end_year=2016","Correlation")</f>
        <v>Correlation</v>
      </c>
    </row>
    <row r="858" spans="1:13" x14ac:dyDescent="0.2">
      <c r="A858" s="113"/>
      <c r="B858" s="58" t="s">
        <v>3324</v>
      </c>
      <c r="C858" s="58" t="s">
        <v>3301</v>
      </c>
      <c r="D858" s="58" t="s">
        <v>3325</v>
      </c>
      <c r="E858" s="60" t="b">
        <v>1</v>
      </c>
      <c r="F858" s="80" t="s">
        <v>444</v>
      </c>
      <c r="G858" s="58" t="s">
        <v>3324</v>
      </c>
      <c r="H858" s="58" t="s">
        <v>3301</v>
      </c>
      <c r="I858" s="64" t="s">
        <v>3325</v>
      </c>
      <c r="J858" s="66"/>
      <c r="K858" s="66"/>
      <c r="L858" s="68"/>
      <c r="M858" s="63" t="str">
        <f>HYPERLINK("http://nsgreg.nga.mil/genc/view?v=868249&amp;end_month=12&amp;end_day=31&amp;end_year=2016","Correlation")</f>
        <v>Correlation</v>
      </c>
    </row>
    <row r="859" spans="1:13" x14ac:dyDescent="0.2">
      <c r="A859" s="114"/>
      <c r="B859" s="71" t="s">
        <v>3326</v>
      </c>
      <c r="C859" s="71" t="s">
        <v>1796</v>
      </c>
      <c r="D859" s="71" t="s">
        <v>3327</v>
      </c>
      <c r="E859" s="73" t="b">
        <v>1</v>
      </c>
      <c r="F859" s="81" t="s">
        <v>444</v>
      </c>
      <c r="G859" s="71" t="s">
        <v>3326</v>
      </c>
      <c r="H859" s="71" t="s">
        <v>1796</v>
      </c>
      <c r="I859" s="74" t="s">
        <v>3327</v>
      </c>
      <c r="J859" s="76"/>
      <c r="K859" s="76"/>
      <c r="L859" s="82"/>
      <c r="M859" s="77" t="str">
        <f>HYPERLINK("http://nsgreg.nga.mil/genc/view?v=868250&amp;end_month=12&amp;end_day=31&amp;end_year=2016","Correlation")</f>
        <v>Correlation</v>
      </c>
    </row>
    <row r="860" spans="1:13" x14ac:dyDescent="0.2">
      <c r="A860" s="112" t="s">
        <v>449</v>
      </c>
      <c r="B860" s="50" t="s">
        <v>3330</v>
      </c>
      <c r="C860" s="50" t="s">
        <v>1483</v>
      </c>
      <c r="D860" s="50" t="s">
        <v>3329</v>
      </c>
      <c r="E860" s="52" t="b">
        <v>1</v>
      </c>
      <c r="F860" s="78" t="s">
        <v>449</v>
      </c>
      <c r="G860" s="50" t="s">
        <v>3328</v>
      </c>
      <c r="H860" s="50" t="s">
        <v>1483</v>
      </c>
      <c r="I860" s="53" t="s">
        <v>3329</v>
      </c>
      <c r="J860" s="55"/>
      <c r="K860" s="55"/>
      <c r="L860" s="79"/>
      <c r="M860" s="56" t="str">
        <f>HYPERLINK("http://nsgreg.nga.mil/genc/view?v=869367&amp;end_month=12&amp;end_day=31&amp;end_year=2016","Correlation")</f>
        <v>Correlation</v>
      </c>
    </row>
    <row r="861" spans="1:13" x14ac:dyDescent="0.2">
      <c r="A861" s="113"/>
      <c r="B861" s="58" t="s">
        <v>3333</v>
      </c>
      <c r="C861" s="58" t="s">
        <v>1483</v>
      </c>
      <c r="D861" s="58" t="s">
        <v>3332</v>
      </c>
      <c r="E861" s="60" t="b">
        <v>1</v>
      </c>
      <c r="F861" s="80" t="s">
        <v>449</v>
      </c>
      <c r="G861" s="58" t="s">
        <v>3331</v>
      </c>
      <c r="H861" s="58" t="s">
        <v>1483</v>
      </c>
      <c r="I861" s="64" t="s">
        <v>3332</v>
      </c>
      <c r="J861" s="66"/>
      <c r="K861" s="66"/>
      <c r="L861" s="68"/>
      <c r="M861" s="63" t="str">
        <f>HYPERLINK("http://nsgreg.nga.mil/genc/view?v=869372&amp;end_month=12&amp;end_day=31&amp;end_year=2016","Correlation")</f>
        <v>Correlation</v>
      </c>
    </row>
    <row r="862" spans="1:13" x14ac:dyDescent="0.2">
      <c r="A862" s="113"/>
      <c r="B862" s="58" t="s">
        <v>3336</v>
      </c>
      <c r="C862" s="58" t="s">
        <v>1483</v>
      </c>
      <c r="D862" s="58" t="s">
        <v>3335</v>
      </c>
      <c r="E862" s="60" t="b">
        <v>1</v>
      </c>
      <c r="F862" s="80" t="s">
        <v>449</v>
      </c>
      <c r="G862" s="58" t="s">
        <v>3334</v>
      </c>
      <c r="H862" s="58" t="s">
        <v>1483</v>
      </c>
      <c r="I862" s="64" t="s">
        <v>3335</v>
      </c>
      <c r="J862" s="66"/>
      <c r="K862" s="66"/>
      <c r="L862" s="68"/>
      <c r="M862" s="63" t="str">
        <f>HYPERLINK("http://nsgreg.nga.mil/genc/view?v=869379&amp;end_month=12&amp;end_day=31&amp;end_year=2016","Correlation")</f>
        <v>Correlation</v>
      </c>
    </row>
    <row r="863" spans="1:13" x14ac:dyDescent="0.2">
      <c r="A863" s="113"/>
      <c r="B863" s="58" t="s">
        <v>3387</v>
      </c>
      <c r="C863" s="58" t="s">
        <v>1681</v>
      </c>
      <c r="D863" s="58" t="s">
        <v>3386</v>
      </c>
      <c r="E863" s="60" t="b">
        <v>1</v>
      </c>
      <c r="F863" s="80" t="s">
        <v>449</v>
      </c>
      <c r="G863" s="58" t="s">
        <v>3385</v>
      </c>
      <c r="H863" s="58" t="s">
        <v>1681</v>
      </c>
      <c r="I863" s="64" t="s">
        <v>3386</v>
      </c>
      <c r="J863" s="66"/>
      <c r="K863" s="66"/>
      <c r="L863" s="68"/>
      <c r="M863" s="63" t="str">
        <f>HYPERLINK("http://nsgreg.nga.mil/genc/view?v=869381&amp;end_month=12&amp;end_day=31&amp;end_year=2016","Correlation")</f>
        <v>Correlation</v>
      </c>
    </row>
    <row r="864" spans="1:13" x14ac:dyDescent="0.2">
      <c r="A864" s="113"/>
      <c r="B864" s="58" t="s">
        <v>3339</v>
      </c>
      <c r="C864" s="58" t="s">
        <v>1483</v>
      </c>
      <c r="D864" s="58" t="s">
        <v>3338</v>
      </c>
      <c r="E864" s="60" t="b">
        <v>1</v>
      </c>
      <c r="F864" s="80" t="s">
        <v>449</v>
      </c>
      <c r="G864" s="58" t="s">
        <v>3337</v>
      </c>
      <c r="H864" s="58" t="s">
        <v>1483</v>
      </c>
      <c r="I864" s="64" t="s">
        <v>3338</v>
      </c>
      <c r="J864" s="66"/>
      <c r="K864" s="66"/>
      <c r="L864" s="68"/>
      <c r="M864" s="63" t="str">
        <f>HYPERLINK("http://nsgreg.nga.mil/genc/view?v=869378&amp;end_month=12&amp;end_day=31&amp;end_year=2016","Correlation")</f>
        <v>Correlation</v>
      </c>
    </row>
    <row r="865" spans="1:13" x14ac:dyDescent="0.2">
      <c r="A865" s="113"/>
      <c r="B865" s="58" t="s">
        <v>3342</v>
      </c>
      <c r="C865" s="58" t="s">
        <v>1483</v>
      </c>
      <c r="D865" s="58" t="s">
        <v>3341</v>
      </c>
      <c r="E865" s="60" t="b">
        <v>1</v>
      </c>
      <c r="F865" s="80" t="s">
        <v>449</v>
      </c>
      <c r="G865" s="58" t="s">
        <v>3340</v>
      </c>
      <c r="H865" s="58" t="s">
        <v>1483</v>
      </c>
      <c r="I865" s="64" t="s">
        <v>3341</v>
      </c>
      <c r="J865" s="66"/>
      <c r="K865" s="66"/>
      <c r="L865" s="68"/>
      <c r="M865" s="63" t="str">
        <f>HYPERLINK("http://nsgreg.nga.mil/genc/view?v=869364&amp;end_month=12&amp;end_day=31&amp;end_year=2016","Correlation")</f>
        <v>Correlation</v>
      </c>
    </row>
    <row r="866" spans="1:13" x14ac:dyDescent="0.2">
      <c r="A866" s="113"/>
      <c r="B866" s="58" t="s">
        <v>3345</v>
      </c>
      <c r="C866" s="58" t="s">
        <v>1483</v>
      </c>
      <c r="D866" s="58" t="s">
        <v>3344</v>
      </c>
      <c r="E866" s="60" t="b">
        <v>1</v>
      </c>
      <c r="F866" s="80" t="s">
        <v>449</v>
      </c>
      <c r="G866" s="58" t="s">
        <v>3343</v>
      </c>
      <c r="H866" s="58" t="s">
        <v>1483</v>
      </c>
      <c r="I866" s="64" t="s">
        <v>3344</v>
      </c>
      <c r="J866" s="66"/>
      <c r="K866" s="66"/>
      <c r="L866" s="68"/>
      <c r="M866" s="63" t="str">
        <f>HYPERLINK("http://nsgreg.nga.mil/genc/view?v=869366&amp;end_month=12&amp;end_day=31&amp;end_year=2016","Correlation")</f>
        <v>Correlation</v>
      </c>
    </row>
    <row r="867" spans="1:13" x14ac:dyDescent="0.2">
      <c r="A867" s="113"/>
      <c r="B867" s="58" t="s">
        <v>3348</v>
      </c>
      <c r="C867" s="58" t="s">
        <v>1483</v>
      </c>
      <c r="D867" s="58" t="s">
        <v>3347</v>
      </c>
      <c r="E867" s="60" t="b">
        <v>1</v>
      </c>
      <c r="F867" s="80" t="s">
        <v>449</v>
      </c>
      <c r="G867" s="58" t="s">
        <v>3346</v>
      </c>
      <c r="H867" s="58" t="s">
        <v>1483</v>
      </c>
      <c r="I867" s="64" t="s">
        <v>3347</v>
      </c>
      <c r="J867" s="66"/>
      <c r="K867" s="66"/>
      <c r="L867" s="68"/>
      <c r="M867" s="63" t="str">
        <f>HYPERLINK("http://nsgreg.nga.mil/genc/view?v=869362&amp;end_month=12&amp;end_day=31&amp;end_year=2016","Correlation")</f>
        <v>Correlation</v>
      </c>
    </row>
    <row r="868" spans="1:13" x14ac:dyDescent="0.2">
      <c r="A868" s="113"/>
      <c r="B868" s="58" t="s">
        <v>3351</v>
      </c>
      <c r="C868" s="58" t="s">
        <v>1483</v>
      </c>
      <c r="D868" s="58" t="s">
        <v>3350</v>
      </c>
      <c r="E868" s="60" t="b">
        <v>1</v>
      </c>
      <c r="F868" s="80" t="s">
        <v>449</v>
      </c>
      <c r="G868" s="58" t="s">
        <v>3349</v>
      </c>
      <c r="H868" s="58" t="s">
        <v>1483</v>
      </c>
      <c r="I868" s="64" t="s">
        <v>3350</v>
      </c>
      <c r="J868" s="66"/>
      <c r="K868" s="66"/>
      <c r="L868" s="68"/>
      <c r="M868" s="63" t="str">
        <f>HYPERLINK("http://nsgreg.nga.mil/genc/view?v=869369&amp;end_month=12&amp;end_day=31&amp;end_year=2016","Correlation")</f>
        <v>Correlation</v>
      </c>
    </row>
    <row r="869" spans="1:13" x14ac:dyDescent="0.2">
      <c r="A869" s="113"/>
      <c r="B869" s="58" t="s">
        <v>3354</v>
      </c>
      <c r="C869" s="58" t="s">
        <v>1483</v>
      </c>
      <c r="D869" s="58" t="s">
        <v>3353</v>
      </c>
      <c r="E869" s="60" t="b">
        <v>1</v>
      </c>
      <c r="F869" s="80" t="s">
        <v>449</v>
      </c>
      <c r="G869" s="58" t="s">
        <v>3352</v>
      </c>
      <c r="H869" s="58" t="s">
        <v>1483</v>
      </c>
      <c r="I869" s="64" t="s">
        <v>3353</v>
      </c>
      <c r="J869" s="66"/>
      <c r="K869" s="66"/>
      <c r="L869" s="68"/>
      <c r="M869" s="63" t="str">
        <f>HYPERLINK("http://nsgreg.nga.mil/genc/view?v=869380&amp;end_month=12&amp;end_day=31&amp;end_year=2016","Correlation")</f>
        <v>Correlation</v>
      </c>
    </row>
    <row r="870" spans="1:13" x14ac:dyDescent="0.2">
      <c r="A870" s="113"/>
      <c r="B870" s="58" t="s">
        <v>3357</v>
      </c>
      <c r="C870" s="58" t="s">
        <v>1483</v>
      </c>
      <c r="D870" s="58" t="s">
        <v>3356</v>
      </c>
      <c r="E870" s="60" t="b">
        <v>1</v>
      </c>
      <c r="F870" s="80" t="s">
        <v>449</v>
      </c>
      <c r="G870" s="58" t="s">
        <v>3355</v>
      </c>
      <c r="H870" s="58" t="s">
        <v>1483</v>
      </c>
      <c r="I870" s="64" t="s">
        <v>3356</v>
      </c>
      <c r="J870" s="66"/>
      <c r="K870" s="66"/>
      <c r="L870" s="68"/>
      <c r="M870" s="63" t="str">
        <f>HYPERLINK("http://nsgreg.nga.mil/genc/view?v=869374&amp;end_month=12&amp;end_day=31&amp;end_year=2016","Correlation")</f>
        <v>Correlation</v>
      </c>
    </row>
    <row r="871" spans="1:13" x14ac:dyDescent="0.2">
      <c r="A871" s="113"/>
      <c r="B871" s="58" t="s">
        <v>3360</v>
      </c>
      <c r="C871" s="58" t="s">
        <v>1483</v>
      </c>
      <c r="D871" s="58" t="s">
        <v>3359</v>
      </c>
      <c r="E871" s="60" t="b">
        <v>1</v>
      </c>
      <c r="F871" s="80" t="s">
        <v>449</v>
      </c>
      <c r="G871" s="58" t="s">
        <v>3358</v>
      </c>
      <c r="H871" s="58" t="s">
        <v>1483</v>
      </c>
      <c r="I871" s="64" t="s">
        <v>3359</v>
      </c>
      <c r="J871" s="66"/>
      <c r="K871" s="66"/>
      <c r="L871" s="68"/>
      <c r="M871" s="63" t="str">
        <f>HYPERLINK("http://nsgreg.nga.mil/genc/view?v=869371&amp;end_month=12&amp;end_day=31&amp;end_year=2016","Correlation")</f>
        <v>Correlation</v>
      </c>
    </row>
    <row r="872" spans="1:13" x14ac:dyDescent="0.2">
      <c r="A872" s="113"/>
      <c r="B872" s="58" t="s">
        <v>3363</v>
      </c>
      <c r="C872" s="58" t="s">
        <v>1483</v>
      </c>
      <c r="D872" s="58" t="s">
        <v>3362</v>
      </c>
      <c r="E872" s="60" t="b">
        <v>1</v>
      </c>
      <c r="F872" s="80" t="s">
        <v>449</v>
      </c>
      <c r="G872" s="58" t="s">
        <v>3361</v>
      </c>
      <c r="H872" s="58" t="s">
        <v>1483</v>
      </c>
      <c r="I872" s="64" t="s">
        <v>3362</v>
      </c>
      <c r="J872" s="66"/>
      <c r="K872" s="66"/>
      <c r="L872" s="68"/>
      <c r="M872" s="63" t="str">
        <f>HYPERLINK("http://nsgreg.nga.mil/genc/view?v=869368&amp;end_month=12&amp;end_day=31&amp;end_year=2016","Correlation")</f>
        <v>Correlation</v>
      </c>
    </row>
    <row r="873" spans="1:13" x14ac:dyDescent="0.2">
      <c r="A873" s="113"/>
      <c r="B873" s="58" t="s">
        <v>3366</v>
      </c>
      <c r="C873" s="58" t="s">
        <v>1483</v>
      </c>
      <c r="D873" s="58" t="s">
        <v>3365</v>
      </c>
      <c r="E873" s="60" t="b">
        <v>1</v>
      </c>
      <c r="F873" s="80" t="s">
        <v>449</v>
      </c>
      <c r="G873" s="58" t="s">
        <v>3364</v>
      </c>
      <c r="H873" s="58" t="s">
        <v>1483</v>
      </c>
      <c r="I873" s="64" t="s">
        <v>3365</v>
      </c>
      <c r="J873" s="66"/>
      <c r="K873" s="66"/>
      <c r="L873" s="68"/>
      <c r="M873" s="63" t="str">
        <f>HYPERLINK("http://nsgreg.nga.mil/genc/view?v=869375&amp;end_month=12&amp;end_day=31&amp;end_year=2016","Correlation")</f>
        <v>Correlation</v>
      </c>
    </row>
    <row r="874" spans="1:13" x14ac:dyDescent="0.2">
      <c r="A874" s="113"/>
      <c r="B874" s="58" t="s">
        <v>3369</v>
      </c>
      <c r="C874" s="58" t="s">
        <v>1483</v>
      </c>
      <c r="D874" s="58" t="s">
        <v>3368</v>
      </c>
      <c r="E874" s="60" t="b">
        <v>1</v>
      </c>
      <c r="F874" s="80" t="s">
        <v>449</v>
      </c>
      <c r="G874" s="58" t="s">
        <v>3367</v>
      </c>
      <c r="H874" s="58" t="s">
        <v>1483</v>
      </c>
      <c r="I874" s="64" t="s">
        <v>3368</v>
      </c>
      <c r="J874" s="66"/>
      <c r="K874" s="66"/>
      <c r="L874" s="68"/>
      <c r="M874" s="63" t="str">
        <f>HYPERLINK("http://nsgreg.nga.mil/genc/view?v=869363&amp;end_month=12&amp;end_day=31&amp;end_year=2016","Correlation")</f>
        <v>Correlation</v>
      </c>
    </row>
    <row r="875" spans="1:13" x14ac:dyDescent="0.2">
      <c r="A875" s="113"/>
      <c r="B875" s="58" t="s">
        <v>3372</v>
      </c>
      <c r="C875" s="58" t="s">
        <v>1483</v>
      </c>
      <c r="D875" s="58" t="s">
        <v>3371</v>
      </c>
      <c r="E875" s="60" t="b">
        <v>1</v>
      </c>
      <c r="F875" s="80" t="s">
        <v>449</v>
      </c>
      <c r="G875" s="58" t="s">
        <v>3370</v>
      </c>
      <c r="H875" s="58" t="s">
        <v>1483</v>
      </c>
      <c r="I875" s="64" t="s">
        <v>3371</v>
      </c>
      <c r="J875" s="66"/>
      <c r="K875" s="66"/>
      <c r="L875" s="68"/>
      <c r="M875" s="63" t="str">
        <f>HYPERLINK("http://nsgreg.nga.mil/genc/view?v=869377&amp;end_month=12&amp;end_day=31&amp;end_year=2016","Correlation")</f>
        <v>Correlation</v>
      </c>
    </row>
    <row r="876" spans="1:13" x14ac:dyDescent="0.2">
      <c r="A876" s="113"/>
      <c r="B876" s="58" t="s">
        <v>3375</v>
      </c>
      <c r="C876" s="58" t="s">
        <v>1483</v>
      </c>
      <c r="D876" s="58" t="s">
        <v>3374</v>
      </c>
      <c r="E876" s="60" t="b">
        <v>1</v>
      </c>
      <c r="F876" s="80" t="s">
        <v>449</v>
      </c>
      <c r="G876" s="58" t="s">
        <v>3373</v>
      </c>
      <c r="H876" s="58" t="s">
        <v>1483</v>
      </c>
      <c r="I876" s="64" t="s">
        <v>3374</v>
      </c>
      <c r="J876" s="66"/>
      <c r="K876" s="66"/>
      <c r="L876" s="68"/>
      <c r="M876" s="63" t="str">
        <f>HYPERLINK("http://nsgreg.nga.mil/genc/view?v=869365&amp;end_month=12&amp;end_day=31&amp;end_year=2016","Correlation")</f>
        <v>Correlation</v>
      </c>
    </row>
    <row r="877" spans="1:13" x14ac:dyDescent="0.2">
      <c r="A877" s="113"/>
      <c r="B877" s="58" t="s">
        <v>3378</v>
      </c>
      <c r="C877" s="58" t="s">
        <v>1483</v>
      </c>
      <c r="D877" s="58" t="s">
        <v>3377</v>
      </c>
      <c r="E877" s="60" t="b">
        <v>1</v>
      </c>
      <c r="F877" s="80" t="s">
        <v>449</v>
      </c>
      <c r="G877" s="58" t="s">
        <v>3376</v>
      </c>
      <c r="H877" s="58" t="s">
        <v>1483</v>
      </c>
      <c r="I877" s="64" t="s">
        <v>3377</v>
      </c>
      <c r="J877" s="66"/>
      <c r="K877" s="66"/>
      <c r="L877" s="68"/>
      <c r="M877" s="63" t="str">
        <f>HYPERLINK("http://nsgreg.nga.mil/genc/view?v=869370&amp;end_month=12&amp;end_day=31&amp;end_year=2016","Correlation")</f>
        <v>Correlation</v>
      </c>
    </row>
    <row r="878" spans="1:13" x14ac:dyDescent="0.2">
      <c r="A878" s="113"/>
      <c r="B878" s="58" t="s">
        <v>3381</v>
      </c>
      <c r="C878" s="58" t="s">
        <v>1483</v>
      </c>
      <c r="D878" s="58" t="s">
        <v>3380</v>
      </c>
      <c r="E878" s="60" t="b">
        <v>1</v>
      </c>
      <c r="F878" s="80" t="s">
        <v>449</v>
      </c>
      <c r="G878" s="58" t="s">
        <v>3379</v>
      </c>
      <c r="H878" s="58" t="s">
        <v>1483</v>
      </c>
      <c r="I878" s="64" t="s">
        <v>3380</v>
      </c>
      <c r="J878" s="66"/>
      <c r="K878" s="66"/>
      <c r="L878" s="68"/>
      <c r="M878" s="63" t="str">
        <f>HYPERLINK("http://nsgreg.nga.mil/genc/view?v=869376&amp;end_month=12&amp;end_day=31&amp;end_year=2016","Correlation")</f>
        <v>Correlation</v>
      </c>
    </row>
    <row r="879" spans="1:13" x14ac:dyDescent="0.2">
      <c r="A879" s="113"/>
      <c r="B879" s="58" t="s">
        <v>3384</v>
      </c>
      <c r="C879" s="58" t="s">
        <v>1483</v>
      </c>
      <c r="D879" s="58" t="s">
        <v>3383</v>
      </c>
      <c r="E879" s="60" t="b">
        <v>1</v>
      </c>
      <c r="F879" s="80" t="s">
        <v>449</v>
      </c>
      <c r="G879" s="58" t="s">
        <v>3382</v>
      </c>
      <c r="H879" s="58" t="s">
        <v>1483</v>
      </c>
      <c r="I879" s="64" t="s">
        <v>3383</v>
      </c>
      <c r="J879" s="66"/>
      <c r="K879" s="66"/>
      <c r="L879" s="68"/>
      <c r="M879" s="63" t="str">
        <f>HYPERLINK("http://nsgreg.nga.mil/genc/view?v=869373&amp;end_month=12&amp;end_day=31&amp;end_year=2016","Correlation")</f>
        <v>Correlation</v>
      </c>
    </row>
    <row r="880" spans="1:13" x14ac:dyDescent="0.2">
      <c r="A880" s="114"/>
      <c r="B880" s="71" t="s">
        <v>3390</v>
      </c>
      <c r="C880" s="71" t="s">
        <v>1483</v>
      </c>
      <c r="D880" s="71" t="s">
        <v>3389</v>
      </c>
      <c r="E880" s="73" t="b">
        <v>1</v>
      </c>
      <c r="F880" s="81" t="s">
        <v>449</v>
      </c>
      <c r="G880" s="71" t="s">
        <v>3388</v>
      </c>
      <c r="H880" s="71" t="s">
        <v>1483</v>
      </c>
      <c r="I880" s="74" t="s">
        <v>3389</v>
      </c>
      <c r="J880" s="76"/>
      <c r="K880" s="76"/>
      <c r="L880" s="82"/>
      <c r="M880" s="77" t="str">
        <f>HYPERLINK("http://nsgreg.nga.mil/genc/view?v=869361&amp;end_month=12&amp;end_day=31&amp;end_year=2016","Correlation")</f>
        <v>Correlation</v>
      </c>
    </row>
    <row r="881" spans="1:13" x14ac:dyDescent="0.2">
      <c r="A881" s="112" t="s">
        <v>453</v>
      </c>
      <c r="B881" s="50" t="s">
        <v>3391</v>
      </c>
      <c r="C881" s="50" t="s">
        <v>1413</v>
      </c>
      <c r="D881" s="50" t="s">
        <v>3392</v>
      </c>
      <c r="E881" s="52" t="b">
        <v>1</v>
      </c>
      <c r="F881" s="78" t="s">
        <v>453</v>
      </c>
      <c r="G881" s="50" t="s">
        <v>3391</v>
      </c>
      <c r="H881" s="50" t="s">
        <v>1413</v>
      </c>
      <c r="I881" s="53" t="s">
        <v>3392</v>
      </c>
      <c r="J881" s="55"/>
      <c r="K881" s="55"/>
      <c r="L881" s="79"/>
      <c r="M881" s="56" t="str">
        <f>HYPERLINK("http://nsgreg.nga.mil/genc/view?v=868363&amp;end_month=12&amp;end_day=31&amp;end_year=2016","Correlation")</f>
        <v>Correlation</v>
      </c>
    </row>
    <row r="882" spans="1:13" x14ac:dyDescent="0.2">
      <c r="A882" s="113"/>
      <c r="B882" s="58" t="s">
        <v>3393</v>
      </c>
      <c r="C882" s="58" t="s">
        <v>1413</v>
      </c>
      <c r="D882" s="58" t="s">
        <v>3394</v>
      </c>
      <c r="E882" s="60" t="b">
        <v>1</v>
      </c>
      <c r="F882" s="80" t="s">
        <v>453</v>
      </c>
      <c r="G882" s="58" t="s">
        <v>3393</v>
      </c>
      <c r="H882" s="58" t="s">
        <v>1413</v>
      </c>
      <c r="I882" s="64" t="s">
        <v>3394</v>
      </c>
      <c r="J882" s="66"/>
      <c r="K882" s="66"/>
      <c r="L882" s="68"/>
      <c r="M882" s="63" t="str">
        <f>HYPERLINK("http://nsgreg.nga.mil/genc/view?v=868357&amp;end_month=12&amp;end_day=31&amp;end_year=2016","Correlation")</f>
        <v>Correlation</v>
      </c>
    </row>
    <row r="883" spans="1:13" x14ac:dyDescent="0.2">
      <c r="A883" s="113"/>
      <c r="B883" s="58" t="s">
        <v>3395</v>
      </c>
      <c r="C883" s="58" t="s">
        <v>1413</v>
      </c>
      <c r="D883" s="58" t="s">
        <v>3396</v>
      </c>
      <c r="E883" s="60" t="b">
        <v>1</v>
      </c>
      <c r="F883" s="80" t="s">
        <v>453</v>
      </c>
      <c r="G883" s="58" t="s">
        <v>3395</v>
      </c>
      <c r="H883" s="58" t="s">
        <v>1413</v>
      </c>
      <c r="I883" s="64" t="s">
        <v>3396</v>
      </c>
      <c r="J883" s="66"/>
      <c r="K883" s="66"/>
      <c r="L883" s="68"/>
      <c r="M883" s="63" t="str">
        <f>HYPERLINK("http://nsgreg.nga.mil/genc/view?v=868356&amp;end_month=12&amp;end_day=31&amp;end_year=2016","Correlation")</f>
        <v>Correlation</v>
      </c>
    </row>
    <row r="884" spans="1:13" x14ac:dyDescent="0.2">
      <c r="A884" s="113"/>
      <c r="B884" s="58" t="s">
        <v>3397</v>
      </c>
      <c r="C884" s="58" t="s">
        <v>1413</v>
      </c>
      <c r="D884" s="58" t="s">
        <v>3398</v>
      </c>
      <c r="E884" s="60" t="b">
        <v>1</v>
      </c>
      <c r="F884" s="80" t="s">
        <v>453</v>
      </c>
      <c r="G884" s="58" t="s">
        <v>3397</v>
      </c>
      <c r="H884" s="58" t="s">
        <v>1413</v>
      </c>
      <c r="I884" s="64" t="s">
        <v>3398</v>
      </c>
      <c r="J884" s="66"/>
      <c r="K884" s="66"/>
      <c r="L884" s="68"/>
      <c r="M884" s="63" t="str">
        <f>HYPERLINK("http://nsgreg.nga.mil/genc/view?v=868354&amp;end_month=12&amp;end_day=31&amp;end_year=2016","Correlation")</f>
        <v>Correlation</v>
      </c>
    </row>
    <row r="885" spans="1:13" x14ac:dyDescent="0.2">
      <c r="A885" s="113"/>
      <c r="B885" s="58" t="s">
        <v>3399</v>
      </c>
      <c r="C885" s="58" t="s">
        <v>1413</v>
      </c>
      <c r="D885" s="58" t="s">
        <v>3400</v>
      </c>
      <c r="E885" s="60" t="b">
        <v>1</v>
      </c>
      <c r="F885" s="80" t="s">
        <v>453</v>
      </c>
      <c r="G885" s="58" t="s">
        <v>3399</v>
      </c>
      <c r="H885" s="58" t="s">
        <v>1413</v>
      </c>
      <c r="I885" s="64" t="s">
        <v>3400</v>
      </c>
      <c r="J885" s="66"/>
      <c r="K885" s="66"/>
      <c r="L885" s="68"/>
      <c r="M885" s="63" t="str">
        <f>HYPERLINK("http://nsgreg.nga.mil/genc/view?v=868360&amp;end_month=12&amp;end_day=31&amp;end_year=2016","Correlation")</f>
        <v>Correlation</v>
      </c>
    </row>
    <row r="886" spans="1:13" x14ac:dyDescent="0.2">
      <c r="A886" s="113"/>
      <c r="B886" s="58" t="s">
        <v>3401</v>
      </c>
      <c r="C886" s="58" t="s">
        <v>1413</v>
      </c>
      <c r="D886" s="58" t="s">
        <v>3402</v>
      </c>
      <c r="E886" s="60" t="b">
        <v>1</v>
      </c>
      <c r="F886" s="80" t="s">
        <v>453</v>
      </c>
      <c r="G886" s="58" t="s">
        <v>3401</v>
      </c>
      <c r="H886" s="58" t="s">
        <v>1413</v>
      </c>
      <c r="I886" s="64" t="s">
        <v>3402</v>
      </c>
      <c r="J886" s="66"/>
      <c r="K886" s="66"/>
      <c r="L886" s="68"/>
      <c r="M886" s="63" t="str">
        <f>HYPERLINK("http://nsgreg.nga.mil/genc/view?v=868362&amp;end_month=12&amp;end_day=31&amp;end_year=2016","Correlation")</f>
        <v>Correlation</v>
      </c>
    </row>
    <row r="887" spans="1:13" x14ac:dyDescent="0.2">
      <c r="A887" s="113"/>
      <c r="B887" s="58" t="s">
        <v>3403</v>
      </c>
      <c r="C887" s="58" t="s">
        <v>1413</v>
      </c>
      <c r="D887" s="58" t="s">
        <v>3404</v>
      </c>
      <c r="E887" s="60" t="b">
        <v>1</v>
      </c>
      <c r="F887" s="80" t="s">
        <v>453</v>
      </c>
      <c r="G887" s="58" t="s">
        <v>3403</v>
      </c>
      <c r="H887" s="58" t="s">
        <v>1413</v>
      </c>
      <c r="I887" s="64" t="s">
        <v>3404</v>
      </c>
      <c r="J887" s="66"/>
      <c r="K887" s="66"/>
      <c r="L887" s="68"/>
      <c r="M887" s="63" t="str">
        <f>HYPERLINK("http://nsgreg.nga.mil/genc/view?v=868359&amp;end_month=12&amp;end_day=31&amp;end_year=2016","Correlation")</f>
        <v>Correlation</v>
      </c>
    </row>
    <row r="888" spans="1:13" x14ac:dyDescent="0.2">
      <c r="A888" s="113"/>
      <c r="B888" s="58" t="s">
        <v>3405</v>
      </c>
      <c r="C888" s="58" t="s">
        <v>2396</v>
      </c>
      <c r="D888" s="58" t="s">
        <v>3406</v>
      </c>
      <c r="E888" s="60" t="b">
        <v>1</v>
      </c>
      <c r="F888" s="80" t="s">
        <v>453</v>
      </c>
      <c r="G888" s="58" t="s">
        <v>3405</v>
      </c>
      <c r="H888" s="58" t="s">
        <v>2396</v>
      </c>
      <c r="I888" s="64" t="s">
        <v>3406</v>
      </c>
      <c r="J888" s="66"/>
      <c r="K888" s="66"/>
      <c r="L888" s="68"/>
      <c r="M888" s="63" t="str">
        <f>HYPERLINK("http://nsgreg.nga.mil/genc/view?v=868365&amp;end_month=12&amp;end_day=31&amp;end_year=2016","Correlation")</f>
        <v>Correlation</v>
      </c>
    </row>
    <row r="889" spans="1:13" x14ac:dyDescent="0.2">
      <c r="A889" s="113"/>
      <c r="B889" s="58" t="s">
        <v>3407</v>
      </c>
      <c r="C889" s="58" t="s">
        <v>1413</v>
      </c>
      <c r="D889" s="58" t="s">
        <v>3408</v>
      </c>
      <c r="E889" s="60" t="b">
        <v>1</v>
      </c>
      <c r="F889" s="80" t="s">
        <v>453</v>
      </c>
      <c r="G889" s="58" t="s">
        <v>3407</v>
      </c>
      <c r="H889" s="58" t="s">
        <v>1413</v>
      </c>
      <c r="I889" s="64" t="s">
        <v>3408</v>
      </c>
      <c r="J889" s="66"/>
      <c r="K889" s="66"/>
      <c r="L889" s="68"/>
      <c r="M889" s="63" t="str">
        <f>HYPERLINK("http://nsgreg.nga.mil/genc/view?v=868351&amp;end_month=12&amp;end_day=31&amp;end_year=2016","Correlation")</f>
        <v>Correlation</v>
      </c>
    </row>
    <row r="890" spans="1:13" x14ac:dyDescent="0.2">
      <c r="A890" s="113"/>
      <c r="B890" s="58" t="s">
        <v>3409</v>
      </c>
      <c r="C890" s="58" t="s">
        <v>1413</v>
      </c>
      <c r="D890" s="58" t="s">
        <v>3410</v>
      </c>
      <c r="E890" s="60" t="b">
        <v>1</v>
      </c>
      <c r="F890" s="80" t="s">
        <v>453</v>
      </c>
      <c r="G890" s="58" t="s">
        <v>3409</v>
      </c>
      <c r="H890" s="58" t="s">
        <v>1413</v>
      </c>
      <c r="I890" s="64" t="s">
        <v>3410</v>
      </c>
      <c r="J890" s="66"/>
      <c r="K890" s="66"/>
      <c r="L890" s="68"/>
      <c r="M890" s="63" t="str">
        <f>HYPERLINK("http://nsgreg.nga.mil/genc/view?v=868358&amp;end_month=12&amp;end_day=31&amp;end_year=2016","Correlation")</f>
        <v>Correlation</v>
      </c>
    </row>
    <row r="891" spans="1:13" x14ac:dyDescent="0.2">
      <c r="A891" s="113"/>
      <c r="B891" s="58" t="s">
        <v>3411</v>
      </c>
      <c r="C891" s="58" t="s">
        <v>1413</v>
      </c>
      <c r="D891" s="58" t="s">
        <v>3412</v>
      </c>
      <c r="E891" s="60" t="b">
        <v>1</v>
      </c>
      <c r="F891" s="80" t="s">
        <v>453</v>
      </c>
      <c r="G891" s="58" t="s">
        <v>3411</v>
      </c>
      <c r="H891" s="58" t="s">
        <v>1413</v>
      </c>
      <c r="I891" s="64" t="s">
        <v>3412</v>
      </c>
      <c r="J891" s="66"/>
      <c r="K891" s="66"/>
      <c r="L891" s="68"/>
      <c r="M891" s="63" t="str">
        <f>HYPERLINK("http://nsgreg.nga.mil/genc/view?v=868352&amp;end_month=12&amp;end_day=31&amp;end_year=2016","Correlation")</f>
        <v>Correlation</v>
      </c>
    </row>
    <row r="892" spans="1:13" x14ac:dyDescent="0.2">
      <c r="A892" s="113"/>
      <c r="B892" s="58" t="s">
        <v>3413</v>
      </c>
      <c r="C892" s="58" t="s">
        <v>1413</v>
      </c>
      <c r="D892" s="58" t="s">
        <v>3414</v>
      </c>
      <c r="E892" s="60" t="b">
        <v>1</v>
      </c>
      <c r="F892" s="80" t="s">
        <v>453</v>
      </c>
      <c r="G892" s="58" t="s">
        <v>3413</v>
      </c>
      <c r="H892" s="58" t="s">
        <v>1413</v>
      </c>
      <c r="I892" s="64" t="s">
        <v>3414</v>
      </c>
      <c r="J892" s="66"/>
      <c r="K892" s="66"/>
      <c r="L892" s="68"/>
      <c r="M892" s="63" t="str">
        <f>HYPERLINK("http://nsgreg.nga.mil/genc/view?v=868364&amp;end_month=12&amp;end_day=31&amp;end_year=2016","Correlation")</f>
        <v>Correlation</v>
      </c>
    </row>
    <row r="893" spans="1:13" x14ac:dyDescent="0.2">
      <c r="A893" s="113"/>
      <c r="B893" s="58" t="s">
        <v>3415</v>
      </c>
      <c r="C893" s="58" t="s">
        <v>1413</v>
      </c>
      <c r="D893" s="58" t="s">
        <v>3416</v>
      </c>
      <c r="E893" s="60" t="b">
        <v>1</v>
      </c>
      <c r="F893" s="80" t="s">
        <v>453</v>
      </c>
      <c r="G893" s="58" t="s">
        <v>3415</v>
      </c>
      <c r="H893" s="58" t="s">
        <v>1413</v>
      </c>
      <c r="I893" s="64" t="s">
        <v>3416</v>
      </c>
      <c r="J893" s="66"/>
      <c r="K893" s="66"/>
      <c r="L893" s="68"/>
      <c r="M893" s="63" t="str">
        <f>HYPERLINK("http://nsgreg.nga.mil/genc/view?v=868350&amp;end_month=12&amp;end_day=31&amp;end_year=2016","Correlation")</f>
        <v>Correlation</v>
      </c>
    </row>
    <row r="894" spans="1:13" x14ac:dyDescent="0.2">
      <c r="A894" s="113"/>
      <c r="B894" s="58" t="s">
        <v>3417</v>
      </c>
      <c r="C894" s="58" t="s">
        <v>1413</v>
      </c>
      <c r="D894" s="58" t="s">
        <v>3418</v>
      </c>
      <c r="E894" s="60" t="b">
        <v>1</v>
      </c>
      <c r="F894" s="80" t="s">
        <v>453</v>
      </c>
      <c r="G894" s="58" t="s">
        <v>3417</v>
      </c>
      <c r="H894" s="58" t="s">
        <v>1413</v>
      </c>
      <c r="I894" s="64" t="s">
        <v>3418</v>
      </c>
      <c r="J894" s="66"/>
      <c r="K894" s="66"/>
      <c r="L894" s="68"/>
      <c r="M894" s="63" t="str">
        <f>HYPERLINK("http://nsgreg.nga.mil/genc/view?v=868355&amp;end_month=12&amp;end_day=31&amp;end_year=2016","Correlation")</f>
        <v>Correlation</v>
      </c>
    </row>
    <row r="895" spans="1:13" x14ac:dyDescent="0.2">
      <c r="A895" s="113"/>
      <c r="B895" s="58" t="s">
        <v>3419</v>
      </c>
      <c r="C895" s="58" t="s">
        <v>1413</v>
      </c>
      <c r="D895" s="58" t="s">
        <v>3420</v>
      </c>
      <c r="E895" s="60" t="b">
        <v>1</v>
      </c>
      <c r="F895" s="80" t="s">
        <v>453</v>
      </c>
      <c r="G895" s="58" t="s">
        <v>3419</v>
      </c>
      <c r="H895" s="58" t="s">
        <v>1413</v>
      </c>
      <c r="I895" s="64" t="s">
        <v>3420</v>
      </c>
      <c r="J895" s="66"/>
      <c r="K895" s="66"/>
      <c r="L895" s="68"/>
      <c r="M895" s="63" t="str">
        <f>HYPERLINK("http://nsgreg.nga.mil/genc/view?v=868361&amp;end_month=12&amp;end_day=31&amp;end_year=2016","Correlation")</f>
        <v>Correlation</v>
      </c>
    </row>
    <row r="896" spans="1:13" x14ac:dyDescent="0.2">
      <c r="A896" s="114"/>
      <c r="B896" s="71" t="s">
        <v>3421</v>
      </c>
      <c r="C896" s="71" t="s">
        <v>1413</v>
      </c>
      <c r="D896" s="71" t="s">
        <v>3422</v>
      </c>
      <c r="E896" s="73" t="b">
        <v>1</v>
      </c>
      <c r="F896" s="81" t="s">
        <v>453</v>
      </c>
      <c r="G896" s="71" t="s">
        <v>3421</v>
      </c>
      <c r="H896" s="71" t="s">
        <v>1413</v>
      </c>
      <c r="I896" s="74" t="s">
        <v>3422</v>
      </c>
      <c r="J896" s="76"/>
      <c r="K896" s="76"/>
      <c r="L896" s="82"/>
      <c r="M896" s="77" t="str">
        <f>HYPERLINK("http://nsgreg.nga.mil/genc/view?v=868353&amp;end_month=12&amp;end_day=31&amp;end_year=2016","Correlation")</f>
        <v>Correlation</v>
      </c>
    </row>
    <row r="897" spans="1:13" x14ac:dyDescent="0.2">
      <c r="A897" s="112" t="s">
        <v>463</v>
      </c>
      <c r="B897" s="50" t="s">
        <v>3425</v>
      </c>
      <c r="C897" s="50" t="s">
        <v>1796</v>
      </c>
      <c r="D897" s="50" t="s">
        <v>3424</v>
      </c>
      <c r="E897" s="52" t="b">
        <v>1</v>
      </c>
      <c r="F897" s="78" t="s">
        <v>463</v>
      </c>
      <c r="G897" s="50" t="s">
        <v>3423</v>
      </c>
      <c r="H897" s="50" t="s">
        <v>1796</v>
      </c>
      <c r="I897" s="53" t="s">
        <v>3424</v>
      </c>
      <c r="J897" s="55"/>
      <c r="K897" s="55"/>
      <c r="L897" s="79"/>
      <c r="M897" s="56" t="str">
        <f>HYPERLINK("http://nsgreg.nga.mil/genc/view?v=868393&amp;end_month=12&amp;end_day=31&amp;end_year=2016","Correlation")</f>
        <v>Correlation</v>
      </c>
    </row>
    <row r="898" spans="1:13" x14ac:dyDescent="0.2">
      <c r="A898" s="113"/>
      <c r="B898" s="58" t="s">
        <v>3428</v>
      </c>
      <c r="C898" s="58" t="s">
        <v>1796</v>
      </c>
      <c r="D898" s="58" t="s">
        <v>3427</v>
      </c>
      <c r="E898" s="60" t="b">
        <v>1</v>
      </c>
      <c r="F898" s="80" t="s">
        <v>463</v>
      </c>
      <c r="G898" s="58" t="s">
        <v>3426</v>
      </c>
      <c r="H898" s="58" t="s">
        <v>1796</v>
      </c>
      <c r="I898" s="64" t="s">
        <v>3427</v>
      </c>
      <c r="J898" s="66"/>
      <c r="K898" s="66"/>
      <c r="L898" s="68"/>
      <c r="M898" s="63" t="str">
        <f>HYPERLINK("http://nsgreg.nga.mil/genc/view?v=868395&amp;end_month=12&amp;end_day=31&amp;end_year=2016","Correlation")</f>
        <v>Correlation</v>
      </c>
    </row>
    <row r="899" spans="1:13" x14ac:dyDescent="0.2">
      <c r="A899" s="113"/>
      <c r="B899" s="58" t="s">
        <v>3431</v>
      </c>
      <c r="C899" s="58" t="s">
        <v>1796</v>
      </c>
      <c r="D899" s="58" t="s">
        <v>3430</v>
      </c>
      <c r="E899" s="60" t="b">
        <v>1</v>
      </c>
      <c r="F899" s="80" t="s">
        <v>463</v>
      </c>
      <c r="G899" s="58" t="s">
        <v>3429</v>
      </c>
      <c r="H899" s="58" t="s">
        <v>1796</v>
      </c>
      <c r="I899" s="64" t="s">
        <v>3430</v>
      </c>
      <c r="J899" s="66"/>
      <c r="K899" s="66"/>
      <c r="L899" s="68"/>
      <c r="M899" s="63" t="str">
        <f>HYPERLINK("http://nsgreg.nga.mil/genc/view?v=868392&amp;end_month=12&amp;end_day=31&amp;end_year=2016","Correlation")</f>
        <v>Correlation</v>
      </c>
    </row>
    <row r="900" spans="1:13" x14ac:dyDescent="0.2">
      <c r="A900" s="113"/>
      <c r="B900" s="58" t="s">
        <v>3434</v>
      </c>
      <c r="C900" s="58" t="s">
        <v>1796</v>
      </c>
      <c r="D900" s="58" t="s">
        <v>3433</v>
      </c>
      <c r="E900" s="60" t="b">
        <v>1</v>
      </c>
      <c r="F900" s="80" t="s">
        <v>463</v>
      </c>
      <c r="G900" s="58" t="s">
        <v>3432</v>
      </c>
      <c r="H900" s="58" t="s">
        <v>1796</v>
      </c>
      <c r="I900" s="64" t="s">
        <v>3433</v>
      </c>
      <c r="J900" s="66"/>
      <c r="K900" s="66"/>
      <c r="L900" s="68"/>
      <c r="M900" s="63" t="str">
        <f>HYPERLINK("http://nsgreg.nga.mil/genc/view?v=868390&amp;end_month=12&amp;end_day=31&amp;end_year=2016","Correlation")</f>
        <v>Correlation</v>
      </c>
    </row>
    <row r="901" spans="1:13" x14ac:dyDescent="0.2">
      <c r="A901" s="113"/>
      <c r="B901" s="58" t="s">
        <v>3437</v>
      </c>
      <c r="C901" s="58" t="s">
        <v>1796</v>
      </c>
      <c r="D901" s="58" t="s">
        <v>3436</v>
      </c>
      <c r="E901" s="60" t="b">
        <v>1</v>
      </c>
      <c r="F901" s="80" t="s">
        <v>463</v>
      </c>
      <c r="G901" s="58" t="s">
        <v>3435</v>
      </c>
      <c r="H901" s="58" t="s">
        <v>1796</v>
      </c>
      <c r="I901" s="64" t="s">
        <v>3436</v>
      </c>
      <c r="J901" s="66"/>
      <c r="K901" s="66"/>
      <c r="L901" s="68"/>
      <c r="M901" s="63" t="str">
        <f>HYPERLINK("http://nsgreg.nga.mil/genc/view?v=868391&amp;end_month=12&amp;end_day=31&amp;end_year=2016","Correlation")</f>
        <v>Correlation</v>
      </c>
    </row>
    <row r="902" spans="1:13" x14ac:dyDescent="0.2">
      <c r="A902" s="114"/>
      <c r="B902" s="71" t="s">
        <v>3440</v>
      </c>
      <c r="C902" s="71" t="s">
        <v>1796</v>
      </c>
      <c r="D902" s="71" t="s">
        <v>3439</v>
      </c>
      <c r="E902" s="73" t="b">
        <v>1</v>
      </c>
      <c r="F902" s="81" t="s">
        <v>463</v>
      </c>
      <c r="G902" s="71" t="s">
        <v>3438</v>
      </c>
      <c r="H902" s="71" t="s">
        <v>1796</v>
      </c>
      <c r="I902" s="74" t="s">
        <v>3439</v>
      </c>
      <c r="J902" s="76"/>
      <c r="K902" s="76"/>
      <c r="L902" s="82"/>
      <c r="M902" s="77" t="str">
        <f>HYPERLINK("http://nsgreg.nga.mil/genc/view?v=868394&amp;end_month=12&amp;end_day=31&amp;end_year=2016","Correlation")</f>
        <v>Correlation</v>
      </c>
    </row>
    <row r="903" spans="1:13" x14ac:dyDescent="0.2">
      <c r="A903" s="112" t="s">
        <v>467</v>
      </c>
      <c r="B903" s="50" t="s">
        <v>3441</v>
      </c>
      <c r="C903" s="50" t="s">
        <v>1796</v>
      </c>
      <c r="D903" s="50" t="s">
        <v>3442</v>
      </c>
      <c r="E903" s="52" t="b">
        <v>1</v>
      </c>
      <c r="F903" s="78" t="s">
        <v>467</v>
      </c>
      <c r="G903" s="50" t="s">
        <v>3441</v>
      </c>
      <c r="H903" s="50" t="s">
        <v>1796</v>
      </c>
      <c r="I903" s="53" t="s">
        <v>3442</v>
      </c>
      <c r="J903" s="55"/>
      <c r="K903" s="55"/>
      <c r="L903" s="79"/>
      <c r="M903" s="56" t="str">
        <f>HYPERLINK("http://nsgreg.nga.mil/genc/view?v=868425&amp;end_month=12&amp;end_day=31&amp;end_year=2016","Correlation")</f>
        <v>Correlation</v>
      </c>
    </row>
    <row r="904" spans="1:13" x14ac:dyDescent="0.2">
      <c r="A904" s="113"/>
      <c r="B904" s="58" t="s">
        <v>3444</v>
      </c>
      <c r="C904" s="58" t="s">
        <v>1796</v>
      </c>
      <c r="D904" s="58" t="s">
        <v>3445</v>
      </c>
      <c r="E904" s="60" t="b">
        <v>1</v>
      </c>
      <c r="F904" s="80" t="s">
        <v>467</v>
      </c>
      <c r="G904" s="58" t="s">
        <v>3444</v>
      </c>
      <c r="H904" s="58" t="s">
        <v>1796</v>
      </c>
      <c r="I904" s="64" t="s">
        <v>3445</v>
      </c>
      <c r="J904" s="66"/>
      <c r="K904" s="66"/>
      <c r="L904" s="68"/>
      <c r="M904" s="63" t="str">
        <f>HYPERLINK("http://nsgreg.nga.mil/genc/view?v=868426&amp;end_month=12&amp;end_day=31&amp;end_year=2016","Correlation")</f>
        <v>Correlation</v>
      </c>
    </row>
    <row r="905" spans="1:13" x14ac:dyDescent="0.2">
      <c r="A905" s="113"/>
      <c r="B905" s="58" t="s">
        <v>3446</v>
      </c>
      <c r="C905" s="58" t="s">
        <v>1796</v>
      </c>
      <c r="D905" s="58" t="s">
        <v>3447</v>
      </c>
      <c r="E905" s="60" t="b">
        <v>1</v>
      </c>
      <c r="F905" s="80" t="s">
        <v>467</v>
      </c>
      <c r="G905" s="58" t="s">
        <v>3446</v>
      </c>
      <c r="H905" s="58" t="s">
        <v>1796</v>
      </c>
      <c r="I905" s="64" t="s">
        <v>3447</v>
      </c>
      <c r="J905" s="66"/>
      <c r="K905" s="66"/>
      <c r="L905" s="68"/>
      <c r="M905" s="63" t="str">
        <f>HYPERLINK("http://nsgreg.nga.mil/genc/view?v=868479&amp;end_month=12&amp;end_day=31&amp;end_year=2016","Correlation")</f>
        <v>Correlation</v>
      </c>
    </row>
    <row r="906" spans="1:13" x14ac:dyDescent="0.2">
      <c r="A906" s="113"/>
      <c r="B906" s="58" t="s">
        <v>3448</v>
      </c>
      <c r="C906" s="58" t="s">
        <v>1796</v>
      </c>
      <c r="D906" s="58" t="s">
        <v>3449</v>
      </c>
      <c r="E906" s="60" t="b">
        <v>1</v>
      </c>
      <c r="F906" s="80" t="s">
        <v>467</v>
      </c>
      <c r="G906" s="58" t="s">
        <v>3448</v>
      </c>
      <c r="H906" s="58" t="s">
        <v>1796</v>
      </c>
      <c r="I906" s="64" t="s">
        <v>3449</v>
      </c>
      <c r="J906" s="66"/>
      <c r="K906" s="66"/>
      <c r="L906" s="68"/>
      <c r="M906" s="63" t="str">
        <f>HYPERLINK("http://nsgreg.nga.mil/genc/view?v=868482&amp;end_month=12&amp;end_day=31&amp;end_year=2016","Correlation")</f>
        <v>Correlation</v>
      </c>
    </row>
    <row r="907" spans="1:13" x14ac:dyDescent="0.2">
      <c r="A907" s="113"/>
      <c r="B907" s="58" t="s">
        <v>3529</v>
      </c>
      <c r="C907" s="58" t="s">
        <v>1796</v>
      </c>
      <c r="D907" s="58" t="s">
        <v>3528</v>
      </c>
      <c r="E907" s="60" t="b">
        <v>1</v>
      </c>
      <c r="F907" s="80" t="s">
        <v>467</v>
      </c>
      <c r="G907" s="58" t="s">
        <v>3527</v>
      </c>
      <c r="H907" s="58" t="s">
        <v>1796</v>
      </c>
      <c r="I907" s="64" t="s">
        <v>3528</v>
      </c>
      <c r="J907" s="66"/>
      <c r="K907" s="66"/>
      <c r="L907" s="68"/>
      <c r="M907" s="63" t="str">
        <f>HYPERLINK("http://nsgreg.nga.mil/genc/view?v=868480&amp;end_month=12&amp;end_day=31&amp;end_year=2016","Correlation")</f>
        <v>Correlation</v>
      </c>
    </row>
    <row r="908" spans="1:13" x14ac:dyDescent="0.2">
      <c r="A908" s="113"/>
      <c r="B908" s="58" t="s">
        <v>3452</v>
      </c>
      <c r="C908" s="58" t="s">
        <v>1796</v>
      </c>
      <c r="D908" s="58" t="s">
        <v>3451</v>
      </c>
      <c r="E908" s="60" t="b">
        <v>1</v>
      </c>
      <c r="F908" s="80" t="s">
        <v>467</v>
      </c>
      <c r="G908" s="58" t="s">
        <v>3450</v>
      </c>
      <c r="H908" s="58" t="s">
        <v>1796</v>
      </c>
      <c r="I908" s="64" t="s">
        <v>3451</v>
      </c>
      <c r="J908" s="66"/>
      <c r="K908" s="66"/>
      <c r="L908" s="68"/>
      <c r="M908" s="63" t="str">
        <f>HYPERLINK("http://nsgreg.nga.mil/genc/view?v=868481&amp;end_month=12&amp;end_day=31&amp;end_year=2016","Correlation")</f>
        <v>Correlation</v>
      </c>
    </row>
    <row r="909" spans="1:13" x14ac:dyDescent="0.2">
      <c r="A909" s="113"/>
      <c r="B909" s="58" t="s">
        <v>3453</v>
      </c>
      <c r="C909" s="58" t="s">
        <v>1796</v>
      </c>
      <c r="D909" s="58" t="s">
        <v>3454</v>
      </c>
      <c r="E909" s="60" t="b">
        <v>1</v>
      </c>
      <c r="F909" s="80" t="s">
        <v>467</v>
      </c>
      <c r="G909" s="58" t="s">
        <v>3453</v>
      </c>
      <c r="H909" s="58" t="s">
        <v>1796</v>
      </c>
      <c r="I909" s="64" t="s">
        <v>3454</v>
      </c>
      <c r="J909" s="66"/>
      <c r="K909" s="66"/>
      <c r="L909" s="68"/>
      <c r="M909" s="63" t="str">
        <f>HYPERLINK("http://nsgreg.nga.mil/genc/view?v=868495&amp;end_month=12&amp;end_day=31&amp;end_year=2016","Correlation")</f>
        <v>Correlation</v>
      </c>
    </row>
    <row r="910" spans="1:13" x14ac:dyDescent="0.2">
      <c r="A910" s="113"/>
      <c r="B910" s="58" t="s">
        <v>3455</v>
      </c>
      <c r="C910" s="58" t="s">
        <v>1796</v>
      </c>
      <c r="D910" s="58" t="s">
        <v>3456</v>
      </c>
      <c r="E910" s="60" t="b">
        <v>1</v>
      </c>
      <c r="F910" s="80" t="s">
        <v>467</v>
      </c>
      <c r="G910" s="58" t="s">
        <v>3455</v>
      </c>
      <c r="H910" s="58" t="s">
        <v>1796</v>
      </c>
      <c r="I910" s="64" t="s">
        <v>3456</v>
      </c>
      <c r="J910" s="66"/>
      <c r="K910" s="66"/>
      <c r="L910" s="68"/>
      <c r="M910" s="63" t="str">
        <f>HYPERLINK("http://nsgreg.nga.mil/genc/view?v=868461&amp;end_month=12&amp;end_day=31&amp;end_year=2016","Correlation")</f>
        <v>Correlation</v>
      </c>
    </row>
    <row r="911" spans="1:13" x14ac:dyDescent="0.2">
      <c r="A911" s="113"/>
      <c r="B911" s="58" t="s">
        <v>3457</v>
      </c>
      <c r="C911" s="58" t="s">
        <v>1796</v>
      </c>
      <c r="D911" s="58" t="s">
        <v>3458</v>
      </c>
      <c r="E911" s="60" t="b">
        <v>1</v>
      </c>
      <c r="F911" s="80" t="s">
        <v>467</v>
      </c>
      <c r="G911" s="58" t="s">
        <v>3457</v>
      </c>
      <c r="H911" s="58" t="s">
        <v>1796</v>
      </c>
      <c r="I911" s="64" t="s">
        <v>3458</v>
      </c>
      <c r="J911" s="66"/>
      <c r="K911" s="66"/>
      <c r="L911" s="68"/>
      <c r="M911" s="63" t="str">
        <f>HYPERLINK("http://nsgreg.nga.mil/genc/view?v=868437&amp;end_month=12&amp;end_day=31&amp;end_year=2016","Correlation")</f>
        <v>Correlation</v>
      </c>
    </row>
    <row r="912" spans="1:13" x14ac:dyDescent="0.2">
      <c r="A912" s="113"/>
      <c r="B912" s="58" t="s">
        <v>3459</v>
      </c>
      <c r="C912" s="58" t="s">
        <v>1796</v>
      </c>
      <c r="D912" s="58" t="s">
        <v>3460</v>
      </c>
      <c r="E912" s="60" t="b">
        <v>1</v>
      </c>
      <c r="F912" s="80" t="s">
        <v>467</v>
      </c>
      <c r="G912" s="58" t="s">
        <v>3459</v>
      </c>
      <c r="H912" s="58" t="s">
        <v>1796</v>
      </c>
      <c r="I912" s="64" t="s">
        <v>3460</v>
      </c>
      <c r="J912" s="66"/>
      <c r="K912" s="66"/>
      <c r="L912" s="68"/>
      <c r="M912" s="63" t="str">
        <f>HYPERLINK("http://nsgreg.nga.mil/genc/view?v=868438&amp;end_month=12&amp;end_day=31&amp;end_year=2016","Correlation")</f>
        <v>Correlation</v>
      </c>
    </row>
    <row r="913" spans="1:13" x14ac:dyDescent="0.2">
      <c r="A913" s="113"/>
      <c r="B913" s="58" t="s">
        <v>3461</v>
      </c>
      <c r="C913" s="58" t="s">
        <v>1796</v>
      </c>
      <c r="D913" s="58" t="s">
        <v>3462</v>
      </c>
      <c r="E913" s="60" t="b">
        <v>1</v>
      </c>
      <c r="F913" s="80" t="s">
        <v>467</v>
      </c>
      <c r="G913" s="58" t="s">
        <v>3461</v>
      </c>
      <c r="H913" s="58" t="s">
        <v>1796</v>
      </c>
      <c r="I913" s="64" t="s">
        <v>3462</v>
      </c>
      <c r="J913" s="66"/>
      <c r="K913" s="66"/>
      <c r="L913" s="68"/>
      <c r="M913" s="63" t="str">
        <f>HYPERLINK("http://nsgreg.nga.mil/genc/view?v=868451&amp;end_month=12&amp;end_day=31&amp;end_year=2016","Correlation")</f>
        <v>Correlation</v>
      </c>
    </row>
    <row r="914" spans="1:13" x14ac:dyDescent="0.2">
      <c r="A914" s="113"/>
      <c r="B914" s="58" t="s">
        <v>3463</v>
      </c>
      <c r="C914" s="58" t="s">
        <v>1796</v>
      </c>
      <c r="D914" s="58" t="s">
        <v>3464</v>
      </c>
      <c r="E914" s="60" t="b">
        <v>1</v>
      </c>
      <c r="F914" s="80" t="s">
        <v>467</v>
      </c>
      <c r="G914" s="58" t="s">
        <v>3463</v>
      </c>
      <c r="H914" s="58" t="s">
        <v>1796</v>
      </c>
      <c r="I914" s="64" t="s">
        <v>3464</v>
      </c>
      <c r="J914" s="66"/>
      <c r="K914" s="66"/>
      <c r="L914" s="68"/>
      <c r="M914" s="63" t="str">
        <f>HYPERLINK("http://nsgreg.nga.mil/genc/view?v=868455&amp;end_month=12&amp;end_day=31&amp;end_year=2016","Correlation")</f>
        <v>Correlation</v>
      </c>
    </row>
    <row r="915" spans="1:13" x14ac:dyDescent="0.2">
      <c r="A915" s="113"/>
      <c r="B915" s="58" t="s">
        <v>3465</v>
      </c>
      <c r="C915" s="58" t="s">
        <v>1796</v>
      </c>
      <c r="D915" s="58" t="s">
        <v>3466</v>
      </c>
      <c r="E915" s="60" t="b">
        <v>1</v>
      </c>
      <c r="F915" s="80" t="s">
        <v>467</v>
      </c>
      <c r="G915" s="58" t="s">
        <v>3465</v>
      </c>
      <c r="H915" s="58" t="s">
        <v>1796</v>
      </c>
      <c r="I915" s="64" t="s">
        <v>3466</v>
      </c>
      <c r="J915" s="66"/>
      <c r="K915" s="66"/>
      <c r="L915" s="68"/>
      <c r="M915" s="63" t="str">
        <f>HYPERLINK("http://nsgreg.nga.mil/genc/view?v=868470&amp;end_month=12&amp;end_day=31&amp;end_year=2016","Correlation")</f>
        <v>Correlation</v>
      </c>
    </row>
    <row r="916" spans="1:13" x14ac:dyDescent="0.2">
      <c r="A916" s="113"/>
      <c r="B916" s="58" t="s">
        <v>3467</v>
      </c>
      <c r="C916" s="58" t="s">
        <v>1796</v>
      </c>
      <c r="D916" s="58" t="s">
        <v>3468</v>
      </c>
      <c r="E916" s="60" t="b">
        <v>1</v>
      </c>
      <c r="F916" s="80" t="s">
        <v>467</v>
      </c>
      <c r="G916" s="58" t="s">
        <v>3467</v>
      </c>
      <c r="H916" s="58" t="s">
        <v>1796</v>
      </c>
      <c r="I916" s="64" t="s">
        <v>3468</v>
      </c>
      <c r="J916" s="66"/>
      <c r="K916" s="66"/>
      <c r="L916" s="68"/>
      <c r="M916" s="63" t="str">
        <f>HYPERLINK("http://nsgreg.nga.mil/genc/view?v=868454&amp;end_month=12&amp;end_day=31&amp;end_year=2016","Correlation")</f>
        <v>Correlation</v>
      </c>
    </row>
    <row r="917" spans="1:13" x14ac:dyDescent="0.2">
      <c r="A917" s="113"/>
      <c r="B917" s="58" t="s">
        <v>3469</v>
      </c>
      <c r="C917" s="58" t="s">
        <v>1796</v>
      </c>
      <c r="D917" s="58" t="s">
        <v>3470</v>
      </c>
      <c r="E917" s="60" t="b">
        <v>1</v>
      </c>
      <c r="F917" s="80" t="s">
        <v>467</v>
      </c>
      <c r="G917" s="58" t="s">
        <v>3469</v>
      </c>
      <c r="H917" s="58" t="s">
        <v>1796</v>
      </c>
      <c r="I917" s="64" t="s">
        <v>3470</v>
      </c>
      <c r="J917" s="66"/>
      <c r="K917" s="66"/>
      <c r="L917" s="68"/>
      <c r="M917" s="63" t="str">
        <f>HYPERLINK("http://nsgreg.nga.mil/genc/view?v=868444&amp;end_month=12&amp;end_day=31&amp;end_year=2016","Correlation")</f>
        <v>Correlation</v>
      </c>
    </row>
    <row r="918" spans="1:13" x14ac:dyDescent="0.2">
      <c r="A918" s="113"/>
      <c r="B918" s="58" t="s">
        <v>3473</v>
      </c>
      <c r="C918" s="58" t="s">
        <v>1796</v>
      </c>
      <c r="D918" s="58" t="s">
        <v>3472</v>
      </c>
      <c r="E918" s="60" t="b">
        <v>1</v>
      </c>
      <c r="F918" s="80" t="s">
        <v>467</v>
      </c>
      <c r="G918" s="58" t="s">
        <v>3471</v>
      </c>
      <c r="H918" s="58" t="s">
        <v>1796</v>
      </c>
      <c r="I918" s="64" t="s">
        <v>3472</v>
      </c>
      <c r="J918" s="66"/>
      <c r="K918" s="66"/>
      <c r="L918" s="68"/>
      <c r="M918" s="63" t="str">
        <f>HYPERLINK("http://nsgreg.nga.mil/genc/view?v=868496&amp;end_month=12&amp;end_day=31&amp;end_year=2016","Correlation")</f>
        <v>Correlation</v>
      </c>
    </row>
    <row r="919" spans="1:13" x14ac:dyDescent="0.2">
      <c r="A919" s="113"/>
      <c r="B919" s="58" t="s">
        <v>3474</v>
      </c>
      <c r="C919" s="58" t="s">
        <v>1796</v>
      </c>
      <c r="D919" s="58" t="s">
        <v>3475</v>
      </c>
      <c r="E919" s="60" t="b">
        <v>1</v>
      </c>
      <c r="F919" s="80" t="s">
        <v>467</v>
      </c>
      <c r="G919" s="58" t="s">
        <v>3474</v>
      </c>
      <c r="H919" s="58" t="s">
        <v>1796</v>
      </c>
      <c r="I919" s="64" t="s">
        <v>3475</v>
      </c>
      <c r="J919" s="66"/>
      <c r="K919" s="66"/>
      <c r="L919" s="68"/>
      <c r="M919" s="63" t="str">
        <f>HYPERLINK("http://nsgreg.nga.mil/genc/view?v=868474&amp;end_month=12&amp;end_day=31&amp;end_year=2016","Correlation")</f>
        <v>Correlation</v>
      </c>
    </row>
    <row r="920" spans="1:13" x14ac:dyDescent="0.2">
      <c r="A920" s="113"/>
      <c r="B920" s="58" t="s">
        <v>3476</v>
      </c>
      <c r="C920" s="58" t="s">
        <v>1796</v>
      </c>
      <c r="D920" s="58" t="s">
        <v>3477</v>
      </c>
      <c r="E920" s="60" t="b">
        <v>1</v>
      </c>
      <c r="F920" s="80" t="s">
        <v>467</v>
      </c>
      <c r="G920" s="58" t="s">
        <v>3476</v>
      </c>
      <c r="H920" s="58" t="s">
        <v>1796</v>
      </c>
      <c r="I920" s="64" t="s">
        <v>3477</v>
      </c>
      <c r="J920" s="66"/>
      <c r="K920" s="66"/>
      <c r="L920" s="68"/>
      <c r="M920" s="63" t="str">
        <f>HYPERLINK("http://nsgreg.nga.mil/genc/view?v=868483&amp;end_month=12&amp;end_day=31&amp;end_year=2016","Correlation")</f>
        <v>Correlation</v>
      </c>
    </row>
    <row r="921" spans="1:13" x14ac:dyDescent="0.2">
      <c r="A921" s="113"/>
      <c r="B921" s="58" t="s">
        <v>3478</v>
      </c>
      <c r="C921" s="58" t="s">
        <v>1796</v>
      </c>
      <c r="D921" s="58" t="s">
        <v>3479</v>
      </c>
      <c r="E921" s="60" t="b">
        <v>1</v>
      </c>
      <c r="F921" s="80" t="s">
        <v>467</v>
      </c>
      <c r="G921" s="58" t="s">
        <v>3478</v>
      </c>
      <c r="H921" s="58" t="s">
        <v>1796</v>
      </c>
      <c r="I921" s="64" t="s">
        <v>3479</v>
      </c>
      <c r="J921" s="66"/>
      <c r="K921" s="66"/>
      <c r="L921" s="68"/>
      <c r="M921" s="63" t="str">
        <f>HYPERLINK("http://nsgreg.nga.mil/genc/view?v=868465&amp;end_month=12&amp;end_day=31&amp;end_year=2016","Correlation")</f>
        <v>Correlation</v>
      </c>
    </row>
    <row r="922" spans="1:13" x14ac:dyDescent="0.2">
      <c r="A922" s="113"/>
      <c r="B922" s="58" t="s">
        <v>3480</v>
      </c>
      <c r="C922" s="58" t="s">
        <v>1796</v>
      </c>
      <c r="D922" s="58" t="s">
        <v>3481</v>
      </c>
      <c r="E922" s="60" t="b">
        <v>1</v>
      </c>
      <c r="F922" s="80" t="s">
        <v>467</v>
      </c>
      <c r="G922" s="58" t="s">
        <v>3480</v>
      </c>
      <c r="H922" s="58" t="s">
        <v>1796</v>
      </c>
      <c r="I922" s="64" t="s">
        <v>3481</v>
      </c>
      <c r="J922" s="66"/>
      <c r="K922" s="66"/>
      <c r="L922" s="68"/>
      <c r="M922" s="63" t="str">
        <f>HYPERLINK("http://nsgreg.nga.mil/genc/view?v=868462&amp;end_month=12&amp;end_day=31&amp;end_year=2016","Correlation")</f>
        <v>Correlation</v>
      </c>
    </row>
    <row r="923" spans="1:13" x14ac:dyDescent="0.2">
      <c r="A923" s="113"/>
      <c r="B923" s="58" t="s">
        <v>3482</v>
      </c>
      <c r="C923" s="58" t="s">
        <v>1796</v>
      </c>
      <c r="D923" s="58" t="s">
        <v>3483</v>
      </c>
      <c r="E923" s="60" t="b">
        <v>1</v>
      </c>
      <c r="F923" s="80" t="s">
        <v>467</v>
      </c>
      <c r="G923" s="58" t="s">
        <v>3482</v>
      </c>
      <c r="H923" s="58" t="s">
        <v>1796</v>
      </c>
      <c r="I923" s="64" t="s">
        <v>3483</v>
      </c>
      <c r="J923" s="66"/>
      <c r="K923" s="66"/>
      <c r="L923" s="68"/>
      <c r="M923" s="63" t="str">
        <f>HYPERLINK("http://nsgreg.nga.mil/genc/view?v=868486&amp;end_month=12&amp;end_day=31&amp;end_year=2016","Correlation")</f>
        <v>Correlation</v>
      </c>
    </row>
    <row r="924" spans="1:13" x14ac:dyDescent="0.2">
      <c r="A924" s="113"/>
      <c r="B924" s="58" t="s">
        <v>3484</v>
      </c>
      <c r="C924" s="58" t="s">
        <v>1796</v>
      </c>
      <c r="D924" s="58" t="s">
        <v>3485</v>
      </c>
      <c r="E924" s="60" t="b">
        <v>1</v>
      </c>
      <c r="F924" s="80" t="s">
        <v>467</v>
      </c>
      <c r="G924" s="58" t="s">
        <v>3484</v>
      </c>
      <c r="H924" s="58" t="s">
        <v>1796</v>
      </c>
      <c r="I924" s="64" t="s">
        <v>3485</v>
      </c>
      <c r="J924" s="66"/>
      <c r="K924" s="66"/>
      <c r="L924" s="68"/>
      <c r="M924" s="63" t="str">
        <f>HYPERLINK("http://nsgreg.nga.mil/genc/view?v=868466&amp;end_month=12&amp;end_day=31&amp;end_year=2016","Correlation")</f>
        <v>Correlation</v>
      </c>
    </row>
    <row r="925" spans="1:13" x14ac:dyDescent="0.2">
      <c r="A925" s="113"/>
      <c r="B925" s="58" t="s">
        <v>3486</v>
      </c>
      <c r="C925" s="58" t="s">
        <v>1796</v>
      </c>
      <c r="D925" s="58" t="s">
        <v>3487</v>
      </c>
      <c r="E925" s="60" t="b">
        <v>1</v>
      </c>
      <c r="F925" s="80" t="s">
        <v>467</v>
      </c>
      <c r="G925" s="58" t="s">
        <v>3486</v>
      </c>
      <c r="H925" s="58" t="s">
        <v>1796</v>
      </c>
      <c r="I925" s="64" t="s">
        <v>3487</v>
      </c>
      <c r="J925" s="66"/>
      <c r="K925" s="66"/>
      <c r="L925" s="68"/>
      <c r="M925" s="63" t="str">
        <f>HYPERLINK("http://nsgreg.nga.mil/genc/view?v=868475&amp;end_month=12&amp;end_day=31&amp;end_year=2016","Correlation")</f>
        <v>Correlation</v>
      </c>
    </row>
    <row r="926" spans="1:13" x14ac:dyDescent="0.2">
      <c r="A926" s="113"/>
      <c r="B926" s="58" t="s">
        <v>3490</v>
      </c>
      <c r="C926" s="58" t="s">
        <v>1728</v>
      </c>
      <c r="D926" s="58" t="s">
        <v>3489</v>
      </c>
      <c r="E926" s="60" t="b">
        <v>1</v>
      </c>
      <c r="F926" s="80" t="s">
        <v>467</v>
      </c>
      <c r="G926" s="58" t="s">
        <v>3488</v>
      </c>
      <c r="H926" s="58" t="s">
        <v>1728</v>
      </c>
      <c r="I926" s="64" t="s">
        <v>3489</v>
      </c>
      <c r="J926" s="66"/>
      <c r="K926" s="66"/>
      <c r="L926" s="68"/>
      <c r="M926" s="63" t="str">
        <f>HYPERLINK("http://nsgreg.nga.mil/genc/view?v=868501&amp;end_month=12&amp;end_day=31&amp;end_year=2016","Correlation")</f>
        <v>Correlation</v>
      </c>
    </row>
    <row r="927" spans="1:13" x14ac:dyDescent="0.2">
      <c r="A927" s="113"/>
      <c r="B927" s="58" t="s">
        <v>3493</v>
      </c>
      <c r="C927" s="58" t="s">
        <v>1728</v>
      </c>
      <c r="D927" s="58" t="s">
        <v>3492</v>
      </c>
      <c r="E927" s="60" t="b">
        <v>1</v>
      </c>
      <c r="F927" s="80" t="s">
        <v>467</v>
      </c>
      <c r="G927" s="58" t="s">
        <v>3491</v>
      </c>
      <c r="H927" s="58" t="s">
        <v>1728</v>
      </c>
      <c r="I927" s="64" t="s">
        <v>3492</v>
      </c>
      <c r="J927" s="66"/>
      <c r="K927" s="66"/>
      <c r="L927" s="68"/>
      <c r="M927" s="63" t="str">
        <f>HYPERLINK("http://nsgreg.nga.mil/genc/view?v=868502&amp;end_month=12&amp;end_day=31&amp;end_year=2016","Correlation")</f>
        <v>Correlation</v>
      </c>
    </row>
    <row r="928" spans="1:13" x14ac:dyDescent="0.2">
      <c r="A928" s="113"/>
      <c r="B928" s="58" t="s">
        <v>3494</v>
      </c>
      <c r="C928" s="58" t="s">
        <v>1796</v>
      </c>
      <c r="D928" s="58" t="s">
        <v>3495</v>
      </c>
      <c r="E928" s="60" t="b">
        <v>1</v>
      </c>
      <c r="F928" s="80" t="s">
        <v>467</v>
      </c>
      <c r="G928" s="58" t="s">
        <v>3494</v>
      </c>
      <c r="H928" s="58" t="s">
        <v>1796</v>
      </c>
      <c r="I928" s="64" t="s">
        <v>3495</v>
      </c>
      <c r="J928" s="66"/>
      <c r="K928" s="66"/>
      <c r="L928" s="68"/>
      <c r="M928" s="63" t="str">
        <f>HYPERLINK("http://nsgreg.nga.mil/genc/view?v=868439&amp;end_month=12&amp;end_day=31&amp;end_year=2016","Correlation")</f>
        <v>Correlation</v>
      </c>
    </row>
    <row r="929" spans="1:13" x14ac:dyDescent="0.2">
      <c r="A929" s="113"/>
      <c r="B929" s="58" t="s">
        <v>3498</v>
      </c>
      <c r="C929" s="58" t="s">
        <v>1728</v>
      </c>
      <c r="D929" s="58" t="s">
        <v>3497</v>
      </c>
      <c r="E929" s="60" t="b">
        <v>1</v>
      </c>
      <c r="F929" s="80" t="s">
        <v>467</v>
      </c>
      <c r="G929" s="58" t="s">
        <v>3496</v>
      </c>
      <c r="H929" s="58" t="s">
        <v>1728</v>
      </c>
      <c r="I929" s="64" t="s">
        <v>3497</v>
      </c>
      <c r="J929" s="66"/>
      <c r="K929" s="66"/>
      <c r="L929" s="68"/>
      <c r="M929" s="63" t="str">
        <f>HYPERLINK("http://nsgreg.nga.mil/genc/view?v=868503&amp;end_month=12&amp;end_day=31&amp;end_year=2016","Correlation")</f>
        <v>Correlation</v>
      </c>
    </row>
    <row r="930" spans="1:13" x14ac:dyDescent="0.2">
      <c r="A930" s="113"/>
      <c r="B930" s="58" t="s">
        <v>3499</v>
      </c>
      <c r="C930" s="58" t="s">
        <v>1796</v>
      </c>
      <c r="D930" s="58" t="s">
        <v>3500</v>
      </c>
      <c r="E930" s="60" t="b">
        <v>1</v>
      </c>
      <c r="F930" s="80" t="s">
        <v>467</v>
      </c>
      <c r="G930" s="58" t="s">
        <v>3499</v>
      </c>
      <c r="H930" s="58" t="s">
        <v>1796</v>
      </c>
      <c r="I930" s="64" t="s">
        <v>3500</v>
      </c>
      <c r="J930" s="66"/>
      <c r="K930" s="66"/>
      <c r="L930" s="68"/>
      <c r="M930" s="63" t="str">
        <f>HYPERLINK("http://nsgreg.nga.mil/genc/view?v=868452&amp;end_month=12&amp;end_day=31&amp;end_year=2016","Correlation")</f>
        <v>Correlation</v>
      </c>
    </row>
    <row r="931" spans="1:13" x14ac:dyDescent="0.2">
      <c r="A931" s="113"/>
      <c r="B931" s="58" t="s">
        <v>3501</v>
      </c>
      <c r="C931" s="58" t="s">
        <v>1796</v>
      </c>
      <c r="D931" s="58" t="s">
        <v>3502</v>
      </c>
      <c r="E931" s="60" t="b">
        <v>1</v>
      </c>
      <c r="F931" s="80" t="s">
        <v>467</v>
      </c>
      <c r="G931" s="58" t="s">
        <v>3501</v>
      </c>
      <c r="H931" s="58" t="s">
        <v>1796</v>
      </c>
      <c r="I931" s="64" t="s">
        <v>3502</v>
      </c>
      <c r="J931" s="66"/>
      <c r="K931" s="66"/>
      <c r="L931" s="68"/>
      <c r="M931" s="63" t="str">
        <f>HYPERLINK("http://nsgreg.nga.mil/genc/view?v=868497&amp;end_month=12&amp;end_day=31&amp;end_year=2016","Correlation")</f>
        <v>Correlation</v>
      </c>
    </row>
    <row r="932" spans="1:13" x14ac:dyDescent="0.2">
      <c r="A932" s="113"/>
      <c r="B932" s="58" t="s">
        <v>3503</v>
      </c>
      <c r="C932" s="58" t="s">
        <v>1796</v>
      </c>
      <c r="D932" s="58" t="s">
        <v>3504</v>
      </c>
      <c r="E932" s="60" t="b">
        <v>1</v>
      </c>
      <c r="F932" s="80" t="s">
        <v>467</v>
      </c>
      <c r="G932" s="58" t="s">
        <v>3503</v>
      </c>
      <c r="H932" s="58" t="s">
        <v>1796</v>
      </c>
      <c r="I932" s="64" t="s">
        <v>3504</v>
      </c>
      <c r="J932" s="66"/>
      <c r="K932" s="66"/>
      <c r="L932" s="68"/>
      <c r="M932" s="63" t="str">
        <f>HYPERLINK("http://nsgreg.nga.mil/genc/view?v=868427&amp;end_month=12&amp;end_day=31&amp;end_year=2016","Correlation")</f>
        <v>Correlation</v>
      </c>
    </row>
    <row r="933" spans="1:13" x14ac:dyDescent="0.2">
      <c r="A933" s="113"/>
      <c r="B933" s="58" t="s">
        <v>3505</v>
      </c>
      <c r="C933" s="58" t="s">
        <v>1796</v>
      </c>
      <c r="D933" s="58" t="s">
        <v>3506</v>
      </c>
      <c r="E933" s="60" t="b">
        <v>1</v>
      </c>
      <c r="F933" s="80" t="s">
        <v>467</v>
      </c>
      <c r="G933" s="58" t="s">
        <v>3505</v>
      </c>
      <c r="H933" s="58" t="s">
        <v>1796</v>
      </c>
      <c r="I933" s="64" t="s">
        <v>3506</v>
      </c>
      <c r="J933" s="66"/>
      <c r="K933" s="66"/>
      <c r="L933" s="68"/>
      <c r="M933" s="63" t="str">
        <f>HYPERLINK("http://nsgreg.nga.mil/genc/view?v=868445&amp;end_month=12&amp;end_day=31&amp;end_year=2016","Correlation")</f>
        <v>Correlation</v>
      </c>
    </row>
    <row r="934" spans="1:13" x14ac:dyDescent="0.2">
      <c r="A934" s="113"/>
      <c r="B934" s="58" t="s">
        <v>3507</v>
      </c>
      <c r="C934" s="58" t="s">
        <v>1796</v>
      </c>
      <c r="D934" s="58" t="s">
        <v>3508</v>
      </c>
      <c r="E934" s="60" t="b">
        <v>1</v>
      </c>
      <c r="F934" s="80" t="s">
        <v>467</v>
      </c>
      <c r="G934" s="58" t="s">
        <v>3507</v>
      </c>
      <c r="H934" s="58" t="s">
        <v>1796</v>
      </c>
      <c r="I934" s="64" t="s">
        <v>3508</v>
      </c>
      <c r="J934" s="66"/>
      <c r="K934" s="66"/>
      <c r="L934" s="68"/>
      <c r="M934" s="63" t="str">
        <f>HYPERLINK("http://nsgreg.nga.mil/genc/view?v=868428&amp;end_month=12&amp;end_day=31&amp;end_year=2016","Correlation")</f>
        <v>Correlation</v>
      </c>
    </row>
    <row r="935" spans="1:13" x14ac:dyDescent="0.2">
      <c r="A935" s="113"/>
      <c r="B935" s="58" t="s">
        <v>3702</v>
      </c>
      <c r="C935" s="58" t="s">
        <v>1728</v>
      </c>
      <c r="D935" s="58" t="s">
        <v>3701</v>
      </c>
      <c r="E935" s="60" t="b">
        <v>1</v>
      </c>
      <c r="F935" s="80" t="s">
        <v>467</v>
      </c>
      <c r="G935" s="58" t="s">
        <v>3700</v>
      </c>
      <c r="H935" s="58" t="s">
        <v>1728</v>
      </c>
      <c r="I935" s="64" t="s">
        <v>3701</v>
      </c>
      <c r="J935" s="66"/>
      <c r="K935" s="66"/>
      <c r="L935" s="68"/>
      <c r="M935" s="63" t="str">
        <f>HYPERLINK("http://nsgreg.nga.mil/genc/view?v=868513&amp;end_month=12&amp;end_day=31&amp;end_year=2016","Correlation")</f>
        <v>Correlation</v>
      </c>
    </row>
    <row r="936" spans="1:13" x14ac:dyDescent="0.2">
      <c r="A936" s="113"/>
      <c r="B936" s="58" t="s">
        <v>3511</v>
      </c>
      <c r="C936" s="58" t="s">
        <v>1728</v>
      </c>
      <c r="D936" s="58" t="s">
        <v>3510</v>
      </c>
      <c r="E936" s="60" t="b">
        <v>1</v>
      </c>
      <c r="F936" s="80" t="s">
        <v>467</v>
      </c>
      <c r="G936" s="58" t="s">
        <v>3509</v>
      </c>
      <c r="H936" s="58" t="s">
        <v>1728</v>
      </c>
      <c r="I936" s="64" t="s">
        <v>3510</v>
      </c>
      <c r="J936" s="66"/>
      <c r="K936" s="66"/>
      <c r="L936" s="68"/>
      <c r="M936" s="63" t="str">
        <f>HYPERLINK("http://nsgreg.nga.mil/genc/view?v=868504&amp;end_month=12&amp;end_day=31&amp;end_year=2016","Correlation")</f>
        <v>Correlation</v>
      </c>
    </row>
    <row r="937" spans="1:13" x14ac:dyDescent="0.2">
      <c r="A937" s="113"/>
      <c r="B937" s="58" t="s">
        <v>3512</v>
      </c>
      <c r="C937" s="58" t="s">
        <v>1796</v>
      </c>
      <c r="D937" s="58" t="s">
        <v>3513</v>
      </c>
      <c r="E937" s="60" t="b">
        <v>1</v>
      </c>
      <c r="F937" s="80" t="s">
        <v>467</v>
      </c>
      <c r="G937" s="58" t="s">
        <v>3512</v>
      </c>
      <c r="H937" s="58" t="s">
        <v>1796</v>
      </c>
      <c r="I937" s="64" t="s">
        <v>3513</v>
      </c>
      <c r="J937" s="66"/>
      <c r="K937" s="66"/>
      <c r="L937" s="68"/>
      <c r="M937" s="63" t="str">
        <f>HYPERLINK("http://nsgreg.nga.mil/genc/view?v=868491&amp;end_month=12&amp;end_day=31&amp;end_year=2016","Correlation")</f>
        <v>Correlation</v>
      </c>
    </row>
    <row r="938" spans="1:13" x14ac:dyDescent="0.2">
      <c r="A938" s="113"/>
      <c r="B938" s="58" t="s">
        <v>3514</v>
      </c>
      <c r="C938" s="58" t="s">
        <v>1796</v>
      </c>
      <c r="D938" s="58" t="s">
        <v>3515</v>
      </c>
      <c r="E938" s="60" t="b">
        <v>1</v>
      </c>
      <c r="F938" s="80" t="s">
        <v>467</v>
      </c>
      <c r="G938" s="58" t="s">
        <v>3514</v>
      </c>
      <c r="H938" s="58" t="s">
        <v>1796</v>
      </c>
      <c r="I938" s="64" t="s">
        <v>3515</v>
      </c>
      <c r="J938" s="66"/>
      <c r="K938" s="66"/>
      <c r="L938" s="68"/>
      <c r="M938" s="63" t="str">
        <f>HYPERLINK("http://nsgreg.nga.mil/genc/view?v=868429&amp;end_month=12&amp;end_day=31&amp;end_year=2016","Correlation")</f>
        <v>Correlation</v>
      </c>
    </row>
    <row r="939" spans="1:13" x14ac:dyDescent="0.2">
      <c r="A939" s="113"/>
      <c r="B939" s="58" t="s">
        <v>3516</v>
      </c>
      <c r="C939" s="58" t="s">
        <v>1796</v>
      </c>
      <c r="D939" s="58" t="s">
        <v>3517</v>
      </c>
      <c r="E939" s="60" t="b">
        <v>1</v>
      </c>
      <c r="F939" s="80" t="s">
        <v>467</v>
      </c>
      <c r="G939" s="58" t="s">
        <v>3516</v>
      </c>
      <c r="H939" s="58" t="s">
        <v>1796</v>
      </c>
      <c r="I939" s="64" t="s">
        <v>3517</v>
      </c>
      <c r="J939" s="66"/>
      <c r="K939" s="66"/>
      <c r="L939" s="68"/>
      <c r="M939" s="63" t="str">
        <f>HYPERLINK("http://nsgreg.nga.mil/genc/view?v=868463&amp;end_month=12&amp;end_day=31&amp;end_year=2016","Correlation")</f>
        <v>Correlation</v>
      </c>
    </row>
    <row r="940" spans="1:13" x14ac:dyDescent="0.2">
      <c r="A940" s="113"/>
      <c r="B940" s="58" t="s">
        <v>3520</v>
      </c>
      <c r="C940" s="58" t="s">
        <v>1728</v>
      </c>
      <c r="D940" s="58" t="s">
        <v>3519</v>
      </c>
      <c r="E940" s="60" t="b">
        <v>1</v>
      </c>
      <c r="F940" s="80" t="s">
        <v>467</v>
      </c>
      <c r="G940" s="58" t="s">
        <v>3518</v>
      </c>
      <c r="H940" s="58" t="s">
        <v>1728</v>
      </c>
      <c r="I940" s="64" t="s">
        <v>3519</v>
      </c>
      <c r="J940" s="66"/>
      <c r="K940" s="66"/>
      <c r="L940" s="68"/>
      <c r="M940" s="63" t="str">
        <f>HYPERLINK("http://nsgreg.nga.mil/genc/view?v=868505&amp;end_month=12&amp;end_day=31&amp;end_year=2016","Correlation")</f>
        <v>Correlation</v>
      </c>
    </row>
    <row r="941" spans="1:13" x14ac:dyDescent="0.2">
      <c r="A941" s="113"/>
      <c r="B941" s="58" t="s">
        <v>3521</v>
      </c>
      <c r="C941" s="58" t="s">
        <v>1796</v>
      </c>
      <c r="D941" s="58" t="s">
        <v>3522</v>
      </c>
      <c r="E941" s="60" t="b">
        <v>1</v>
      </c>
      <c r="F941" s="80" t="s">
        <v>467</v>
      </c>
      <c r="G941" s="58" t="s">
        <v>3521</v>
      </c>
      <c r="H941" s="58" t="s">
        <v>1796</v>
      </c>
      <c r="I941" s="64" t="s">
        <v>3522</v>
      </c>
      <c r="J941" s="66"/>
      <c r="K941" s="66"/>
      <c r="L941" s="68"/>
      <c r="M941" s="63" t="str">
        <f>HYPERLINK("http://nsgreg.nga.mil/genc/view?v=868456&amp;end_month=12&amp;end_day=31&amp;end_year=2016","Correlation")</f>
        <v>Correlation</v>
      </c>
    </row>
    <row r="942" spans="1:13" x14ac:dyDescent="0.2">
      <c r="A942" s="113"/>
      <c r="B942" s="58" t="s">
        <v>3523</v>
      </c>
      <c r="C942" s="58" t="s">
        <v>1796</v>
      </c>
      <c r="D942" s="58" t="s">
        <v>3524</v>
      </c>
      <c r="E942" s="60" t="b">
        <v>1</v>
      </c>
      <c r="F942" s="80" t="s">
        <v>467</v>
      </c>
      <c r="G942" s="58" t="s">
        <v>3523</v>
      </c>
      <c r="H942" s="58" t="s">
        <v>1796</v>
      </c>
      <c r="I942" s="64" t="s">
        <v>3524</v>
      </c>
      <c r="J942" s="66"/>
      <c r="K942" s="66"/>
      <c r="L942" s="68"/>
      <c r="M942" s="63" t="str">
        <f>HYPERLINK("http://nsgreg.nga.mil/genc/view?v=868457&amp;end_month=12&amp;end_day=31&amp;end_year=2016","Correlation")</f>
        <v>Correlation</v>
      </c>
    </row>
    <row r="943" spans="1:13" x14ac:dyDescent="0.2">
      <c r="A943" s="113"/>
      <c r="B943" s="58" t="s">
        <v>3525</v>
      </c>
      <c r="C943" s="58" t="s">
        <v>1796</v>
      </c>
      <c r="D943" s="58" t="s">
        <v>3526</v>
      </c>
      <c r="E943" s="60" t="b">
        <v>1</v>
      </c>
      <c r="F943" s="80" t="s">
        <v>467</v>
      </c>
      <c r="G943" s="58" t="s">
        <v>3525</v>
      </c>
      <c r="H943" s="58" t="s">
        <v>1796</v>
      </c>
      <c r="I943" s="64" t="s">
        <v>3526</v>
      </c>
      <c r="J943" s="66"/>
      <c r="K943" s="66"/>
      <c r="L943" s="68"/>
      <c r="M943" s="63" t="str">
        <f>HYPERLINK("http://nsgreg.nga.mil/genc/view?v=868430&amp;end_month=12&amp;end_day=31&amp;end_year=2016","Correlation")</f>
        <v>Correlation</v>
      </c>
    </row>
    <row r="944" spans="1:13" x14ac:dyDescent="0.2">
      <c r="A944" s="113"/>
      <c r="B944" s="58" t="s">
        <v>3530</v>
      </c>
      <c r="C944" s="58" t="s">
        <v>1796</v>
      </c>
      <c r="D944" s="58" t="s">
        <v>3531</v>
      </c>
      <c r="E944" s="60" t="b">
        <v>1</v>
      </c>
      <c r="F944" s="80" t="s">
        <v>467</v>
      </c>
      <c r="G944" s="58" t="s">
        <v>3530</v>
      </c>
      <c r="H944" s="58" t="s">
        <v>1796</v>
      </c>
      <c r="I944" s="64" t="s">
        <v>3531</v>
      </c>
      <c r="J944" s="66"/>
      <c r="K944" s="66"/>
      <c r="L944" s="68"/>
      <c r="M944" s="63" t="str">
        <f>HYPERLINK("http://nsgreg.nga.mil/genc/view?v=868431&amp;end_month=12&amp;end_day=31&amp;end_year=2016","Correlation")</f>
        <v>Correlation</v>
      </c>
    </row>
    <row r="945" spans="1:13" x14ac:dyDescent="0.2">
      <c r="A945" s="113"/>
      <c r="B945" s="58" t="s">
        <v>3534</v>
      </c>
      <c r="C945" s="58" t="s">
        <v>1728</v>
      </c>
      <c r="D945" s="58" t="s">
        <v>3533</v>
      </c>
      <c r="E945" s="60" t="b">
        <v>1</v>
      </c>
      <c r="F945" s="80" t="s">
        <v>467</v>
      </c>
      <c r="G945" s="58" t="s">
        <v>3532</v>
      </c>
      <c r="H945" s="58" t="s">
        <v>1728</v>
      </c>
      <c r="I945" s="64" t="s">
        <v>3533</v>
      </c>
      <c r="J945" s="66"/>
      <c r="K945" s="66"/>
      <c r="L945" s="68"/>
      <c r="M945" s="63" t="str">
        <f>HYPERLINK("http://nsgreg.nga.mil/genc/view?v=868506&amp;end_month=12&amp;end_day=31&amp;end_year=2016","Correlation")</f>
        <v>Correlation</v>
      </c>
    </row>
    <row r="946" spans="1:13" x14ac:dyDescent="0.2">
      <c r="A946" s="113"/>
      <c r="B946" s="58" t="s">
        <v>3535</v>
      </c>
      <c r="C946" s="58" t="s">
        <v>1796</v>
      </c>
      <c r="D946" s="58" t="s">
        <v>3536</v>
      </c>
      <c r="E946" s="60" t="b">
        <v>1</v>
      </c>
      <c r="F946" s="80" t="s">
        <v>467</v>
      </c>
      <c r="G946" s="58" t="s">
        <v>3535</v>
      </c>
      <c r="H946" s="58" t="s">
        <v>1796</v>
      </c>
      <c r="I946" s="64" t="s">
        <v>3536</v>
      </c>
      <c r="J946" s="66"/>
      <c r="K946" s="66"/>
      <c r="L946" s="68"/>
      <c r="M946" s="63" t="str">
        <f>HYPERLINK("http://nsgreg.nga.mil/genc/view?v=868458&amp;end_month=12&amp;end_day=31&amp;end_year=2016","Correlation")</f>
        <v>Correlation</v>
      </c>
    </row>
    <row r="947" spans="1:13" x14ac:dyDescent="0.2">
      <c r="A947" s="113"/>
      <c r="B947" s="58" t="s">
        <v>3537</v>
      </c>
      <c r="C947" s="58" t="s">
        <v>1796</v>
      </c>
      <c r="D947" s="58" t="s">
        <v>3538</v>
      </c>
      <c r="E947" s="60" t="b">
        <v>1</v>
      </c>
      <c r="F947" s="80" t="s">
        <v>467</v>
      </c>
      <c r="G947" s="58" t="s">
        <v>3537</v>
      </c>
      <c r="H947" s="58" t="s">
        <v>1796</v>
      </c>
      <c r="I947" s="64" t="s">
        <v>3538</v>
      </c>
      <c r="J947" s="66"/>
      <c r="K947" s="66"/>
      <c r="L947" s="68"/>
      <c r="M947" s="63" t="str">
        <f>HYPERLINK("http://nsgreg.nga.mil/genc/view?v=868467&amp;end_month=12&amp;end_day=31&amp;end_year=2016","Correlation")</f>
        <v>Correlation</v>
      </c>
    </row>
    <row r="948" spans="1:13" x14ac:dyDescent="0.2">
      <c r="A948" s="113"/>
      <c r="B948" s="58" t="s">
        <v>3539</v>
      </c>
      <c r="C948" s="58" t="s">
        <v>1796</v>
      </c>
      <c r="D948" s="58" t="s">
        <v>3540</v>
      </c>
      <c r="E948" s="60" t="b">
        <v>1</v>
      </c>
      <c r="F948" s="80" t="s">
        <v>467</v>
      </c>
      <c r="G948" s="58" t="s">
        <v>3539</v>
      </c>
      <c r="H948" s="58" t="s">
        <v>1796</v>
      </c>
      <c r="I948" s="64" t="s">
        <v>3540</v>
      </c>
      <c r="J948" s="66"/>
      <c r="K948" s="66"/>
      <c r="L948" s="68"/>
      <c r="M948" s="63" t="str">
        <f>HYPERLINK("http://nsgreg.nga.mil/genc/view?v=868498&amp;end_month=12&amp;end_day=31&amp;end_year=2016","Correlation")</f>
        <v>Correlation</v>
      </c>
    </row>
    <row r="949" spans="1:13" x14ac:dyDescent="0.2">
      <c r="A949" s="113"/>
      <c r="B949" s="58" t="s">
        <v>3541</v>
      </c>
      <c r="C949" s="58" t="s">
        <v>1796</v>
      </c>
      <c r="D949" s="58" t="s">
        <v>3542</v>
      </c>
      <c r="E949" s="60" t="b">
        <v>1</v>
      </c>
      <c r="F949" s="80" t="s">
        <v>467</v>
      </c>
      <c r="G949" s="58" t="s">
        <v>3541</v>
      </c>
      <c r="H949" s="58" t="s">
        <v>1796</v>
      </c>
      <c r="I949" s="64" t="s">
        <v>3542</v>
      </c>
      <c r="J949" s="66"/>
      <c r="K949" s="66"/>
      <c r="L949" s="68"/>
      <c r="M949" s="63" t="str">
        <f>HYPERLINK("http://nsgreg.nga.mil/genc/view?v=868432&amp;end_month=12&amp;end_day=31&amp;end_year=2016","Correlation")</f>
        <v>Correlation</v>
      </c>
    </row>
    <row r="950" spans="1:13" x14ac:dyDescent="0.2">
      <c r="A950" s="113"/>
      <c r="B950" s="58" t="s">
        <v>3543</v>
      </c>
      <c r="C950" s="58" t="s">
        <v>1796</v>
      </c>
      <c r="D950" s="58" t="s">
        <v>3544</v>
      </c>
      <c r="E950" s="60" t="b">
        <v>1</v>
      </c>
      <c r="F950" s="80" t="s">
        <v>467</v>
      </c>
      <c r="G950" s="58" t="s">
        <v>3543</v>
      </c>
      <c r="H950" s="58" t="s">
        <v>1796</v>
      </c>
      <c r="I950" s="64" t="s">
        <v>3544</v>
      </c>
      <c r="J950" s="66"/>
      <c r="K950" s="66"/>
      <c r="L950" s="68"/>
      <c r="M950" s="63" t="str">
        <f>HYPERLINK("http://nsgreg.nga.mil/genc/view?v=868487&amp;end_month=12&amp;end_day=31&amp;end_year=2016","Correlation")</f>
        <v>Correlation</v>
      </c>
    </row>
    <row r="951" spans="1:13" x14ac:dyDescent="0.2">
      <c r="A951" s="113"/>
      <c r="B951" s="58" t="s">
        <v>3547</v>
      </c>
      <c r="C951" s="58" t="s">
        <v>1728</v>
      </c>
      <c r="D951" s="58" t="s">
        <v>3546</v>
      </c>
      <c r="E951" s="60" t="b">
        <v>1</v>
      </c>
      <c r="F951" s="80" t="s">
        <v>467</v>
      </c>
      <c r="G951" s="58" t="s">
        <v>3545</v>
      </c>
      <c r="H951" s="58" t="s">
        <v>1728</v>
      </c>
      <c r="I951" s="64" t="s">
        <v>3546</v>
      </c>
      <c r="J951" s="66"/>
      <c r="K951" s="66"/>
      <c r="L951" s="68"/>
      <c r="M951" s="63" t="str">
        <f>HYPERLINK("http://nsgreg.nga.mil/genc/view?v=868507&amp;end_month=12&amp;end_day=31&amp;end_year=2016","Correlation")</f>
        <v>Correlation</v>
      </c>
    </row>
    <row r="952" spans="1:13" x14ac:dyDescent="0.2">
      <c r="A952" s="113"/>
      <c r="B952" s="58" t="s">
        <v>3548</v>
      </c>
      <c r="C952" s="58" t="s">
        <v>1796</v>
      </c>
      <c r="D952" s="58" t="s">
        <v>3549</v>
      </c>
      <c r="E952" s="60" t="b">
        <v>1</v>
      </c>
      <c r="F952" s="80" t="s">
        <v>467</v>
      </c>
      <c r="G952" s="58" t="s">
        <v>3548</v>
      </c>
      <c r="H952" s="58" t="s">
        <v>1796</v>
      </c>
      <c r="I952" s="64" t="s">
        <v>3549</v>
      </c>
      <c r="J952" s="66"/>
      <c r="K952" s="66"/>
      <c r="L952" s="68"/>
      <c r="M952" s="63" t="str">
        <f>HYPERLINK("http://nsgreg.nga.mil/genc/view?v=868499&amp;end_month=12&amp;end_day=31&amp;end_year=2016","Correlation")</f>
        <v>Correlation</v>
      </c>
    </row>
    <row r="953" spans="1:13" x14ac:dyDescent="0.2">
      <c r="A953" s="113"/>
      <c r="B953" s="58" t="s">
        <v>3552</v>
      </c>
      <c r="C953" s="58" t="s">
        <v>1796</v>
      </c>
      <c r="D953" s="58" t="s">
        <v>3551</v>
      </c>
      <c r="E953" s="60" t="b">
        <v>1</v>
      </c>
      <c r="F953" s="80" t="s">
        <v>467</v>
      </c>
      <c r="G953" s="58" t="s">
        <v>3550</v>
      </c>
      <c r="H953" s="58" t="s">
        <v>1796</v>
      </c>
      <c r="I953" s="64" t="s">
        <v>3551</v>
      </c>
      <c r="J953" s="66"/>
      <c r="K953" s="66"/>
      <c r="L953" s="68"/>
      <c r="M953" s="63" t="str">
        <f>HYPERLINK("http://nsgreg.nga.mil/genc/view?v=868500&amp;end_month=12&amp;end_day=31&amp;end_year=2016","Correlation")</f>
        <v>Correlation</v>
      </c>
    </row>
    <row r="954" spans="1:13" x14ac:dyDescent="0.2">
      <c r="A954" s="113"/>
      <c r="B954" s="58" t="s">
        <v>3553</v>
      </c>
      <c r="C954" s="58" t="s">
        <v>1796</v>
      </c>
      <c r="D954" s="58" t="s">
        <v>3554</v>
      </c>
      <c r="E954" s="60" t="b">
        <v>1</v>
      </c>
      <c r="F954" s="80" t="s">
        <v>467</v>
      </c>
      <c r="G954" s="58" t="s">
        <v>3553</v>
      </c>
      <c r="H954" s="58" t="s">
        <v>1796</v>
      </c>
      <c r="I954" s="64" t="s">
        <v>3554</v>
      </c>
      <c r="J954" s="66"/>
      <c r="K954" s="66"/>
      <c r="L954" s="68"/>
      <c r="M954" s="63" t="str">
        <f>HYPERLINK("http://nsgreg.nga.mil/genc/view?v=868471&amp;end_month=12&amp;end_day=31&amp;end_year=2016","Correlation")</f>
        <v>Correlation</v>
      </c>
    </row>
    <row r="955" spans="1:13" x14ac:dyDescent="0.2">
      <c r="A955" s="113"/>
      <c r="B955" s="58" t="s">
        <v>3557</v>
      </c>
      <c r="C955" s="58" t="s">
        <v>1728</v>
      </c>
      <c r="D955" s="58" t="s">
        <v>3556</v>
      </c>
      <c r="E955" s="60" t="b">
        <v>1</v>
      </c>
      <c r="F955" s="80" t="s">
        <v>467</v>
      </c>
      <c r="G955" s="58" t="s">
        <v>3555</v>
      </c>
      <c r="H955" s="58" t="s">
        <v>1728</v>
      </c>
      <c r="I955" s="64" t="s">
        <v>3556</v>
      </c>
      <c r="J955" s="66"/>
      <c r="K955" s="66"/>
      <c r="L955" s="68"/>
      <c r="M955" s="63" t="str">
        <f>HYPERLINK("http://nsgreg.nga.mil/genc/view?v=868508&amp;end_month=12&amp;end_day=31&amp;end_year=2016","Correlation")</f>
        <v>Correlation</v>
      </c>
    </row>
    <row r="956" spans="1:13" x14ac:dyDescent="0.2">
      <c r="A956" s="113"/>
      <c r="B956" s="58" t="s">
        <v>3558</v>
      </c>
      <c r="C956" s="58" t="s">
        <v>1796</v>
      </c>
      <c r="D956" s="58" t="s">
        <v>3559</v>
      </c>
      <c r="E956" s="60" t="b">
        <v>1</v>
      </c>
      <c r="F956" s="80" t="s">
        <v>467</v>
      </c>
      <c r="G956" s="58" t="s">
        <v>3558</v>
      </c>
      <c r="H956" s="58" t="s">
        <v>1796</v>
      </c>
      <c r="I956" s="64" t="s">
        <v>3559</v>
      </c>
      <c r="J956" s="66"/>
      <c r="K956" s="66"/>
      <c r="L956" s="68"/>
      <c r="M956" s="63" t="str">
        <f>HYPERLINK("http://nsgreg.nga.mil/genc/view?v=868476&amp;end_month=12&amp;end_day=31&amp;end_year=2016","Correlation")</f>
        <v>Correlation</v>
      </c>
    </row>
    <row r="957" spans="1:13" x14ac:dyDescent="0.2">
      <c r="A957" s="113"/>
      <c r="B957" s="58" t="s">
        <v>3560</v>
      </c>
      <c r="C957" s="58" t="s">
        <v>1796</v>
      </c>
      <c r="D957" s="58" t="s">
        <v>3561</v>
      </c>
      <c r="E957" s="60" t="b">
        <v>1</v>
      </c>
      <c r="F957" s="80" t="s">
        <v>467</v>
      </c>
      <c r="G957" s="58" t="s">
        <v>3560</v>
      </c>
      <c r="H957" s="58" t="s">
        <v>1796</v>
      </c>
      <c r="I957" s="64" t="s">
        <v>3561</v>
      </c>
      <c r="J957" s="66"/>
      <c r="K957" s="66"/>
      <c r="L957" s="68"/>
      <c r="M957" s="63" t="str">
        <f>HYPERLINK("http://nsgreg.nga.mil/genc/view?v=868440&amp;end_month=12&amp;end_day=31&amp;end_year=2016","Correlation")</f>
        <v>Correlation</v>
      </c>
    </row>
    <row r="958" spans="1:13" x14ac:dyDescent="0.2">
      <c r="A958" s="113"/>
      <c r="B958" s="58" t="s">
        <v>3564</v>
      </c>
      <c r="C958" s="58" t="s">
        <v>1796</v>
      </c>
      <c r="D958" s="58" t="s">
        <v>3563</v>
      </c>
      <c r="E958" s="60" t="b">
        <v>1</v>
      </c>
      <c r="F958" s="80" t="s">
        <v>467</v>
      </c>
      <c r="G958" s="58" t="s">
        <v>3562</v>
      </c>
      <c r="H958" s="58" t="s">
        <v>1796</v>
      </c>
      <c r="I958" s="64" t="s">
        <v>3563</v>
      </c>
      <c r="J958" s="66"/>
      <c r="K958" s="66"/>
      <c r="L958" s="68"/>
      <c r="M958" s="63" t="str">
        <f>HYPERLINK("http://nsgreg.nga.mil/genc/view?v=868447&amp;end_month=12&amp;end_day=31&amp;end_year=2016","Correlation")</f>
        <v>Correlation</v>
      </c>
    </row>
    <row r="959" spans="1:13" x14ac:dyDescent="0.2">
      <c r="A959" s="113"/>
      <c r="B959" s="58" t="s">
        <v>3567</v>
      </c>
      <c r="C959" s="58" t="s">
        <v>1796</v>
      </c>
      <c r="D959" s="58" t="s">
        <v>3566</v>
      </c>
      <c r="E959" s="60" t="b">
        <v>1</v>
      </c>
      <c r="F959" s="80" t="s">
        <v>467</v>
      </c>
      <c r="G959" s="58" t="s">
        <v>3565</v>
      </c>
      <c r="H959" s="58" t="s">
        <v>1796</v>
      </c>
      <c r="I959" s="64" t="s">
        <v>3566</v>
      </c>
      <c r="J959" s="66"/>
      <c r="K959" s="66"/>
      <c r="L959" s="68"/>
      <c r="M959" s="63" t="str">
        <f>HYPERLINK("http://nsgreg.nga.mil/genc/view?v=868446&amp;end_month=12&amp;end_day=31&amp;end_year=2016","Correlation")</f>
        <v>Correlation</v>
      </c>
    </row>
    <row r="960" spans="1:13" x14ac:dyDescent="0.2">
      <c r="A960" s="113"/>
      <c r="B960" s="58" t="s">
        <v>3570</v>
      </c>
      <c r="C960" s="58" t="s">
        <v>1796</v>
      </c>
      <c r="D960" s="58" t="s">
        <v>3569</v>
      </c>
      <c r="E960" s="60" t="b">
        <v>1</v>
      </c>
      <c r="F960" s="80" t="s">
        <v>467</v>
      </c>
      <c r="G960" s="58" t="s">
        <v>3568</v>
      </c>
      <c r="H960" s="58" t="s">
        <v>1796</v>
      </c>
      <c r="I960" s="64" t="s">
        <v>3569</v>
      </c>
      <c r="J960" s="66"/>
      <c r="K960" s="66"/>
      <c r="L960" s="68"/>
      <c r="M960" s="63" t="str">
        <f>HYPERLINK("http://nsgreg.nga.mil/genc/view?v=868448&amp;end_month=12&amp;end_day=31&amp;end_year=2016","Correlation")</f>
        <v>Correlation</v>
      </c>
    </row>
    <row r="961" spans="1:13" x14ac:dyDescent="0.2">
      <c r="A961" s="113"/>
      <c r="B961" s="58" t="s">
        <v>3573</v>
      </c>
      <c r="C961" s="58" t="s">
        <v>1728</v>
      </c>
      <c r="D961" s="58" t="s">
        <v>3572</v>
      </c>
      <c r="E961" s="60" t="b">
        <v>1</v>
      </c>
      <c r="F961" s="80" t="s">
        <v>467</v>
      </c>
      <c r="G961" s="58" t="s">
        <v>3571</v>
      </c>
      <c r="H961" s="58" t="s">
        <v>1728</v>
      </c>
      <c r="I961" s="64" t="s">
        <v>3572</v>
      </c>
      <c r="J961" s="66"/>
      <c r="K961" s="66"/>
      <c r="L961" s="68"/>
      <c r="M961" s="63" t="str">
        <f>HYPERLINK("http://nsgreg.nga.mil/genc/view?v=868509&amp;end_month=12&amp;end_day=31&amp;end_year=2016","Correlation")</f>
        <v>Correlation</v>
      </c>
    </row>
    <row r="962" spans="1:13" x14ac:dyDescent="0.2">
      <c r="A962" s="113"/>
      <c r="B962" s="58" t="s">
        <v>3574</v>
      </c>
      <c r="C962" s="58" t="s">
        <v>1796</v>
      </c>
      <c r="D962" s="58" t="s">
        <v>3575</v>
      </c>
      <c r="E962" s="60" t="b">
        <v>1</v>
      </c>
      <c r="F962" s="80" t="s">
        <v>467</v>
      </c>
      <c r="G962" s="58" t="s">
        <v>3574</v>
      </c>
      <c r="H962" s="58" t="s">
        <v>1796</v>
      </c>
      <c r="I962" s="64" t="s">
        <v>3575</v>
      </c>
      <c r="J962" s="66"/>
      <c r="K962" s="66"/>
      <c r="L962" s="68"/>
      <c r="M962" s="63" t="str">
        <f>HYPERLINK("http://nsgreg.nga.mil/genc/view?v=868441&amp;end_month=12&amp;end_day=31&amp;end_year=2016","Correlation")</f>
        <v>Correlation</v>
      </c>
    </row>
    <row r="963" spans="1:13" x14ac:dyDescent="0.2">
      <c r="A963" s="113"/>
      <c r="B963" s="58" t="s">
        <v>3579</v>
      </c>
      <c r="C963" s="58" t="s">
        <v>3577</v>
      </c>
      <c r="D963" s="58" t="s">
        <v>3578</v>
      </c>
      <c r="E963" s="60" t="b">
        <v>1</v>
      </c>
      <c r="F963" s="80" t="s">
        <v>467</v>
      </c>
      <c r="G963" s="58" t="s">
        <v>3576</v>
      </c>
      <c r="H963" s="58" t="s">
        <v>3577</v>
      </c>
      <c r="I963" s="64" t="s">
        <v>3578</v>
      </c>
      <c r="J963" s="66"/>
      <c r="K963" s="66"/>
      <c r="L963" s="68"/>
      <c r="M963" s="63" t="str">
        <f>HYPERLINK("http://nsgreg.nga.mil/genc/view?v=868510&amp;end_month=12&amp;end_day=31&amp;end_year=2016","Correlation")</f>
        <v>Correlation</v>
      </c>
    </row>
    <row r="964" spans="1:13" x14ac:dyDescent="0.2">
      <c r="A964" s="113"/>
      <c r="B964" s="58" t="s">
        <v>3612</v>
      </c>
      <c r="C964" s="58" t="s">
        <v>1796</v>
      </c>
      <c r="D964" s="58" t="s">
        <v>3611</v>
      </c>
      <c r="E964" s="60" t="b">
        <v>1</v>
      </c>
      <c r="F964" s="80" t="s">
        <v>467</v>
      </c>
      <c r="G964" s="58" t="s">
        <v>3610</v>
      </c>
      <c r="H964" s="58" t="s">
        <v>1796</v>
      </c>
      <c r="I964" s="64" t="s">
        <v>3611</v>
      </c>
      <c r="J964" s="66"/>
      <c r="K964" s="66"/>
      <c r="L964" s="68"/>
      <c r="M964" s="63" t="str">
        <f>HYPERLINK("http://nsgreg.nga.mil/genc/view?v=868396&amp;end_month=12&amp;end_day=31&amp;end_year=2016","Correlation")</f>
        <v>Correlation</v>
      </c>
    </row>
    <row r="965" spans="1:13" x14ac:dyDescent="0.2">
      <c r="A965" s="113"/>
      <c r="B965" s="58" t="s">
        <v>3597</v>
      </c>
      <c r="C965" s="58" t="s">
        <v>1796</v>
      </c>
      <c r="D965" s="58" t="s">
        <v>3596</v>
      </c>
      <c r="E965" s="60" t="b">
        <v>1</v>
      </c>
      <c r="F965" s="80" t="s">
        <v>467</v>
      </c>
      <c r="G965" s="58" t="s">
        <v>3595</v>
      </c>
      <c r="H965" s="58" t="s">
        <v>1796</v>
      </c>
      <c r="I965" s="64" t="s">
        <v>3596</v>
      </c>
      <c r="J965" s="66"/>
      <c r="K965" s="66"/>
      <c r="L965" s="68"/>
      <c r="M965" s="63" t="str">
        <f>HYPERLINK("http://nsgreg.nga.mil/genc/view?v=868397&amp;end_month=12&amp;end_day=31&amp;end_year=2016","Correlation")</f>
        <v>Correlation</v>
      </c>
    </row>
    <row r="966" spans="1:13" x14ac:dyDescent="0.2">
      <c r="A966" s="113"/>
      <c r="B966" s="58" t="s">
        <v>3642</v>
      </c>
      <c r="C966" s="58" t="s">
        <v>1796</v>
      </c>
      <c r="D966" s="58" t="s">
        <v>3641</v>
      </c>
      <c r="E966" s="60" t="b">
        <v>1</v>
      </c>
      <c r="F966" s="80" t="s">
        <v>467</v>
      </c>
      <c r="G966" s="58" t="s">
        <v>3640</v>
      </c>
      <c r="H966" s="58" t="s">
        <v>1796</v>
      </c>
      <c r="I966" s="64" t="s">
        <v>3641</v>
      </c>
      <c r="J966" s="66"/>
      <c r="K966" s="66"/>
      <c r="L966" s="68"/>
      <c r="M966" s="63" t="str">
        <f>HYPERLINK("http://nsgreg.nga.mil/genc/view?v=868398&amp;end_month=12&amp;end_day=31&amp;end_year=2016","Correlation")</f>
        <v>Correlation</v>
      </c>
    </row>
    <row r="967" spans="1:13" x14ac:dyDescent="0.2">
      <c r="A967" s="113"/>
      <c r="B967" s="58" t="s">
        <v>3585</v>
      </c>
      <c r="C967" s="58" t="s">
        <v>1796</v>
      </c>
      <c r="D967" s="58" t="s">
        <v>3584</v>
      </c>
      <c r="E967" s="60" t="b">
        <v>1</v>
      </c>
      <c r="F967" s="80" t="s">
        <v>467</v>
      </c>
      <c r="G967" s="58" t="s">
        <v>3583</v>
      </c>
      <c r="H967" s="58" t="s">
        <v>1796</v>
      </c>
      <c r="I967" s="64" t="s">
        <v>3584</v>
      </c>
      <c r="J967" s="66"/>
      <c r="K967" s="66"/>
      <c r="L967" s="68"/>
      <c r="M967" s="63" t="str">
        <f>HYPERLINK("http://nsgreg.nga.mil/genc/view?v=868399&amp;end_month=12&amp;end_day=31&amp;end_year=2016","Correlation")</f>
        <v>Correlation</v>
      </c>
    </row>
    <row r="968" spans="1:13" x14ac:dyDescent="0.2">
      <c r="A968" s="113"/>
      <c r="B968" s="58" t="s">
        <v>3627</v>
      </c>
      <c r="C968" s="58" t="s">
        <v>1796</v>
      </c>
      <c r="D968" s="58" t="s">
        <v>3626</v>
      </c>
      <c r="E968" s="60" t="b">
        <v>1</v>
      </c>
      <c r="F968" s="80" t="s">
        <v>467</v>
      </c>
      <c r="G968" s="58" t="s">
        <v>3625</v>
      </c>
      <c r="H968" s="58" t="s">
        <v>1796</v>
      </c>
      <c r="I968" s="64" t="s">
        <v>3626</v>
      </c>
      <c r="J968" s="66"/>
      <c r="K968" s="66"/>
      <c r="L968" s="68"/>
      <c r="M968" s="63" t="str">
        <f>HYPERLINK("http://nsgreg.nga.mil/genc/view?v=868400&amp;end_month=12&amp;end_day=31&amp;end_year=2016","Correlation")</f>
        <v>Correlation</v>
      </c>
    </row>
    <row r="969" spans="1:13" x14ac:dyDescent="0.2">
      <c r="A969" s="113"/>
      <c r="B969" s="58" t="s">
        <v>3636</v>
      </c>
      <c r="C969" s="58" t="s">
        <v>1796</v>
      </c>
      <c r="D969" s="58" t="s">
        <v>3635</v>
      </c>
      <c r="E969" s="60" t="b">
        <v>1</v>
      </c>
      <c r="F969" s="80" t="s">
        <v>467</v>
      </c>
      <c r="G969" s="58" t="s">
        <v>3634</v>
      </c>
      <c r="H969" s="58" t="s">
        <v>1796</v>
      </c>
      <c r="I969" s="64" t="s">
        <v>3635</v>
      </c>
      <c r="J969" s="66"/>
      <c r="K969" s="66"/>
      <c r="L969" s="68"/>
      <c r="M969" s="63" t="str">
        <f>HYPERLINK("http://nsgreg.nga.mil/genc/view?v=868401&amp;end_month=12&amp;end_day=31&amp;end_year=2016","Correlation")</f>
        <v>Correlation</v>
      </c>
    </row>
    <row r="970" spans="1:13" x14ac:dyDescent="0.2">
      <c r="A970" s="113"/>
      <c r="B970" s="58" t="s">
        <v>3630</v>
      </c>
      <c r="C970" s="58" t="s">
        <v>1796</v>
      </c>
      <c r="D970" s="58" t="s">
        <v>3629</v>
      </c>
      <c r="E970" s="60" t="b">
        <v>1</v>
      </c>
      <c r="F970" s="80" t="s">
        <v>467</v>
      </c>
      <c r="G970" s="58" t="s">
        <v>3628</v>
      </c>
      <c r="H970" s="58" t="s">
        <v>1796</v>
      </c>
      <c r="I970" s="64" t="s">
        <v>3629</v>
      </c>
      <c r="J970" s="66"/>
      <c r="K970" s="66"/>
      <c r="L970" s="68"/>
      <c r="M970" s="63" t="str">
        <f>HYPERLINK("http://nsgreg.nga.mil/genc/view?v=868402&amp;end_month=12&amp;end_day=31&amp;end_year=2016","Correlation")</f>
        <v>Correlation</v>
      </c>
    </row>
    <row r="971" spans="1:13" x14ac:dyDescent="0.2">
      <c r="A971" s="113"/>
      <c r="B971" s="58" t="s">
        <v>3618</v>
      </c>
      <c r="C971" s="58" t="s">
        <v>1796</v>
      </c>
      <c r="D971" s="58" t="s">
        <v>3617</v>
      </c>
      <c r="E971" s="60" t="b">
        <v>1</v>
      </c>
      <c r="F971" s="80" t="s">
        <v>467</v>
      </c>
      <c r="G971" s="58" t="s">
        <v>3616</v>
      </c>
      <c r="H971" s="58" t="s">
        <v>1796</v>
      </c>
      <c r="I971" s="64" t="s">
        <v>3617</v>
      </c>
      <c r="J971" s="66"/>
      <c r="K971" s="66"/>
      <c r="L971" s="68"/>
      <c r="M971" s="63" t="str">
        <f>HYPERLINK("http://nsgreg.nga.mil/genc/view?v=868403&amp;end_month=12&amp;end_day=31&amp;end_year=2016","Correlation")</f>
        <v>Correlation</v>
      </c>
    </row>
    <row r="972" spans="1:13" x14ac:dyDescent="0.2">
      <c r="A972" s="113"/>
      <c r="B972" s="58" t="s">
        <v>3594</v>
      </c>
      <c r="C972" s="58" t="s">
        <v>1796</v>
      </c>
      <c r="D972" s="58" t="s">
        <v>3593</v>
      </c>
      <c r="E972" s="60" t="b">
        <v>1</v>
      </c>
      <c r="F972" s="80" t="s">
        <v>467</v>
      </c>
      <c r="G972" s="58" t="s">
        <v>3592</v>
      </c>
      <c r="H972" s="58" t="s">
        <v>1796</v>
      </c>
      <c r="I972" s="64" t="s">
        <v>3593</v>
      </c>
      <c r="J972" s="66"/>
      <c r="K972" s="66"/>
      <c r="L972" s="68"/>
      <c r="M972" s="63" t="str">
        <f>HYPERLINK("http://nsgreg.nga.mil/genc/view?v=868404&amp;end_month=12&amp;end_day=31&amp;end_year=2016","Correlation")</f>
        <v>Correlation</v>
      </c>
    </row>
    <row r="973" spans="1:13" x14ac:dyDescent="0.2">
      <c r="A973" s="113"/>
      <c r="B973" s="58" t="s">
        <v>3588</v>
      </c>
      <c r="C973" s="58" t="s">
        <v>1796</v>
      </c>
      <c r="D973" s="58" t="s">
        <v>3587</v>
      </c>
      <c r="E973" s="60" t="b">
        <v>1</v>
      </c>
      <c r="F973" s="80" t="s">
        <v>467</v>
      </c>
      <c r="G973" s="58" t="s">
        <v>3586</v>
      </c>
      <c r="H973" s="58" t="s">
        <v>1796</v>
      </c>
      <c r="I973" s="64" t="s">
        <v>3587</v>
      </c>
      <c r="J973" s="66"/>
      <c r="K973" s="66"/>
      <c r="L973" s="68"/>
      <c r="M973" s="63" t="str">
        <f>HYPERLINK("http://nsgreg.nga.mil/genc/view?v=868405&amp;end_month=12&amp;end_day=31&amp;end_year=2016","Correlation")</f>
        <v>Correlation</v>
      </c>
    </row>
    <row r="974" spans="1:13" x14ac:dyDescent="0.2">
      <c r="A974" s="113"/>
      <c r="B974" s="58" t="s">
        <v>3615</v>
      </c>
      <c r="C974" s="58" t="s">
        <v>1796</v>
      </c>
      <c r="D974" s="58" t="s">
        <v>3614</v>
      </c>
      <c r="E974" s="60" t="b">
        <v>1</v>
      </c>
      <c r="F974" s="80" t="s">
        <v>467</v>
      </c>
      <c r="G974" s="58" t="s">
        <v>3613</v>
      </c>
      <c r="H974" s="58" t="s">
        <v>1796</v>
      </c>
      <c r="I974" s="64" t="s">
        <v>3614</v>
      </c>
      <c r="J974" s="66"/>
      <c r="K974" s="66"/>
      <c r="L974" s="68"/>
      <c r="M974" s="63" t="str">
        <f>HYPERLINK("http://nsgreg.nga.mil/genc/view?v=868406&amp;end_month=12&amp;end_day=31&amp;end_year=2016","Correlation")</f>
        <v>Correlation</v>
      </c>
    </row>
    <row r="975" spans="1:13" x14ac:dyDescent="0.2">
      <c r="A975" s="113"/>
      <c r="B975" s="58" t="s">
        <v>3609</v>
      </c>
      <c r="C975" s="58" t="s">
        <v>1796</v>
      </c>
      <c r="D975" s="58" t="s">
        <v>3608</v>
      </c>
      <c r="E975" s="60" t="b">
        <v>1</v>
      </c>
      <c r="F975" s="80" t="s">
        <v>467</v>
      </c>
      <c r="G975" s="58" t="s">
        <v>3607</v>
      </c>
      <c r="H975" s="58" t="s">
        <v>1796</v>
      </c>
      <c r="I975" s="64" t="s">
        <v>3608</v>
      </c>
      <c r="J975" s="66"/>
      <c r="K975" s="66"/>
      <c r="L975" s="68"/>
      <c r="M975" s="63" t="str">
        <f>HYPERLINK("http://nsgreg.nga.mil/genc/view?v=868407&amp;end_month=12&amp;end_day=31&amp;end_year=2016","Correlation")</f>
        <v>Correlation</v>
      </c>
    </row>
    <row r="976" spans="1:13" x14ac:dyDescent="0.2">
      <c r="A976" s="113"/>
      <c r="B976" s="58" t="s">
        <v>3645</v>
      </c>
      <c r="C976" s="58" t="s">
        <v>1796</v>
      </c>
      <c r="D976" s="58" t="s">
        <v>3644</v>
      </c>
      <c r="E976" s="60" t="b">
        <v>1</v>
      </c>
      <c r="F976" s="80" t="s">
        <v>467</v>
      </c>
      <c r="G976" s="58" t="s">
        <v>3643</v>
      </c>
      <c r="H976" s="58" t="s">
        <v>1796</v>
      </c>
      <c r="I976" s="64" t="s">
        <v>3644</v>
      </c>
      <c r="J976" s="66"/>
      <c r="K976" s="66"/>
      <c r="L976" s="68"/>
      <c r="M976" s="63" t="str">
        <f>HYPERLINK("http://nsgreg.nga.mil/genc/view?v=868408&amp;end_month=12&amp;end_day=31&amp;end_year=2016","Correlation")</f>
        <v>Correlation</v>
      </c>
    </row>
    <row r="977" spans="1:13" x14ac:dyDescent="0.2">
      <c r="A977" s="113"/>
      <c r="B977" s="58" t="s">
        <v>3582</v>
      </c>
      <c r="C977" s="58" t="s">
        <v>1796</v>
      </c>
      <c r="D977" s="58" t="s">
        <v>3581</v>
      </c>
      <c r="E977" s="60" t="b">
        <v>1</v>
      </c>
      <c r="F977" s="80" t="s">
        <v>467</v>
      </c>
      <c r="G977" s="58" t="s">
        <v>3580</v>
      </c>
      <c r="H977" s="58" t="s">
        <v>1796</v>
      </c>
      <c r="I977" s="64" t="s">
        <v>3581</v>
      </c>
      <c r="J977" s="66"/>
      <c r="K977" s="66"/>
      <c r="L977" s="68"/>
      <c r="M977" s="63" t="str">
        <f>HYPERLINK("http://nsgreg.nga.mil/genc/view?v=868409&amp;end_month=12&amp;end_day=31&amp;end_year=2016","Correlation")</f>
        <v>Correlation</v>
      </c>
    </row>
    <row r="978" spans="1:13" x14ac:dyDescent="0.2">
      <c r="A978" s="113"/>
      <c r="B978" s="58" t="s">
        <v>3624</v>
      </c>
      <c r="C978" s="58" t="s">
        <v>1796</v>
      </c>
      <c r="D978" s="58" t="s">
        <v>3623</v>
      </c>
      <c r="E978" s="60" t="b">
        <v>1</v>
      </c>
      <c r="F978" s="80" t="s">
        <v>467</v>
      </c>
      <c r="G978" s="58" t="s">
        <v>3622</v>
      </c>
      <c r="H978" s="58" t="s">
        <v>1796</v>
      </c>
      <c r="I978" s="64" t="s">
        <v>3623</v>
      </c>
      <c r="J978" s="66"/>
      <c r="K978" s="66"/>
      <c r="L978" s="68"/>
      <c r="M978" s="63" t="str">
        <f>HYPERLINK("http://nsgreg.nga.mil/genc/view?v=868410&amp;end_month=12&amp;end_day=31&amp;end_year=2016","Correlation")</f>
        <v>Correlation</v>
      </c>
    </row>
    <row r="979" spans="1:13" x14ac:dyDescent="0.2">
      <c r="A979" s="113"/>
      <c r="B979" s="58" t="s">
        <v>3639</v>
      </c>
      <c r="C979" s="58" t="s">
        <v>1796</v>
      </c>
      <c r="D979" s="58" t="s">
        <v>3638</v>
      </c>
      <c r="E979" s="60" t="b">
        <v>1</v>
      </c>
      <c r="F979" s="80" t="s">
        <v>467</v>
      </c>
      <c r="G979" s="58" t="s">
        <v>3637</v>
      </c>
      <c r="H979" s="58" t="s">
        <v>1796</v>
      </c>
      <c r="I979" s="64" t="s">
        <v>3638</v>
      </c>
      <c r="J979" s="66"/>
      <c r="K979" s="66"/>
      <c r="L979" s="68"/>
      <c r="M979" s="63" t="str">
        <f>HYPERLINK("http://nsgreg.nga.mil/genc/view?v=868418&amp;end_month=12&amp;end_day=31&amp;end_year=2016","Correlation")</f>
        <v>Correlation</v>
      </c>
    </row>
    <row r="980" spans="1:13" x14ac:dyDescent="0.2">
      <c r="A980" s="113"/>
      <c r="B980" s="58" t="s">
        <v>3633</v>
      </c>
      <c r="C980" s="58" t="s">
        <v>1796</v>
      </c>
      <c r="D980" s="58" t="s">
        <v>3632</v>
      </c>
      <c r="E980" s="60" t="b">
        <v>1</v>
      </c>
      <c r="F980" s="80" t="s">
        <v>467</v>
      </c>
      <c r="G980" s="58" t="s">
        <v>3631</v>
      </c>
      <c r="H980" s="58" t="s">
        <v>1796</v>
      </c>
      <c r="I980" s="64" t="s">
        <v>3632</v>
      </c>
      <c r="J980" s="66"/>
      <c r="K980" s="66"/>
      <c r="L980" s="68"/>
      <c r="M980" s="63" t="str">
        <f>HYPERLINK("http://nsgreg.nga.mil/genc/view?v=868419&amp;end_month=12&amp;end_day=31&amp;end_year=2016","Correlation")</f>
        <v>Correlation</v>
      </c>
    </row>
    <row r="981" spans="1:13" x14ac:dyDescent="0.2">
      <c r="A981" s="113"/>
      <c r="B981" s="58" t="s">
        <v>3621</v>
      </c>
      <c r="C981" s="58" t="s">
        <v>1796</v>
      </c>
      <c r="D981" s="58" t="s">
        <v>3620</v>
      </c>
      <c r="E981" s="60" t="b">
        <v>1</v>
      </c>
      <c r="F981" s="80" t="s">
        <v>467</v>
      </c>
      <c r="G981" s="58" t="s">
        <v>3619</v>
      </c>
      <c r="H981" s="58" t="s">
        <v>1796</v>
      </c>
      <c r="I981" s="64" t="s">
        <v>3620</v>
      </c>
      <c r="J981" s="66"/>
      <c r="K981" s="66"/>
      <c r="L981" s="68"/>
      <c r="M981" s="63" t="str">
        <f>HYPERLINK("http://nsgreg.nga.mil/genc/view?v=868420&amp;end_month=12&amp;end_day=31&amp;end_year=2016","Correlation")</f>
        <v>Correlation</v>
      </c>
    </row>
    <row r="982" spans="1:13" x14ac:dyDescent="0.2">
      <c r="A982" s="113"/>
      <c r="B982" s="58" t="s">
        <v>3591</v>
      </c>
      <c r="C982" s="58" t="s">
        <v>1796</v>
      </c>
      <c r="D982" s="58" t="s">
        <v>3590</v>
      </c>
      <c r="E982" s="60" t="b">
        <v>1</v>
      </c>
      <c r="F982" s="80" t="s">
        <v>467</v>
      </c>
      <c r="G982" s="58" t="s">
        <v>3589</v>
      </c>
      <c r="H982" s="58" t="s">
        <v>1796</v>
      </c>
      <c r="I982" s="64" t="s">
        <v>3590</v>
      </c>
      <c r="J982" s="66"/>
      <c r="K982" s="66"/>
      <c r="L982" s="68"/>
      <c r="M982" s="63" t="str">
        <f>HYPERLINK("http://nsgreg.nga.mil/genc/view?v=868421&amp;end_month=12&amp;end_day=31&amp;end_year=2016","Correlation")</f>
        <v>Correlation</v>
      </c>
    </row>
    <row r="983" spans="1:13" x14ac:dyDescent="0.2">
      <c r="A983" s="113"/>
      <c r="B983" s="58" t="s">
        <v>3600</v>
      </c>
      <c r="C983" s="58" t="s">
        <v>1796</v>
      </c>
      <c r="D983" s="58" t="s">
        <v>3599</v>
      </c>
      <c r="E983" s="60" t="b">
        <v>1</v>
      </c>
      <c r="F983" s="80" t="s">
        <v>467</v>
      </c>
      <c r="G983" s="58" t="s">
        <v>3598</v>
      </c>
      <c r="H983" s="58" t="s">
        <v>1796</v>
      </c>
      <c r="I983" s="64" t="s">
        <v>3599</v>
      </c>
      <c r="J983" s="66"/>
      <c r="K983" s="66"/>
      <c r="L983" s="68"/>
      <c r="M983" s="63" t="str">
        <f>HYPERLINK("http://nsgreg.nga.mil/genc/view?v=868422&amp;end_month=12&amp;end_day=31&amp;end_year=2016","Correlation")</f>
        <v>Correlation</v>
      </c>
    </row>
    <row r="984" spans="1:13" x14ac:dyDescent="0.2">
      <c r="A984" s="113"/>
      <c r="B984" s="58" t="s">
        <v>3606</v>
      </c>
      <c r="C984" s="58" t="s">
        <v>1796</v>
      </c>
      <c r="D984" s="58" t="s">
        <v>3605</v>
      </c>
      <c r="E984" s="60" t="b">
        <v>1</v>
      </c>
      <c r="F984" s="80" t="s">
        <v>467</v>
      </c>
      <c r="G984" s="58" t="s">
        <v>3604</v>
      </c>
      <c r="H984" s="58" t="s">
        <v>1796</v>
      </c>
      <c r="I984" s="64" t="s">
        <v>3605</v>
      </c>
      <c r="J984" s="66"/>
      <c r="K984" s="66"/>
      <c r="L984" s="68"/>
      <c r="M984" s="63" t="str">
        <f>HYPERLINK("http://nsgreg.nga.mil/genc/view?v=868423&amp;end_month=12&amp;end_day=31&amp;end_year=2016","Correlation")</f>
        <v>Correlation</v>
      </c>
    </row>
    <row r="985" spans="1:13" x14ac:dyDescent="0.2">
      <c r="A985" s="113"/>
      <c r="B985" s="58" t="s">
        <v>3648</v>
      </c>
      <c r="C985" s="58" t="s">
        <v>1796</v>
      </c>
      <c r="D985" s="58" t="s">
        <v>3647</v>
      </c>
      <c r="E985" s="60" t="b">
        <v>1</v>
      </c>
      <c r="F985" s="80" t="s">
        <v>467</v>
      </c>
      <c r="G985" s="58" t="s">
        <v>3646</v>
      </c>
      <c r="H985" s="58" t="s">
        <v>1796</v>
      </c>
      <c r="I985" s="64" t="s">
        <v>3647</v>
      </c>
      <c r="J985" s="66"/>
      <c r="K985" s="66"/>
      <c r="L985" s="68"/>
      <c r="M985" s="63" t="str">
        <f>HYPERLINK("http://nsgreg.nga.mil/genc/view?v=868433&amp;end_month=12&amp;end_day=31&amp;end_year=2016","Correlation")</f>
        <v>Correlation</v>
      </c>
    </row>
    <row r="986" spans="1:13" x14ac:dyDescent="0.2">
      <c r="A986" s="113"/>
      <c r="B986" s="58" t="s">
        <v>3603</v>
      </c>
      <c r="C986" s="58" t="s">
        <v>1796</v>
      </c>
      <c r="D986" s="58" t="s">
        <v>3602</v>
      </c>
      <c r="E986" s="60" t="b">
        <v>1</v>
      </c>
      <c r="F986" s="80" t="s">
        <v>467</v>
      </c>
      <c r="G986" s="58" t="s">
        <v>3601</v>
      </c>
      <c r="H986" s="58" t="s">
        <v>1796</v>
      </c>
      <c r="I986" s="64" t="s">
        <v>3602</v>
      </c>
      <c r="J986" s="66"/>
      <c r="K986" s="66"/>
      <c r="L986" s="68"/>
      <c r="M986" s="63" t="str">
        <f>HYPERLINK("http://nsgreg.nga.mil/genc/view?v=868424&amp;end_month=12&amp;end_day=31&amp;end_year=2016","Correlation")</f>
        <v>Correlation</v>
      </c>
    </row>
    <row r="987" spans="1:13" x14ac:dyDescent="0.2">
      <c r="A987" s="113"/>
      <c r="B987" s="58" t="s">
        <v>3651</v>
      </c>
      <c r="C987" s="58" t="s">
        <v>1796</v>
      </c>
      <c r="D987" s="58" t="s">
        <v>3650</v>
      </c>
      <c r="E987" s="60" t="b">
        <v>1</v>
      </c>
      <c r="F987" s="80" t="s">
        <v>467</v>
      </c>
      <c r="G987" s="58" t="s">
        <v>3649</v>
      </c>
      <c r="H987" s="58" t="s">
        <v>1796</v>
      </c>
      <c r="I987" s="64" t="s">
        <v>3650</v>
      </c>
      <c r="J987" s="66"/>
      <c r="K987" s="66"/>
      <c r="L987" s="68"/>
      <c r="M987" s="63" t="str">
        <f>HYPERLINK("http://nsgreg.nga.mil/genc/view?v=868434&amp;end_month=12&amp;end_day=31&amp;end_year=2016","Correlation")</f>
        <v>Correlation</v>
      </c>
    </row>
    <row r="988" spans="1:13" x14ac:dyDescent="0.2">
      <c r="A988" s="113"/>
      <c r="B988" s="58" t="s">
        <v>3652</v>
      </c>
      <c r="C988" s="58" t="s">
        <v>1796</v>
      </c>
      <c r="D988" s="58" t="s">
        <v>3653</v>
      </c>
      <c r="E988" s="60" t="b">
        <v>1</v>
      </c>
      <c r="F988" s="80" t="s">
        <v>467</v>
      </c>
      <c r="G988" s="58" t="s">
        <v>3652</v>
      </c>
      <c r="H988" s="58" t="s">
        <v>1796</v>
      </c>
      <c r="I988" s="64" t="s">
        <v>3653</v>
      </c>
      <c r="J988" s="66"/>
      <c r="K988" s="66"/>
      <c r="L988" s="68"/>
      <c r="M988" s="63" t="str">
        <f>HYPERLINK("http://nsgreg.nga.mil/genc/view?v=868489&amp;end_month=12&amp;end_day=31&amp;end_year=2016","Correlation")</f>
        <v>Correlation</v>
      </c>
    </row>
    <row r="989" spans="1:13" x14ac:dyDescent="0.2">
      <c r="A989" s="113"/>
      <c r="B989" s="58" t="s">
        <v>3654</v>
      </c>
      <c r="C989" s="58" t="s">
        <v>1796</v>
      </c>
      <c r="D989" s="58" t="s">
        <v>3655</v>
      </c>
      <c r="E989" s="60" t="b">
        <v>1</v>
      </c>
      <c r="F989" s="80" t="s">
        <v>467</v>
      </c>
      <c r="G989" s="58" t="s">
        <v>3654</v>
      </c>
      <c r="H989" s="58" t="s">
        <v>1796</v>
      </c>
      <c r="I989" s="64" t="s">
        <v>3655</v>
      </c>
      <c r="J989" s="66"/>
      <c r="K989" s="66"/>
      <c r="L989" s="68"/>
      <c r="M989" s="63" t="str">
        <f>HYPERLINK("http://nsgreg.nga.mil/genc/view?v=868435&amp;end_month=12&amp;end_day=31&amp;end_year=2016","Correlation")</f>
        <v>Correlation</v>
      </c>
    </row>
    <row r="990" spans="1:13" x14ac:dyDescent="0.2">
      <c r="A990" s="113"/>
      <c r="B990" s="58" t="s">
        <v>3656</v>
      </c>
      <c r="C990" s="58" t="s">
        <v>1796</v>
      </c>
      <c r="D990" s="58" t="s">
        <v>3657</v>
      </c>
      <c r="E990" s="60" t="b">
        <v>1</v>
      </c>
      <c r="F990" s="80" t="s">
        <v>467</v>
      </c>
      <c r="G990" s="58" t="s">
        <v>3656</v>
      </c>
      <c r="H990" s="58" t="s">
        <v>1796</v>
      </c>
      <c r="I990" s="64" t="s">
        <v>3657</v>
      </c>
      <c r="J990" s="66"/>
      <c r="K990" s="66"/>
      <c r="L990" s="68"/>
      <c r="M990" s="63" t="str">
        <f>HYPERLINK("http://nsgreg.nga.mil/genc/view?v=868488&amp;end_month=12&amp;end_day=31&amp;end_year=2016","Correlation")</f>
        <v>Correlation</v>
      </c>
    </row>
    <row r="991" spans="1:13" x14ac:dyDescent="0.2">
      <c r="A991" s="113"/>
      <c r="B991" s="58" t="s">
        <v>3658</v>
      </c>
      <c r="C991" s="58" t="s">
        <v>1796</v>
      </c>
      <c r="D991" s="58" t="s">
        <v>3659</v>
      </c>
      <c r="E991" s="60" t="b">
        <v>1</v>
      </c>
      <c r="F991" s="80" t="s">
        <v>467</v>
      </c>
      <c r="G991" s="58" t="s">
        <v>3658</v>
      </c>
      <c r="H991" s="58" t="s">
        <v>1796</v>
      </c>
      <c r="I991" s="64" t="s">
        <v>3659</v>
      </c>
      <c r="J991" s="66"/>
      <c r="K991" s="66"/>
      <c r="L991" s="68"/>
      <c r="M991" s="63" t="str">
        <f>HYPERLINK("http://nsgreg.nga.mil/genc/view?v=868436&amp;end_month=12&amp;end_day=31&amp;end_year=2016","Correlation")</f>
        <v>Correlation</v>
      </c>
    </row>
    <row r="992" spans="1:13" x14ac:dyDescent="0.2">
      <c r="A992" s="113"/>
      <c r="B992" s="58" t="s">
        <v>3660</v>
      </c>
      <c r="C992" s="58" t="s">
        <v>1796</v>
      </c>
      <c r="D992" s="58" t="s">
        <v>3661</v>
      </c>
      <c r="E992" s="60" t="b">
        <v>1</v>
      </c>
      <c r="F992" s="80" t="s">
        <v>467</v>
      </c>
      <c r="G992" s="58" t="s">
        <v>3660</v>
      </c>
      <c r="H992" s="58" t="s">
        <v>1796</v>
      </c>
      <c r="I992" s="64" t="s">
        <v>3661</v>
      </c>
      <c r="J992" s="66"/>
      <c r="K992" s="66"/>
      <c r="L992" s="68"/>
      <c r="M992" s="63" t="str">
        <f>HYPERLINK("http://nsgreg.nga.mil/genc/view?v=868449&amp;end_month=12&amp;end_day=31&amp;end_year=2016","Correlation")</f>
        <v>Correlation</v>
      </c>
    </row>
    <row r="993" spans="1:13" x14ac:dyDescent="0.2">
      <c r="A993" s="113"/>
      <c r="B993" s="58" t="s">
        <v>3662</v>
      </c>
      <c r="C993" s="58" t="s">
        <v>1796</v>
      </c>
      <c r="D993" s="58" t="s">
        <v>3663</v>
      </c>
      <c r="E993" s="60" t="b">
        <v>1</v>
      </c>
      <c r="F993" s="80" t="s">
        <v>467</v>
      </c>
      <c r="G993" s="58" t="s">
        <v>3662</v>
      </c>
      <c r="H993" s="58" t="s">
        <v>1796</v>
      </c>
      <c r="I993" s="64" t="s">
        <v>3663</v>
      </c>
      <c r="J993" s="66"/>
      <c r="K993" s="66"/>
      <c r="L993" s="68"/>
      <c r="M993" s="63" t="str">
        <f>HYPERLINK("http://nsgreg.nga.mil/genc/view?v=868468&amp;end_month=12&amp;end_day=31&amp;end_year=2016","Correlation")</f>
        <v>Correlation</v>
      </c>
    </row>
    <row r="994" spans="1:13" x14ac:dyDescent="0.2">
      <c r="A994" s="113"/>
      <c r="B994" s="58" t="s">
        <v>3664</v>
      </c>
      <c r="C994" s="58" t="s">
        <v>1796</v>
      </c>
      <c r="D994" s="58" t="s">
        <v>3665</v>
      </c>
      <c r="E994" s="60" t="b">
        <v>1</v>
      </c>
      <c r="F994" s="80" t="s">
        <v>467</v>
      </c>
      <c r="G994" s="58" t="s">
        <v>3664</v>
      </c>
      <c r="H994" s="58" t="s">
        <v>1796</v>
      </c>
      <c r="I994" s="64" t="s">
        <v>3665</v>
      </c>
      <c r="J994" s="66"/>
      <c r="K994" s="66"/>
      <c r="L994" s="68"/>
      <c r="M994" s="63" t="str">
        <f>HYPERLINK("http://nsgreg.nga.mil/genc/view?v=868464&amp;end_month=12&amp;end_day=31&amp;end_year=2016","Correlation")</f>
        <v>Correlation</v>
      </c>
    </row>
    <row r="995" spans="1:13" x14ac:dyDescent="0.2">
      <c r="A995" s="113"/>
      <c r="B995" s="58" t="s">
        <v>3666</v>
      </c>
      <c r="C995" s="58" t="s">
        <v>1796</v>
      </c>
      <c r="D995" s="58" t="s">
        <v>3667</v>
      </c>
      <c r="E995" s="60" t="b">
        <v>1</v>
      </c>
      <c r="F995" s="80" t="s">
        <v>467</v>
      </c>
      <c r="G995" s="58" t="s">
        <v>3666</v>
      </c>
      <c r="H995" s="58" t="s">
        <v>1796</v>
      </c>
      <c r="I995" s="64" t="s">
        <v>3667</v>
      </c>
      <c r="J995" s="66"/>
      <c r="K995" s="66"/>
      <c r="L995" s="68"/>
      <c r="M995" s="63" t="str">
        <f>HYPERLINK("http://nsgreg.nga.mil/genc/view?v=868453&amp;end_month=12&amp;end_day=31&amp;end_year=2016","Correlation")</f>
        <v>Correlation</v>
      </c>
    </row>
    <row r="996" spans="1:13" x14ac:dyDescent="0.2">
      <c r="A996" s="113"/>
      <c r="B996" s="58" t="s">
        <v>3668</v>
      </c>
      <c r="C996" s="58" t="s">
        <v>1796</v>
      </c>
      <c r="D996" s="58" t="s">
        <v>3669</v>
      </c>
      <c r="E996" s="60" t="b">
        <v>1</v>
      </c>
      <c r="F996" s="80" t="s">
        <v>467</v>
      </c>
      <c r="G996" s="58" t="s">
        <v>3668</v>
      </c>
      <c r="H996" s="58" t="s">
        <v>1796</v>
      </c>
      <c r="I996" s="64" t="s">
        <v>3669</v>
      </c>
      <c r="J996" s="66"/>
      <c r="K996" s="66"/>
      <c r="L996" s="68"/>
      <c r="M996" s="63" t="str">
        <f>HYPERLINK("http://nsgreg.nga.mil/genc/view?v=868442&amp;end_month=12&amp;end_day=31&amp;end_year=2016","Correlation")</f>
        <v>Correlation</v>
      </c>
    </row>
    <row r="997" spans="1:13" x14ac:dyDescent="0.2">
      <c r="A997" s="113"/>
      <c r="B997" s="58" t="s">
        <v>3672</v>
      </c>
      <c r="C997" s="58" t="s">
        <v>1728</v>
      </c>
      <c r="D997" s="58" t="s">
        <v>3671</v>
      </c>
      <c r="E997" s="60" t="b">
        <v>1</v>
      </c>
      <c r="F997" s="80" t="s">
        <v>467</v>
      </c>
      <c r="G997" s="58" t="s">
        <v>3670</v>
      </c>
      <c r="H997" s="58" t="s">
        <v>1728</v>
      </c>
      <c r="I997" s="64" t="s">
        <v>3671</v>
      </c>
      <c r="J997" s="66"/>
      <c r="K997" s="66"/>
      <c r="L997" s="68"/>
      <c r="M997" s="63" t="str">
        <f>HYPERLINK("http://nsgreg.nga.mil/genc/view?v=868511&amp;end_month=12&amp;end_day=31&amp;end_year=2016","Correlation")</f>
        <v>Correlation</v>
      </c>
    </row>
    <row r="998" spans="1:13" x14ac:dyDescent="0.2">
      <c r="A998" s="113"/>
      <c r="B998" s="58" t="s">
        <v>3673</v>
      </c>
      <c r="C998" s="58" t="s">
        <v>1796</v>
      </c>
      <c r="D998" s="58" t="s">
        <v>3674</v>
      </c>
      <c r="E998" s="60" t="b">
        <v>1</v>
      </c>
      <c r="F998" s="80" t="s">
        <v>467</v>
      </c>
      <c r="G998" s="58" t="s">
        <v>3673</v>
      </c>
      <c r="H998" s="58" t="s">
        <v>1796</v>
      </c>
      <c r="I998" s="64" t="s">
        <v>3674</v>
      </c>
      <c r="J998" s="66"/>
      <c r="K998" s="66"/>
      <c r="L998" s="68"/>
      <c r="M998" s="63" t="str">
        <f>HYPERLINK("http://nsgreg.nga.mil/genc/view?v=868490&amp;end_month=12&amp;end_day=31&amp;end_year=2016","Correlation")</f>
        <v>Correlation</v>
      </c>
    </row>
    <row r="999" spans="1:13" x14ac:dyDescent="0.2">
      <c r="A999" s="113"/>
      <c r="B999" s="58" t="s">
        <v>3675</v>
      </c>
      <c r="C999" s="58" t="s">
        <v>1796</v>
      </c>
      <c r="D999" s="58" t="s">
        <v>3676</v>
      </c>
      <c r="E999" s="60" t="b">
        <v>1</v>
      </c>
      <c r="F999" s="80" t="s">
        <v>467</v>
      </c>
      <c r="G999" s="58" t="s">
        <v>3675</v>
      </c>
      <c r="H999" s="58" t="s">
        <v>1796</v>
      </c>
      <c r="I999" s="64" t="s">
        <v>3676</v>
      </c>
      <c r="J999" s="66"/>
      <c r="K999" s="66"/>
      <c r="L999" s="68"/>
      <c r="M999" s="63" t="str">
        <f>HYPERLINK("http://nsgreg.nga.mil/genc/view?v=868472&amp;end_month=12&amp;end_day=31&amp;end_year=2016","Correlation")</f>
        <v>Correlation</v>
      </c>
    </row>
    <row r="1000" spans="1:13" x14ac:dyDescent="0.2">
      <c r="A1000" s="113"/>
      <c r="B1000" s="58" t="s">
        <v>3677</v>
      </c>
      <c r="C1000" s="58" t="s">
        <v>1796</v>
      </c>
      <c r="D1000" s="58" t="s">
        <v>3678</v>
      </c>
      <c r="E1000" s="60" t="b">
        <v>1</v>
      </c>
      <c r="F1000" s="80" t="s">
        <v>467</v>
      </c>
      <c r="G1000" s="58" t="s">
        <v>3677</v>
      </c>
      <c r="H1000" s="58" t="s">
        <v>1796</v>
      </c>
      <c r="I1000" s="64" t="s">
        <v>3678</v>
      </c>
      <c r="J1000" s="66"/>
      <c r="K1000" s="66"/>
      <c r="L1000" s="68"/>
      <c r="M1000" s="63" t="str">
        <f>HYPERLINK("http://nsgreg.nga.mil/genc/view?v=868443&amp;end_month=12&amp;end_day=31&amp;end_year=2016","Correlation")</f>
        <v>Correlation</v>
      </c>
    </row>
    <row r="1001" spans="1:13" x14ac:dyDescent="0.2">
      <c r="A1001" s="113"/>
      <c r="B1001" s="58" t="s">
        <v>3679</v>
      </c>
      <c r="C1001" s="58" t="s">
        <v>1796</v>
      </c>
      <c r="D1001" s="58" t="s">
        <v>3680</v>
      </c>
      <c r="E1001" s="60" t="b">
        <v>1</v>
      </c>
      <c r="F1001" s="80" t="s">
        <v>467</v>
      </c>
      <c r="G1001" s="58" t="s">
        <v>3679</v>
      </c>
      <c r="H1001" s="58" t="s">
        <v>1796</v>
      </c>
      <c r="I1001" s="64" t="s">
        <v>3680</v>
      </c>
      <c r="J1001" s="66"/>
      <c r="K1001" s="66"/>
      <c r="L1001" s="68"/>
      <c r="M1001" s="63" t="str">
        <f>HYPERLINK("http://nsgreg.nga.mil/genc/view?v=868450&amp;end_month=12&amp;end_day=31&amp;end_year=2016","Correlation")</f>
        <v>Correlation</v>
      </c>
    </row>
    <row r="1002" spans="1:13" x14ac:dyDescent="0.2">
      <c r="A1002" s="113"/>
      <c r="B1002" s="58" t="s">
        <v>3681</v>
      </c>
      <c r="C1002" s="58" t="s">
        <v>1796</v>
      </c>
      <c r="D1002" s="58" t="s">
        <v>3682</v>
      </c>
      <c r="E1002" s="60" t="b">
        <v>1</v>
      </c>
      <c r="F1002" s="80" t="s">
        <v>467</v>
      </c>
      <c r="G1002" s="58" t="s">
        <v>3681</v>
      </c>
      <c r="H1002" s="58" t="s">
        <v>1796</v>
      </c>
      <c r="I1002" s="64" t="s">
        <v>3682</v>
      </c>
      <c r="J1002" s="66"/>
      <c r="K1002" s="66"/>
      <c r="L1002" s="68"/>
      <c r="M1002" s="63" t="str">
        <f>HYPERLINK("http://nsgreg.nga.mil/genc/view?v=868459&amp;end_month=12&amp;end_day=31&amp;end_year=2016","Correlation")</f>
        <v>Correlation</v>
      </c>
    </row>
    <row r="1003" spans="1:13" x14ac:dyDescent="0.2">
      <c r="A1003" s="113"/>
      <c r="B1003" s="58" t="s">
        <v>3683</v>
      </c>
      <c r="C1003" s="58" t="s">
        <v>1796</v>
      </c>
      <c r="D1003" s="58" t="s">
        <v>3684</v>
      </c>
      <c r="E1003" s="60" t="b">
        <v>1</v>
      </c>
      <c r="F1003" s="80" t="s">
        <v>467</v>
      </c>
      <c r="G1003" s="58" t="s">
        <v>3683</v>
      </c>
      <c r="H1003" s="58" t="s">
        <v>1796</v>
      </c>
      <c r="I1003" s="64" t="s">
        <v>3684</v>
      </c>
      <c r="J1003" s="66"/>
      <c r="K1003" s="66"/>
      <c r="L1003" s="68"/>
      <c r="M1003" s="63" t="str">
        <f>HYPERLINK("http://nsgreg.nga.mil/genc/view?v=868477&amp;end_month=12&amp;end_day=31&amp;end_year=2016","Correlation")</f>
        <v>Correlation</v>
      </c>
    </row>
    <row r="1004" spans="1:13" x14ac:dyDescent="0.2">
      <c r="A1004" s="113"/>
      <c r="B1004" s="58" t="s">
        <v>3685</v>
      </c>
      <c r="C1004" s="58" t="s">
        <v>1796</v>
      </c>
      <c r="D1004" s="58" t="s">
        <v>3686</v>
      </c>
      <c r="E1004" s="60" t="b">
        <v>1</v>
      </c>
      <c r="F1004" s="80" t="s">
        <v>467</v>
      </c>
      <c r="G1004" s="58" t="s">
        <v>3685</v>
      </c>
      <c r="H1004" s="58" t="s">
        <v>1796</v>
      </c>
      <c r="I1004" s="64" t="s">
        <v>3686</v>
      </c>
      <c r="J1004" s="66"/>
      <c r="K1004" s="66"/>
      <c r="L1004" s="68"/>
      <c r="M1004" s="63" t="str">
        <f>HYPERLINK("http://nsgreg.nga.mil/genc/view?v=868469&amp;end_month=12&amp;end_day=31&amp;end_year=2016","Correlation")</f>
        <v>Correlation</v>
      </c>
    </row>
    <row r="1005" spans="1:13" x14ac:dyDescent="0.2">
      <c r="A1005" s="113"/>
      <c r="B1005" s="58" t="s">
        <v>3687</v>
      </c>
      <c r="C1005" s="58" t="s">
        <v>1796</v>
      </c>
      <c r="D1005" s="58" t="s">
        <v>3688</v>
      </c>
      <c r="E1005" s="60" t="b">
        <v>1</v>
      </c>
      <c r="F1005" s="80" t="s">
        <v>467</v>
      </c>
      <c r="G1005" s="58" t="s">
        <v>3687</v>
      </c>
      <c r="H1005" s="58" t="s">
        <v>1796</v>
      </c>
      <c r="I1005" s="64" t="s">
        <v>3688</v>
      </c>
      <c r="J1005" s="66"/>
      <c r="K1005" s="66"/>
      <c r="L1005" s="68"/>
      <c r="M1005" s="63" t="str">
        <f>HYPERLINK("http://nsgreg.nga.mil/genc/view?v=868492&amp;end_month=12&amp;end_day=31&amp;end_year=2016","Correlation")</f>
        <v>Correlation</v>
      </c>
    </row>
    <row r="1006" spans="1:13" x14ac:dyDescent="0.2">
      <c r="A1006" s="113"/>
      <c r="B1006" s="58" t="s">
        <v>3691</v>
      </c>
      <c r="C1006" s="58" t="s">
        <v>1728</v>
      </c>
      <c r="D1006" s="58" t="s">
        <v>3690</v>
      </c>
      <c r="E1006" s="60" t="b">
        <v>1</v>
      </c>
      <c r="F1006" s="80" t="s">
        <v>467</v>
      </c>
      <c r="G1006" s="58" t="s">
        <v>3689</v>
      </c>
      <c r="H1006" s="58" t="s">
        <v>1728</v>
      </c>
      <c r="I1006" s="64" t="s">
        <v>3690</v>
      </c>
      <c r="J1006" s="66"/>
      <c r="K1006" s="66"/>
      <c r="L1006" s="68"/>
      <c r="M1006" s="63" t="str">
        <f>HYPERLINK("http://nsgreg.nga.mil/genc/view?v=868512&amp;end_month=12&amp;end_day=31&amp;end_year=2016","Correlation")</f>
        <v>Correlation</v>
      </c>
    </row>
    <row r="1007" spans="1:13" x14ac:dyDescent="0.2">
      <c r="A1007" s="113"/>
      <c r="B1007" s="58" t="s">
        <v>3692</v>
      </c>
      <c r="C1007" s="58" t="s">
        <v>1796</v>
      </c>
      <c r="D1007" s="58" t="s">
        <v>3693</v>
      </c>
      <c r="E1007" s="60" t="b">
        <v>1</v>
      </c>
      <c r="F1007" s="80" t="s">
        <v>467</v>
      </c>
      <c r="G1007" s="58" t="s">
        <v>3692</v>
      </c>
      <c r="H1007" s="58" t="s">
        <v>1796</v>
      </c>
      <c r="I1007" s="64" t="s">
        <v>3693</v>
      </c>
      <c r="J1007" s="66"/>
      <c r="K1007" s="66"/>
      <c r="L1007" s="68"/>
      <c r="M1007" s="63" t="str">
        <f>HYPERLINK("http://nsgreg.nga.mil/genc/view?v=868460&amp;end_month=12&amp;end_day=31&amp;end_year=2016","Correlation")</f>
        <v>Correlation</v>
      </c>
    </row>
    <row r="1008" spans="1:13" x14ac:dyDescent="0.2">
      <c r="A1008" s="113"/>
      <c r="B1008" s="58" t="s">
        <v>3694</v>
      </c>
      <c r="C1008" s="58" t="s">
        <v>1796</v>
      </c>
      <c r="D1008" s="58" t="s">
        <v>3695</v>
      </c>
      <c r="E1008" s="60" t="b">
        <v>1</v>
      </c>
      <c r="F1008" s="80" t="s">
        <v>467</v>
      </c>
      <c r="G1008" s="58" t="s">
        <v>3694</v>
      </c>
      <c r="H1008" s="58" t="s">
        <v>1796</v>
      </c>
      <c r="I1008" s="64" t="s">
        <v>3695</v>
      </c>
      <c r="J1008" s="66"/>
      <c r="K1008" s="66"/>
      <c r="L1008" s="68"/>
      <c r="M1008" s="63" t="str">
        <f>HYPERLINK("http://nsgreg.nga.mil/genc/view?v=868473&amp;end_month=12&amp;end_day=31&amp;end_year=2016","Correlation")</f>
        <v>Correlation</v>
      </c>
    </row>
    <row r="1009" spans="1:13" x14ac:dyDescent="0.2">
      <c r="A1009" s="113"/>
      <c r="B1009" s="58" t="s">
        <v>3696</v>
      </c>
      <c r="C1009" s="58" t="s">
        <v>1796</v>
      </c>
      <c r="D1009" s="58" t="s">
        <v>3697</v>
      </c>
      <c r="E1009" s="60" t="b">
        <v>1</v>
      </c>
      <c r="F1009" s="80" t="s">
        <v>467</v>
      </c>
      <c r="G1009" s="58" t="s">
        <v>3696</v>
      </c>
      <c r="H1009" s="58" t="s">
        <v>1796</v>
      </c>
      <c r="I1009" s="64" t="s">
        <v>3697</v>
      </c>
      <c r="J1009" s="66"/>
      <c r="K1009" s="66"/>
      <c r="L1009" s="68"/>
      <c r="M1009" s="63" t="str">
        <f>HYPERLINK("http://nsgreg.nga.mil/genc/view?v=868493&amp;end_month=12&amp;end_day=31&amp;end_year=2016","Correlation")</f>
        <v>Correlation</v>
      </c>
    </row>
    <row r="1010" spans="1:13" x14ac:dyDescent="0.2">
      <c r="A1010" s="113"/>
      <c r="B1010" s="58" t="s">
        <v>3698</v>
      </c>
      <c r="C1010" s="58" t="s">
        <v>1796</v>
      </c>
      <c r="D1010" s="58" t="s">
        <v>3699</v>
      </c>
      <c r="E1010" s="60" t="b">
        <v>1</v>
      </c>
      <c r="F1010" s="80" t="s">
        <v>467</v>
      </c>
      <c r="G1010" s="58" t="s">
        <v>3698</v>
      </c>
      <c r="H1010" s="58" t="s">
        <v>1796</v>
      </c>
      <c r="I1010" s="64" t="s">
        <v>3699</v>
      </c>
      <c r="J1010" s="66"/>
      <c r="K1010" s="66"/>
      <c r="L1010" s="68"/>
      <c r="M1010" s="63" t="str">
        <f>HYPERLINK("http://nsgreg.nga.mil/genc/view?v=868484&amp;end_month=12&amp;end_day=31&amp;end_year=2016","Correlation")</f>
        <v>Correlation</v>
      </c>
    </row>
    <row r="1011" spans="1:13" x14ac:dyDescent="0.2">
      <c r="A1011" s="113"/>
      <c r="B1011" s="58" t="s">
        <v>3705</v>
      </c>
      <c r="C1011" s="58" t="s">
        <v>1796</v>
      </c>
      <c r="D1011" s="58" t="s">
        <v>3704</v>
      </c>
      <c r="E1011" s="60" t="b">
        <v>1</v>
      </c>
      <c r="F1011" s="80" t="s">
        <v>467</v>
      </c>
      <c r="G1011" s="58" t="s">
        <v>3703</v>
      </c>
      <c r="H1011" s="58" t="s">
        <v>1796</v>
      </c>
      <c r="I1011" s="64" t="s">
        <v>3704</v>
      </c>
      <c r="J1011" s="66"/>
      <c r="K1011" s="66"/>
      <c r="L1011" s="68"/>
      <c r="M1011" s="63" t="str">
        <f>HYPERLINK("http://nsgreg.nga.mil/genc/view?v=868478&amp;end_month=12&amp;end_day=31&amp;end_year=2016","Correlation")</f>
        <v>Correlation</v>
      </c>
    </row>
    <row r="1012" spans="1:13" x14ac:dyDescent="0.2">
      <c r="A1012" s="113"/>
      <c r="B1012" s="58" t="s">
        <v>3706</v>
      </c>
      <c r="C1012" s="58" t="s">
        <v>1796</v>
      </c>
      <c r="D1012" s="58" t="s">
        <v>3707</v>
      </c>
      <c r="E1012" s="60" t="b">
        <v>1</v>
      </c>
      <c r="F1012" s="80" t="s">
        <v>467</v>
      </c>
      <c r="G1012" s="58" t="s">
        <v>3706</v>
      </c>
      <c r="H1012" s="58" t="s">
        <v>1796</v>
      </c>
      <c r="I1012" s="64" t="s">
        <v>3707</v>
      </c>
      <c r="J1012" s="66"/>
      <c r="K1012" s="66"/>
      <c r="L1012" s="68"/>
      <c r="M1012" s="63" t="str">
        <f>HYPERLINK("http://nsgreg.nga.mil/genc/view?v=868494&amp;end_month=12&amp;end_day=31&amp;end_year=2016","Correlation")</f>
        <v>Correlation</v>
      </c>
    </row>
    <row r="1013" spans="1:13" x14ac:dyDescent="0.2">
      <c r="A1013" s="113"/>
      <c r="B1013" s="58" t="s">
        <v>3710</v>
      </c>
      <c r="C1013" s="58" t="s">
        <v>1728</v>
      </c>
      <c r="D1013" s="58" t="s">
        <v>3709</v>
      </c>
      <c r="E1013" s="60" t="b">
        <v>1</v>
      </c>
      <c r="F1013" s="80" t="s">
        <v>467</v>
      </c>
      <c r="G1013" s="58" t="s">
        <v>3708</v>
      </c>
      <c r="H1013" s="58" t="s">
        <v>1728</v>
      </c>
      <c r="I1013" s="64" t="s">
        <v>3709</v>
      </c>
      <c r="J1013" s="66"/>
      <c r="K1013" s="66"/>
      <c r="L1013" s="68"/>
      <c r="M1013" s="63" t="str">
        <f>HYPERLINK("http://nsgreg.nga.mil/genc/view?v=868514&amp;end_month=12&amp;end_day=31&amp;end_year=2016","Correlation")</f>
        <v>Correlation</v>
      </c>
    </row>
    <row r="1014" spans="1:13" x14ac:dyDescent="0.2">
      <c r="A1014" s="114"/>
      <c r="B1014" s="71" t="s">
        <v>3711</v>
      </c>
      <c r="C1014" s="71" t="s">
        <v>1796</v>
      </c>
      <c r="D1014" s="71" t="s">
        <v>3712</v>
      </c>
      <c r="E1014" s="73" t="b">
        <v>1</v>
      </c>
      <c r="F1014" s="81" t="s">
        <v>467</v>
      </c>
      <c r="G1014" s="71" t="s">
        <v>3711</v>
      </c>
      <c r="H1014" s="71" t="s">
        <v>1796</v>
      </c>
      <c r="I1014" s="74" t="s">
        <v>3712</v>
      </c>
      <c r="J1014" s="76"/>
      <c r="K1014" s="76"/>
      <c r="L1014" s="82"/>
      <c r="M1014" s="77" t="str">
        <f>HYPERLINK("http://nsgreg.nga.mil/genc/view?v=868485&amp;end_month=12&amp;end_day=31&amp;end_year=2016","Correlation")</f>
        <v>Correlation</v>
      </c>
    </row>
    <row r="1015" spans="1:13" x14ac:dyDescent="0.2">
      <c r="A1015" s="112" t="s">
        <v>471</v>
      </c>
      <c r="B1015" s="50" t="s">
        <v>3713</v>
      </c>
      <c r="C1015" s="50" t="s">
        <v>1728</v>
      </c>
      <c r="D1015" s="50" t="s">
        <v>3714</v>
      </c>
      <c r="E1015" s="52" t="b">
        <v>1</v>
      </c>
      <c r="F1015" s="78" t="s">
        <v>471</v>
      </c>
      <c r="G1015" s="50" t="s">
        <v>3713</v>
      </c>
      <c r="H1015" s="50" t="s">
        <v>1728</v>
      </c>
      <c r="I1015" s="53" t="s">
        <v>3714</v>
      </c>
      <c r="J1015" s="55"/>
      <c r="K1015" s="55"/>
      <c r="L1015" s="79"/>
      <c r="M1015" s="56" t="str">
        <f>HYPERLINK("http://nsgreg.nga.mil/genc/view?v=868540&amp;end_month=12&amp;end_day=31&amp;end_year=2016","Correlation")</f>
        <v>Correlation</v>
      </c>
    </row>
    <row r="1016" spans="1:13" x14ac:dyDescent="0.2">
      <c r="A1016" s="113"/>
      <c r="B1016" s="58" t="s">
        <v>3715</v>
      </c>
      <c r="C1016" s="58" t="s">
        <v>1728</v>
      </c>
      <c r="D1016" s="58" t="s">
        <v>3716</v>
      </c>
      <c r="E1016" s="60" t="b">
        <v>1</v>
      </c>
      <c r="F1016" s="80" t="s">
        <v>471</v>
      </c>
      <c r="G1016" s="58" t="s">
        <v>3715</v>
      </c>
      <c r="H1016" s="58" t="s">
        <v>1728</v>
      </c>
      <c r="I1016" s="64" t="s">
        <v>3716</v>
      </c>
      <c r="J1016" s="66"/>
      <c r="K1016" s="66"/>
      <c r="L1016" s="68"/>
      <c r="M1016" s="63" t="str">
        <f>HYPERLINK("http://nsgreg.nga.mil/genc/view?v=868538&amp;end_month=12&amp;end_day=31&amp;end_year=2016","Correlation")</f>
        <v>Correlation</v>
      </c>
    </row>
    <row r="1017" spans="1:13" x14ac:dyDescent="0.2">
      <c r="A1017" s="113"/>
      <c r="B1017" s="58" t="s">
        <v>3717</v>
      </c>
      <c r="C1017" s="58" t="s">
        <v>1728</v>
      </c>
      <c r="D1017" s="58" t="s">
        <v>3718</v>
      </c>
      <c r="E1017" s="60" t="b">
        <v>1</v>
      </c>
      <c r="F1017" s="80" t="s">
        <v>471</v>
      </c>
      <c r="G1017" s="58" t="s">
        <v>3717</v>
      </c>
      <c r="H1017" s="58" t="s">
        <v>1728</v>
      </c>
      <c r="I1017" s="64" t="s">
        <v>3718</v>
      </c>
      <c r="J1017" s="66"/>
      <c r="K1017" s="66"/>
      <c r="L1017" s="68"/>
      <c r="M1017" s="63" t="str">
        <f>HYPERLINK("http://nsgreg.nga.mil/genc/view?v=868537&amp;end_month=12&amp;end_day=31&amp;end_year=2016","Correlation")</f>
        <v>Correlation</v>
      </c>
    </row>
    <row r="1018" spans="1:13" x14ac:dyDescent="0.2">
      <c r="A1018" s="113"/>
      <c r="B1018" s="58" t="s">
        <v>3719</v>
      </c>
      <c r="C1018" s="58" t="s">
        <v>1728</v>
      </c>
      <c r="D1018" s="58" t="s">
        <v>3720</v>
      </c>
      <c r="E1018" s="60" t="b">
        <v>1</v>
      </c>
      <c r="F1018" s="80" t="s">
        <v>471</v>
      </c>
      <c r="G1018" s="58" t="s">
        <v>3719</v>
      </c>
      <c r="H1018" s="58" t="s">
        <v>1728</v>
      </c>
      <c r="I1018" s="64" t="s">
        <v>3720</v>
      </c>
      <c r="J1018" s="66"/>
      <c r="K1018" s="66"/>
      <c r="L1018" s="68"/>
      <c r="M1018" s="63" t="str">
        <f>HYPERLINK("http://nsgreg.nga.mil/genc/view?v=868541&amp;end_month=12&amp;end_day=31&amp;end_year=2016","Correlation")</f>
        <v>Correlation</v>
      </c>
    </row>
    <row r="1019" spans="1:13" x14ac:dyDescent="0.2">
      <c r="A1019" s="114"/>
      <c r="B1019" s="71" t="s">
        <v>3721</v>
      </c>
      <c r="C1019" s="71" t="s">
        <v>1728</v>
      </c>
      <c r="D1019" s="71" t="s">
        <v>3722</v>
      </c>
      <c r="E1019" s="73" t="b">
        <v>1</v>
      </c>
      <c r="F1019" s="81" t="s">
        <v>471</v>
      </c>
      <c r="G1019" s="71" t="s">
        <v>3721</v>
      </c>
      <c r="H1019" s="71" t="s">
        <v>1728</v>
      </c>
      <c r="I1019" s="74" t="s">
        <v>3722</v>
      </c>
      <c r="J1019" s="76"/>
      <c r="K1019" s="76"/>
      <c r="L1019" s="82"/>
      <c r="M1019" s="77" t="str">
        <f>HYPERLINK("http://nsgreg.nga.mil/genc/view?v=868539&amp;end_month=12&amp;end_day=31&amp;end_year=2016","Correlation")</f>
        <v>Correlation</v>
      </c>
    </row>
    <row r="1020" spans="1:13" x14ac:dyDescent="0.2">
      <c r="A1020" s="112" t="s">
        <v>483</v>
      </c>
      <c r="B1020" s="50" t="s">
        <v>3723</v>
      </c>
      <c r="C1020" s="50" t="s">
        <v>1728</v>
      </c>
      <c r="D1020" s="50" t="s">
        <v>3724</v>
      </c>
      <c r="E1020" s="52" t="b">
        <v>1</v>
      </c>
      <c r="F1020" s="78" t="s">
        <v>483</v>
      </c>
      <c r="G1020" s="50" t="s">
        <v>3723</v>
      </c>
      <c r="H1020" s="50" t="s">
        <v>1728</v>
      </c>
      <c r="I1020" s="53" t="s">
        <v>3724</v>
      </c>
      <c r="J1020" s="55"/>
      <c r="K1020" s="55"/>
      <c r="L1020" s="79"/>
      <c r="M1020" s="56" t="str">
        <f>HYPERLINK("http://nsgreg.nga.mil/genc/view?v=868532&amp;end_month=12&amp;end_day=31&amp;end_year=2016","Correlation")</f>
        <v>Correlation</v>
      </c>
    </row>
    <row r="1021" spans="1:13" x14ac:dyDescent="0.2">
      <c r="A1021" s="113"/>
      <c r="B1021" s="58" t="s">
        <v>3725</v>
      </c>
      <c r="C1021" s="58" t="s">
        <v>1728</v>
      </c>
      <c r="D1021" s="58" t="s">
        <v>3726</v>
      </c>
      <c r="E1021" s="60" t="b">
        <v>1</v>
      </c>
      <c r="F1021" s="80" t="s">
        <v>483</v>
      </c>
      <c r="G1021" s="58" t="s">
        <v>3725</v>
      </c>
      <c r="H1021" s="58" t="s">
        <v>1728</v>
      </c>
      <c r="I1021" s="64" t="s">
        <v>3726</v>
      </c>
      <c r="J1021" s="66"/>
      <c r="K1021" s="66"/>
      <c r="L1021" s="68"/>
      <c r="M1021" s="63" t="str">
        <f>HYPERLINK("http://nsgreg.nga.mil/genc/view?v=868531&amp;end_month=12&amp;end_day=31&amp;end_year=2016","Correlation")</f>
        <v>Correlation</v>
      </c>
    </row>
    <row r="1022" spans="1:13" x14ac:dyDescent="0.2">
      <c r="A1022" s="113"/>
      <c r="B1022" s="58" t="s">
        <v>3727</v>
      </c>
      <c r="C1022" s="58" t="s">
        <v>1728</v>
      </c>
      <c r="D1022" s="58" t="s">
        <v>3728</v>
      </c>
      <c r="E1022" s="60" t="b">
        <v>1</v>
      </c>
      <c r="F1022" s="80" t="s">
        <v>483</v>
      </c>
      <c r="G1022" s="58" t="s">
        <v>3727</v>
      </c>
      <c r="H1022" s="58" t="s">
        <v>1728</v>
      </c>
      <c r="I1022" s="64" t="s">
        <v>3728</v>
      </c>
      <c r="J1022" s="66"/>
      <c r="K1022" s="66"/>
      <c r="L1022" s="68"/>
      <c r="M1022" s="63" t="str">
        <f>HYPERLINK("http://nsgreg.nga.mil/genc/view?v=868533&amp;end_month=12&amp;end_day=31&amp;end_year=2016","Correlation")</f>
        <v>Correlation</v>
      </c>
    </row>
    <row r="1023" spans="1:13" x14ac:dyDescent="0.2">
      <c r="A1023" s="113"/>
      <c r="B1023" s="58" t="s">
        <v>3729</v>
      </c>
      <c r="C1023" s="58" t="s">
        <v>1681</v>
      </c>
      <c r="D1023" s="58" t="s">
        <v>3730</v>
      </c>
      <c r="E1023" s="60" t="b">
        <v>1</v>
      </c>
      <c r="F1023" s="80" t="s">
        <v>483</v>
      </c>
      <c r="G1023" s="58" t="s">
        <v>3729</v>
      </c>
      <c r="H1023" s="58" t="s">
        <v>1681</v>
      </c>
      <c r="I1023" s="64" t="s">
        <v>3730</v>
      </c>
      <c r="J1023" s="66"/>
      <c r="K1023" s="66"/>
      <c r="L1023" s="68"/>
      <c r="M1023" s="63" t="str">
        <f>HYPERLINK("http://nsgreg.nga.mil/genc/view?v=868534&amp;end_month=12&amp;end_day=31&amp;end_year=2016","Correlation")</f>
        <v>Correlation</v>
      </c>
    </row>
    <row r="1024" spans="1:13" x14ac:dyDescent="0.2">
      <c r="A1024" s="113"/>
      <c r="B1024" s="58" t="s">
        <v>3731</v>
      </c>
      <c r="C1024" s="58" t="s">
        <v>1728</v>
      </c>
      <c r="D1024" s="58" t="s">
        <v>3732</v>
      </c>
      <c r="E1024" s="60" t="b">
        <v>1</v>
      </c>
      <c r="F1024" s="80" t="s">
        <v>483</v>
      </c>
      <c r="G1024" s="58" t="s">
        <v>3731</v>
      </c>
      <c r="H1024" s="58" t="s">
        <v>1728</v>
      </c>
      <c r="I1024" s="64" t="s">
        <v>3732</v>
      </c>
      <c r="J1024" s="66"/>
      <c r="K1024" s="66"/>
      <c r="L1024" s="68"/>
      <c r="M1024" s="63" t="str">
        <f>HYPERLINK("http://nsgreg.nga.mil/genc/view?v=868535&amp;end_month=12&amp;end_day=31&amp;end_year=2016","Correlation")</f>
        <v>Correlation</v>
      </c>
    </row>
    <row r="1025" spans="1:13" x14ac:dyDescent="0.2">
      <c r="A1025" s="114"/>
      <c r="B1025" s="71" t="s">
        <v>3733</v>
      </c>
      <c r="C1025" s="71" t="s">
        <v>1728</v>
      </c>
      <c r="D1025" s="71" t="s">
        <v>3734</v>
      </c>
      <c r="E1025" s="73" t="b">
        <v>1</v>
      </c>
      <c r="F1025" s="81" t="s">
        <v>483</v>
      </c>
      <c r="G1025" s="71" t="s">
        <v>3733</v>
      </c>
      <c r="H1025" s="71" t="s">
        <v>1728</v>
      </c>
      <c r="I1025" s="74" t="s">
        <v>3734</v>
      </c>
      <c r="J1025" s="76"/>
      <c r="K1025" s="76"/>
      <c r="L1025" s="82"/>
      <c r="M1025" s="77" t="str">
        <f>HYPERLINK("http://nsgreg.nga.mil/genc/view?v=868536&amp;end_month=12&amp;end_day=31&amp;end_year=2016","Correlation")</f>
        <v>Correlation</v>
      </c>
    </row>
    <row r="1026" spans="1:13" x14ac:dyDescent="0.2">
      <c r="A1026" s="112" t="s">
        <v>487</v>
      </c>
      <c r="B1026" s="50" t="s">
        <v>2213</v>
      </c>
      <c r="C1026" s="50" t="s">
        <v>1607</v>
      </c>
      <c r="D1026" s="50" t="s">
        <v>3735</v>
      </c>
      <c r="E1026" s="52" t="b">
        <v>1</v>
      </c>
      <c r="F1026" s="78" t="s">
        <v>487</v>
      </c>
      <c r="G1026" s="50" t="s">
        <v>2213</v>
      </c>
      <c r="H1026" s="50" t="s">
        <v>1607</v>
      </c>
      <c r="I1026" s="53" t="s">
        <v>3735</v>
      </c>
      <c r="J1026" s="55"/>
      <c r="K1026" s="55"/>
      <c r="L1026" s="79"/>
      <c r="M1026" s="56" t="str">
        <f>HYPERLINK("http://nsgreg.nga.mil/genc/view?v=868542&amp;end_month=12&amp;end_day=31&amp;end_year=2016","Correlation")</f>
        <v>Correlation</v>
      </c>
    </row>
    <row r="1027" spans="1:13" x14ac:dyDescent="0.2">
      <c r="A1027" s="113"/>
      <c r="B1027" s="58" t="s">
        <v>3736</v>
      </c>
      <c r="C1027" s="58" t="s">
        <v>1607</v>
      </c>
      <c r="D1027" s="58" t="s">
        <v>3737</v>
      </c>
      <c r="E1027" s="60" t="b">
        <v>1</v>
      </c>
      <c r="F1027" s="80" t="s">
        <v>487</v>
      </c>
      <c r="G1027" s="58" t="s">
        <v>3736</v>
      </c>
      <c r="H1027" s="58" t="s">
        <v>1607</v>
      </c>
      <c r="I1027" s="64" t="s">
        <v>3737</v>
      </c>
      <c r="J1027" s="66"/>
      <c r="K1027" s="66"/>
      <c r="L1027" s="68"/>
      <c r="M1027" s="63" t="str">
        <f>HYPERLINK("http://nsgreg.nga.mil/genc/view?v=868543&amp;end_month=12&amp;end_day=31&amp;end_year=2016","Correlation")</f>
        <v>Correlation</v>
      </c>
    </row>
    <row r="1028" spans="1:13" x14ac:dyDescent="0.2">
      <c r="A1028" s="113"/>
      <c r="B1028" s="58" t="s">
        <v>1663</v>
      </c>
      <c r="C1028" s="58" t="s">
        <v>1607</v>
      </c>
      <c r="D1028" s="58" t="s">
        <v>3738</v>
      </c>
      <c r="E1028" s="60" t="b">
        <v>1</v>
      </c>
      <c r="F1028" s="80" t="s">
        <v>487</v>
      </c>
      <c r="G1028" s="58" t="s">
        <v>1663</v>
      </c>
      <c r="H1028" s="58" t="s">
        <v>1607</v>
      </c>
      <c r="I1028" s="64" t="s">
        <v>3738</v>
      </c>
      <c r="J1028" s="66"/>
      <c r="K1028" s="66"/>
      <c r="L1028" s="68"/>
      <c r="M1028" s="63" t="str">
        <f>HYPERLINK("http://nsgreg.nga.mil/genc/view?v=868544&amp;end_month=12&amp;end_day=31&amp;end_year=2016","Correlation")</f>
        <v>Correlation</v>
      </c>
    </row>
    <row r="1029" spans="1:13" x14ac:dyDescent="0.2">
      <c r="A1029" s="113"/>
      <c r="B1029" s="58" t="s">
        <v>1665</v>
      </c>
      <c r="C1029" s="58" t="s">
        <v>1607</v>
      </c>
      <c r="D1029" s="58" t="s">
        <v>3739</v>
      </c>
      <c r="E1029" s="60" t="b">
        <v>1</v>
      </c>
      <c r="F1029" s="80" t="s">
        <v>487</v>
      </c>
      <c r="G1029" s="58" t="s">
        <v>1665</v>
      </c>
      <c r="H1029" s="58" t="s">
        <v>1607</v>
      </c>
      <c r="I1029" s="64" t="s">
        <v>3739</v>
      </c>
      <c r="J1029" s="66"/>
      <c r="K1029" s="66"/>
      <c r="L1029" s="68"/>
      <c r="M1029" s="63" t="str">
        <f>HYPERLINK("http://nsgreg.nga.mil/genc/view?v=868545&amp;end_month=12&amp;end_day=31&amp;end_year=2016","Correlation")</f>
        <v>Correlation</v>
      </c>
    </row>
    <row r="1030" spans="1:13" x14ac:dyDescent="0.2">
      <c r="A1030" s="113"/>
      <c r="B1030" s="58" t="s">
        <v>2219</v>
      </c>
      <c r="C1030" s="58" t="s">
        <v>1607</v>
      </c>
      <c r="D1030" s="58" t="s">
        <v>3740</v>
      </c>
      <c r="E1030" s="60" t="b">
        <v>1</v>
      </c>
      <c r="F1030" s="80" t="s">
        <v>487</v>
      </c>
      <c r="G1030" s="58" t="s">
        <v>2219</v>
      </c>
      <c r="H1030" s="58" t="s">
        <v>1607</v>
      </c>
      <c r="I1030" s="64" t="s">
        <v>3740</v>
      </c>
      <c r="J1030" s="66"/>
      <c r="K1030" s="66"/>
      <c r="L1030" s="68"/>
      <c r="M1030" s="63" t="str">
        <f>HYPERLINK("http://nsgreg.nga.mil/genc/view?v=868546&amp;end_month=12&amp;end_day=31&amp;end_year=2016","Correlation")</f>
        <v>Correlation</v>
      </c>
    </row>
    <row r="1031" spans="1:13" x14ac:dyDescent="0.2">
      <c r="A1031" s="113"/>
      <c r="B1031" s="58" t="s">
        <v>3741</v>
      </c>
      <c r="C1031" s="58" t="s">
        <v>1607</v>
      </c>
      <c r="D1031" s="58" t="s">
        <v>3742</v>
      </c>
      <c r="E1031" s="60" t="b">
        <v>1</v>
      </c>
      <c r="F1031" s="80" t="s">
        <v>487</v>
      </c>
      <c r="G1031" s="58" t="s">
        <v>3741</v>
      </c>
      <c r="H1031" s="58" t="s">
        <v>1607</v>
      </c>
      <c r="I1031" s="64" t="s">
        <v>3742</v>
      </c>
      <c r="J1031" s="66"/>
      <c r="K1031" s="66"/>
      <c r="L1031" s="68"/>
      <c r="M1031" s="63" t="str">
        <f>HYPERLINK("http://nsgreg.nga.mil/genc/view?v=868547&amp;end_month=12&amp;end_day=31&amp;end_year=2016","Correlation")</f>
        <v>Correlation</v>
      </c>
    </row>
    <row r="1032" spans="1:13" x14ac:dyDescent="0.2">
      <c r="A1032" s="113"/>
      <c r="B1032" s="58" t="s">
        <v>3743</v>
      </c>
      <c r="C1032" s="58" t="s">
        <v>1607</v>
      </c>
      <c r="D1032" s="58" t="s">
        <v>3744</v>
      </c>
      <c r="E1032" s="60" t="b">
        <v>1</v>
      </c>
      <c r="F1032" s="80" t="s">
        <v>487</v>
      </c>
      <c r="G1032" s="58" t="s">
        <v>3743</v>
      </c>
      <c r="H1032" s="58" t="s">
        <v>1607</v>
      </c>
      <c r="I1032" s="64" t="s">
        <v>3744</v>
      </c>
      <c r="J1032" s="66"/>
      <c r="K1032" s="66"/>
      <c r="L1032" s="68"/>
      <c r="M1032" s="63" t="str">
        <f>HYPERLINK("http://nsgreg.nga.mil/genc/view?v=868548&amp;end_month=12&amp;end_day=31&amp;end_year=2016","Correlation")</f>
        <v>Correlation</v>
      </c>
    </row>
    <row r="1033" spans="1:13" x14ac:dyDescent="0.2">
      <c r="A1033" s="113"/>
      <c r="B1033" s="58" t="s">
        <v>3745</v>
      </c>
      <c r="C1033" s="58" t="s">
        <v>1607</v>
      </c>
      <c r="D1033" s="58" t="s">
        <v>3746</v>
      </c>
      <c r="E1033" s="60" t="b">
        <v>1</v>
      </c>
      <c r="F1033" s="80" t="s">
        <v>487</v>
      </c>
      <c r="G1033" s="58" t="s">
        <v>3745</v>
      </c>
      <c r="H1033" s="58" t="s">
        <v>1607</v>
      </c>
      <c r="I1033" s="64" t="s">
        <v>3746</v>
      </c>
      <c r="J1033" s="66"/>
      <c r="K1033" s="66"/>
      <c r="L1033" s="68"/>
      <c r="M1033" s="63" t="str">
        <f>HYPERLINK("http://nsgreg.nga.mil/genc/view?v=868549&amp;end_month=12&amp;end_day=31&amp;end_year=2016","Correlation")</f>
        <v>Correlation</v>
      </c>
    </row>
    <row r="1034" spans="1:13" x14ac:dyDescent="0.2">
      <c r="A1034" s="113"/>
      <c r="B1034" s="58" t="s">
        <v>1669</v>
      </c>
      <c r="C1034" s="58" t="s">
        <v>1607</v>
      </c>
      <c r="D1034" s="58" t="s">
        <v>3747</v>
      </c>
      <c r="E1034" s="60" t="b">
        <v>1</v>
      </c>
      <c r="F1034" s="80" t="s">
        <v>487</v>
      </c>
      <c r="G1034" s="58" t="s">
        <v>1669</v>
      </c>
      <c r="H1034" s="58" t="s">
        <v>1607</v>
      </c>
      <c r="I1034" s="64" t="s">
        <v>3747</v>
      </c>
      <c r="J1034" s="66"/>
      <c r="K1034" s="66"/>
      <c r="L1034" s="68"/>
      <c r="M1034" s="63" t="str">
        <f>HYPERLINK("http://nsgreg.nga.mil/genc/view?v=868550&amp;end_month=12&amp;end_day=31&amp;end_year=2016","Correlation")</f>
        <v>Correlation</v>
      </c>
    </row>
    <row r="1035" spans="1:13" x14ac:dyDescent="0.2">
      <c r="A1035" s="114"/>
      <c r="B1035" s="71" t="s">
        <v>1671</v>
      </c>
      <c r="C1035" s="71" t="s">
        <v>1607</v>
      </c>
      <c r="D1035" s="71" t="s">
        <v>3748</v>
      </c>
      <c r="E1035" s="73" t="b">
        <v>1</v>
      </c>
      <c r="F1035" s="81" t="s">
        <v>487</v>
      </c>
      <c r="G1035" s="71" t="s">
        <v>1671</v>
      </c>
      <c r="H1035" s="71" t="s">
        <v>1607</v>
      </c>
      <c r="I1035" s="74" t="s">
        <v>3748</v>
      </c>
      <c r="J1035" s="76"/>
      <c r="K1035" s="76"/>
      <c r="L1035" s="82"/>
      <c r="M1035" s="77" t="str">
        <f>HYPERLINK("http://nsgreg.nga.mil/genc/view?v=868551&amp;end_month=12&amp;end_day=31&amp;end_year=2016","Correlation")</f>
        <v>Correlation</v>
      </c>
    </row>
    <row r="1036" spans="1:13" x14ac:dyDescent="0.2">
      <c r="A1036" s="112" t="s">
        <v>491</v>
      </c>
      <c r="B1036" s="50" t="s">
        <v>3749</v>
      </c>
      <c r="C1036" s="50" t="s">
        <v>1413</v>
      </c>
      <c r="D1036" s="50" t="s">
        <v>3750</v>
      </c>
      <c r="E1036" s="52" t="b">
        <v>1</v>
      </c>
      <c r="F1036" s="78" t="s">
        <v>491</v>
      </c>
      <c r="G1036" s="50" t="s">
        <v>3749</v>
      </c>
      <c r="H1036" s="50" t="s">
        <v>1413</v>
      </c>
      <c r="I1036" s="53" t="s">
        <v>3750</v>
      </c>
      <c r="J1036" s="55"/>
      <c r="K1036" s="55"/>
      <c r="L1036" s="79"/>
      <c r="M1036" s="56" t="str">
        <f>HYPERLINK("http://nsgreg.nga.mil/genc/view?v=868553&amp;end_month=12&amp;end_day=31&amp;end_year=2016","Correlation")</f>
        <v>Correlation</v>
      </c>
    </row>
    <row r="1037" spans="1:13" x14ac:dyDescent="0.2">
      <c r="A1037" s="113"/>
      <c r="B1037" s="58" t="s">
        <v>3751</v>
      </c>
      <c r="C1037" s="58" t="s">
        <v>1413</v>
      </c>
      <c r="D1037" s="58" t="s">
        <v>3752</v>
      </c>
      <c r="E1037" s="60" t="b">
        <v>1</v>
      </c>
      <c r="F1037" s="80" t="s">
        <v>491</v>
      </c>
      <c r="G1037" s="58" t="s">
        <v>3751</v>
      </c>
      <c r="H1037" s="58" t="s">
        <v>1413</v>
      </c>
      <c r="I1037" s="64" t="s">
        <v>3752</v>
      </c>
      <c r="J1037" s="66"/>
      <c r="K1037" s="66"/>
      <c r="L1037" s="68"/>
      <c r="M1037" s="63" t="str">
        <f>HYPERLINK("http://nsgreg.nga.mil/genc/view?v=868554&amp;end_month=12&amp;end_day=31&amp;end_year=2016","Correlation")</f>
        <v>Correlation</v>
      </c>
    </row>
    <row r="1038" spans="1:13" x14ac:dyDescent="0.2">
      <c r="A1038" s="113"/>
      <c r="B1038" s="58" t="s">
        <v>3753</v>
      </c>
      <c r="C1038" s="58" t="s">
        <v>1413</v>
      </c>
      <c r="D1038" s="58" t="s">
        <v>3754</v>
      </c>
      <c r="E1038" s="60" t="b">
        <v>1</v>
      </c>
      <c r="F1038" s="80" t="s">
        <v>491</v>
      </c>
      <c r="G1038" s="58" t="s">
        <v>3753</v>
      </c>
      <c r="H1038" s="58" t="s">
        <v>1413</v>
      </c>
      <c r="I1038" s="64" t="s">
        <v>3754</v>
      </c>
      <c r="J1038" s="66"/>
      <c r="K1038" s="66"/>
      <c r="L1038" s="68"/>
      <c r="M1038" s="63" t="str">
        <f>HYPERLINK("http://nsgreg.nga.mil/genc/view?v=868555&amp;end_month=12&amp;end_day=31&amp;end_year=2016","Correlation")</f>
        <v>Correlation</v>
      </c>
    </row>
    <row r="1039" spans="1:13" x14ac:dyDescent="0.2">
      <c r="A1039" s="113"/>
      <c r="B1039" s="58" t="s">
        <v>3755</v>
      </c>
      <c r="C1039" s="58" t="s">
        <v>1728</v>
      </c>
      <c r="D1039" s="58" t="s">
        <v>3756</v>
      </c>
      <c r="E1039" s="60" t="b">
        <v>1</v>
      </c>
      <c r="F1039" s="80" t="s">
        <v>491</v>
      </c>
      <c r="G1039" s="58" t="s">
        <v>3755</v>
      </c>
      <c r="H1039" s="58" t="s">
        <v>1728</v>
      </c>
      <c r="I1039" s="64" t="s">
        <v>3756</v>
      </c>
      <c r="J1039" s="66"/>
      <c r="K1039" s="66"/>
      <c r="L1039" s="68"/>
      <c r="M1039" s="63" t="str">
        <f>HYPERLINK("http://nsgreg.nga.mil/genc/view?v=868584&amp;end_month=12&amp;end_day=31&amp;end_year=2016","Correlation")</f>
        <v>Correlation</v>
      </c>
    </row>
    <row r="1040" spans="1:13" x14ac:dyDescent="0.2">
      <c r="A1040" s="113"/>
      <c r="B1040" s="58" t="s">
        <v>3757</v>
      </c>
      <c r="C1040" s="58" t="s">
        <v>1728</v>
      </c>
      <c r="D1040" s="58" t="s">
        <v>3758</v>
      </c>
      <c r="E1040" s="60" t="b">
        <v>1</v>
      </c>
      <c r="F1040" s="80" t="s">
        <v>491</v>
      </c>
      <c r="G1040" s="58" t="s">
        <v>3757</v>
      </c>
      <c r="H1040" s="58" t="s">
        <v>1728</v>
      </c>
      <c r="I1040" s="64" t="s">
        <v>3758</v>
      </c>
      <c r="J1040" s="66"/>
      <c r="K1040" s="66"/>
      <c r="L1040" s="68"/>
      <c r="M1040" s="63" t="str">
        <f>HYPERLINK("http://nsgreg.nga.mil/genc/view?v=868585&amp;end_month=12&amp;end_day=31&amp;end_year=2016","Correlation")</f>
        <v>Correlation</v>
      </c>
    </row>
    <row r="1041" spans="1:13" x14ac:dyDescent="0.2">
      <c r="A1041" s="113"/>
      <c r="B1041" s="58" t="s">
        <v>3759</v>
      </c>
      <c r="C1041" s="58" t="s">
        <v>1728</v>
      </c>
      <c r="D1041" s="58" t="s">
        <v>3760</v>
      </c>
      <c r="E1041" s="60" t="b">
        <v>1</v>
      </c>
      <c r="F1041" s="80" t="s">
        <v>491</v>
      </c>
      <c r="G1041" s="58" t="s">
        <v>3759</v>
      </c>
      <c r="H1041" s="58" t="s">
        <v>1728</v>
      </c>
      <c r="I1041" s="64" t="s">
        <v>3760</v>
      </c>
      <c r="J1041" s="66"/>
      <c r="K1041" s="66"/>
      <c r="L1041" s="68"/>
      <c r="M1041" s="63" t="str">
        <f>HYPERLINK("http://nsgreg.nga.mil/genc/view?v=868586&amp;end_month=12&amp;end_day=31&amp;end_year=2016","Correlation")</f>
        <v>Correlation</v>
      </c>
    </row>
    <row r="1042" spans="1:13" x14ac:dyDescent="0.2">
      <c r="A1042" s="113"/>
      <c r="B1042" s="58" t="s">
        <v>3761</v>
      </c>
      <c r="C1042" s="58" t="s">
        <v>1728</v>
      </c>
      <c r="D1042" s="58" t="s">
        <v>3762</v>
      </c>
      <c r="E1042" s="60" t="b">
        <v>1</v>
      </c>
      <c r="F1042" s="80" t="s">
        <v>491</v>
      </c>
      <c r="G1042" s="58" t="s">
        <v>3761</v>
      </c>
      <c r="H1042" s="58" t="s">
        <v>1728</v>
      </c>
      <c r="I1042" s="64" t="s">
        <v>3762</v>
      </c>
      <c r="J1042" s="66"/>
      <c r="K1042" s="66"/>
      <c r="L1042" s="68"/>
      <c r="M1042" s="63" t="str">
        <f>HYPERLINK("http://nsgreg.nga.mil/genc/view?v=868587&amp;end_month=12&amp;end_day=31&amp;end_year=2016","Correlation")</f>
        <v>Correlation</v>
      </c>
    </row>
    <row r="1043" spans="1:13" x14ac:dyDescent="0.2">
      <c r="A1043" s="113"/>
      <c r="B1043" s="58" t="s">
        <v>3763</v>
      </c>
      <c r="C1043" s="58" t="s">
        <v>1413</v>
      </c>
      <c r="D1043" s="58" t="s">
        <v>3764</v>
      </c>
      <c r="E1043" s="60" t="b">
        <v>1</v>
      </c>
      <c r="F1043" s="80" t="s">
        <v>491</v>
      </c>
      <c r="G1043" s="58" t="s">
        <v>3763</v>
      </c>
      <c r="H1043" s="58" t="s">
        <v>1413</v>
      </c>
      <c r="I1043" s="64" t="s">
        <v>3764</v>
      </c>
      <c r="J1043" s="66"/>
      <c r="K1043" s="66"/>
      <c r="L1043" s="68"/>
      <c r="M1043" s="63" t="str">
        <f>HYPERLINK("http://nsgreg.nga.mil/genc/view?v=868556&amp;end_month=12&amp;end_day=31&amp;end_year=2016","Correlation")</f>
        <v>Correlation</v>
      </c>
    </row>
    <row r="1044" spans="1:13" x14ac:dyDescent="0.2">
      <c r="A1044" s="113"/>
      <c r="B1044" s="58" t="s">
        <v>3767</v>
      </c>
      <c r="C1044" s="58" t="s">
        <v>1796</v>
      </c>
      <c r="D1044" s="58" t="s">
        <v>3766</v>
      </c>
      <c r="E1044" s="60" t="b">
        <v>1</v>
      </c>
      <c r="F1044" s="80" t="s">
        <v>491</v>
      </c>
      <c r="G1044" s="58" t="s">
        <v>3765</v>
      </c>
      <c r="H1044" s="58" t="s">
        <v>1796</v>
      </c>
      <c r="I1044" s="64" t="s">
        <v>3766</v>
      </c>
      <c r="J1044" s="66"/>
      <c r="K1044" s="66"/>
      <c r="L1044" s="68"/>
      <c r="M1044" s="63" t="str">
        <f>HYPERLINK("http://nsgreg.nga.mil/genc/view?v=868552&amp;end_month=12&amp;end_day=31&amp;end_year=2016","Correlation")</f>
        <v>Correlation</v>
      </c>
    </row>
    <row r="1045" spans="1:13" x14ac:dyDescent="0.2">
      <c r="A1045" s="113"/>
      <c r="B1045" s="58" t="s">
        <v>3768</v>
      </c>
      <c r="C1045" s="58" t="s">
        <v>1413</v>
      </c>
      <c r="D1045" s="58" t="s">
        <v>3769</v>
      </c>
      <c r="E1045" s="60" t="b">
        <v>1</v>
      </c>
      <c r="F1045" s="80" t="s">
        <v>491</v>
      </c>
      <c r="G1045" s="58" t="s">
        <v>3768</v>
      </c>
      <c r="H1045" s="58" t="s">
        <v>1413</v>
      </c>
      <c r="I1045" s="64" t="s">
        <v>3769</v>
      </c>
      <c r="J1045" s="66"/>
      <c r="K1045" s="66"/>
      <c r="L1045" s="68"/>
      <c r="M1045" s="63" t="str">
        <f>HYPERLINK("http://nsgreg.nga.mil/genc/view?v=868557&amp;end_month=12&amp;end_day=31&amp;end_year=2016","Correlation")</f>
        <v>Correlation</v>
      </c>
    </row>
    <row r="1046" spans="1:13" x14ac:dyDescent="0.2">
      <c r="A1046" s="113"/>
      <c r="B1046" s="58" t="s">
        <v>3770</v>
      </c>
      <c r="C1046" s="58" t="s">
        <v>1413</v>
      </c>
      <c r="D1046" s="58" t="s">
        <v>3771</v>
      </c>
      <c r="E1046" s="60" t="b">
        <v>1</v>
      </c>
      <c r="F1046" s="80" t="s">
        <v>491</v>
      </c>
      <c r="G1046" s="58" t="s">
        <v>3770</v>
      </c>
      <c r="H1046" s="58" t="s">
        <v>1413</v>
      </c>
      <c r="I1046" s="64" t="s">
        <v>3771</v>
      </c>
      <c r="J1046" s="66"/>
      <c r="K1046" s="66"/>
      <c r="L1046" s="68"/>
      <c r="M1046" s="63" t="str">
        <f>HYPERLINK("http://nsgreg.nga.mil/genc/view?v=868558&amp;end_month=12&amp;end_day=31&amp;end_year=2016","Correlation")</f>
        <v>Correlation</v>
      </c>
    </row>
    <row r="1047" spans="1:13" x14ac:dyDescent="0.2">
      <c r="A1047" s="113"/>
      <c r="B1047" s="58" t="s">
        <v>3772</v>
      </c>
      <c r="C1047" s="58" t="s">
        <v>1413</v>
      </c>
      <c r="D1047" s="58" t="s">
        <v>3773</v>
      </c>
      <c r="E1047" s="60" t="b">
        <v>1</v>
      </c>
      <c r="F1047" s="80" t="s">
        <v>491</v>
      </c>
      <c r="G1047" s="58" t="s">
        <v>3772</v>
      </c>
      <c r="H1047" s="58" t="s">
        <v>1413</v>
      </c>
      <c r="I1047" s="64" t="s">
        <v>3773</v>
      </c>
      <c r="J1047" s="66"/>
      <c r="K1047" s="66"/>
      <c r="L1047" s="68"/>
      <c r="M1047" s="63" t="str">
        <f>HYPERLINK("http://nsgreg.nga.mil/genc/view?v=868559&amp;end_month=12&amp;end_day=31&amp;end_year=2016","Correlation")</f>
        <v>Correlation</v>
      </c>
    </row>
    <row r="1048" spans="1:13" x14ac:dyDescent="0.2">
      <c r="A1048" s="113"/>
      <c r="B1048" s="58" t="s">
        <v>3774</v>
      </c>
      <c r="C1048" s="58" t="s">
        <v>1728</v>
      </c>
      <c r="D1048" s="58" t="s">
        <v>3775</v>
      </c>
      <c r="E1048" s="60" t="b">
        <v>1</v>
      </c>
      <c r="F1048" s="80" t="s">
        <v>491</v>
      </c>
      <c r="G1048" s="58" t="s">
        <v>3774</v>
      </c>
      <c r="H1048" s="58" t="s">
        <v>1728</v>
      </c>
      <c r="I1048" s="64" t="s">
        <v>3775</v>
      </c>
      <c r="J1048" s="66"/>
      <c r="K1048" s="66"/>
      <c r="L1048" s="68"/>
      <c r="M1048" s="63" t="str">
        <f>HYPERLINK("http://nsgreg.nga.mil/genc/view?v=868588&amp;end_month=12&amp;end_day=31&amp;end_year=2016","Correlation")</f>
        <v>Correlation</v>
      </c>
    </row>
    <row r="1049" spans="1:13" x14ac:dyDescent="0.2">
      <c r="A1049" s="113"/>
      <c r="B1049" s="58" t="s">
        <v>3776</v>
      </c>
      <c r="C1049" s="58" t="s">
        <v>1728</v>
      </c>
      <c r="D1049" s="58" t="s">
        <v>3777</v>
      </c>
      <c r="E1049" s="60" t="b">
        <v>1</v>
      </c>
      <c r="F1049" s="80" t="s">
        <v>491</v>
      </c>
      <c r="G1049" s="58" t="s">
        <v>3776</v>
      </c>
      <c r="H1049" s="58" t="s">
        <v>1728</v>
      </c>
      <c r="I1049" s="64" t="s">
        <v>3777</v>
      </c>
      <c r="J1049" s="66"/>
      <c r="K1049" s="66"/>
      <c r="L1049" s="68"/>
      <c r="M1049" s="63" t="str">
        <f>HYPERLINK("http://nsgreg.nga.mil/genc/view?v=868589&amp;end_month=12&amp;end_day=31&amp;end_year=2016","Correlation")</f>
        <v>Correlation</v>
      </c>
    </row>
    <row r="1050" spans="1:13" x14ac:dyDescent="0.2">
      <c r="A1050" s="113"/>
      <c r="B1050" s="58" t="s">
        <v>3778</v>
      </c>
      <c r="C1050" s="58" t="s">
        <v>1413</v>
      </c>
      <c r="D1050" s="58" t="s">
        <v>3779</v>
      </c>
      <c r="E1050" s="60" t="b">
        <v>1</v>
      </c>
      <c r="F1050" s="80" t="s">
        <v>491</v>
      </c>
      <c r="G1050" s="58" t="s">
        <v>3778</v>
      </c>
      <c r="H1050" s="58" t="s">
        <v>1413</v>
      </c>
      <c r="I1050" s="64" t="s">
        <v>3779</v>
      </c>
      <c r="J1050" s="66"/>
      <c r="K1050" s="66"/>
      <c r="L1050" s="68"/>
      <c r="M1050" s="63" t="str">
        <f>HYPERLINK("http://nsgreg.nga.mil/genc/view?v=868560&amp;end_month=12&amp;end_day=31&amp;end_year=2016","Correlation")</f>
        <v>Correlation</v>
      </c>
    </row>
    <row r="1051" spans="1:13" x14ac:dyDescent="0.2">
      <c r="A1051" s="113"/>
      <c r="B1051" s="58" t="s">
        <v>3780</v>
      </c>
      <c r="C1051" s="58" t="s">
        <v>1413</v>
      </c>
      <c r="D1051" s="58" t="s">
        <v>3781</v>
      </c>
      <c r="E1051" s="60" t="b">
        <v>1</v>
      </c>
      <c r="F1051" s="80" t="s">
        <v>491</v>
      </c>
      <c r="G1051" s="58" t="s">
        <v>3780</v>
      </c>
      <c r="H1051" s="58" t="s">
        <v>1413</v>
      </c>
      <c r="I1051" s="64" t="s">
        <v>3781</v>
      </c>
      <c r="J1051" s="66"/>
      <c r="K1051" s="66"/>
      <c r="L1051" s="68"/>
      <c r="M1051" s="63" t="str">
        <f>HYPERLINK("http://nsgreg.nga.mil/genc/view?v=868581&amp;end_month=12&amp;end_day=31&amp;end_year=2016","Correlation")</f>
        <v>Correlation</v>
      </c>
    </row>
    <row r="1052" spans="1:13" x14ac:dyDescent="0.2">
      <c r="A1052" s="113"/>
      <c r="B1052" s="58" t="s">
        <v>3782</v>
      </c>
      <c r="C1052" s="58" t="s">
        <v>1413</v>
      </c>
      <c r="D1052" s="58" t="s">
        <v>3783</v>
      </c>
      <c r="E1052" s="60" t="b">
        <v>1</v>
      </c>
      <c r="F1052" s="80" t="s">
        <v>491</v>
      </c>
      <c r="G1052" s="58" t="s">
        <v>3782</v>
      </c>
      <c r="H1052" s="58" t="s">
        <v>1413</v>
      </c>
      <c r="I1052" s="64" t="s">
        <v>3783</v>
      </c>
      <c r="J1052" s="66"/>
      <c r="K1052" s="66"/>
      <c r="L1052" s="68"/>
      <c r="M1052" s="63" t="str">
        <f>HYPERLINK("http://nsgreg.nga.mil/genc/view?v=868570&amp;end_month=12&amp;end_day=31&amp;end_year=2016","Correlation")</f>
        <v>Correlation</v>
      </c>
    </row>
    <row r="1053" spans="1:13" x14ac:dyDescent="0.2">
      <c r="A1053" s="113"/>
      <c r="B1053" s="58" t="s">
        <v>3784</v>
      </c>
      <c r="C1053" s="58" t="s">
        <v>1728</v>
      </c>
      <c r="D1053" s="58" t="s">
        <v>3785</v>
      </c>
      <c r="E1053" s="60" t="b">
        <v>1</v>
      </c>
      <c r="F1053" s="80" t="s">
        <v>491</v>
      </c>
      <c r="G1053" s="58" t="s">
        <v>3784</v>
      </c>
      <c r="H1053" s="58" t="s">
        <v>1728</v>
      </c>
      <c r="I1053" s="64" t="s">
        <v>3785</v>
      </c>
      <c r="J1053" s="66"/>
      <c r="K1053" s="66"/>
      <c r="L1053" s="68"/>
      <c r="M1053" s="63" t="str">
        <f>HYPERLINK("http://nsgreg.nga.mil/genc/view?v=868590&amp;end_month=12&amp;end_day=31&amp;end_year=2016","Correlation")</f>
        <v>Correlation</v>
      </c>
    </row>
    <row r="1054" spans="1:13" x14ac:dyDescent="0.2">
      <c r="A1054" s="113"/>
      <c r="B1054" s="58" t="s">
        <v>3786</v>
      </c>
      <c r="C1054" s="58" t="s">
        <v>1413</v>
      </c>
      <c r="D1054" s="58" t="s">
        <v>3787</v>
      </c>
      <c r="E1054" s="60" t="b">
        <v>1</v>
      </c>
      <c r="F1054" s="80" t="s">
        <v>491</v>
      </c>
      <c r="G1054" s="58" t="s">
        <v>3786</v>
      </c>
      <c r="H1054" s="58" t="s">
        <v>1413</v>
      </c>
      <c r="I1054" s="64" t="s">
        <v>3787</v>
      </c>
      <c r="J1054" s="66"/>
      <c r="K1054" s="66"/>
      <c r="L1054" s="68"/>
      <c r="M1054" s="63" t="str">
        <f>HYPERLINK("http://nsgreg.nga.mil/genc/view?v=868561&amp;end_month=12&amp;end_day=31&amp;end_year=2016","Correlation")</f>
        <v>Correlation</v>
      </c>
    </row>
    <row r="1055" spans="1:13" x14ac:dyDescent="0.2">
      <c r="A1055" s="113"/>
      <c r="B1055" s="58" t="s">
        <v>3788</v>
      </c>
      <c r="C1055" s="58" t="s">
        <v>1413</v>
      </c>
      <c r="D1055" s="58" t="s">
        <v>3789</v>
      </c>
      <c r="E1055" s="60" t="b">
        <v>1</v>
      </c>
      <c r="F1055" s="80" t="s">
        <v>491</v>
      </c>
      <c r="G1055" s="58" t="s">
        <v>3788</v>
      </c>
      <c r="H1055" s="58" t="s">
        <v>1413</v>
      </c>
      <c r="I1055" s="64" t="s">
        <v>3789</v>
      </c>
      <c r="J1055" s="66"/>
      <c r="K1055" s="66"/>
      <c r="L1055" s="68"/>
      <c r="M1055" s="63" t="str">
        <f>HYPERLINK("http://nsgreg.nga.mil/genc/view?v=868562&amp;end_month=12&amp;end_day=31&amp;end_year=2016","Correlation")</f>
        <v>Correlation</v>
      </c>
    </row>
    <row r="1056" spans="1:13" x14ac:dyDescent="0.2">
      <c r="A1056" s="113"/>
      <c r="B1056" s="58" t="s">
        <v>3790</v>
      </c>
      <c r="C1056" s="58" t="s">
        <v>1413</v>
      </c>
      <c r="D1056" s="58" t="s">
        <v>3791</v>
      </c>
      <c r="E1056" s="60" t="b">
        <v>1</v>
      </c>
      <c r="F1056" s="80" t="s">
        <v>491</v>
      </c>
      <c r="G1056" s="58" t="s">
        <v>3790</v>
      </c>
      <c r="H1056" s="58" t="s">
        <v>1413</v>
      </c>
      <c r="I1056" s="64" t="s">
        <v>3791</v>
      </c>
      <c r="J1056" s="66"/>
      <c r="K1056" s="66"/>
      <c r="L1056" s="68"/>
      <c r="M1056" s="63" t="str">
        <f>HYPERLINK("http://nsgreg.nga.mil/genc/view?v=868563&amp;end_month=12&amp;end_day=31&amp;end_year=2016","Correlation")</f>
        <v>Correlation</v>
      </c>
    </row>
    <row r="1057" spans="1:13" x14ac:dyDescent="0.2">
      <c r="A1057" s="113"/>
      <c r="B1057" s="58" t="s">
        <v>3792</v>
      </c>
      <c r="C1057" s="58" t="s">
        <v>1413</v>
      </c>
      <c r="D1057" s="58" t="s">
        <v>3793</v>
      </c>
      <c r="E1057" s="60" t="b">
        <v>1</v>
      </c>
      <c r="F1057" s="80" t="s">
        <v>491</v>
      </c>
      <c r="G1057" s="58" t="s">
        <v>3792</v>
      </c>
      <c r="H1057" s="58" t="s">
        <v>1413</v>
      </c>
      <c r="I1057" s="64" t="s">
        <v>3793</v>
      </c>
      <c r="J1057" s="66"/>
      <c r="K1057" s="66"/>
      <c r="L1057" s="68"/>
      <c r="M1057" s="63" t="str">
        <f>HYPERLINK("http://nsgreg.nga.mil/genc/view?v=868564&amp;end_month=12&amp;end_day=31&amp;end_year=2016","Correlation")</f>
        <v>Correlation</v>
      </c>
    </row>
    <row r="1058" spans="1:13" x14ac:dyDescent="0.2">
      <c r="A1058" s="113"/>
      <c r="B1058" s="58" t="s">
        <v>3794</v>
      </c>
      <c r="C1058" s="58" t="s">
        <v>1413</v>
      </c>
      <c r="D1058" s="58" t="s">
        <v>3795</v>
      </c>
      <c r="E1058" s="60" t="b">
        <v>1</v>
      </c>
      <c r="F1058" s="80" t="s">
        <v>491</v>
      </c>
      <c r="G1058" s="58" t="s">
        <v>3794</v>
      </c>
      <c r="H1058" s="58" t="s">
        <v>1413</v>
      </c>
      <c r="I1058" s="64" t="s">
        <v>3795</v>
      </c>
      <c r="J1058" s="66"/>
      <c r="K1058" s="66"/>
      <c r="L1058" s="68"/>
      <c r="M1058" s="63" t="str">
        <f>HYPERLINK("http://nsgreg.nga.mil/genc/view?v=868565&amp;end_month=12&amp;end_day=31&amp;end_year=2016","Correlation")</f>
        <v>Correlation</v>
      </c>
    </row>
    <row r="1059" spans="1:13" x14ac:dyDescent="0.2">
      <c r="A1059" s="113"/>
      <c r="B1059" s="58" t="s">
        <v>3796</v>
      </c>
      <c r="C1059" s="58" t="s">
        <v>1413</v>
      </c>
      <c r="D1059" s="58" t="s">
        <v>3797</v>
      </c>
      <c r="E1059" s="60" t="b">
        <v>1</v>
      </c>
      <c r="F1059" s="80" t="s">
        <v>491</v>
      </c>
      <c r="G1059" s="58" t="s">
        <v>3796</v>
      </c>
      <c r="H1059" s="58" t="s">
        <v>1413</v>
      </c>
      <c r="I1059" s="64" t="s">
        <v>3797</v>
      </c>
      <c r="J1059" s="66"/>
      <c r="K1059" s="66"/>
      <c r="L1059" s="68"/>
      <c r="M1059" s="63" t="str">
        <f>HYPERLINK("http://nsgreg.nga.mil/genc/view?v=868579&amp;end_month=12&amp;end_day=31&amp;end_year=2016","Correlation")</f>
        <v>Correlation</v>
      </c>
    </row>
    <row r="1060" spans="1:13" x14ac:dyDescent="0.2">
      <c r="A1060" s="113"/>
      <c r="B1060" s="58" t="s">
        <v>3798</v>
      </c>
      <c r="C1060" s="58" t="s">
        <v>1413</v>
      </c>
      <c r="D1060" s="58" t="s">
        <v>3799</v>
      </c>
      <c r="E1060" s="60" t="b">
        <v>1</v>
      </c>
      <c r="F1060" s="80" t="s">
        <v>491</v>
      </c>
      <c r="G1060" s="58" t="s">
        <v>3798</v>
      </c>
      <c r="H1060" s="58" t="s">
        <v>1413</v>
      </c>
      <c r="I1060" s="64" t="s">
        <v>3799</v>
      </c>
      <c r="J1060" s="66"/>
      <c r="K1060" s="66"/>
      <c r="L1060" s="68"/>
      <c r="M1060" s="63" t="str">
        <f>HYPERLINK("http://nsgreg.nga.mil/genc/view?v=868566&amp;end_month=12&amp;end_day=31&amp;end_year=2016","Correlation")</f>
        <v>Correlation</v>
      </c>
    </row>
    <row r="1061" spans="1:13" x14ac:dyDescent="0.2">
      <c r="A1061" s="113"/>
      <c r="B1061" s="58" t="s">
        <v>3800</v>
      </c>
      <c r="C1061" s="58" t="s">
        <v>1413</v>
      </c>
      <c r="D1061" s="58" t="s">
        <v>3801</v>
      </c>
      <c r="E1061" s="60" t="b">
        <v>1</v>
      </c>
      <c r="F1061" s="80" t="s">
        <v>491</v>
      </c>
      <c r="G1061" s="58" t="s">
        <v>3800</v>
      </c>
      <c r="H1061" s="58" t="s">
        <v>1413</v>
      </c>
      <c r="I1061" s="64" t="s">
        <v>3801</v>
      </c>
      <c r="J1061" s="66"/>
      <c r="K1061" s="66"/>
      <c r="L1061" s="68"/>
      <c r="M1061" s="63" t="str">
        <f>HYPERLINK("http://nsgreg.nga.mil/genc/view?v=868580&amp;end_month=12&amp;end_day=31&amp;end_year=2016","Correlation")</f>
        <v>Correlation</v>
      </c>
    </row>
    <row r="1062" spans="1:13" x14ac:dyDescent="0.2">
      <c r="A1062" s="113"/>
      <c r="B1062" s="58" t="s">
        <v>3802</v>
      </c>
      <c r="C1062" s="58" t="s">
        <v>1728</v>
      </c>
      <c r="D1062" s="58" t="s">
        <v>3803</v>
      </c>
      <c r="E1062" s="60" t="b">
        <v>1</v>
      </c>
      <c r="F1062" s="80" t="s">
        <v>491</v>
      </c>
      <c r="G1062" s="58" t="s">
        <v>3802</v>
      </c>
      <c r="H1062" s="58" t="s">
        <v>1728</v>
      </c>
      <c r="I1062" s="64" t="s">
        <v>3803</v>
      </c>
      <c r="J1062" s="66"/>
      <c r="K1062" s="66"/>
      <c r="L1062" s="68"/>
      <c r="M1062" s="63" t="str">
        <f>HYPERLINK("http://nsgreg.nga.mil/genc/view?v=868591&amp;end_month=12&amp;end_day=31&amp;end_year=2016","Correlation")</f>
        <v>Correlation</v>
      </c>
    </row>
    <row r="1063" spans="1:13" x14ac:dyDescent="0.2">
      <c r="A1063" s="113"/>
      <c r="B1063" s="58" t="s">
        <v>3804</v>
      </c>
      <c r="C1063" s="58" t="s">
        <v>1413</v>
      </c>
      <c r="D1063" s="58" t="s">
        <v>3805</v>
      </c>
      <c r="E1063" s="60" t="b">
        <v>1</v>
      </c>
      <c r="F1063" s="80" t="s">
        <v>491</v>
      </c>
      <c r="G1063" s="58" t="s">
        <v>3804</v>
      </c>
      <c r="H1063" s="58" t="s">
        <v>1413</v>
      </c>
      <c r="I1063" s="64" t="s">
        <v>3805</v>
      </c>
      <c r="J1063" s="66"/>
      <c r="K1063" s="66"/>
      <c r="L1063" s="68"/>
      <c r="M1063" s="63" t="str">
        <f>HYPERLINK("http://nsgreg.nga.mil/genc/view?v=868567&amp;end_month=12&amp;end_day=31&amp;end_year=2016","Correlation")</f>
        <v>Correlation</v>
      </c>
    </row>
    <row r="1064" spans="1:13" x14ac:dyDescent="0.2">
      <c r="A1064" s="113"/>
      <c r="B1064" s="58" t="s">
        <v>3806</v>
      </c>
      <c r="C1064" s="58" t="s">
        <v>1413</v>
      </c>
      <c r="D1064" s="58" t="s">
        <v>3807</v>
      </c>
      <c r="E1064" s="60" t="b">
        <v>1</v>
      </c>
      <c r="F1064" s="80" t="s">
        <v>491</v>
      </c>
      <c r="G1064" s="58" t="s">
        <v>3806</v>
      </c>
      <c r="H1064" s="58" t="s">
        <v>1413</v>
      </c>
      <c r="I1064" s="64" t="s">
        <v>3807</v>
      </c>
      <c r="J1064" s="66"/>
      <c r="K1064" s="66"/>
      <c r="L1064" s="68"/>
      <c r="M1064" s="63" t="str">
        <f>HYPERLINK("http://nsgreg.nga.mil/genc/view?v=868568&amp;end_month=12&amp;end_day=31&amp;end_year=2016","Correlation")</f>
        <v>Correlation</v>
      </c>
    </row>
    <row r="1065" spans="1:13" x14ac:dyDescent="0.2">
      <c r="A1065" s="113"/>
      <c r="B1065" s="58" t="s">
        <v>3808</v>
      </c>
      <c r="C1065" s="58" t="s">
        <v>1413</v>
      </c>
      <c r="D1065" s="58" t="s">
        <v>3809</v>
      </c>
      <c r="E1065" s="60" t="b">
        <v>1</v>
      </c>
      <c r="F1065" s="80" t="s">
        <v>491</v>
      </c>
      <c r="G1065" s="58" t="s">
        <v>3808</v>
      </c>
      <c r="H1065" s="58" t="s">
        <v>1413</v>
      </c>
      <c r="I1065" s="64" t="s">
        <v>3809</v>
      </c>
      <c r="J1065" s="66"/>
      <c r="K1065" s="66"/>
      <c r="L1065" s="68"/>
      <c r="M1065" s="63" t="str">
        <f>HYPERLINK("http://nsgreg.nga.mil/genc/view?v=868569&amp;end_month=12&amp;end_day=31&amp;end_year=2016","Correlation")</f>
        <v>Correlation</v>
      </c>
    </row>
    <row r="1066" spans="1:13" x14ac:dyDescent="0.2">
      <c r="A1066" s="113"/>
      <c r="B1066" s="58" t="s">
        <v>3810</v>
      </c>
      <c r="C1066" s="58" t="s">
        <v>1413</v>
      </c>
      <c r="D1066" s="58" t="s">
        <v>3811</v>
      </c>
      <c r="E1066" s="60" t="b">
        <v>1</v>
      </c>
      <c r="F1066" s="80" t="s">
        <v>491</v>
      </c>
      <c r="G1066" s="58" t="s">
        <v>3810</v>
      </c>
      <c r="H1066" s="58" t="s">
        <v>1413</v>
      </c>
      <c r="I1066" s="64" t="s">
        <v>3811</v>
      </c>
      <c r="J1066" s="66"/>
      <c r="K1066" s="66"/>
      <c r="L1066" s="68"/>
      <c r="M1066" s="63" t="str">
        <f>HYPERLINK("http://nsgreg.nga.mil/genc/view?v=868571&amp;end_month=12&amp;end_day=31&amp;end_year=2016","Correlation")</f>
        <v>Correlation</v>
      </c>
    </row>
    <row r="1067" spans="1:13" x14ac:dyDescent="0.2">
      <c r="A1067" s="113"/>
      <c r="B1067" s="58" t="s">
        <v>3812</v>
      </c>
      <c r="C1067" s="58" t="s">
        <v>1413</v>
      </c>
      <c r="D1067" s="58" t="s">
        <v>3813</v>
      </c>
      <c r="E1067" s="60" t="b">
        <v>1</v>
      </c>
      <c r="F1067" s="80" t="s">
        <v>491</v>
      </c>
      <c r="G1067" s="58" t="s">
        <v>3812</v>
      </c>
      <c r="H1067" s="58" t="s">
        <v>1413</v>
      </c>
      <c r="I1067" s="64" t="s">
        <v>3813</v>
      </c>
      <c r="J1067" s="66"/>
      <c r="K1067" s="66"/>
      <c r="L1067" s="68"/>
      <c r="M1067" s="63" t="str">
        <f>HYPERLINK("http://nsgreg.nga.mil/genc/view?v=868572&amp;end_month=12&amp;end_day=31&amp;end_year=2016","Correlation")</f>
        <v>Correlation</v>
      </c>
    </row>
    <row r="1068" spans="1:13" x14ac:dyDescent="0.2">
      <c r="A1068" s="113"/>
      <c r="B1068" s="58" t="s">
        <v>3814</v>
      </c>
      <c r="C1068" s="58" t="s">
        <v>1413</v>
      </c>
      <c r="D1068" s="58" t="s">
        <v>3815</v>
      </c>
      <c r="E1068" s="60" t="b">
        <v>1</v>
      </c>
      <c r="F1068" s="80" t="s">
        <v>491</v>
      </c>
      <c r="G1068" s="58" t="s">
        <v>3814</v>
      </c>
      <c r="H1068" s="58" t="s">
        <v>1413</v>
      </c>
      <c r="I1068" s="64" t="s">
        <v>3815</v>
      </c>
      <c r="J1068" s="66"/>
      <c r="K1068" s="66"/>
      <c r="L1068" s="68"/>
      <c r="M1068" s="63" t="str">
        <f>HYPERLINK("http://nsgreg.nga.mil/genc/view?v=868582&amp;end_month=12&amp;end_day=31&amp;end_year=2016","Correlation")</f>
        <v>Correlation</v>
      </c>
    </row>
    <row r="1069" spans="1:13" x14ac:dyDescent="0.2">
      <c r="A1069" s="113"/>
      <c r="B1069" s="58" t="s">
        <v>1712</v>
      </c>
      <c r="C1069" s="58" t="s">
        <v>1413</v>
      </c>
      <c r="D1069" s="58" t="s">
        <v>3816</v>
      </c>
      <c r="E1069" s="60" t="b">
        <v>1</v>
      </c>
      <c r="F1069" s="80" t="s">
        <v>491</v>
      </c>
      <c r="G1069" s="58" t="s">
        <v>1712</v>
      </c>
      <c r="H1069" s="58" t="s">
        <v>1413</v>
      </c>
      <c r="I1069" s="64" t="s">
        <v>3816</v>
      </c>
      <c r="J1069" s="66"/>
      <c r="K1069" s="66"/>
      <c r="L1069" s="68"/>
      <c r="M1069" s="63" t="str">
        <f>HYPERLINK("http://nsgreg.nga.mil/genc/view?v=868573&amp;end_month=12&amp;end_day=31&amp;end_year=2016","Correlation")</f>
        <v>Correlation</v>
      </c>
    </row>
    <row r="1070" spans="1:13" x14ac:dyDescent="0.2">
      <c r="A1070" s="113"/>
      <c r="B1070" s="58" t="s">
        <v>3817</v>
      </c>
      <c r="C1070" s="58" t="s">
        <v>1413</v>
      </c>
      <c r="D1070" s="58" t="s">
        <v>3818</v>
      </c>
      <c r="E1070" s="60" t="b">
        <v>1</v>
      </c>
      <c r="F1070" s="80" t="s">
        <v>491</v>
      </c>
      <c r="G1070" s="58" t="s">
        <v>3817</v>
      </c>
      <c r="H1070" s="58" t="s">
        <v>1413</v>
      </c>
      <c r="I1070" s="64" t="s">
        <v>3818</v>
      </c>
      <c r="J1070" s="66"/>
      <c r="K1070" s="66"/>
      <c r="L1070" s="68"/>
      <c r="M1070" s="63" t="str">
        <f>HYPERLINK("http://nsgreg.nga.mil/genc/view?v=868574&amp;end_month=12&amp;end_day=31&amp;end_year=2016","Correlation")</f>
        <v>Correlation</v>
      </c>
    </row>
    <row r="1071" spans="1:13" x14ac:dyDescent="0.2">
      <c r="A1071" s="113"/>
      <c r="B1071" s="58" t="s">
        <v>3819</v>
      </c>
      <c r="C1071" s="58" t="s">
        <v>1413</v>
      </c>
      <c r="D1071" s="58" t="s">
        <v>3820</v>
      </c>
      <c r="E1071" s="60" t="b">
        <v>1</v>
      </c>
      <c r="F1071" s="80" t="s">
        <v>491</v>
      </c>
      <c r="G1071" s="58" t="s">
        <v>3819</v>
      </c>
      <c r="H1071" s="58" t="s">
        <v>1413</v>
      </c>
      <c r="I1071" s="64" t="s">
        <v>3820</v>
      </c>
      <c r="J1071" s="66"/>
      <c r="K1071" s="66"/>
      <c r="L1071" s="68"/>
      <c r="M1071" s="63" t="str">
        <f>HYPERLINK("http://nsgreg.nga.mil/genc/view?v=868575&amp;end_month=12&amp;end_day=31&amp;end_year=2016","Correlation")</f>
        <v>Correlation</v>
      </c>
    </row>
    <row r="1072" spans="1:13" x14ac:dyDescent="0.2">
      <c r="A1072" s="113"/>
      <c r="B1072" s="58" t="s">
        <v>3821</v>
      </c>
      <c r="C1072" s="58" t="s">
        <v>1413</v>
      </c>
      <c r="D1072" s="58" t="s">
        <v>3822</v>
      </c>
      <c r="E1072" s="60" t="b">
        <v>1</v>
      </c>
      <c r="F1072" s="80" t="s">
        <v>491</v>
      </c>
      <c r="G1072" s="58" t="s">
        <v>3821</v>
      </c>
      <c r="H1072" s="58" t="s">
        <v>1413</v>
      </c>
      <c r="I1072" s="64" t="s">
        <v>3822</v>
      </c>
      <c r="J1072" s="66"/>
      <c r="K1072" s="66"/>
      <c r="L1072" s="68"/>
      <c r="M1072" s="63" t="str">
        <f>HYPERLINK("http://nsgreg.nga.mil/genc/view?v=868576&amp;end_month=12&amp;end_day=31&amp;end_year=2016","Correlation")</f>
        <v>Correlation</v>
      </c>
    </row>
    <row r="1073" spans="1:13" x14ac:dyDescent="0.2">
      <c r="A1073" s="113"/>
      <c r="B1073" s="58" t="s">
        <v>3823</v>
      </c>
      <c r="C1073" s="58" t="s">
        <v>1413</v>
      </c>
      <c r="D1073" s="58" t="s">
        <v>3824</v>
      </c>
      <c r="E1073" s="60" t="b">
        <v>1</v>
      </c>
      <c r="F1073" s="80" t="s">
        <v>491</v>
      </c>
      <c r="G1073" s="58" t="s">
        <v>3823</v>
      </c>
      <c r="H1073" s="58" t="s">
        <v>1413</v>
      </c>
      <c r="I1073" s="64" t="s">
        <v>3824</v>
      </c>
      <c r="J1073" s="66"/>
      <c r="K1073" s="66"/>
      <c r="L1073" s="68"/>
      <c r="M1073" s="63" t="str">
        <f>HYPERLINK("http://nsgreg.nga.mil/genc/view?v=868577&amp;end_month=12&amp;end_day=31&amp;end_year=2016","Correlation")</f>
        <v>Correlation</v>
      </c>
    </row>
    <row r="1074" spans="1:13" x14ac:dyDescent="0.2">
      <c r="A1074" s="113"/>
      <c r="B1074" s="58" t="s">
        <v>3825</v>
      </c>
      <c r="C1074" s="58" t="s">
        <v>1413</v>
      </c>
      <c r="D1074" s="58" t="s">
        <v>3826</v>
      </c>
      <c r="E1074" s="60" t="b">
        <v>1</v>
      </c>
      <c r="F1074" s="80" t="s">
        <v>491</v>
      </c>
      <c r="G1074" s="58" t="s">
        <v>3825</v>
      </c>
      <c r="H1074" s="58" t="s">
        <v>1413</v>
      </c>
      <c r="I1074" s="64" t="s">
        <v>3826</v>
      </c>
      <c r="J1074" s="66"/>
      <c r="K1074" s="66"/>
      <c r="L1074" s="68"/>
      <c r="M1074" s="63" t="str">
        <f>HYPERLINK("http://nsgreg.nga.mil/genc/view?v=868583&amp;end_month=12&amp;end_day=31&amp;end_year=2016","Correlation")</f>
        <v>Correlation</v>
      </c>
    </row>
    <row r="1075" spans="1:13" x14ac:dyDescent="0.2">
      <c r="A1075" s="113"/>
      <c r="B1075" s="58" t="s">
        <v>3827</v>
      </c>
      <c r="C1075" s="58" t="s">
        <v>1728</v>
      </c>
      <c r="D1075" s="58" t="s">
        <v>3828</v>
      </c>
      <c r="E1075" s="60" t="b">
        <v>1</v>
      </c>
      <c r="F1075" s="80" t="s">
        <v>491</v>
      </c>
      <c r="G1075" s="58" t="s">
        <v>3827</v>
      </c>
      <c r="H1075" s="58" t="s">
        <v>1728</v>
      </c>
      <c r="I1075" s="64" t="s">
        <v>3828</v>
      </c>
      <c r="J1075" s="66"/>
      <c r="K1075" s="66"/>
      <c r="L1075" s="68"/>
      <c r="M1075" s="63" t="str">
        <f>HYPERLINK("http://nsgreg.nga.mil/genc/view?v=868592&amp;end_month=12&amp;end_day=31&amp;end_year=2016","Correlation")</f>
        <v>Correlation</v>
      </c>
    </row>
    <row r="1076" spans="1:13" x14ac:dyDescent="0.2">
      <c r="A1076" s="113"/>
      <c r="B1076" s="58" t="s">
        <v>3829</v>
      </c>
      <c r="C1076" s="58" t="s">
        <v>1413</v>
      </c>
      <c r="D1076" s="58" t="s">
        <v>3830</v>
      </c>
      <c r="E1076" s="60" t="b">
        <v>1</v>
      </c>
      <c r="F1076" s="80" t="s">
        <v>491</v>
      </c>
      <c r="G1076" s="58" t="s">
        <v>3829</v>
      </c>
      <c r="H1076" s="58" t="s">
        <v>1413</v>
      </c>
      <c r="I1076" s="64" t="s">
        <v>3830</v>
      </c>
      <c r="J1076" s="66"/>
      <c r="K1076" s="66"/>
      <c r="L1076" s="68"/>
      <c r="M1076" s="63" t="str">
        <f>HYPERLINK("http://nsgreg.nga.mil/genc/view?v=868578&amp;end_month=12&amp;end_day=31&amp;end_year=2016","Correlation")</f>
        <v>Correlation</v>
      </c>
    </row>
    <row r="1077" spans="1:13" x14ac:dyDescent="0.2">
      <c r="A1077" s="114"/>
      <c r="B1077" s="71" t="s">
        <v>3831</v>
      </c>
      <c r="C1077" s="71" t="s">
        <v>1728</v>
      </c>
      <c r="D1077" s="71" t="s">
        <v>3832</v>
      </c>
      <c r="E1077" s="73" t="b">
        <v>1</v>
      </c>
      <c r="F1077" s="81" t="s">
        <v>491</v>
      </c>
      <c r="G1077" s="71" t="s">
        <v>3831</v>
      </c>
      <c r="H1077" s="71" t="s">
        <v>1728</v>
      </c>
      <c r="I1077" s="74" t="s">
        <v>3832</v>
      </c>
      <c r="J1077" s="76"/>
      <c r="K1077" s="76"/>
      <c r="L1077" s="82"/>
      <c r="M1077" s="77" t="str">
        <f>HYPERLINK("http://nsgreg.nga.mil/genc/view?v=868593&amp;end_month=12&amp;end_day=31&amp;end_year=2016","Correlation")</f>
        <v>Correlation</v>
      </c>
    </row>
    <row r="1078" spans="1:13" x14ac:dyDescent="0.2">
      <c r="A1078" s="112" t="s">
        <v>495</v>
      </c>
      <c r="B1078" s="50" t="s">
        <v>3833</v>
      </c>
      <c r="C1078" s="50" t="s">
        <v>1413</v>
      </c>
      <c r="D1078" s="50" t="s">
        <v>3834</v>
      </c>
      <c r="E1078" s="52" t="b">
        <v>1</v>
      </c>
      <c r="F1078" s="78" t="s">
        <v>495</v>
      </c>
      <c r="G1078" s="50" t="s">
        <v>3833</v>
      </c>
      <c r="H1078" s="50" t="s">
        <v>1413</v>
      </c>
      <c r="I1078" s="53" t="s">
        <v>3834</v>
      </c>
      <c r="J1078" s="55"/>
      <c r="K1078" s="55"/>
      <c r="L1078" s="79"/>
      <c r="M1078" s="56" t="str">
        <f>HYPERLINK("http://nsgreg.nga.mil/genc/view?v=868642&amp;end_month=12&amp;end_day=31&amp;end_year=2016","Correlation")</f>
        <v>Correlation</v>
      </c>
    </row>
    <row r="1079" spans="1:13" x14ac:dyDescent="0.2">
      <c r="A1079" s="113"/>
      <c r="B1079" s="58" t="s">
        <v>3143</v>
      </c>
      <c r="C1079" s="58" t="s">
        <v>1413</v>
      </c>
      <c r="D1079" s="58" t="s">
        <v>3835</v>
      </c>
      <c r="E1079" s="60" t="b">
        <v>1</v>
      </c>
      <c r="F1079" s="80" t="s">
        <v>495</v>
      </c>
      <c r="G1079" s="58" t="s">
        <v>3143</v>
      </c>
      <c r="H1079" s="58" t="s">
        <v>1413</v>
      </c>
      <c r="I1079" s="64" t="s">
        <v>3835</v>
      </c>
      <c r="J1079" s="66"/>
      <c r="K1079" s="66"/>
      <c r="L1079" s="68"/>
      <c r="M1079" s="63" t="str">
        <f>HYPERLINK("http://nsgreg.nga.mil/genc/view?v=868643&amp;end_month=12&amp;end_day=31&amp;end_year=2016","Correlation")</f>
        <v>Correlation</v>
      </c>
    </row>
    <row r="1080" spans="1:13" x14ac:dyDescent="0.2">
      <c r="A1080" s="113"/>
      <c r="B1080" s="58" t="s">
        <v>3836</v>
      </c>
      <c r="C1080" s="58" t="s">
        <v>1413</v>
      </c>
      <c r="D1080" s="58" t="s">
        <v>3837</v>
      </c>
      <c r="E1080" s="60" t="b">
        <v>1</v>
      </c>
      <c r="F1080" s="80" t="s">
        <v>495</v>
      </c>
      <c r="G1080" s="58" t="s">
        <v>3836</v>
      </c>
      <c r="H1080" s="58" t="s">
        <v>1413</v>
      </c>
      <c r="I1080" s="64" t="s">
        <v>3837</v>
      </c>
      <c r="J1080" s="66"/>
      <c r="K1080" s="66"/>
      <c r="L1080" s="68"/>
      <c r="M1080" s="63" t="str">
        <f>HYPERLINK("http://nsgreg.nga.mil/genc/view?v=868647&amp;end_month=12&amp;end_day=31&amp;end_year=2016","Correlation")</f>
        <v>Correlation</v>
      </c>
    </row>
    <row r="1081" spans="1:13" x14ac:dyDescent="0.2">
      <c r="A1081" s="113"/>
      <c r="B1081" s="58" t="s">
        <v>3838</v>
      </c>
      <c r="C1081" s="58" t="s">
        <v>1413</v>
      </c>
      <c r="D1081" s="58" t="s">
        <v>3839</v>
      </c>
      <c r="E1081" s="60" t="b">
        <v>1</v>
      </c>
      <c r="F1081" s="80" t="s">
        <v>495</v>
      </c>
      <c r="G1081" s="58" t="s">
        <v>3838</v>
      </c>
      <c r="H1081" s="58" t="s">
        <v>1413</v>
      </c>
      <c r="I1081" s="64" t="s">
        <v>3839</v>
      </c>
      <c r="J1081" s="66"/>
      <c r="K1081" s="66"/>
      <c r="L1081" s="68"/>
      <c r="M1081" s="63" t="str">
        <f>HYPERLINK("http://nsgreg.nga.mil/genc/view?v=868644&amp;end_month=12&amp;end_day=31&amp;end_year=2016","Correlation")</f>
        <v>Correlation</v>
      </c>
    </row>
    <row r="1082" spans="1:13" x14ac:dyDescent="0.2">
      <c r="A1082" s="113"/>
      <c r="B1082" s="58" t="s">
        <v>3840</v>
      </c>
      <c r="C1082" s="58" t="s">
        <v>1413</v>
      </c>
      <c r="D1082" s="58" t="s">
        <v>3841</v>
      </c>
      <c r="E1082" s="60" t="b">
        <v>1</v>
      </c>
      <c r="F1082" s="80" t="s">
        <v>495</v>
      </c>
      <c r="G1082" s="58" t="s">
        <v>3840</v>
      </c>
      <c r="H1082" s="58" t="s">
        <v>1413</v>
      </c>
      <c r="I1082" s="64" t="s">
        <v>3841</v>
      </c>
      <c r="J1082" s="66"/>
      <c r="K1082" s="66"/>
      <c r="L1082" s="68"/>
      <c r="M1082" s="63" t="str">
        <f>HYPERLINK("http://nsgreg.nga.mil/genc/view?v=868649&amp;end_month=12&amp;end_day=31&amp;end_year=2016","Correlation")</f>
        <v>Correlation</v>
      </c>
    </row>
    <row r="1083" spans="1:13" x14ac:dyDescent="0.2">
      <c r="A1083" s="113"/>
      <c r="B1083" s="58" t="s">
        <v>3842</v>
      </c>
      <c r="C1083" s="58" t="s">
        <v>1413</v>
      </c>
      <c r="D1083" s="58" t="s">
        <v>3843</v>
      </c>
      <c r="E1083" s="60" t="b">
        <v>1</v>
      </c>
      <c r="F1083" s="80" t="s">
        <v>495</v>
      </c>
      <c r="G1083" s="58" t="s">
        <v>3842</v>
      </c>
      <c r="H1083" s="58" t="s">
        <v>1413</v>
      </c>
      <c r="I1083" s="64" t="s">
        <v>3843</v>
      </c>
      <c r="J1083" s="66"/>
      <c r="K1083" s="66"/>
      <c r="L1083" s="68"/>
      <c r="M1083" s="63" t="str">
        <f>HYPERLINK("http://nsgreg.nga.mil/genc/view?v=868663&amp;end_month=12&amp;end_day=31&amp;end_year=2016","Correlation")</f>
        <v>Correlation</v>
      </c>
    </row>
    <row r="1084" spans="1:13" x14ac:dyDescent="0.2">
      <c r="A1084" s="113"/>
      <c r="B1084" s="58" t="s">
        <v>3844</v>
      </c>
      <c r="C1084" s="58" t="s">
        <v>1413</v>
      </c>
      <c r="D1084" s="58" t="s">
        <v>3845</v>
      </c>
      <c r="E1084" s="60" t="b">
        <v>1</v>
      </c>
      <c r="F1084" s="80" t="s">
        <v>495</v>
      </c>
      <c r="G1084" s="58" t="s">
        <v>3844</v>
      </c>
      <c r="H1084" s="58" t="s">
        <v>1413</v>
      </c>
      <c r="I1084" s="64" t="s">
        <v>3845</v>
      </c>
      <c r="J1084" s="66"/>
      <c r="K1084" s="66"/>
      <c r="L1084" s="68"/>
      <c r="M1084" s="63" t="str">
        <f>HYPERLINK("http://nsgreg.nga.mil/genc/view?v=868654&amp;end_month=12&amp;end_day=31&amp;end_year=2016","Correlation")</f>
        <v>Correlation</v>
      </c>
    </row>
    <row r="1085" spans="1:13" x14ac:dyDescent="0.2">
      <c r="A1085" s="113"/>
      <c r="B1085" s="58" t="s">
        <v>3846</v>
      </c>
      <c r="C1085" s="58" t="s">
        <v>1413</v>
      </c>
      <c r="D1085" s="58" t="s">
        <v>3847</v>
      </c>
      <c r="E1085" s="60" t="b">
        <v>1</v>
      </c>
      <c r="F1085" s="80" t="s">
        <v>495</v>
      </c>
      <c r="G1085" s="58" t="s">
        <v>3846</v>
      </c>
      <c r="H1085" s="58" t="s">
        <v>1413</v>
      </c>
      <c r="I1085" s="64" t="s">
        <v>3847</v>
      </c>
      <c r="J1085" s="66"/>
      <c r="K1085" s="66"/>
      <c r="L1085" s="68"/>
      <c r="M1085" s="63" t="str">
        <f>HYPERLINK("http://nsgreg.nga.mil/genc/view?v=868646&amp;end_month=12&amp;end_day=31&amp;end_year=2016","Correlation")</f>
        <v>Correlation</v>
      </c>
    </row>
    <row r="1086" spans="1:13" x14ac:dyDescent="0.2">
      <c r="A1086" s="113"/>
      <c r="B1086" s="58" t="s">
        <v>3848</v>
      </c>
      <c r="C1086" s="58" t="s">
        <v>1413</v>
      </c>
      <c r="D1086" s="58" t="s">
        <v>3849</v>
      </c>
      <c r="E1086" s="60" t="b">
        <v>1</v>
      </c>
      <c r="F1086" s="80" t="s">
        <v>495</v>
      </c>
      <c r="G1086" s="58" t="s">
        <v>3848</v>
      </c>
      <c r="H1086" s="58" t="s">
        <v>1413</v>
      </c>
      <c r="I1086" s="64" t="s">
        <v>3849</v>
      </c>
      <c r="J1086" s="66"/>
      <c r="K1086" s="66"/>
      <c r="L1086" s="68"/>
      <c r="M1086" s="63" t="str">
        <f>HYPERLINK("http://nsgreg.nga.mil/genc/view?v=868662&amp;end_month=12&amp;end_day=31&amp;end_year=2016","Correlation")</f>
        <v>Correlation</v>
      </c>
    </row>
    <row r="1087" spans="1:13" x14ac:dyDescent="0.2">
      <c r="A1087" s="113"/>
      <c r="B1087" s="58" t="s">
        <v>3850</v>
      </c>
      <c r="C1087" s="58" t="s">
        <v>1413</v>
      </c>
      <c r="D1087" s="58" t="s">
        <v>3851</v>
      </c>
      <c r="E1087" s="60" t="b">
        <v>1</v>
      </c>
      <c r="F1087" s="80" t="s">
        <v>495</v>
      </c>
      <c r="G1087" s="58" t="s">
        <v>3850</v>
      </c>
      <c r="H1087" s="58" t="s">
        <v>1413</v>
      </c>
      <c r="I1087" s="64" t="s">
        <v>3851</v>
      </c>
      <c r="J1087" s="66"/>
      <c r="K1087" s="66"/>
      <c r="L1087" s="68"/>
      <c r="M1087" s="63" t="str">
        <f>HYPERLINK("http://nsgreg.nga.mil/genc/view?v=868648&amp;end_month=12&amp;end_day=31&amp;end_year=2016","Correlation")</f>
        <v>Correlation</v>
      </c>
    </row>
    <row r="1088" spans="1:13" x14ac:dyDescent="0.2">
      <c r="A1088" s="113"/>
      <c r="B1088" s="58" t="s">
        <v>3852</v>
      </c>
      <c r="C1088" s="58" t="s">
        <v>1413</v>
      </c>
      <c r="D1088" s="58" t="s">
        <v>3853</v>
      </c>
      <c r="E1088" s="60" t="b">
        <v>1</v>
      </c>
      <c r="F1088" s="80" t="s">
        <v>495</v>
      </c>
      <c r="G1088" s="58" t="s">
        <v>3852</v>
      </c>
      <c r="H1088" s="58" t="s">
        <v>1413</v>
      </c>
      <c r="I1088" s="64" t="s">
        <v>3853</v>
      </c>
      <c r="J1088" s="66"/>
      <c r="K1088" s="66"/>
      <c r="L1088" s="68"/>
      <c r="M1088" s="63" t="str">
        <f>HYPERLINK("http://nsgreg.nga.mil/genc/view?v=868650&amp;end_month=12&amp;end_day=31&amp;end_year=2016","Correlation")</f>
        <v>Correlation</v>
      </c>
    </row>
    <row r="1089" spans="1:13" x14ac:dyDescent="0.2">
      <c r="A1089" s="113"/>
      <c r="B1089" s="58" t="s">
        <v>3854</v>
      </c>
      <c r="C1089" s="58" t="s">
        <v>1413</v>
      </c>
      <c r="D1089" s="58" t="s">
        <v>3855</v>
      </c>
      <c r="E1089" s="60" t="b">
        <v>1</v>
      </c>
      <c r="F1089" s="80" t="s">
        <v>495</v>
      </c>
      <c r="G1089" s="58" t="s">
        <v>3854</v>
      </c>
      <c r="H1089" s="58" t="s">
        <v>1413</v>
      </c>
      <c r="I1089" s="64" t="s">
        <v>3855</v>
      </c>
      <c r="J1089" s="66"/>
      <c r="K1089" s="66"/>
      <c r="L1089" s="68"/>
      <c r="M1089" s="63" t="str">
        <f>HYPERLINK("http://nsgreg.nga.mil/genc/view?v=868651&amp;end_month=12&amp;end_day=31&amp;end_year=2016","Correlation")</f>
        <v>Correlation</v>
      </c>
    </row>
    <row r="1090" spans="1:13" x14ac:dyDescent="0.2">
      <c r="A1090" s="113"/>
      <c r="B1090" s="58" t="s">
        <v>3053</v>
      </c>
      <c r="C1090" s="58" t="s">
        <v>1413</v>
      </c>
      <c r="D1090" s="58" t="s">
        <v>3856</v>
      </c>
      <c r="E1090" s="60" t="b">
        <v>1</v>
      </c>
      <c r="F1090" s="80" t="s">
        <v>495</v>
      </c>
      <c r="G1090" s="58" t="s">
        <v>3053</v>
      </c>
      <c r="H1090" s="58" t="s">
        <v>1413</v>
      </c>
      <c r="I1090" s="64" t="s">
        <v>3856</v>
      </c>
      <c r="J1090" s="66"/>
      <c r="K1090" s="66"/>
      <c r="L1090" s="68"/>
      <c r="M1090" s="63" t="str">
        <f>HYPERLINK("http://nsgreg.nga.mil/genc/view?v=868656&amp;end_month=12&amp;end_day=31&amp;end_year=2016","Correlation")</f>
        <v>Correlation</v>
      </c>
    </row>
    <row r="1091" spans="1:13" x14ac:dyDescent="0.2">
      <c r="A1091" s="113"/>
      <c r="B1091" s="58" t="s">
        <v>3857</v>
      </c>
      <c r="C1091" s="58" t="s">
        <v>1413</v>
      </c>
      <c r="D1091" s="58" t="s">
        <v>3858</v>
      </c>
      <c r="E1091" s="60" t="b">
        <v>1</v>
      </c>
      <c r="F1091" s="80" t="s">
        <v>495</v>
      </c>
      <c r="G1091" s="58" t="s">
        <v>3857</v>
      </c>
      <c r="H1091" s="58" t="s">
        <v>1413</v>
      </c>
      <c r="I1091" s="64" t="s">
        <v>3858</v>
      </c>
      <c r="J1091" s="66"/>
      <c r="K1091" s="66"/>
      <c r="L1091" s="68"/>
      <c r="M1091" s="63" t="str">
        <f>HYPERLINK("http://nsgreg.nga.mil/genc/view?v=868652&amp;end_month=12&amp;end_day=31&amp;end_year=2016","Correlation")</f>
        <v>Correlation</v>
      </c>
    </row>
    <row r="1092" spans="1:13" x14ac:dyDescent="0.2">
      <c r="A1092" s="113"/>
      <c r="B1092" s="58" t="s">
        <v>3859</v>
      </c>
      <c r="C1092" s="58" t="s">
        <v>1413</v>
      </c>
      <c r="D1092" s="58" t="s">
        <v>3860</v>
      </c>
      <c r="E1092" s="60" t="b">
        <v>1</v>
      </c>
      <c r="F1092" s="80" t="s">
        <v>495</v>
      </c>
      <c r="G1092" s="58" t="s">
        <v>3859</v>
      </c>
      <c r="H1092" s="58" t="s">
        <v>1413</v>
      </c>
      <c r="I1092" s="64" t="s">
        <v>3860</v>
      </c>
      <c r="J1092" s="66"/>
      <c r="K1092" s="66"/>
      <c r="L1092" s="68"/>
      <c r="M1092" s="63" t="str">
        <f>HYPERLINK("http://nsgreg.nga.mil/genc/view?v=868657&amp;end_month=12&amp;end_day=31&amp;end_year=2016","Correlation")</f>
        <v>Correlation</v>
      </c>
    </row>
    <row r="1093" spans="1:13" x14ac:dyDescent="0.2">
      <c r="A1093" s="113"/>
      <c r="B1093" s="58" t="s">
        <v>3861</v>
      </c>
      <c r="C1093" s="58" t="s">
        <v>1413</v>
      </c>
      <c r="D1093" s="58" t="s">
        <v>3862</v>
      </c>
      <c r="E1093" s="60" t="b">
        <v>1</v>
      </c>
      <c r="F1093" s="80" t="s">
        <v>495</v>
      </c>
      <c r="G1093" s="58" t="s">
        <v>3861</v>
      </c>
      <c r="H1093" s="58" t="s">
        <v>1413</v>
      </c>
      <c r="I1093" s="64" t="s">
        <v>3862</v>
      </c>
      <c r="J1093" s="66"/>
      <c r="K1093" s="66"/>
      <c r="L1093" s="68"/>
      <c r="M1093" s="63" t="str">
        <f>HYPERLINK("http://nsgreg.nga.mil/genc/view?v=868653&amp;end_month=12&amp;end_day=31&amp;end_year=2016","Correlation")</f>
        <v>Correlation</v>
      </c>
    </row>
    <row r="1094" spans="1:13" x14ac:dyDescent="0.2">
      <c r="A1094" s="113"/>
      <c r="B1094" s="58" t="s">
        <v>3863</v>
      </c>
      <c r="C1094" s="58" t="s">
        <v>1413</v>
      </c>
      <c r="D1094" s="58" t="s">
        <v>3864</v>
      </c>
      <c r="E1094" s="60" t="b">
        <v>1</v>
      </c>
      <c r="F1094" s="80" t="s">
        <v>495</v>
      </c>
      <c r="G1094" s="58" t="s">
        <v>3863</v>
      </c>
      <c r="H1094" s="58" t="s">
        <v>1413</v>
      </c>
      <c r="I1094" s="64" t="s">
        <v>3864</v>
      </c>
      <c r="J1094" s="66"/>
      <c r="K1094" s="66"/>
      <c r="L1094" s="68"/>
      <c r="M1094" s="63" t="str">
        <f>HYPERLINK("http://nsgreg.nga.mil/genc/view?v=868645&amp;end_month=12&amp;end_day=31&amp;end_year=2016","Correlation")</f>
        <v>Correlation</v>
      </c>
    </row>
    <row r="1095" spans="1:13" x14ac:dyDescent="0.2">
      <c r="A1095" s="113"/>
      <c r="B1095" s="58" t="s">
        <v>3865</v>
      </c>
      <c r="C1095" s="58" t="s">
        <v>1413</v>
      </c>
      <c r="D1095" s="58" t="s">
        <v>3866</v>
      </c>
      <c r="E1095" s="60" t="b">
        <v>1</v>
      </c>
      <c r="F1095" s="80" t="s">
        <v>495</v>
      </c>
      <c r="G1095" s="58" t="s">
        <v>3865</v>
      </c>
      <c r="H1095" s="58" t="s">
        <v>1413</v>
      </c>
      <c r="I1095" s="64" t="s">
        <v>3866</v>
      </c>
      <c r="J1095" s="66"/>
      <c r="K1095" s="66"/>
      <c r="L1095" s="68"/>
      <c r="M1095" s="63" t="str">
        <f>HYPERLINK("http://nsgreg.nga.mil/genc/view?v=868664&amp;end_month=12&amp;end_day=31&amp;end_year=2016","Correlation")</f>
        <v>Correlation</v>
      </c>
    </row>
    <row r="1096" spans="1:13" x14ac:dyDescent="0.2">
      <c r="A1096" s="113"/>
      <c r="B1096" s="58" t="s">
        <v>3867</v>
      </c>
      <c r="C1096" s="58" t="s">
        <v>1413</v>
      </c>
      <c r="D1096" s="58" t="s">
        <v>3868</v>
      </c>
      <c r="E1096" s="60" t="b">
        <v>1</v>
      </c>
      <c r="F1096" s="80" t="s">
        <v>495</v>
      </c>
      <c r="G1096" s="58" t="s">
        <v>3867</v>
      </c>
      <c r="H1096" s="58" t="s">
        <v>1413</v>
      </c>
      <c r="I1096" s="64" t="s">
        <v>3868</v>
      </c>
      <c r="J1096" s="66"/>
      <c r="K1096" s="66"/>
      <c r="L1096" s="68"/>
      <c r="M1096" s="63" t="str">
        <f>HYPERLINK("http://nsgreg.nga.mil/genc/view?v=868655&amp;end_month=12&amp;end_day=31&amp;end_year=2016","Correlation")</f>
        <v>Correlation</v>
      </c>
    </row>
    <row r="1097" spans="1:13" x14ac:dyDescent="0.2">
      <c r="A1097" s="113"/>
      <c r="B1097" s="58" t="s">
        <v>3869</v>
      </c>
      <c r="C1097" s="58" t="s">
        <v>1413</v>
      </c>
      <c r="D1097" s="58" t="s">
        <v>3870</v>
      </c>
      <c r="E1097" s="60" t="b">
        <v>1</v>
      </c>
      <c r="F1097" s="80" t="s">
        <v>495</v>
      </c>
      <c r="G1097" s="58" t="s">
        <v>3869</v>
      </c>
      <c r="H1097" s="58" t="s">
        <v>1413</v>
      </c>
      <c r="I1097" s="64" t="s">
        <v>3870</v>
      </c>
      <c r="J1097" s="66"/>
      <c r="K1097" s="66"/>
      <c r="L1097" s="68"/>
      <c r="M1097" s="63" t="str">
        <f>HYPERLINK("http://nsgreg.nga.mil/genc/view?v=868659&amp;end_month=12&amp;end_day=31&amp;end_year=2016","Correlation")</f>
        <v>Correlation</v>
      </c>
    </row>
    <row r="1098" spans="1:13" x14ac:dyDescent="0.2">
      <c r="A1098" s="113"/>
      <c r="B1098" s="58" t="s">
        <v>3871</v>
      </c>
      <c r="C1098" s="58" t="s">
        <v>1413</v>
      </c>
      <c r="D1098" s="58" t="s">
        <v>3872</v>
      </c>
      <c r="E1098" s="60" t="b">
        <v>1</v>
      </c>
      <c r="F1098" s="80" t="s">
        <v>495</v>
      </c>
      <c r="G1098" s="58" t="s">
        <v>3871</v>
      </c>
      <c r="H1098" s="58" t="s">
        <v>1413</v>
      </c>
      <c r="I1098" s="64" t="s">
        <v>3872</v>
      </c>
      <c r="J1098" s="66"/>
      <c r="K1098" s="66"/>
      <c r="L1098" s="68"/>
      <c r="M1098" s="63" t="str">
        <f>HYPERLINK("http://nsgreg.nga.mil/genc/view?v=868658&amp;end_month=12&amp;end_day=31&amp;end_year=2016","Correlation")</f>
        <v>Correlation</v>
      </c>
    </row>
    <row r="1099" spans="1:13" x14ac:dyDescent="0.2">
      <c r="A1099" s="113"/>
      <c r="B1099" s="58" t="s">
        <v>3873</v>
      </c>
      <c r="C1099" s="58" t="s">
        <v>1413</v>
      </c>
      <c r="D1099" s="58" t="s">
        <v>3874</v>
      </c>
      <c r="E1099" s="60" t="b">
        <v>1</v>
      </c>
      <c r="F1099" s="80" t="s">
        <v>495</v>
      </c>
      <c r="G1099" s="58" t="s">
        <v>3873</v>
      </c>
      <c r="H1099" s="58" t="s">
        <v>1413</v>
      </c>
      <c r="I1099" s="64" t="s">
        <v>3874</v>
      </c>
      <c r="J1099" s="66"/>
      <c r="K1099" s="66"/>
      <c r="L1099" s="68"/>
      <c r="M1099" s="63" t="str">
        <f>HYPERLINK("http://nsgreg.nga.mil/genc/view?v=868661&amp;end_month=12&amp;end_day=31&amp;end_year=2016","Correlation")</f>
        <v>Correlation</v>
      </c>
    </row>
    <row r="1100" spans="1:13" x14ac:dyDescent="0.2">
      <c r="A1100" s="113"/>
      <c r="B1100" s="58" t="s">
        <v>3875</v>
      </c>
      <c r="C1100" s="58" t="s">
        <v>1413</v>
      </c>
      <c r="D1100" s="58" t="s">
        <v>3876</v>
      </c>
      <c r="E1100" s="60" t="b">
        <v>1</v>
      </c>
      <c r="F1100" s="80" t="s">
        <v>495</v>
      </c>
      <c r="G1100" s="58" t="s">
        <v>3875</v>
      </c>
      <c r="H1100" s="58" t="s">
        <v>1413</v>
      </c>
      <c r="I1100" s="64" t="s">
        <v>3876</v>
      </c>
      <c r="J1100" s="66"/>
      <c r="K1100" s="66"/>
      <c r="L1100" s="68"/>
      <c r="M1100" s="63" t="str">
        <f>HYPERLINK("http://nsgreg.nga.mil/genc/view?v=868660&amp;end_month=12&amp;end_day=31&amp;end_year=2016","Correlation")</f>
        <v>Correlation</v>
      </c>
    </row>
    <row r="1101" spans="1:13" x14ac:dyDescent="0.2">
      <c r="A1101" s="114"/>
      <c r="B1101" s="71" t="s">
        <v>3877</v>
      </c>
      <c r="C1101" s="71" t="s">
        <v>1413</v>
      </c>
      <c r="D1101" s="71" t="s">
        <v>3878</v>
      </c>
      <c r="E1101" s="73" t="b">
        <v>1</v>
      </c>
      <c r="F1101" s="81" t="s">
        <v>495</v>
      </c>
      <c r="G1101" s="71" t="s">
        <v>3877</v>
      </c>
      <c r="H1101" s="71" t="s">
        <v>1413</v>
      </c>
      <c r="I1101" s="74" t="s">
        <v>3878</v>
      </c>
      <c r="J1101" s="76"/>
      <c r="K1101" s="76"/>
      <c r="L1101" s="82"/>
      <c r="M1101" s="77" t="str">
        <f>HYPERLINK("http://nsgreg.nga.mil/genc/view?v=868665&amp;end_month=12&amp;end_day=31&amp;end_year=2016","Correlation")</f>
        <v>Correlation</v>
      </c>
    </row>
    <row r="1102" spans="1:13" x14ac:dyDescent="0.2">
      <c r="A1102" s="112" t="s">
        <v>499</v>
      </c>
      <c r="B1102" s="50" t="s">
        <v>3879</v>
      </c>
      <c r="C1102" s="50" t="s">
        <v>2030</v>
      </c>
      <c r="D1102" s="50" t="s">
        <v>3880</v>
      </c>
      <c r="E1102" s="52" t="b">
        <v>1</v>
      </c>
      <c r="F1102" s="78" t="s">
        <v>499</v>
      </c>
      <c r="G1102" s="50" t="s">
        <v>3879</v>
      </c>
      <c r="H1102" s="50" t="s">
        <v>2030</v>
      </c>
      <c r="I1102" s="53" t="s">
        <v>3880</v>
      </c>
      <c r="J1102" s="55"/>
      <c r="K1102" s="55"/>
      <c r="L1102" s="79"/>
      <c r="M1102" s="56" t="str">
        <f>HYPERLINK("http://nsgreg.nga.mil/genc/view?v=868688&amp;end_month=12&amp;end_day=31&amp;end_year=2016","Correlation")</f>
        <v>Correlation</v>
      </c>
    </row>
    <row r="1103" spans="1:13" x14ac:dyDescent="0.2">
      <c r="A1103" s="113"/>
      <c r="B1103" s="58" t="s">
        <v>3881</v>
      </c>
      <c r="C1103" s="58" t="s">
        <v>2030</v>
      </c>
      <c r="D1103" s="58" t="s">
        <v>3882</v>
      </c>
      <c r="E1103" s="60" t="b">
        <v>1</v>
      </c>
      <c r="F1103" s="80" t="s">
        <v>499</v>
      </c>
      <c r="G1103" s="58" t="s">
        <v>3881</v>
      </c>
      <c r="H1103" s="58" t="s">
        <v>2030</v>
      </c>
      <c r="I1103" s="64" t="s">
        <v>3882</v>
      </c>
      <c r="J1103" s="66"/>
      <c r="K1103" s="66"/>
      <c r="L1103" s="68"/>
      <c r="M1103" s="63" t="str">
        <f>HYPERLINK("http://nsgreg.nga.mil/genc/view?v=868684&amp;end_month=12&amp;end_day=31&amp;end_year=2016","Correlation")</f>
        <v>Correlation</v>
      </c>
    </row>
    <row r="1104" spans="1:13" x14ac:dyDescent="0.2">
      <c r="A1104" s="113"/>
      <c r="B1104" s="58" t="s">
        <v>2992</v>
      </c>
      <c r="C1104" s="58" t="s">
        <v>2030</v>
      </c>
      <c r="D1104" s="58" t="s">
        <v>3883</v>
      </c>
      <c r="E1104" s="60" t="b">
        <v>1</v>
      </c>
      <c r="F1104" s="80" t="s">
        <v>499</v>
      </c>
      <c r="G1104" s="58" t="s">
        <v>2992</v>
      </c>
      <c r="H1104" s="58" t="s">
        <v>2030</v>
      </c>
      <c r="I1104" s="64" t="s">
        <v>3883</v>
      </c>
      <c r="J1104" s="66"/>
      <c r="K1104" s="66"/>
      <c r="L1104" s="68"/>
      <c r="M1104" s="63" t="str">
        <f>HYPERLINK("http://nsgreg.nga.mil/genc/view?v=868685&amp;end_month=12&amp;end_day=31&amp;end_year=2016","Correlation")</f>
        <v>Correlation</v>
      </c>
    </row>
    <row r="1105" spans="1:13" x14ac:dyDescent="0.2">
      <c r="A1105" s="113"/>
      <c r="B1105" s="58" t="s">
        <v>3884</v>
      </c>
      <c r="C1105" s="58" t="s">
        <v>2030</v>
      </c>
      <c r="D1105" s="58" t="s">
        <v>3885</v>
      </c>
      <c r="E1105" s="60" t="b">
        <v>1</v>
      </c>
      <c r="F1105" s="80" t="s">
        <v>499</v>
      </c>
      <c r="G1105" s="58" t="s">
        <v>3884</v>
      </c>
      <c r="H1105" s="58" t="s">
        <v>2030</v>
      </c>
      <c r="I1105" s="64" t="s">
        <v>3885</v>
      </c>
      <c r="J1105" s="66"/>
      <c r="K1105" s="66"/>
      <c r="L1105" s="68"/>
      <c r="M1105" s="63" t="str">
        <f>HYPERLINK("http://nsgreg.nga.mil/genc/view?v=868690&amp;end_month=12&amp;end_day=31&amp;end_year=2016","Correlation")</f>
        <v>Correlation</v>
      </c>
    </row>
    <row r="1106" spans="1:13" x14ac:dyDescent="0.2">
      <c r="A1106" s="113"/>
      <c r="B1106" s="58" t="s">
        <v>3886</v>
      </c>
      <c r="C1106" s="58" t="s">
        <v>2030</v>
      </c>
      <c r="D1106" s="58" t="s">
        <v>3887</v>
      </c>
      <c r="E1106" s="60" t="b">
        <v>1</v>
      </c>
      <c r="F1106" s="80" t="s">
        <v>499</v>
      </c>
      <c r="G1106" s="58" t="s">
        <v>3886</v>
      </c>
      <c r="H1106" s="58" t="s">
        <v>2030</v>
      </c>
      <c r="I1106" s="64" t="s">
        <v>3887</v>
      </c>
      <c r="J1106" s="66"/>
      <c r="K1106" s="66"/>
      <c r="L1106" s="68"/>
      <c r="M1106" s="63" t="str">
        <f>HYPERLINK("http://nsgreg.nga.mil/genc/view?v=868691&amp;end_month=12&amp;end_day=31&amp;end_year=2016","Correlation")</f>
        <v>Correlation</v>
      </c>
    </row>
    <row r="1107" spans="1:13" x14ac:dyDescent="0.2">
      <c r="A1107" s="113"/>
      <c r="B1107" s="58" t="s">
        <v>3888</v>
      </c>
      <c r="C1107" s="58" t="s">
        <v>2030</v>
      </c>
      <c r="D1107" s="58" t="s">
        <v>3889</v>
      </c>
      <c r="E1107" s="60" t="b">
        <v>1</v>
      </c>
      <c r="F1107" s="80" t="s">
        <v>499</v>
      </c>
      <c r="G1107" s="58" t="s">
        <v>3888</v>
      </c>
      <c r="H1107" s="58" t="s">
        <v>2030</v>
      </c>
      <c r="I1107" s="64" t="s">
        <v>3889</v>
      </c>
      <c r="J1107" s="66"/>
      <c r="K1107" s="66"/>
      <c r="L1107" s="68"/>
      <c r="M1107" s="63" t="str">
        <f>HYPERLINK("http://nsgreg.nga.mil/genc/view?v=868681&amp;end_month=12&amp;end_day=31&amp;end_year=2016","Correlation")</f>
        <v>Correlation</v>
      </c>
    </row>
    <row r="1108" spans="1:13" x14ac:dyDescent="0.2">
      <c r="A1108" s="113"/>
      <c r="B1108" s="58" t="s">
        <v>3890</v>
      </c>
      <c r="C1108" s="58" t="s">
        <v>2030</v>
      </c>
      <c r="D1108" s="58" t="s">
        <v>3891</v>
      </c>
      <c r="E1108" s="60" t="b">
        <v>1</v>
      </c>
      <c r="F1108" s="80" t="s">
        <v>499</v>
      </c>
      <c r="G1108" s="58" t="s">
        <v>3890</v>
      </c>
      <c r="H1108" s="58" t="s">
        <v>2030</v>
      </c>
      <c r="I1108" s="64" t="s">
        <v>3891</v>
      </c>
      <c r="J1108" s="66"/>
      <c r="K1108" s="66"/>
      <c r="L1108" s="68"/>
      <c r="M1108" s="63" t="str">
        <f>HYPERLINK("http://nsgreg.nga.mil/genc/view?v=868693&amp;end_month=12&amp;end_day=31&amp;end_year=2016","Correlation")</f>
        <v>Correlation</v>
      </c>
    </row>
    <row r="1109" spans="1:13" x14ac:dyDescent="0.2">
      <c r="A1109" s="113"/>
      <c r="B1109" s="58" t="s">
        <v>3892</v>
      </c>
      <c r="C1109" s="58" t="s">
        <v>2030</v>
      </c>
      <c r="D1109" s="58" t="s">
        <v>3893</v>
      </c>
      <c r="E1109" s="60" t="b">
        <v>1</v>
      </c>
      <c r="F1109" s="80" t="s">
        <v>499</v>
      </c>
      <c r="G1109" s="58" t="s">
        <v>3892</v>
      </c>
      <c r="H1109" s="58" t="s">
        <v>2030</v>
      </c>
      <c r="I1109" s="64" t="s">
        <v>3893</v>
      </c>
      <c r="J1109" s="66"/>
      <c r="K1109" s="66"/>
      <c r="L1109" s="68"/>
      <c r="M1109" s="63" t="str">
        <f>HYPERLINK("http://nsgreg.nga.mil/genc/view?v=868692&amp;end_month=12&amp;end_day=31&amp;end_year=2016","Correlation")</f>
        <v>Correlation</v>
      </c>
    </row>
    <row r="1110" spans="1:13" x14ac:dyDescent="0.2">
      <c r="A1110" s="113"/>
      <c r="B1110" s="58" t="s">
        <v>3894</v>
      </c>
      <c r="C1110" s="58" t="s">
        <v>2030</v>
      </c>
      <c r="D1110" s="58" t="s">
        <v>3895</v>
      </c>
      <c r="E1110" s="60" t="b">
        <v>1</v>
      </c>
      <c r="F1110" s="80" t="s">
        <v>499</v>
      </c>
      <c r="G1110" s="58" t="s">
        <v>3894</v>
      </c>
      <c r="H1110" s="58" t="s">
        <v>2030</v>
      </c>
      <c r="I1110" s="64" t="s">
        <v>3895</v>
      </c>
      <c r="J1110" s="66"/>
      <c r="K1110" s="66"/>
      <c r="L1110" s="68"/>
      <c r="M1110" s="63" t="str">
        <f>HYPERLINK("http://nsgreg.nga.mil/genc/view?v=868700&amp;end_month=12&amp;end_day=31&amp;end_year=2016","Correlation")</f>
        <v>Correlation</v>
      </c>
    </row>
    <row r="1111" spans="1:13" x14ac:dyDescent="0.2">
      <c r="A1111" s="113"/>
      <c r="B1111" s="58" t="s">
        <v>3896</v>
      </c>
      <c r="C1111" s="58" t="s">
        <v>2030</v>
      </c>
      <c r="D1111" s="58" t="s">
        <v>3897</v>
      </c>
      <c r="E1111" s="60" t="b">
        <v>1</v>
      </c>
      <c r="F1111" s="80" t="s">
        <v>499</v>
      </c>
      <c r="G1111" s="58" t="s">
        <v>3896</v>
      </c>
      <c r="H1111" s="58" t="s">
        <v>2030</v>
      </c>
      <c r="I1111" s="64" t="s">
        <v>3897</v>
      </c>
      <c r="J1111" s="66"/>
      <c r="K1111" s="66"/>
      <c r="L1111" s="68"/>
      <c r="M1111" s="63" t="str">
        <f>HYPERLINK("http://nsgreg.nga.mil/genc/view?v=868699&amp;end_month=12&amp;end_day=31&amp;end_year=2016","Correlation")</f>
        <v>Correlation</v>
      </c>
    </row>
    <row r="1112" spans="1:13" x14ac:dyDescent="0.2">
      <c r="A1112" s="113"/>
      <c r="B1112" s="58" t="s">
        <v>3898</v>
      </c>
      <c r="C1112" s="58" t="s">
        <v>2030</v>
      </c>
      <c r="D1112" s="58" t="s">
        <v>3899</v>
      </c>
      <c r="E1112" s="60" t="b">
        <v>1</v>
      </c>
      <c r="F1112" s="80" t="s">
        <v>499</v>
      </c>
      <c r="G1112" s="58" t="s">
        <v>3898</v>
      </c>
      <c r="H1112" s="58" t="s">
        <v>2030</v>
      </c>
      <c r="I1112" s="64" t="s">
        <v>3899</v>
      </c>
      <c r="J1112" s="66"/>
      <c r="K1112" s="66"/>
      <c r="L1112" s="68"/>
      <c r="M1112" s="63" t="str">
        <f>HYPERLINK("http://nsgreg.nga.mil/genc/view?v=868687&amp;end_month=12&amp;end_day=31&amp;end_year=2016","Correlation")</f>
        <v>Correlation</v>
      </c>
    </row>
    <row r="1113" spans="1:13" x14ac:dyDescent="0.2">
      <c r="A1113" s="113"/>
      <c r="B1113" s="58" t="s">
        <v>3900</v>
      </c>
      <c r="C1113" s="58" t="s">
        <v>2030</v>
      </c>
      <c r="D1113" s="58" t="s">
        <v>3901</v>
      </c>
      <c r="E1113" s="60" t="b">
        <v>1</v>
      </c>
      <c r="F1113" s="80" t="s">
        <v>499</v>
      </c>
      <c r="G1113" s="58" t="s">
        <v>3900</v>
      </c>
      <c r="H1113" s="58" t="s">
        <v>2030</v>
      </c>
      <c r="I1113" s="64" t="s">
        <v>3901</v>
      </c>
      <c r="J1113" s="66"/>
      <c r="K1113" s="66"/>
      <c r="L1113" s="68"/>
      <c r="M1113" s="63" t="str">
        <f>HYPERLINK("http://nsgreg.nga.mil/genc/view?v=868695&amp;end_month=12&amp;end_day=31&amp;end_year=2016","Correlation")</f>
        <v>Correlation</v>
      </c>
    </row>
    <row r="1114" spans="1:13" x14ac:dyDescent="0.2">
      <c r="A1114" s="113"/>
      <c r="B1114" s="58" t="s">
        <v>3902</v>
      </c>
      <c r="C1114" s="58" t="s">
        <v>2030</v>
      </c>
      <c r="D1114" s="58" t="s">
        <v>3903</v>
      </c>
      <c r="E1114" s="60" t="b">
        <v>1</v>
      </c>
      <c r="F1114" s="80" t="s">
        <v>499</v>
      </c>
      <c r="G1114" s="58" t="s">
        <v>3902</v>
      </c>
      <c r="H1114" s="58" t="s">
        <v>2030</v>
      </c>
      <c r="I1114" s="64" t="s">
        <v>3903</v>
      </c>
      <c r="J1114" s="66"/>
      <c r="K1114" s="66"/>
      <c r="L1114" s="68"/>
      <c r="M1114" s="63" t="str">
        <f>HYPERLINK("http://nsgreg.nga.mil/genc/view?v=868698&amp;end_month=12&amp;end_day=31&amp;end_year=2016","Correlation")</f>
        <v>Correlation</v>
      </c>
    </row>
    <row r="1115" spans="1:13" x14ac:dyDescent="0.2">
      <c r="A1115" s="113"/>
      <c r="B1115" s="58" t="s">
        <v>3904</v>
      </c>
      <c r="C1115" s="58" t="s">
        <v>2030</v>
      </c>
      <c r="D1115" s="58" t="s">
        <v>3905</v>
      </c>
      <c r="E1115" s="60" t="b">
        <v>1</v>
      </c>
      <c r="F1115" s="80" t="s">
        <v>499</v>
      </c>
      <c r="G1115" s="58" t="s">
        <v>3904</v>
      </c>
      <c r="H1115" s="58" t="s">
        <v>2030</v>
      </c>
      <c r="I1115" s="64" t="s">
        <v>3905</v>
      </c>
      <c r="J1115" s="66"/>
      <c r="K1115" s="66"/>
      <c r="L1115" s="68"/>
      <c r="M1115" s="63" t="str">
        <f>HYPERLINK("http://nsgreg.nga.mil/genc/view?v=868707&amp;end_month=12&amp;end_day=31&amp;end_year=2016","Correlation")</f>
        <v>Correlation</v>
      </c>
    </row>
    <row r="1116" spans="1:13" x14ac:dyDescent="0.2">
      <c r="A1116" s="113"/>
      <c r="B1116" s="58" t="s">
        <v>3906</v>
      </c>
      <c r="C1116" s="58" t="s">
        <v>2030</v>
      </c>
      <c r="D1116" s="58" t="s">
        <v>3907</v>
      </c>
      <c r="E1116" s="60" t="b">
        <v>1</v>
      </c>
      <c r="F1116" s="80" t="s">
        <v>499</v>
      </c>
      <c r="G1116" s="58" t="s">
        <v>3906</v>
      </c>
      <c r="H1116" s="58" t="s">
        <v>2030</v>
      </c>
      <c r="I1116" s="64" t="s">
        <v>3907</v>
      </c>
      <c r="J1116" s="66"/>
      <c r="K1116" s="66"/>
      <c r="L1116" s="68"/>
      <c r="M1116" s="63" t="str">
        <f>HYPERLINK("http://nsgreg.nga.mil/genc/view?v=868704&amp;end_month=12&amp;end_day=31&amp;end_year=2016","Correlation")</f>
        <v>Correlation</v>
      </c>
    </row>
    <row r="1117" spans="1:13" x14ac:dyDescent="0.2">
      <c r="A1117" s="113"/>
      <c r="B1117" s="58" t="s">
        <v>3908</v>
      </c>
      <c r="C1117" s="58" t="s">
        <v>2030</v>
      </c>
      <c r="D1117" s="58" t="s">
        <v>3909</v>
      </c>
      <c r="E1117" s="60" t="b">
        <v>1</v>
      </c>
      <c r="F1117" s="80" t="s">
        <v>499</v>
      </c>
      <c r="G1117" s="58" t="s">
        <v>3908</v>
      </c>
      <c r="H1117" s="58" t="s">
        <v>2030</v>
      </c>
      <c r="I1117" s="64" t="s">
        <v>3909</v>
      </c>
      <c r="J1117" s="66"/>
      <c r="K1117" s="66"/>
      <c r="L1117" s="68"/>
      <c r="M1117" s="63" t="str">
        <f>HYPERLINK("http://nsgreg.nga.mil/genc/view?v=868706&amp;end_month=12&amp;end_day=31&amp;end_year=2016","Correlation")</f>
        <v>Correlation</v>
      </c>
    </row>
    <row r="1118" spans="1:13" x14ac:dyDescent="0.2">
      <c r="A1118" s="113"/>
      <c r="B1118" s="58" t="s">
        <v>3910</v>
      </c>
      <c r="C1118" s="58" t="s">
        <v>2030</v>
      </c>
      <c r="D1118" s="58" t="s">
        <v>3911</v>
      </c>
      <c r="E1118" s="60" t="b">
        <v>1</v>
      </c>
      <c r="F1118" s="80" t="s">
        <v>499</v>
      </c>
      <c r="G1118" s="58" t="s">
        <v>3910</v>
      </c>
      <c r="H1118" s="58" t="s">
        <v>2030</v>
      </c>
      <c r="I1118" s="64" t="s">
        <v>3911</v>
      </c>
      <c r="J1118" s="66"/>
      <c r="K1118" s="66"/>
      <c r="L1118" s="68"/>
      <c r="M1118" s="63" t="str">
        <f>HYPERLINK("http://nsgreg.nga.mil/genc/view?v=868682&amp;end_month=12&amp;end_day=31&amp;end_year=2016","Correlation")</f>
        <v>Correlation</v>
      </c>
    </row>
    <row r="1119" spans="1:13" x14ac:dyDescent="0.2">
      <c r="A1119" s="113"/>
      <c r="B1119" s="58" t="s">
        <v>3912</v>
      </c>
      <c r="C1119" s="58" t="s">
        <v>2030</v>
      </c>
      <c r="D1119" s="58" t="s">
        <v>3913</v>
      </c>
      <c r="E1119" s="60" t="b">
        <v>1</v>
      </c>
      <c r="F1119" s="80" t="s">
        <v>499</v>
      </c>
      <c r="G1119" s="58" t="s">
        <v>3912</v>
      </c>
      <c r="H1119" s="58" t="s">
        <v>2030</v>
      </c>
      <c r="I1119" s="64" t="s">
        <v>3913</v>
      </c>
      <c r="J1119" s="66"/>
      <c r="K1119" s="66"/>
      <c r="L1119" s="68"/>
      <c r="M1119" s="63" t="str">
        <f>HYPERLINK("http://nsgreg.nga.mil/genc/view?v=868683&amp;end_month=12&amp;end_day=31&amp;end_year=2016","Correlation")</f>
        <v>Correlation</v>
      </c>
    </row>
    <row r="1120" spans="1:13" x14ac:dyDescent="0.2">
      <c r="A1120" s="113"/>
      <c r="B1120" s="58" t="s">
        <v>3914</v>
      </c>
      <c r="C1120" s="58" t="s">
        <v>2030</v>
      </c>
      <c r="D1120" s="58" t="s">
        <v>3915</v>
      </c>
      <c r="E1120" s="60" t="b">
        <v>1</v>
      </c>
      <c r="F1120" s="80" t="s">
        <v>499</v>
      </c>
      <c r="G1120" s="58" t="s">
        <v>3914</v>
      </c>
      <c r="H1120" s="58" t="s">
        <v>2030</v>
      </c>
      <c r="I1120" s="64" t="s">
        <v>3915</v>
      </c>
      <c r="J1120" s="66"/>
      <c r="K1120" s="66"/>
      <c r="L1120" s="68"/>
      <c r="M1120" s="63" t="str">
        <f>HYPERLINK("http://nsgreg.nga.mil/genc/view?v=868686&amp;end_month=12&amp;end_day=31&amp;end_year=2016","Correlation")</f>
        <v>Correlation</v>
      </c>
    </row>
    <row r="1121" spans="1:13" x14ac:dyDescent="0.2">
      <c r="A1121" s="113"/>
      <c r="B1121" s="58" t="s">
        <v>3916</v>
      </c>
      <c r="C1121" s="58" t="s">
        <v>2030</v>
      </c>
      <c r="D1121" s="58" t="s">
        <v>3917</v>
      </c>
      <c r="E1121" s="60" t="b">
        <v>1</v>
      </c>
      <c r="F1121" s="80" t="s">
        <v>499</v>
      </c>
      <c r="G1121" s="58" t="s">
        <v>3916</v>
      </c>
      <c r="H1121" s="58" t="s">
        <v>2030</v>
      </c>
      <c r="I1121" s="64" t="s">
        <v>3917</v>
      </c>
      <c r="J1121" s="66"/>
      <c r="K1121" s="66"/>
      <c r="L1121" s="68"/>
      <c r="M1121" s="63" t="str">
        <f>HYPERLINK("http://nsgreg.nga.mil/genc/view?v=868702&amp;end_month=12&amp;end_day=31&amp;end_year=2016","Correlation")</f>
        <v>Correlation</v>
      </c>
    </row>
    <row r="1122" spans="1:13" x14ac:dyDescent="0.2">
      <c r="A1122" s="113"/>
      <c r="B1122" s="58" t="s">
        <v>3918</v>
      </c>
      <c r="C1122" s="58" t="s">
        <v>2030</v>
      </c>
      <c r="D1122" s="58" t="s">
        <v>3919</v>
      </c>
      <c r="E1122" s="60" t="b">
        <v>1</v>
      </c>
      <c r="F1122" s="80" t="s">
        <v>499</v>
      </c>
      <c r="G1122" s="58" t="s">
        <v>3918</v>
      </c>
      <c r="H1122" s="58" t="s">
        <v>2030</v>
      </c>
      <c r="I1122" s="64" t="s">
        <v>3919</v>
      </c>
      <c r="J1122" s="66"/>
      <c r="K1122" s="66"/>
      <c r="L1122" s="68"/>
      <c r="M1122" s="63" t="str">
        <f>HYPERLINK("http://nsgreg.nga.mil/genc/view?v=868689&amp;end_month=12&amp;end_day=31&amp;end_year=2016","Correlation")</f>
        <v>Correlation</v>
      </c>
    </row>
    <row r="1123" spans="1:13" x14ac:dyDescent="0.2">
      <c r="A1123" s="113"/>
      <c r="B1123" s="58" t="s">
        <v>3920</v>
      </c>
      <c r="C1123" s="58" t="s">
        <v>2030</v>
      </c>
      <c r="D1123" s="58" t="s">
        <v>3921</v>
      </c>
      <c r="E1123" s="60" t="b">
        <v>1</v>
      </c>
      <c r="F1123" s="80" t="s">
        <v>499</v>
      </c>
      <c r="G1123" s="58" t="s">
        <v>3920</v>
      </c>
      <c r="H1123" s="58" t="s">
        <v>2030</v>
      </c>
      <c r="I1123" s="64" t="s">
        <v>3921</v>
      </c>
      <c r="J1123" s="66"/>
      <c r="K1123" s="66"/>
      <c r="L1123" s="68"/>
      <c r="M1123" s="63" t="str">
        <f>HYPERLINK("http://nsgreg.nga.mil/genc/view?v=868694&amp;end_month=12&amp;end_day=31&amp;end_year=2016","Correlation")</f>
        <v>Correlation</v>
      </c>
    </row>
    <row r="1124" spans="1:13" x14ac:dyDescent="0.2">
      <c r="A1124" s="113"/>
      <c r="B1124" s="58" t="s">
        <v>3922</v>
      </c>
      <c r="C1124" s="58" t="s">
        <v>2030</v>
      </c>
      <c r="D1124" s="58" t="s">
        <v>3923</v>
      </c>
      <c r="E1124" s="60" t="b">
        <v>1</v>
      </c>
      <c r="F1124" s="80" t="s">
        <v>499</v>
      </c>
      <c r="G1124" s="58" t="s">
        <v>3922</v>
      </c>
      <c r="H1124" s="58" t="s">
        <v>2030</v>
      </c>
      <c r="I1124" s="64" t="s">
        <v>3923</v>
      </c>
      <c r="J1124" s="66"/>
      <c r="K1124" s="66"/>
      <c r="L1124" s="68"/>
      <c r="M1124" s="63" t="str">
        <f>HYPERLINK("http://nsgreg.nga.mil/genc/view?v=868696&amp;end_month=12&amp;end_day=31&amp;end_year=2016","Correlation")</f>
        <v>Correlation</v>
      </c>
    </row>
    <row r="1125" spans="1:13" x14ac:dyDescent="0.2">
      <c r="A1125" s="113"/>
      <c r="B1125" s="58" t="s">
        <v>3924</v>
      </c>
      <c r="C1125" s="58" t="s">
        <v>2030</v>
      </c>
      <c r="D1125" s="58" t="s">
        <v>3925</v>
      </c>
      <c r="E1125" s="60" t="b">
        <v>1</v>
      </c>
      <c r="F1125" s="80" t="s">
        <v>499</v>
      </c>
      <c r="G1125" s="58" t="s">
        <v>3924</v>
      </c>
      <c r="H1125" s="58" t="s">
        <v>2030</v>
      </c>
      <c r="I1125" s="64" t="s">
        <v>3925</v>
      </c>
      <c r="J1125" s="66"/>
      <c r="K1125" s="66"/>
      <c r="L1125" s="68"/>
      <c r="M1125" s="63" t="str">
        <f>HYPERLINK("http://nsgreg.nga.mil/genc/view?v=868701&amp;end_month=12&amp;end_day=31&amp;end_year=2016","Correlation")</f>
        <v>Correlation</v>
      </c>
    </row>
    <row r="1126" spans="1:13" x14ac:dyDescent="0.2">
      <c r="A1126" s="113"/>
      <c r="B1126" s="58" t="s">
        <v>3926</v>
      </c>
      <c r="C1126" s="58" t="s">
        <v>2030</v>
      </c>
      <c r="D1126" s="58" t="s">
        <v>3927</v>
      </c>
      <c r="E1126" s="60" t="b">
        <v>1</v>
      </c>
      <c r="F1126" s="80" t="s">
        <v>499</v>
      </c>
      <c r="G1126" s="58" t="s">
        <v>3926</v>
      </c>
      <c r="H1126" s="58" t="s">
        <v>2030</v>
      </c>
      <c r="I1126" s="64" t="s">
        <v>3927</v>
      </c>
      <c r="J1126" s="66"/>
      <c r="K1126" s="66"/>
      <c r="L1126" s="68"/>
      <c r="M1126" s="63" t="str">
        <f>HYPERLINK("http://nsgreg.nga.mil/genc/view?v=868697&amp;end_month=12&amp;end_day=31&amp;end_year=2016","Correlation")</f>
        <v>Correlation</v>
      </c>
    </row>
    <row r="1127" spans="1:13" x14ac:dyDescent="0.2">
      <c r="A1127" s="113"/>
      <c r="B1127" s="58" t="s">
        <v>3928</v>
      </c>
      <c r="C1127" s="58" t="s">
        <v>2030</v>
      </c>
      <c r="D1127" s="58" t="s">
        <v>3929</v>
      </c>
      <c r="E1127" s="60" t="b">
        <v>1</v>
      </c>
      <c r="F1127" s="80" t="s">
        <v>499</v>
      </c>
      <c r="G1127" s="58" t="s">
        <v>3928</v>
      </c>
      <c r="H1127" s="58" t="s">
        <v>2030</v>
      </c>
      <c r="I1127" s="64" t="s">
        <v>3929</v>
      </c>
      <c r="J1127" s="66"/>
      <c r="K1127" s="66"/>
      <c r="L1127" s="68"/>
      <c r="M1127" s="63" t="str">
        <f>HYPERLINK("http://nsgreg.nga.mil/genc/view?v=868705&amp;end_month=12&amp;end_day=31&amp;end_year=2016","Correlation")</f>
        <v>Correlation</v>
      </c>
    </row>
    <row r="1128" spans="1:13" x14ac:dyDescent="0.2">
      <c r="A1128" s="114"/>
      <c r="B1128" s="71" t="s">
        <v>3930</v>
      </c>
      <c r="C1128" s="71" t="s">
        <v>2030</v>
      </c>
      <c r="D1128" s="71" t="s">
        <v>3931</v>
      </c>
      <c r="E1128" s="73" t="b">
        <v>1</v>
      </c>
      <c r="F1128" s="81" t="s">
        <v>499</v>
      </c>
      <c r="G1128" s="71" t="s">
        <v>3930</v>
      </c>
      <c r="H1128" s="71" t="s">
        <v>2030</v>
      </c>
      <c r="I1128" s="74" t="s">
        <v>3931</v>
      </c>
      <c r="J1128" s="76"/>
      <c r="K1128" s="76"/>
      <c r="L1128" s="82"/>
      <c r="M1128" s="77" t="str">
        <f>HYPERLINK("http://nsgreg.nga.mil/genc/view?v=868703&amp;end_month=12&amp;end_day=31&amp;end_year=2016","Correlation")</f>
        <v>Correlation</v>
      </c>
    </row>
    <row r="1129" spans="1:13" x14ac:dyDescent="0.2">
      <c r="A1129" s="112" t="s">
        <v>503</v>
      </c>
      <c r="B1129" s="50" t="s">
        <v>3932</v>
      </c>
      <c r="C1129" s="50" t="s">
        <v>2294</v>
      </c>
      <c r="D1129" s="50" t="s">
        <v>3933</v>
      </c>
      <c r="E1129" s="52" t="b">
        <v>1</v>
      </c>
      <c r="F1129" s="78" t="s">
        <v>503</v>
      </c>
      <c r="G1129" s="50" t="s">
        <v>3932</v>
      </c>
      <c r="H1129" s="50" t="s">
        <v>2294</v>
      </c>
      <c r="I1129" s="53" t="s">
        <v>3933</v>
      </c>
      <c r="J1129" s="55"/>
      <c r="K1129" s="55"/>
      <c r="L1129" s="79"/>
      <c r="M1129" s="56" t="str">
        <f>HYPERLINK("http://nsgreg.nga.mil/genc/view?v=871793&amp;end_month=12&amp;end_day=31&amp;end_year=2016","Correlation")</f>
        <v>Correlation</v>
      </c>
    </row>
    <row r="1130" spans="1:13" x14ac:dyDescent="0.2">
      <c r="A1130" s="113"/>
      <c r="B1130" s="58" t="s">
        <v>3934</v>
      </c>
      <c r="C1130" s="58" t="s">
        <v>2294</v>
      </c>
      <c r="D1130" s="58" t="s">
        <v>3935</v>
      </c>
      <c r="E1130" s="60" t="b">
        <v>1</v>
      </c>
      <c r="F1130" s="80" t="s">
        <v>503</v>
      </c>
      <c r="G1130" s="58" t="s">
        <v>3934</v>
      </c>
      <c r="H1130" s="58" t="s">
        <v>2294</v>
      </c>
      <c r="I1130" s="64" t="s">
        <v>3935</v>
      </c>
      <c r="J1130" s="66"/>
      <c r="K1130" s="66"/>
      <c r="L1130" s="68"/>
      <c r="M1130" s="63" t="str">
        <f>HYPERLINK("http://nsgreg.nga.mil/genc/view?v=871794&amp;end_month=12&amp;end_day=31&amp;end_year=2016","Correlation")</f>
        <v>Correlation</v>
      </c>
    </row>
    <row r="1131" spans="1:13" x14ac:dyDescent="0.2">
      <c r="A1131" s="113"/>
      <c r="B1131" s="58" t="s">
        <v>3936</v>
      </c>
      <c r="C1131" s="58" t="s">
        <v>2294</v>
      </c>
      <c r="D1131" s="58" t="s">
        <v>3937</v>
      </c>
      <c r="E1131" s="60" t="b">
        <v>1</v>
      </c>
      <c r="F1131" s="80" t="s">
        <v>503</v>
      </c>
      <c r="G1131" s="58" t="s">
        <v>3936</v>
      </c>
      <c r="H1131" s="58" t="s">
        <v>2294</v>
      </c>
      <c r="I1131" s="64" t="s">
        <v>3937</v>
      </c>
      <c r="J1131" s="66"/>
      <c r="K1131" s="66"/>
      <c r="L1131" s="68"/>
      <c r="M1131" s="63" t="str">
        <f>HYPERLINK("http://nsgreg.nga.mil/genc/view?v=871795&amp;end_month=12&amp;end_day=31&amp;end_year=2016","Correlation")</f>
        <v>Correlation</v>
      </c>
    </row>
    <row r="1132" spans="1:13" x14ac:dyDescent="0.2">
      <c r="A1132" s="113"/>
      <c r="B1132" s="58" t="s">
        <v>3938</v>
      </c>
      <c r="C1132" s="58" t="s">
        <v>2294</v>
      </c>
      <c r="D1132" s="58" t="s">
        <v>3939</v>
      </c>
      <c r="E1132" s="60" t="b">
        <v>1</v>
      </c>
      <c r="F1132" s="80" t="s">
        <v>503</v>
      </c>
      <c r="G1132" s="58" t="s">
        <v>3938</v>
      </c>
      <c r="H1132" s="58" t="s">
        <v>2294</v>
      </c>
      <c r="I1132" s="64" t="s">
        <v>3939</v>
      </c>
      <c r="J1132" s="66"/>
      <c r="K1132" s="66"/>
      <c r="L1132" s="68"/>
      <c r="M1132" s="63" t="str">
        <f>HYPERLINK("http://nsgreg.nga.mil/genc/view?v=871796&amp;end_month=12&amp;end_day=31&amp;end_year=2016","Correlation")</f>
        <v>Correlation</v>
      </c>
    </row>
    <row r="1133" spans="1:13" x14ac:dyDescent="0.2">
      <c r="A1133" s="113"/>
      <c r="B1133" s="58" t="s">
        <v>3940</v>
      </c>
      <c r="C1133" s="58" t="s">
        <v>2294</v>
      </c>
      <c r="D1133" s="58" t="s">
        <v>3941</v>
      </c>
      <c r="E1133" s="60" t="b">
        <v>1</v>
      </c>
      <c r="F1133" s="80" t="s">
        <v>503</v>
      </c>
      <c r="G1133" s="58" t="s">
        <v>3940</v>
      </c>
      <c r="H1133" s="58" t="s">
        <v>2294</v>
      </c>
      <c r="I1133" s="64" t="s">
        <v>3941</v>
      </c>
      <c r="J1133" s="66"/>
      <c r="K1133" s="66"/>
      <c r="L1133" s="68"/>
      <c r="M1133" s="63" t="str">
        <f>HYPERLINK("http://nsgreg.nga.mil/genc/view?v=871797&amp;end_month=12&amp;end_day=31&amp;end_year=2016","Correlation")</f>
        <v>Correlation</v>
      </c>
    </row>
    <row r="1134" spans="1:13" x14ac:dyDescent="0.2">
      <c r="A1134" s="113"/>
      <c r="B1134" s="58" t="s">
        <v>2385</v>
      </c>
      <c r="C1134" s="58" t="s">
        <v>2294</v>
      </c>
      <c r="D1134" s="58" t="s">
        <v>3942</v>
      </c>
      <c r="E1134" s="60" t="b">
        <v>1</v>
      </c>
      <c r="F1134" s="80" t="s">
        <v>503</v>
      </c>
      <c r="G1134" s="58" t="s">
        <v>2385</v>
      </c>
      <c r="H1134" s="58" t="s">
        <v>2294</v>
      </c>
      <c r="I1134" s="64" t="s">
        <v>3942</v>
      </c>
      <c r="J1134" s="66"/>
      <c r="K1134" s="66"/>
      <c r="L1134" s="68"/>
      <c r="M1134" s="63" t="str">
        <f>HYPERLINK("http://nsgreg.nga.mil/genc/view?v=871799&amp;end_month=12&amp;end_day=31&amp;end_year=2016","Correlation")</f>
        <v>Correlation</v>
      </c>
    </row>
    <row r="1135" spans="1:13" x14ac:dyDescent="0.2">
      <c r="A1135" s="113"/>
      <c r="B1135" s="58" t="s">
        <v>3943</v>
      </c>
      <c r="C1135" s="58" t="s">
        <v>2294</v>
      </c>
      <c r="D1135" s="58" t="s">
        <v>3944</v>
      </c>
      <c r="E1135" s="60" t="b">
        <v>1</v>
      </c>
      <c r="F1135" s="80" t="s">
        <v>503</v>
      </c>
      <c r="G1135" s="58" t="s">
        <v>3943</v>
      </c>
      <c r="H1135" s="58" t="s">
        <v>2294</v>
      </c>
      <c r="I1135" s="64" t="s">
        <v>3944</v>
      </c>
      <c r="J1135" s="66"/>
      <c r="K1135" s="66"/>
      <c r="L1135" s="68"/>
      <c r="M1135" s="63" t="str">
        <f>HYPERLINK("http://nsgreg.nga.mil/genc/view?v=871805&amp;end_month=12&amp;end_day=31&amp;end_year=2016","Correlation")</f>
        <v>Correlation</v>
      </c>
    </row>
    <row r="1136" spans="1:13" x14ac:dyDescent="0.2">
      <c r="A1136" s="113"/>
      <c r="B1136" s="58" t="s">
        <v>3945</v>
      </c>
      <c r="C1136" s="58" t="s">
        <v>2294</v>
      </c>
      <c r="D1136" s="58" t="s">
        <v>3946</v>
      </c>
      <c r="E1136" s="60" t="b">
        <v>1</v>
      </c>
      <c r="F1136" s="80" t="s">
        <v>503</v>
      </c>
      <c r="G1136" s="58" t="s">
        <v>3945</v>
      </c>
      <c r="H1136" s="58" t="s">
        <v>2294</v>
      </c>
      <c r="I1136" s="64" t="s">
        <v>3946</v>
      </c>
      <c r="J1136" s="66"/>
      <c r="K1136" s="66"/>
      <c r="L1136" s="68"/>
      <c r="M1136" s="63" t="str">
        <f>HYPERLINK("http://nsgreg.nga.mil/genc/view?v=871798&amp;end_month=12&amp;end_day=31&amp;end_year=2016","Correlation")</f>
        <v>Correlation</v>
      </c>
    </row>
    <row r="1137" spans="1:13" x14ac:dyDescent="0.2">
      <c r="A1137" s="113"/>
      <c r="B1137" s="58" t="s">
        <v>3947</v>
      </c>
      <c r="C1137" s="58" t="s">
        <v>2294</v>
      </c>
      <c r="D1137" s="58" t="s">
        <v>3948</v>
      </c>
      <c r="E1137" s="60" t="b">
        <v>1</v>
      </c>
      <c r="F1137" s="80" t="s">
        <v>503</v>
      </c>
      <c r="G1137" s="58" t="s">
        <v>3947</v>
      </c>
      <c r="H1137" s="58" t="s">
        <v>2294</v>
      </c>
      <c r="I1137" s="64" t="s">
        <v>3948</v>
      </c>
      <c r="J1137" s="66"/>
      <c r="K1137" s="66"/>
      <c r="L1137" s="68"/>
      <c r="M1137" s="63" t="str">
        <f>HYPERLINK("http://nsgreg.nga.mil/genc/view?v=871801&amp;end_month=12&amp;end_day=31&amp;end_year=2016","Correlation")</f>
        <v>Correlation</v>
      </c>
    </row>
    <row r="1138" spans="1:13" x14ac:dyDescent="0.2">
      <c r="A1138" s="113"/>
      <c r="B1138" s="58" t="s">
        <v>2017</v>
      </c>
      <c r="C1138" s="58" t="s">
        <v>2294</v>
      </c>
      <c r="D1138" s="58" t="s">
        <v>3949</v>
      </c>
      <c r="E1138" s="60" t="b">
        <v>1</v>
      </c>
      <c r="F1138" s="80" t="s">
        <v>503</v>
      </c>
      <c r="G1138" s="58" t="s">
        <v>2017</v>
      </c>
      <c r="H1138" s="58" t="s">
        <v>2294</v>
      </c>
      <c r="I1138" s="64" t="s">
        <v>3949</v>
      </c>
      <c r="J1138" s="66"/>
      <c r="K1138" s="66"/>
      <c r="L1138" s="68"/>
      <c r="M1138" s="63" t="str">
        <f>HYPERLINK("http://nsgreg.nga.mil/genc/view?v=871803&amp;end_month=12&amp;end_day=31&amp;end_year=2016","Correlation")</f>
        <v>Correlation</v>
      </c>
    </row>
    <row r="1139" spans="1:13" x14ac:dyDescent="0.2">
      <c r="A1139" s="113"/>
      <c r="B1139" s="58" t="s">
        <v>3950</v>
      </c>
      <c r="C1139" s="58" t="s">
        <v>2294</v>
      </c>
      <c r="D1139" s="58" t="s">
        <v>3951</v>
      </c>
      <c r="E1139" s="60" t="b">
        <v>1</v>
      </c>
      <c r="F1139" s="80" t="s">
        <v>503</v>
      </c>
      <c r="G1139" s="58" t="s">
        <v>3950</v>
      </c>
      <c r="H1139" s="58" t="s">
        <v>2294</v>
      </c>
      <c r="I1139" s="64" t="s">
        <v>3951</v>
      </c>
      <c r="J1139" s="66"/>
      <c r="K1139" s="66"/>
      <c r="L1139" s="68"/>
      <c r="M1139" s="63" t="str">
        <f>HYPERLINK("http://nsgreg.nga.mil/genc/view?v=871800&amp;end_month=12&amp;end_day=31&amp;end_year=2016","Correlation")</f>
        <v>Correlation</v>
      </c>
    </row>
    <row r="1140" spans="1:13" x14ac:dyDescent="0.2">
      <c r="A1140" s="113"/>
      <c r="B1140" s="58" t="s">
        <v>3952</v>
      </c>
      <c r="C1140" s="58" t="s">
        <v>2294</v>
      </c>
      <c r="D1140" s="58" t="s">
        <v>3953</v>
      </c>
      <c r="E1140" s="60" t="b">
        <v>1</v>
      </c>
      <c r="F1140" s="80" t="s">
        <v>503</v>
      </c>
      <c r="G1140" s="58" t="s">
        <v>3952</v>
      </c>
      <c r="H1140" s="58" t="s">
        <v>2294</v>
      </c>
      <c r="I1140" s="64" t="s">
        <v>3953</v>
      </c>
      <c r="J1140" s="66"/>
      <c r="K1140" s="66"/>
      <c r="L1140" s="68"/>
      <c r="M1140" s="63" t="str">
        <f>HYPERLINK("http://nsgreg.nga.mil/genc/view?v=871804&amp;end_month=12&amp;end_day=31&amp;end_year=2016","Correlation")</f>
        <v>Correlation</v>
      </c>
    </row>
    <row r="1141" spans="1:13" x14ac:dyDescent="0.2">
      <c r="A1141" s="113"/>
      <c r="B1141" s="58" t="s">
        <v>3954</v>
      </c>
      <c r="C1141" s="58" t="s">
        <v>2294</v>
      </c>
      <c r="D1141" s="58" t="s">
        <v>3955</v>
      </c>
      <c r="E1141" s="60" t="b">
        <v>1</v>
      </c>
      <c r="F1141" s="80" t="s">
        <v>503</v>
      </c>
      <c r="G1141" s="58" t="s">
        <v>3954</v>
      </c>
      <c r="H1141" s="58" t="s">
        <v>2294</v>
      </c>
      <c r="I1141" s="64" t="s">
        <v>3955</v>
      </c>
      <c r="J1141" s="66"/>
      <c r="K1141" s="66"/>
      <c r="L1141" s="68"/>
      <c r="M1141" s="63" t="str">
        <f>HYPERLINK("http://nsgreg.nga.mil/genc/view?v=871802&amp;end_month=12&amp;end_day=31&amp;end_year=2016","Correlation")</f>
        <v>Correlation</v>
      </c>
    </row>
    <row r="1142" spans="1:13" x14ac:dyDescent="0.2">
      <c r="A1142" s="114"/>
      <c r="B1142" s="71" t="s">
        <v>3956</v>
      </c>
      <c r="C1142" s="71" t="s">
        <v>2294</v>
      </c>
      <c r="D1142" s="71" t="s">
        <v>3957</v>
      </c>
      <c r="E1142" s="73" t="b">
        <v>1</v>
      </c>
      <c r="F1142" s="81" t="s">
        <v>503</v>
      </c>
      <c r="G1142" s="71" t="s">
        <v>3956</v>
      </c>
      <c r="H1142" s="71" t="s">
        <v>2294</v>
      </c>
      <c r="I1142" s="74" t="s">
        <v>3957</v>
      </c>
      <c r="J1142" s="76"/>
      <c r="K1142" s="76"/>
      <c r="L1142" s="82"/>
      <c r="M1142" s="77" t="str">
        <f>HYPERLINK("http://nsgreg.nga.mil/genc/view?v=871806&amp;end_month=12&amp;end_day=31&amp;end_year=2016","Correlation")</f>
        <v>Correlation</v>
      </c>
    </row>
    <row r="1143" spans="1:13" x14ac:dyDescent="0.2">
      <c r="A1143" s="112" t="s">
        <v>527</v>
      </c>
      <c r="B1143" s="50" t="s">
        <v>3958</v>
      </c>
      <c r="C1143" s="50" t="s">
        <v>1413</v>
      </c>
      <c r="D1143" s="50" t="s">
        <v>3959</v>
      </c>
      <c r="E1143" s="52" t="b">
        <v>1</v>
      </c>
      <c r="F1143" s="78" t="s">
        <v>527</v>
      </c>
      <c r="G1143" s="50" t="s">
        <v>3958</v>
      </c>
      <c r="H1143" s="50" t="s">
        <v>1413</v>
      </c>
      <c r="I1143" s="53" t="s">
        <v>3959</v>
      </c>
      <c r="J1143" s="55"/>
      <c r="K1143" s="55"/>
      <c r="L1143" s="79"/>
      <c r="M1143" s="56" t="str">
        <f>HYPERLINK("http://nsgreg.nga.mil/genc/view?v=869276&amp;end_month=12&amp;end_day=31&amp;end_year=2016","Correlation")</f>
        <v>Correlation</v>
      </c>
    </row>
    <row r="1144" spans="1:13" x14ac:dyDescent="0.2">
      <c r="A1144" s="113"/>
      <c r="B1144" s="58" t="s">
        <v>3960</v>
      </c>
      <c r="C1144" s="58" t="s">
        <v>1413</v>
      </c>
      <c r="D1144" s="58" t="s">
        <v>3961</v>
      </c>
      <c r="E1144" s="60" t="b">
        <v>1</v>
      </c>
      <c r="F1144" s="80" t="s">
        <v>527</v>
      </c>
      <c r="G1144" s="58" t="s">
        <v>3960</v>
      </c>
      <c r="H1144" s="58" t="s">
        <v>1413</v>
      </c>
      <c r="I1144" s="64" t="s">
        <v>3961</v>
      </c>
      <c r="J1144" s="66"/>
      <c r="K1144" s="66"/>
      <c r="L1144" s="68"/>
      <c r="M1144" s="63" t="str">
        <f>HYPERLINK("http://nsgreg.nga.mil/genc/view?v=869277&amp;end_month=12&amp;end_day=31&amp;end_year=2016","Correlation")</f>
        <v>Correlation</v>
      </c>
    </row>
    <row r="1145" spans="1:13" x14ac:dyDescent="0.2">
      <c r="A1145" s="113"/>
      <c r="B1145" s="58" t="s">
        <v>3962</v>
      </c>
      <c r="C1145" s="58" t="s">
        <v>1413</v>
      </c>
      <c r="D1145" s="58" t="s">
        <v>3963</v>
      </c>
      <c r="E1145" s="60" t="b">
        <v>1</v>
      </c>
      <c r="F1145" s="80" t="s">
        <v>527</v>
      </c>
      <c r="G1145" s="58" t="s">
        <v>3962</v>
      </c>
      <c r="H1145" s="58" t="s">
        <v>1413</v>
      </c>
      <c r="I1145" s="64" t="s">
        <v>3963</v>
      </c>
      <c r="J1145" s="66"/>
      <c r="K1145" s="66"/>
      <c r="L1145" s="68"/>
      <c r="M1145" s="63" t="str">
        <f>HYPERLINK("http://nsgreg.nga.mil/genc/view?v=869278&amp;end_month=12&amp;end_day=31&amp;end_year=2016","Correlation")</f>
        <v>Correlation</v>
      </c>
    </row>
    <row r="1146" spans="1:13" x14ac:dyDescent="0.2">
      <c r="A1146" s="113"/>
      <c r="B1146" s="58" t="s">
        <v>3964</v>
      </c>
      <c r="C1146" s="58" t="s">
        <v>1413</v>
      </c>
      <c r="D1146" s="58" t="s">
        <v>3965</v>
      </c>
      <c r="E1146" s="60" t="b">
        <v>1</v>
      </c>
      <c r="F1146" s="80" t="s">
        <v>527</v>
      </c>
      <c r="G1146" s="58" t="s">
        <v>3964</v>
      </c>
      <c r="H1146" s="58" t="s">
        <v>1413</v>
      </c>
      <c r="I1146" s="64" t="s">
        <v>3965</v>
      </c>
      <c r="J1146" s="66"/>
      <c r="K1146" s="66"/>
      <c r="L1146" s="68"/>
      <c r="M1146" s="63" t="str">
        <f>HYPERLINK("http://nsgreg.nga.mil/genc/view?v=869280&amp;end_month=12&amp;end_day=31&amp;end_year=2016","Correlation")</f>
        <v>Correlation</v>
      </c>
    </row>
    <row r="1147" spans="1:13" x14ac:dyDescent="0.2">
      <c r="A1147" s="113"/>
      <c r="B1147" s="58" t="s">
        <v>3966</v>
      </c>
      <c r="C1147" s="58" t="s">
        <v>1413</v>
      </c>
      <c r="D1147" s="58" t="s">
        <v>3967</v>
      </c>
      <c r="E1147" s="60" t="b">
        <v>1</v>
      </c>
      <c r="F1147" s="80" t="s">
        <v>527</v>
      </c>
      <c r="G1147" s="58" t="s">
        <v>3966</v>
      </c>
      <c r="H1147" s="58" t="s">
        <v>1413</v>
      </c>
      <c r="I1147" s="64" t="s">
        <v>3967</v>
      </c>
      <c r="J1147" s="66"/>
      <c r="K1147" s="66"/>
      <c r="L1147" s="68"/>
      <c r="M1147" s="63" t="str">
        <f>HYPERLINK("http://nsgreg.nga.mil/genc/view?v=869282&amp;end_month=12&amp;end_day=31&amp;end_year=2016","Correlation")</f>
        <v>Correlation</v>
      </c>
    </row>
    <row r="1148" spans="1:13" x14ac:dyDescent="0.2">
      <c r="A1148" s="113"/>
      <c r="B1148" s="58" t="s">
        <v>3968</v>
      </c>
      <c r="C1148" s="58" t="s">
        <v>1413</v>
      </c>
      <c r="D1148" s="58" t="s">
        <v>3969</v>
      </c>
      <c r="E1148" s="60" t="b">
        <v>1</v>
      </c>
      <c r="F1148" s="80" t="s">
        <v>527</v>
      </c>
      <c r="G1148" s="58" t="s">
        <v>3968</v>
      </c>
      <c r="H1148" s="58" t="s">
        <v>1413</v>
      </c>
      <c r="I1148" s="64" t="s">
        <v>3969</v>
      </c>
      <c r="J1148" s="66"/>
      <c r="K1148" s="66"/>
      <c r="L1148" s="68"/>
      <c r="M1148" s="63" t="str">
        <f>HYPERLINK("http://nsgreg.nga.mil/genc/view?v=869283&amp;end_month=12&amp;end_day=31&amp;end_year=2016","Correlation")</f>
        <v>Correlation</v>
      </c>
    </row>
    <row r="1149" spans="1:13" x14ac:dyDescent="0.2">
      <c r="A1149" s="113"/>
      <c r="B1149" s="58" t="s">
        <v>3970</v>
      </c>
      <c r="C1149" s="58" t="s">
        <v>1728</v>
      </c>
      <c r="D1149" s="58" t="s">
        <v>3971</v>
      </c>
      <c r="E1149" s="60" t="b">
        <v>1</v>
      </c>
      <c r="F1149" s="80" t="s">
        <v>527</v>
      </c>
      <c r="G1149" s="58" t="s">
        <v>3970</v>
      </c>
      <c r="H1149" s="58" t="s">
        <v>1728</v>
      </c>
      <c r="I1149" s="64" t="s">
        <v>3971</v>
      </c>
      <c r="J1149" s="66"/>
      <c r="K1149" s="66"/>
      <c r="L1149" s="68"/>
      <c r="M1149" s="63" t="str">
        <f>HYPERLINK("http://nsgreg.nga.mil/genc/view?v=869279&amp;end_month=12&amp;end_day=31&amp;end_year=2016","Correlation")</f>
        <v>Correlation</v>
      </c>
    </row>
    <row r="1150" spans="1:13" x14ac:dyDescent="0.2">
      <c r="A1150" s="113"/>
      <c r="B1150" s="58" t="s">
        <v>3972</v>
      </c>
      <c r="C1150" s="58" t="s">
        <v>1728</v>
      </c>
      <c r="D1150" s="58" t="s">
        <v>3973</v>
      </c>
      <c r="E1150" s="60" t="b">
        <v>1</v>
      </c>
      <c r="F1150" s="80" t="s">
        <v>527</v>
      </c>
      <c r="G1150" s="58" t="s">
        <v>3972</v>
      </c>
      <c r="H1150" s="58" t="s">
        <v>1728</v>
      </c>
      <c r="I1150" s="64" t="s">
        <v>3973</v>
      </c>
      <c r="J1150" s="66"/>
      <c r="K1150" s="66"/>
      <c r="L1150" s="68"/>
      <c r="M1150" s="63" t="str">
        <f>HYPERLINK("http://nsgreg.nga.mil/genc/view?v=869281&amp;end_month=12&amp;end_day=31&amp;end_year=2016","Correlation")</f>
        <v>Correlation</v>
      </c>
    </row>
    <row r="1151" spans="1:13" x14ac:dyDescent="0.2">
      <c r="A1151" s="114"/>
      <c r="B1151" s="71" t="s">
        <v>3976</v>
      </c>
      <c r="C1151" s="71" t="s">
        <v>1413</v>
      </c>
      <c r="D1151" s="71" t="s">
        <v>3975</v>
      </c>
      <c r="E1151" s="73" t="b">
        <v>1</v>
      </c>
      <c r="F1151" s="81" t="s">
        <v>527</v>
      </c>
      <c r="G1151" s="71" t="s">
        <v>3974</v>
      </c>
      <c r="H1151" s="71" t="s">
        <v>1413</v>
      </c>
      <c r="I1151" s="74" t="s">
        <v>3975</v>
      </c>
      <c r="J1151" s="76"/>
      <c r="K1151" s="76"/>
      <c r="L1151" s="82"/>
      <c r="M1151" s="77" t="str">
        <f>HYPERLINK("http://nsgreg.nga.mil/genc/view?v=869284&amp;end_month=12&amp;end_day=31&amp;end_year=2016","Correlation")</f>
        <v>Correlation</v>
      </c>
    </row>
    <row r="1152" spans="1:13" x14ac:dyDescent="0.2">
      <c r="A1152" s="112" t="s">
        <v>531</v>
      </c>
      <c r="B1152" s="50" t="s">
        <v>3991</v>
      </c>
      <c r="C1152" s="50" t="s">
        <v>1728</v>
      </c>
      <c r="D1152" s="50" t="s">
        <v>3990</v>
      </c>
      <c r="E1152" s="52" t="b">
        <v>1</v>
      </c>
      <c r="F1152" s="78" t="s">
        <v>531</v>
      </c>
      <c r="G1152" s="50" t="s">
        <v>3989</v>
      </c>
      <c r="H1152" s="50" t="s">
        <v>1728</v>
      </c>
      <c r="I1152" s="53" t="s">
        <v>3990</v>
      </c>
      <c r="J1152" s="55"/>
      <c r="K1152" s="55"/>
      <c r="L1152" s="79"/>
      <c r="M1152" s="56" t="str">
        <f>HYPERLINK("http://nsgreg.nga.mil/genc/view?v=868712&amp;end_month=12&amp;end_day=31&amp;end_year=2016","Correlation")</f>
        <v>Correlation</v>
      </c>
    </row>
    <row r="1153" spans="1:13" x14ac:dyDescent="0.2">
      <c r="A1153" s="113"/>
      <c r="B1153" s="58" t="s">
        <v>3982</v>
      </c>
      <c r="C1153" s="58" t="s">
        <v>1728</v>
      </c>
      <c r="D1153" s="58" t="s">
        <v>3981</v>
      </c>
      <c r="E1153" s="60" t="b">
        <v>1</v>
      </c>
      <c r="F1153" s="80" t="s">
        <v>531</v>
      </c>
      <c r="G1153" s="58" t="s">
        <v>3980</v>
      </c>
      <c r="H1153" s="58" t="s">
        <v>1728</v>
      </c>
      <c r="I1153" s="64" t="s">
        <v>3981</v>
      </c>
      <c r="J1153" s="66"/>
      <c r="K1153" s="66"/>
      <c r="L1153" s="68"/>
      <c r="M1153" s="63" t="str">
        <f>HYPERLINK("http://nsgreg.nga.mil/genc/view?v=868710&amp;end_month=12&amp;end_day=31&amp;end_year=2016","Correlation")</f>
        <v>Correlation</v>
      </c>
    </row>
    <row r="1154" spans="1:13" x14ac:dyDescent="0.2">
      <c r="A1154" s="113"/>
      <c r="B1154" s="58" t="s">
        <v>3979</v>
      </c>
      <c r="C1154" s="58" t="s">
        <v>1728</v>
      </c>
      <c r="D1154" s="58" t="s">
        <v>3978</v>
      </c>
      <c r="E1154" s="60" t="b">
        <v>1</v>
      </c>
      <c r="F1154" s="80" t="s">
        <v>531</v>
      </c>
      <c r="G1154" s="58" t="s">
        <v>3977</v>
      </c>
      <c r="H1154" s="58" t="s">
        <v>1728</v>
      </c>
      <c r="I1154" s="64" t="s">
        <v>3978</v>
      </c>
      <c r="J1154" s="66"/>
      <c r="K1154" s="66"/>
      <c r="L1154" s="68"/>
      <c r="M1154" s="63" t="str">
        <f>HYPERLINK("http://nsgreg.nga.mil/genc/view?v=868708&amp;end_month=12&amp;end_day=31&amp;end_year=2016","Correlation")</f>
        <v>Correlation</v>
      </c>
    </row>
    <row r="1155" spans="1:13" x14ac:dyDescent="0.2">
      <c r="A1155" s="113"/>
      <c r="B1155" s="58" t="s">
        <v>3985</v>
      </c>
      <c r="C1155" s="58" t="s">
        <v>1728</v>
      </c>
      <c r="D1155" s="58" t="s">
        <v>3984</v>
      </c>
      <c r="E1155" s="60" t="b">
        <v>1</v>
      </c>
      <c r="F1155" s="80" t="s">
        <v>531</v>
      </c>
      <c r="G1155" s="58" t="s">
        <v>3983</v>
      </c>
      <c r="H1155" s="58" t="s">
        <v>1728</v>
      </c>
      <c r="I1155" s="64" t="s">
        <v>3984</v>
      </c>
      <c r="J1155" s="66"/>
      <c r="K1155" s="66"/>
      <c r="L1155" s="68"/>
      <c r="M1155" s="63" t="str">
        <f>HYPERLINK("http://nsgreg.nga.mil/genc/view?v=868709&amp;end_month=12&amp;end_day=31&amp;end_year=2016","Correlation")</f>
        <v>Correlation</v>
      </c>
    </row>
    <row r="1156" spans="1:13" x14ac:dyDescent="0.2">
      <c r="A1156" s="113"/>
      <c r="B1156" s="58" t="s">
        <v>3988</v>
      </c>
      <c r="C1156" s="58" t="s">
        <v>1728</v>
      </c>
      <c r="D1156" s="58" t="s">
        <v>3987</v>
      </c>
      <c r="E1156" s="60" t="b">
        <v>1</v>
      </c>
      <c r="F1156" s="80" t="s">
        <v>531</v>
      </c>
      <c r="G1156" s="58" t="s">
        <v>3986</v>
      </c>
      <c r="H1156" s="58" t="s">
        <v>1728</v>
      </c>
      <c r="I1156" s="64" t="s">
        <v>3987</v>
      </c>
      <c r="J1156" s="66"/>
      <c r="K1156" s="66"/>
      <c r="L1156" s="68"/>
      <c r="M1156" s="63" t="str">
        <f>HYPERLINK("http://nsgreg.nga.mil/genc/view?v=868711&amp;end_month=12&amp;end_day=31&amp;end_year=2016","Correlation")</f>
        <v>Correlation</v>
      </c>
    </row>
    <row r="1157" spans="1:13" x14ac:dyDescent="0.2">
      <c r="A1157" s="114"/>
      <c r="B1157" s="71" t="s">
        <v>3994</v>
      </c>
      <c r="C1157" s="71" t="s">
        <v>1728</v>
      </c>
      <c r="D1157" s="71" t="s">
        <v>3993</v>
      </c>
      <c r="E1157" s="73" t="b">
        <v>1</v>
      </c>
      <c r="F1157" s="81" t="s">
        <v>531</v>
      </c>
      <c r="G1157" s="71" t="s">
        <v>3992</v>
      </c>
      <c r="H1157" s="71" t="s">
        <v>1728</v>
      </c>
      <c r="I1157" s="74" t="s">
        <v>3993</v>
      </c>
      <c r="J1157" s="76"/>
      <c r="K1157" s="76"/>
      <c r="L1157" s="82"/>
      <c r="M1157" s="77" t="str">
        <f>HYPERLINK("http://nsgreg.nga.mil/genc/view?v=868713&amp;end_month=12&amp;end_day=31&amp;end_year=2016","Correlation")</f>
        <v>Correlation</v>
      </c>
    </row>
    <row r="1158" spans="1:13" x14ac:dyDescent="0.2">
      <c r="A1158" s="112" t="s">
        <v>535</v>
      </c>
      <c r="B1158" s="50" t="s">
        <v>3995</v>
      </c>
      <c r="C1158" s="50" t="s">
        <v>1483</v>
      </c>
      <c r="D1158" s="50" t="s">
        <v>3996</v>
      </c>
      <c r="E1158" s="52" t="b">
        <v>1</v>
      </c>
      <c r="F1158" s="78" t="s">
        <v>535</v>
      </c>
      <c r="G1158" s="50" t="s">
        <v>3995</v>
      </c>
      <c r="H1158" s="50" t="s">
        <v>1483</v>
      </c>
      <c r="I1158" s="53" t="s">
        <v>3996</v>
      </c>
      <c r="J1158" s="55"/>
      <c r="K1158" s="55"/>
      <c r="L1158" s="79"/>
      <c r="M1158" s="56" t="str">
        <f>HYPERLINK("http://nsgreg.nga.mil/genc/view?v=868666&amp;end_month=12&amp;end_day=31&amp;end_year=2016","Correlation")</f>
        <v>Correlation</v>
      </c>
    </row>
    <row r="1159" spans="1:13" x14ac:dyDescent="0.2">
      <c r="A1159" s="113"/>
      <c r="B1159" s="58" t="s">
        <v>3997</v>
      </c>
      <c r="C1159" s="58" t="s">
        <v>1483</v>
      </c>
      <c r="D1159" s="58" t="s">
        <v>3998</v>
      </c>
      <c r="E1159" s="60" t="b">
        <v>1</v>
      </c>
      <c r="F1159" s="80" t="s">
        <v>535</v>
      </c>
      <c r="G1159" s="58" t="s">
        <v>3997</v>
      </c>
      <c r="H1159" s="58" t="s">
        <v>1483</v>
      </c>
      <c r="I1159" s="64" t="s">
        <v>3998</v>
      </c>
      <c r="J1159" s="66"/>
      <c r="K1159" s="66"/>
      <c r="L1159" s="68"/>
      <c r="M1159" s="63" t="str">
        <f>HYPERLINK("http://nsgreg.nga.mil/genc/view?v=868667&amp;end_month=12&amp;end_day=31&amp;end_year=2016","Correlation")</f>
        <v>Correlation</v>
      </c>
    </row>
    <row r="1160" spans="1:13" x14ac:dyDescent="0.2">
      <c r="A1160" s="113"/>
      <c r="B1160" s="58" t="s">
        <v>3999</v>
      </c>
      <c r="C1160" s="58" t="s">
        <v>1483</v>
      </c>
      <c r="D1160" s="58" t="s">
        <v>4000</v>
      </c>
      <c r="E1160" s="60" t="b">
        <v>1</v>
      </c>
      <c r="F1160" s="80" t="s">
        <v>535</v>
      </c>
      <c r="G1160" s="58" t="s">
        <v>3999</v>
      </c>
      <c r="H1160" s="58" t="s">
        <v>1483</v>
      </c>
      <c r="I1160" s="64" t="s">
        <v>4000</v>
      </c>
      <c r="J1160" s="66"/>
      <c r="K1160" s="66"/>
      <c r="L1160" s="68"/>
      <c r="M1160" s="63" t="str">
        <f>HYPERLINK("http://nsgreg.nga.mil/genc/view?v=868668&amp;end_month=12&amp;end_day=31&amp;end_year=2016","Correlation")</f>
        <v>Correlation</v>
      </c>
    </row>
    <row r="1161" spans="1:13" x14ac:dyDescent="0.2">
      <c r="A1161" s="113"/>
      <c r="B1161" s="58" t="s">
        <v>4001</v>
      </c>
      <c r="C1161" s="58" t="s">
        <v>1483</v>
      </c>
      <c r="D1161" s="58" t="s">
        <v>4002</v>
      </c>
      <c r="E1161" s="60" t="b">
        <v>1</v>
      </c>
      <c r="F1161" s="80" t="s">
        <v>535</v>
      </c>
      <c r="G1161" s="58" t="s">
        <v>4001</v>
      </c>
      <c r="H1161" s="58" t="s">
        <v>1483</v>
      </c>
      <c r="I1161" s="64" t="s">
        <v>4002</v>
      </c>
      <c r="J1161" s="66"/>
      <c r="K1161" s="66"/>
      <c r="L1161" s="68"/>
      <c r="M1161" s="63" t="str">
        <f>HYPERLINK("http://nsgreg.nga.mil/genc/view?v=868670&amp;end_month=12&amp;end_day=31&amp;end_year=2016","Correlation")</f>
        <v>Correlation</v>
      </c>
    </row>
    <row r="1162" spans="1:13" x14ac:dyDescent="0.2">
      <c r="A1162" s="113"/>
      <c r="B1162" s="58" t="s">
        <v>4003</v>
      </c>
      <c r="C1162" s="58" t="s">
        <v>1483</v>
      </c>
      <c r="D1162" s="58" t="s">
        <v>4004</v>
      </c>
      <c r="E1162" s="60" t="b">
        <v>1</v>
      </c>
      <c r="F1162" s="80" t="s">
        <v>535</v>
      </c>
      <c r="G1162" s="58" t="s">
        <v>4003</v>
      </c>
      <c r="H1162" s="58" t="s">
        <v>1483</v>
      </c>
      <c r="I1162" s="64" t="s">
        <v>4004</v>
      </c>
      <c r="J1162" s="66"/>
      <c r="K1162" s="66"/>
      <c r="L1162" s="68"/>
      <c r="M1162" s="63" t="str">
        <f>HYPERLINK("http://nsgreg.nga.mil/genc/view?v=868669&amp;end_month=12&amp;end_day=31&amp;end_year=2016","Correlation")</f>
        <v>Correlation</v>
      </c>
    </row>
    <row r="1163" spans="1:13" x14ac:dyDescent="0.2">
      <c r="A1163" s="113"/>
      <c r="B1163" s="58" t="s">
        <v>4005</v>
      </c>
      <c r="C1163" s="58" t="s">
        <v>1483</v>
      </c>
      <c r="D1163" s="58" t="s">
        <v>4006</v>
      </c>
      <c r="E1163" s="60" t="b">
        <v>1</v>
      </c>
      <c r="F1163" s="80" t="s">
        <v>535</v>
      </c>
      <c r="G1163" s="58" t="s">
        <v>4005</v>
      </c>
      <c r="H1163" s="58" t="s">
        <v>1483</v>
      </c>
      <c r="I1163" s="64" t="s">
        <v>4006</v>
      </c>
      <c r="J1163" s="66"/>
      <c r="K1163" s="66"/>
      <c r="L1163" s="68"/>
      <c r="M1163" s="63" t="str">
        <f>HYPERLINK("http://nsgreg.nga.mil/genc/view?v=868671&amp;end_month=12&amp;end_day=31&amp;end_year=2016","Correlation")</f>
        <v>Correlation</v>
      </c>
    </row>
    <row r="1164" spans="1:13" x14ac:dyDescent="0.2">
      <c r="A1164" s="113"/>
      <c r="B1164" s="58" t="s">
        <v>4007</v>
      </c>
      <c r="C1164" s="58" t="s">
        <v>1483</v>
      </c>
      <c r="D1164" s="58" t="s">
        <v>4008</v>
      </c>
      <c r="E1164" s="60" t="b">
        <v>1</v>
      </c>
      <c r="F1164" s="80" t="s">
        <v>535</v>
      </c>
      <c r="G1164" s="58" t="s">
        <v>4007</v>
      </c>
      <c r="H1164" s="58" t="s">
        <v>1483</v>
      </c>
      <c r="I1164" s="64" t="s">
        <v>4008</v>
      </c>
      <c r="J1164" s="66"/>
      <c r="K1164" s="66"/>
      <c r="L1164" s="68"/>
      <c r="M1164" s="63" t="str">
        <f>HYPERLINK("http://nsgreg.nga.mil/genc/view?v=868672&amp;end_month=12&amp;end_day=31&amp;end_year=2016","Correlation")</f>
        <v>Correlation</v>
      </c>
    </row>
    <row r="1165" spans="1:13" x14ac:dyDescent="0.2">
      <c r="A1165" s="113"/>
      <c r="B1165" s="58" t="s">
        <v>4009</v>
      </c>
      <c r="C1165" s="58" t="s">
        <v>1483</v>
      </c>
      <c r="D1165" s="58" t="s">
        <v>4010</v>
      </c>
      <c r="E1165" s="60" t="b">
        <v>1</v>
      </c>
      <c r="F1165" s="80" t="s">
        <v>535</v>
      </c>
      <c r="G1165" s="58" t="s">
        <v>4009</v>
      </c>
      <c r="H1165" s="58" t="s">
        <v>1483</v>
      </c>
      <c r="I1165" s="64" t="s">
        <v>4010</v>
      </c>
      <c r="J1165" s="66"/>
      <c r="K1165" s="66"/>
      <c r="L1165" s="68"/>
      <c r="M1165" s="63" t="str">
        <f>HYPERLINK("http://nsgreg.nga.mil/genc/view?v=868674&amp;end_month=12&amp;end_day=31&amp;end_year=2016","Correlation")</f>
        <v>Correlation</v>
      </c>
    </row>
    <row r="1166" spans="1:13" x14ac:dyDescent="0.2">
      <c r="A1166" s="113"/>
      <c r="B1166" s="58" t="s">
        <v>4011</v>
      </c>
      <c r="C1166" s="58" t="s">
        <v>1483</v>
      </c>
      <c r="D1166" s="58" t="s">
        <v>4012</v>
      </c>
      <c r="E1166" s="60" t="b">
        <v>1</v>
      </c>
      <c r="F1166" s="80" t="s">
        <v>535</v>
      </c>
      <c r="G1166" s="58" t="s">
        <v>4011</v>
      </c>
      <c r="H1166" s="58" t="s">
        <v>1483</v>
      </c>
      <c r="I1166" s="64" t="s">
        <v>4012</v>
      </c>
      <c r="J1166" s="66"/>
      <c r="K1166" s="66"/>
      <c r="L1166" s="68"/>
      <c r="M1166" s="63" t="str">
        <f>HYPERLINK("http://nsgreg.nga.mil/genc/view?v=868673&amp;end_month=12&amp;end_day=31&amp;end_year=2016","Correlation")</f>
        <v>Correlation</v>
      </c>
    </row>
    <row r="1167" spans="1:13" x14ac:dyDescent="0.2">
      <c r="A1167" s="113"/>
      <c r="B1167" s="58" t="s">
        <v>4013</v>
      </c>
      <c r="C1167" s="58" t="s">
        <v>1483</v>
      </c>
      <c r="D1167" s="58" t="s">
        <v>4014</v>
      </c>
      <c r="E1167" s="60" t="b">
        <v>1</v>
      </c>
      <c r="F1167" s="80" t="s">
        <v>535</v>
      </c>
      <c r="G1167" s="58" t="s">
        <v>4013</v>
      </c>
      <c r="H1167" s="58" t="s">
        <v>1483</v>
      </c>
      <c r="I1167" s="64" t="s">
        <v>4014</v>
      </c>
      <c r="J1167" s="66"/>
      <c r="K1167" s="66"/>
      <c r="L1167" s="68"/>
      <c r="M1167" s="63" t="str">
        <f>HYPERLINK("http://nsgreg.nga.mil/genc/view?v=868675&amp;end_month=12&amp;end_day=31&amp;end_year=2016","Correlation")</f>
        <v>Correlation</v>
      </c>
    </row>
    <row r="1168" spans="1:13" x14ac:dyDescent="0.2">
      <c r="A1168" s="113"/>
      <c r="B1168" s="58" t="s">
        <v>4015</v>
      </c>
      <c r="C1168" s="58" t="s">
        <v>1483</v>
      </c>
      <c r="D1168" s="58" t="s">
        <v>4016</v>
      </c>
      <c r="E1168" s="60" t="b">
        <v>1</v>
      </c>
      <c r="F1168" s="80" t="s">
        <v>535</v>
      </c>
      <c r="G1168" s="58" t="s">
        <v>4015</v>
      </c>
      <c r="H1168" s="58" t="s">
        <v>1483</v>
      </c>
      <c r="I1168" s="64" t="s">
        <v>4016</v>
      </c>
      <c r="J1168" s="66"/>
      <c r="K1168" s="66"/>
      <c r="L1168" s="68"/>
      <c r="M1168" s="63" t="str">
        <f>HYPERLINK("http://nsgreg.nga.mil/genc/view?v=868676&amp;end_month=12&amp;end_day=31&amp;end_year=2016","Correlation")</f>
        <v>Correlation</v>
      </c>
    </row>
    <row r="1169" spans="1:13" x14ac:dyDescent="0.2">
      <c r="A1169" s="113"/>
      <c r="B1169" s="58" t="s">
        <v>4017</v>
      </c>
      <c r="C1169" s="58" t="s">
        <v>1483</v>
      </c>
      <c r="D1169" s="58" t="s">
        <v>4018</v>
      </c>
      <c r="E1169" s="60" t="b">
        <v>1</v>
      </c>
      <c r="F1169" s="80" t="s">
        <v>535</v>
      </c>
      <c r="G1169" s="58" t="s">
        <v>4017</v>
      </c>
      <c r="H1169" s="58" t="s">
        <v>1483</v>
      </c>
      <c r="I1169" s="64" t="s">
        <v>4018</v>
      </c>
      <c r="J1169" s="66"/>
      <c r="K1169" s="66"/>
      <c r="L1169" s="68"/>
      <c r="M1169" s="63" t="str">
        <f>HYPERLINK("http://nsgreg.nga.mil/genc/view?v=868677&amp;end_month=12&amp;end_day=31&amp;end_year=2016","Correlation")</f>
        <v>Correlation</v>
      </c>
    </row>
    <row r="1170" spans="1:13" x14ac:dyDescent="0.2">
      <c r="A1170" s="113"/>
      <c r="B1170" s="58" t="s">
        <v>4019</v>
      </c>
      <c r="C1170" s="58" t="s">
        <v>1483</v>
      </c>
      <c r="D1170" s="58" t="s">
        <v>4020</v>
      </c>
      <c r="E1170" s="60" t="b">
        <v>1</v>
      </c>
      <c r="F1170" s="80" t="s">
        <v>535</v>
      </c>
      <c r="G1170" s="58" t="s">
        <v>4019</v>
      </c>
      <c r="H1170" s="58" t="s">
        <v>1483</v>
      </c>
      <c r="I1170" s="64" t="s">
        <v>4020</v>
      </c>
      <c r="J1170" s="66"/>
      <c r="K1170" s="66"/>
      <c r="L1170" s="68"/>
      <c r="M1170" s="63" t="str">
        <f>HYPERLINK("http://nsgreg.nga.mil/genc/view?v=868678&amp;end_month=12&amp;end_day=31&amp;end_year=2016","Correlation")</f>
        <v>Correlation</v>
      </c>
    </row>
    <row r="1171" spans="1:13" x14ac:dyDescent="0.2">
      <c r="A1171" s="113"/>
      <c r="B1171" s="58" t="s">
        <v>4021</v>
      </c>
      <c r="C1171" s="58" t="s">
        <v>1483</v>
      </c>
      <c r="D1171" s="58" t="s">
        <v>4022</v>
      </c>
      <c r="E1171" s="60" t="b">
        <v>1</v>
      </c>
      <c r="F1171" s="80" t="s">
        <v>535</v>
      </c>
      <c r="G1171" s="58" t="s">
        <v>4021</v>
      </c>
      <c r="H1171" s="58" t="s">
        <v>1483</v>
      </c>
      <c r="I1171" s="64" t="s">
        <v>4022</v>
      </c>
      <c r="J1171" s="66"/>
      <c r="K1171" s="66"/>
      <c r="L1171" s="68"/>
      <c r="M1171" s="63" t="str">
        <f>HYPERLINK("http://nsgreg.nga.mil/genc/view?v=868679&amp;end_month=12&amp;end_day=31&amp;end_year=2016","Correlation")</f>
        <v>Correlation</v>
      </c>
    </row>
    <row r="1172" spans="1:13" x14ac:dyDescent="0.2">
      <c r="A1172" s="114"/>
      <c r="B1172" s="71" t="s">
        <v>4023</v>
      </c>
      <c r="C1172" s="71" t="s">
        <v>1483</v>
      </c>
      <c r="D1172" s="71" t="s">
        <v>4024</v>
      </c>
      <c r="E1172" s="73" t="b">
        <v>1</v>
      </c>
      <c r="F1172" s="81" t="s">
        <v>535</v>
      </c>
      <c r="G1172" s="71" t="s">
        <v>4023</v>
      </c>
      <c r="H1172" s="71" t="s">
        <v>1483</v>
      </c>
      <c r="I1172" s="74" t="s">
        <v>4024</v>
      </c>
      <c r="J1172" s="76"/>
      <c r="K1172" s="76"/>
      <c r="L1172" s="82"/>
      <c r="M1172" s="77" t="str">
        <f>HYPERLINK("http://nsgreg.nga.mil/genc/view?v=868680&amp;end_month=12&amp;end_day=31&amp;end_year=2016","Correlation")</f>
        <v>Correlation</v>
      </c>
    </row>
    <row r="1173" spans="1:13" x14ac:dyDescent="0.2">
      <c r="A1173" s="112" t="s">
        <v>539</v>
      </c>
      <c r="B1173" s="50" t="s">
        <v>4025</v>
      </c>
      <c r="C1173" s="50" t="s">
        <v>4026</v>
      </c>
      <c r="D1173" s="50" t="s">
        <v>4027</v>
      </c>
      <c r="E1173" s="52" t="b">
        <v>1</v>
      </c>
      <c r="F1173" s="78" t="s">
        <v>539</v>
      </c>
      <c r="G1173" s="50" t="s">
        <v>4025</v>
      </c>
      <c r="H1173" s="50" t="s">
        <v>4026</v>
      </c>
      <c r="I1173" s="53" t="s">
        <v>4027</v>
      </c>
      <c r="J1173" s="55"/>
      <c r="K1173" s="55"/>
      <c r="L1173" s="79"/>
      <c r="M1173" s="56" t="str">
        <f>HYPERLINK("http://nsgreg.nga.mil/genc/view?v=868783&amp;end_month=12&amp;end_day=31&amp;end_year=2016","Correlation")</f>
        <v>Correlation</v>
      </c>
    </row>
    <row r="1174" spans="1:13" x14ac:dyDescent="0.2">
      <c r="A1174" s="113"/>
      <c r="B1174" s="58" t="s">
        <v>4028</v>
      </c>
      <c r="C1174" s="58" t="s">
        <v>1763</v>
      </c>
      <c r="D1174" s="58" t="s">
        <v>4029</v>
      </c>
      <c r="E1174" s="60" t="b">
        <v>1</v>
      </c>
      <c r="F1174" s="80" t="s">
        <v>539</v>
      </c>
      <c r="G1174" s="58" t="s">
        <v>4028</v>
      </c>
      <c r="H1174" s="58" t="s">
        <v>1763</v>
      </c>
      <c r="I1174" s="64" t="s">
        <v>4029</v>
      </c>
      <c r="J1174" s="66"/>
      <c r="K1174" s="66"/>
      <c r="L1174" s="68"/>
      <c r="M1174" s="63" t="str">
        <f>HYPERLINK("http://nsgreg.nga.mil/genc/view?v=868784&amp;end_month=12&amp;end_day=31&amp;end_year=2016","Correlation")</f>
        <v>Correlation</v>
      </c>
    </row>
    <row r="1175" spans="1:13" x14ac:dyDescent="0.2">
      <c r="A1175" s="113"/>
      <c r="B1175" s="58" t="s">
        <v>4030</v>
      </c>
      <c r="C1175" s="58" t="s">
        <v>1763</v>
      </c>
      <c r="D1175" s="58" t="s">
        <v>4031</v>
      </c>
      <c r="E1175" s="60" t="b">
        <v>1</v>
      </c>
      <c r="F1175" s="80" t="s">
        <v>539</v>
      </c>
      <c r="G1175" s="58" t="s">
        <v>4030</v>
      </c>
      <c r="H1175" s="58" t="s">
        <v>1763</v>
      </c>
      <c r="I1175" s="64" t="s">
        <v>4031</v>
      </c>
      <c r="J1175" s="66"/>
      <c r="K1175" s="66"/>
      <c r="L1175" s="68"/>
      <c r="M1175" s="63" t="str">
        <f>HYPERLINK("http://nsgreg.nga.mil/genc/view?v=868785&amp;end_month=12&amp;end_day=31&amp;end_year=2016","Correlation")</f>
        <v>Correlation</v>
      </c>
    </row>
    <row r="1176" spans="1:13" x14ac:dyDescent="0.2">
      <c r="A1176" s="113"/>
      <c r="B1176" s="58" t="s">
        <v>4032</v>
      </c>
      <c r="C1176" s="58" t="s">
        <v>1763</v>
      </c>
      <c r="D1176" s="58" t="s">
        <v>4033</v>
      </c>
      <c r="E1176" s="60" t="b">
        <v>1</v>
      </c>
      <c r="F1176" s="80" t="s">
        <v>539</v>
      </c>
      <c r="G1176" s="58" t="s">
        <v>4032</v>
      </c>
      <c r="H1176" s="58" t="s">
        <v>1763</v>
      </c>
      <c r="I1176" s="64" t="s">
        <v>4033</v>
      </c>
      <c r="J1176" s="66"/>
      <c r="K1176" s="66"/>
      <c r="L1176" s="68"/>
      <c r="M1176" s="63" t="str">
        <f>HYPERLINK("http://nsgreg.nga.mil/genc/view?v=868786&amp;end_month=12&amp;end_day=31&amp;end_year=2016","Correlation")</f>
        <v>Correlation</v>
      </c>
    </row>
    <row r="1177" spans="1:13" x14ac:dyDescent="0.2">
      <c r="A1177" s="113"/>
      <c r="B1177" s="58" t="s">
        <v>4034</v>
      </c>
      <c r="C1177" s="58" t="s">
        <v>4026</v>
      </c>
      <c r="D1177" s="58" t="s">
        <v>4035</v>
      </c>
      <c r="E1177" s="60" t="b">
        <v>1</v>
      </c>
      <c r="F1177" s="80" t="s">
        <v>539</v>
      </c>
      <c r="G1177" s="58" t="s">
        <v>4034</v>
      </c>
      <c r="H1177" s="58" t="s">
        <v>4026</v>
      </c>
      <c r="I1177" s="64" t="s">
        <v>4035</v>
      </c>
      <c r="J1177" s="66"/>
      <c r="K1177" s="66"/>
      <c r="L1177" s="68"/>
      <c r="M1177" s="63" t="str">
        <f>HYPERLINK("http://nsgreg.nga.mil/genc/view?v=868787&amp;end_month=12&amp;end_day=31&amp;end_year=2016","Correlation")</f>
        <v>Correlation</v>
      </c>
    </row>
    <row r="1178" spans="1:13" x14ac:dyDescent="0.2">
      <c r="A1178" s="113"/>
      <c r="B1178" s="58" t="s">
        <v>4036</v>
      </c>
      <c r="C1178" s="58" t="s">
        <v>1763</v>
      </c>
      <c r="D1178" s="58" t="s">
        <v>4037</v>
      </c>
      <c r="E1178" s="60" t="b">
        <v>1</v>
      </c>
      <c r="F1178" s="80" t="s">
        <v>539</v>
      </c>
      <c r="G1178" s="58" t="s">
        <v>4036</v>
      </c>
      <c r="H1178" s="58" t="s">
        <v>4026</v>
      </c>
      <c r="I1178" s="64" t="s">
        <v>4037</v>
      </c>
      <c r="J1178" s="66"/>
      <c r="K1178" s="66"/>
      <c r="L1178" s="68"/>
      <c r="M1178" s="63" t="str">
        <f>HYPERLINK("http://nsgreg.nga.mil/genc/view?v=868788&amp;end_month=12&amp;end_day=31&amp;end_year=2016","Correlation")</f>
        <v>Correlation</v>
      </c>
    </row>
    <row r="1179" spans="1:13" x14ac:dyDescent="0.2">
      <c r="A1179" s="113"/>
      <c r="B1179" s="58" t="s">
        <v>4038</v>
      </c>
      <c r="C1179" s="58" t="s">
        <v>1763</v>
      </c>
      <c r="D1179" s="58" t="s">
        <v>4039</v>
      </c>
      <c r="E1179" s="60" t="b">
        <v>1</v>
      </c>
      <c r="F1179" s="80" t="s">
        <v>539</v>
      </c>
      <c r="G1179" s="58" t="s">
        <v>4038</v>
      </c>
      <c r="H1179" s="58" t="s">
        <v>4026</v>
      </c>
      <c r="I1179" s="64" t="s">
        <v>4039</v>
      </c>
      <c r="J1179" s="66"/>
      <c r="K1179" s="66"/>
      <c r="L1179" s="68"/>
      <c r="M1179" s="63" t="str">
        <f>HYPERLINK("http://nsgreg.nga.mil/genc/view?v=868789&amp;end_month=12&amp;end_day=31&amp;end_year=2016","Correlation")</f>
        <v>Correlation</v>
      </c>
    </row>
    <row r="1180" spans="1:13" x14ac:dyDescent="0.2">
      <c r="A1180" s="113"/>
      <c r="B1180" s="58" t="s">
        <v>4040</v>
      </c>
      <c r="C1180" s="58" t="s">
        <v>1763</v>
      </c>
      <c r="D1180" s="58" t="s">
        <v>4041</v>
      </c>
      <c r="E1180" s="60" t="b">
        <v>1</v>
      </c>
      <c r="F1180" s="80" t="s">
        <v>539</v>
      </c>
      <c r="G1180" s="58" t="s">
        <v>4040</v>
      </c>
      <c r="H1180" s="58" t="s">
        <v>1763</v>
      </c>
      <c r="I1180" s="64" t="s">
        <v>4041</v>
      </c>
      <c r="J1180" s="66"/>
      <c r="K1180" s="66"/>
      <c r="L1180" s="68"/>
      <c r="M1180" s="63" t="str">
        <f>HYPERLINK("http://nsgreg.nga.mil/genc/view?v=868790&amp;end_month=12&amp;end_day=31&amp;end_year=2016","Correlation")</f>
        <v>Correlation</v>
      </c>
    </row>
    <row r="1181" spans="1:13" x14ac:dyDescent="0.2">
      <c r="A1181" s="113"/>
      <c r="B1181" s="58" t="s">
        <v>4042</v>
      </c>
      <c r="C1181" s="58" t="s">
        <v>1763</v>
      </c>
      <c r="D1181" s="58" t="s">
        <v>4043</v>
      </c>
      <c r="E1181" s="60" t="b">
        <v>1</v>
      </c>
      <c r="F1181" s="80" t="s">
        <v>539</v>
      </c>
      <c r="G1181" s="58" t="s">
        <v>4042</v>
      </c>
      <c r="H1181" s="58" t="s">
        <v>1763</v>
      </c>
      <c r="I1181" s="64" t="s">
        <v>4043</v>
      </c>
      <c r="J1181" s="66"/>
      <c r="K1181" s="66"/>
      <c r="L1181" s="68"/>
      <c r="M1181" s="63" t="str">
        <f>HYPERLINK("http://nsgreg.nga.mil/genc/view?v=868792&amp;end_month=12&amp;end_day=31&amp;end_year=2016","Correlation")</f>
        <v>Correlation</v>
      </c>
    </row>
    <row r="1182" spans="1:13" x14ac:dyDescent="0.2">
      <c r="A1182" s="113"/>
      <c r="B1182" s="58" t="s">
        <v>4044</v>
      </c>
      <c r="C1182" s="58" t="s">
        <v>1763</v>
      </c>
      <c r="D1182" s="58" t="s">
        <v>4045</v>
      </c>
      <c r="E1182" s="60" t="b">
        <v>1</v>
      </c>
      <c r="F1182" s="80" t="s">
        <v>539</v>
      </c>
      <c r="G1182" s="58" t="s">
        <v>4044</v>
      </c>
      <c r="H1182" s="58" t="s">
        <v>4026</v>
      </c>
      <c r="I1182" s="64" t="s">
        <v>4045</v>
      </c>
      <c r="J1182" s="66"/>
      <c r="K1182" s="66"/>
      <c r="L1182" s="68"/>
      <c r="M1182" s="63" t="str">
        <f>HYPERLINK("http://nsgreg.nga.mil/genc/view?v=868793&amp;end_month=12&amp;end_day=31&amp;end_year=2016","Correlation")</f>
        <v>Correlation</v>
      </c>
    </row>
    <row r="1183" spans="1:13" x14ac:dyDescent="0.2">
      <c r="A1183" s="114"/>
      <c r="B1183" s="71" t="s">
        <v>4046</v>
      </c>
      <c r="C1183" s="71" t="s">
        <v>1763</v>
      </c>
      <c r="D1183" s="71" t="s">
        <v>4047</v>
      </c>
      <c r="E1183" s="73" t="b">
        <v>1</v>
      </c>
      <c r="F1183" s="81" t="s">
        <v>539</v>
      </c>
      <c r="G1183" s="71" t="s">
        <v>4046</v>
      </c>
      <c r="H1183" s="71" t="s">
        <v>1763</v>
      </c>
      <c r="I1183" s="74" t="s">
        <v>4047</v>
      </c>
      <c r="J1183" s="76"/>
      <c r="K1183" s="76"/>
      <c r="L1183" s="82"/>
      <c r="M1183" s="77" t="str">
        <f>HYPERLINK("http://nsgreg.nga.mil/genc/view?v=868791&amp;end_month=12&amp;end_day=31&amp;end_year=2016","Correlation")</f>
        <v>Correlation</v>
      </c>
    </row>
    <row r="1184" spans="1:13" x14ac:dyDescent="0.2">
      <c r="A1184" s="112" t="s">
        <v>556</v>
      </c>
      <c r="B1184" s="50" t="s">
        <v>4048</v>
      </c>
      <c r="C1184" s="50" t="s">
        <v>1413</v>
      </c>
      <c r="D1184" s="50" t="s">
        <v>4049</v>
      </c>
      <c r="E1184" s="52" t="b">
        <v>1</v>
      </c>
      <c r="F1184" s="78" t="s">
        <v>556</v>
      </c>
      <c r="G1184" s="50" t="s">
        <v>4048</v>
      </c>
      <c r="H1184" s="50" t="s">
        <v>1413</v>
      </c>
      <c r="I1184" s="53" t="s">
        <v>4049</v>
      </c>
      <c r="J1184" s="55"/>
      <c r="K1184" s="55"/>
      <c r="L1184" s="79"/>
      <c r="M1184" s="56" t="str">
        <f>HYPERLINK("http://nsgreg.nga.mil/genc/view?v=868813&amp;end_month=12&amp;end_day=31&amp;end_year=2016","Correlation")</f>
        <v>Correlation</v>
      </c>
    </row>
    <row r="1185" spans="1:13" x14ac:dyDescent="0.2">
      <c r="A1185" s="113"/>
      <c r="B1185" s="58" t="s">
        <v>4050</v>
      </c>
      <c r="C1185" s="58" t="s">
        <v>1413</v>
      </c>
      <c r="D1185" s="58" t="s">
        <v>4051</v>
      </c>
      <c r="E1185" s="60" t="b">
        <v>1</v>
      </c>
      <c r="F1185" s="80" t="s">
        <v>556</v>
      </c>
      <c r="G1185" s="58" t="s">
        <v>4050</v>
      </c>
      <c r="H1185" s="58" t="s">
        <v>1413</v>
      </c>
      <c r="I1185" s="64" t="s">
        <v>4051</v>
      </c>
      <c r="J1185" s="66"/>
      <c r="K1185" s="66"/>
      <c r="L1185" s="68"/>
      <c r="M1185" s="63" t="str">
        <f>HYPERLINK("http://nsgreg.nga.mil/genc/view?v=868814&amp;end_month=12&amp;end_day=31&amp;end_year=2016","Correlation")</f>
        <v>Correlation</v>
      </c>
    </row>
    <row r="1186" spans="1:13" x14ac:dyDescent="0.2">
      <c r="A1186" s="113"/>
      <c r="B1186" s="58" t="s">
        <v>4052</v>
      </c>
      <c r="C1186" s="58" t="s">
        <v>1413</v>
      </c>
      <c r="D1186" s="58" t="s">
        <v>4053</v>
      </c>
      <c r="E1186" s="60" t="b">
        <v>1</v>
      </c>
      <c r="F1186" s="80" t="s">
        <v>556</v>
      </c>
      <c r="G1186" s="58" t="s">
        <v>4052</v>
      </c>
      <c r="H1186" s="58" t="s">
        <v>1413</v>
      </c>
      <c r="I1186" s="64" t="s">
        <v>4053</v>
      </c>
      <c r="J1186" s="66"/>
      <c r="K1186" s="66"/>
      <c r="L1186" s="68"/>
      <c r="M1186" s="63" t="str">
        <f>HYPERLINK("http://nsgreg.nga.mil/genc/view?v=868815&amp;end_month=12&amp;end_day=31&amp;end_year=2016","Correlation")</f>
        <v>Correlation</v>
      </c>
    </row>
    <row r="1187" spans="1:13" x14ac:dyDescent="0.2">
      <c r="A1187" s="113"/>
      <c r="B1187" s="58" t="s">
        <v>2411</v>
      </c>
      <c r="C1187" s="58" t="s">
        <v>2048</v>
      </c>
      <c r="D1187" s="58" t="s">
        <v>4054</v>
      </c>
      <c r="E1187" s="60" t="b">
        <v>1</v>
      </c>
      <c r="F1187" s="80" t="s">
        <v>556</v>
      </c>
      <c r="G1187" s="58" t="s">
        <v>2411</v>
      </c>
      <c r="H1187" s="58" t="s">
        <v>2048</v>
      </c>
      <c r="I1187" s="64" t="s">
        <v>4054</v>
      </c>
      <c r="J1187" s="66"/>
      <c r="K1187" s="66"/>
      <c r="L1187" s="68"/>
      <c r="M1187" s="63" t="str">
        <f>HYPERLINK("http://nsgreg.nga.mil/genc/view?v=868827&amp;end_month=12&amp;end_day=31&amp;end_year=2016","Correlation")</f>
        <v>Correlation</v>
      </c>
    </row>
    <row r="1188" spans="1:13" x14ac:dyDescent="0.2">
      <c r="A1188" s="113"/>
      <c r="B1188" s="58" t="s">
        <v>4055</v>
      </c>
      <c r="C1188" s="58" t="s">
        <v>2048</v>
      </c>
      <c r="D1188" s="58" t="s">
        <v>4056</v>
      </c>
      <c r="E1188" s="60" t="b">
        <v>1</v>
      </c>
      <c r="F1188" s="80" t="s">
        <v>556</v>
      </c>
      <c r="G1188" s="58" t="s">
        <v>4055</v>
      </c>
      <c r="H1188" s="58" t="s">
        <v>2048</v>
      </c>
      <c r="I1188" s="64" t="s">
        <v>4056</v>
      </c>
      <c r="J1188" s="66"/>
      <c r="K1188" s="66"/>
      <c r="L1188" s="68"/>
      <c r="M1188" s="63" t="str">
        <f>HYPERLINK("http://nsgreg.nga.mil/genc/view?v=868828&amp;end_month=12&amp;end_day=31&amp;end_year=2016","Correlation")</f>
        <v>Correlation</v>
      </c>
    </row>
    <row r="1189" spans="1:13" x14ac:dyDescent="0.2">
      <c r="A1189" s="113"/>
      <c r="B1189" s="58" t="s">
        <v>4057</v>
      </c>
      <c r="C1189" s="58" t="s">
        <v>1413</v>
      </c>
      <c r="D1189" s="58" t="s">
        <v>4058</v>
      </c>
      <c r="E1189" s="60" t="b">
        <v>1</v>
      </c>
      <c r="F1189" s="80" t="s">
        <v>556</v>
      </c>
      <c r="G1189" s="58" t="s">
        <v>4057</v>
      </c>
      <c r="H1189" s="58" t="s">
        <v>1413</v>
      </c>
      <c r="I1189" s="64" t="s">
        <v>4058</v>
      </c>
      <c r="J1189" s="66"/>
      <c r="K1189" s="66"/>
      <c r="L1189" s="68"/>
      <c r="M1189" s="63" t="str">
        <f>HYPERLINK("http://nsgreg.nga.mil/genc/view?v=868816&amp;end_month=12&amp;end_day=31&amp;end_year=2016","Correlation")</f>
        <v>Correlation</v>
      </c>
    </row>
    <row r="1190" spans="1:13" x14ac:dyDescent="0.2">
      <c r="A1190" s="113"/>
      <c r="B1190" s="58" t="s">
        <v>4059</v>
      </c>
      <c r="C1190" s="58" t="s">
        <v>1413</v>
      </c>
      <c r="D1190" s="58" t="s">
        <v>4060</v>
      </c>
      <c r="E1190" s="60" t="b">
        <v>1</v>
      </c>
      <c r="F1190" s="80" t="s">
        <v>556</v>
      </c>
      <c r="G1190" s="58" t="s">
        <v>4059</v>
      </c>
      <c r="H1190" s="58" t="s">
        <v>1413</v>
      </c>
      <c r="I1190" s="64" t="s">
        <v>4060</v>
      </c>
      <c r="J1190" s="66"/>
      <c r="K1190" s="66"/>
      <c r="L1190" s="68"/>
      <c r="M1190" s="63" t="str">
        <f>HYPERLINK("http://nsgreg.nga.mil/genc/view?v=868817&amp;end_month=12&amp;end_day=31&amp;end_year=2016","Correlation")</f>
        <v>Correlation</v>
      </c>
    </row>
    <row r="1191" spans="1:13" x14ac:dyDescent="0.2">
      <c r="A1191" s="113"/>
      <c r="B1191" s="58" t="s">
        <v>4061</v>
      </c>
      <c r="C1191" s="58" t="s">
        <v>1413</v>
      </c>
      <c r="D1191" s="58" t="s">
        <v>4062</v>
      </c>
      <c r="E1191" s="60" t="b">
        <v>1</v>
      </c>
      <c r="F1191" s="80" t="s">
        <v>556</v>
      </c>
      <c r="G1191" s="58" t="s">
        <v>4061</v>
      </c>
      <c r="H1191" s="58" t="s">
        <v>1413</v>
      </c>
      <c r="I1191" s="64" t="s">
        <v>4062</v>
      </c>
      <c r="J1191" s="66"/>
      <c r="K1191" s="66"/>
      <c r="L1191" s="68"/>
      <c r="M1191" s="63" t="str">
        <f>HYPERLINK("http://nsgreg.nga.mil/genc/view?v=868818&amp;end_month=12&amp;end_day=31&amp;end_year=2016","Correlation")</f>
        <v>Correlation</v>
      </c>
    </row>
    <row r="1192" spans="1:13" x14ac:dyDescent="0.2">
      <c r="A1192" s="113"/>
      <c r="B1192" s="58" t="s">
        <v>4063</v>
      </c>
      <c r="C1192" s="58" t="s">
        <v>1413</v>
      </c>
      <c r="D1192" s="58" t="s">
        <v>4064</v>
      </c>
      <c r="E1192" s="60" t="b">
        <v>1</v>
      </c>
      <c r="F1192" s="80" t="s">
        <v>556</v>
      </c>
      <c r="G1192" s="58" t="s">
        <v>4063</v>
      </c>
      <c r="H1192" s="58" t="s">
        <v>1413</v>
      </c>
      <c r="I1192" s="64" t="s">
        <v>4064</v>
      </c>
      <c r="J1192" s="66"/>
      <c r="K1192" s="66"/>
      <c r="L1192" s="68"/>
      <c r="M1192" s="63" t="str">
        <f>HYPERLINK("http://nsgreg.nga.mil/genc/view?v=868819&amp;end_month=12&amp;end_day=31&amp;end_year=2016","Correlation")</f>
        <v>Correlation</v>
      </c>
    </row>
    <row r="1193" spans="1:13" x14ac:dyDescent="0.2">
      <c r="A1193" s="113"/>
      <c r="B1193" s="58" t="s">
        <v>4065</v>
      </c>
      <c r="C1193" s="58" t="s">
        <v>1413</v>
      </c>
      <c r="D1193" s="58" t="s">
        <v>4066</v>
      </c>
      <c r="E1193" s="60" t="b">
        <v>1</v>
      </c>
      <c r="F1193" s="80" t="s">
        <v>556</v>
      </c>
      <c r="G1193" s="58" t="s">
        <v>4065</v>
      </c>
      <c r="H1193" s="58" t="s">
        <v>1413</v>
      </c>
      <c r="I1193" s="64" t="s">
        <v>4066</v>
      </c>
      <c r="J1193" s="66"/>
      <c r="K1193" s="66"/>
      <c r="L1193" s="68"/>
      <c r="M1193" s="63" t="str">
        <f>HYPERLINK("http://nsgreg.nga.mil/genc/view?v=868820&amp;end_month=12&amp;end_day=31&amp;end_year=2016","Correlation")</f>
        <v>Correlation</v>
      </c>
    </row>
    <row r="1194" spans="1:13" x14ac:dyDescent="0.2">
      <c r="A1194" s="113"/>
      <c r="B1194" s="58" t="s">
        <v>4067</v>
      </c>
      <c r="C1194" s="58" t="s">
        <v>1413</v>
      </c>
      <c r="D1194" s="58" t="s">
        <v>4068</v>
      </c>
      <c r="E1194" s="60" t="b">
        <v>1</v>
      </c>
      <c r="F1194" s="80" t="s">
        <v>556</v>
      </c>
      <c r="G1194" s="58" t="s">
        <v>4067</v>
      </c>
      <c r="H1194" s="58" t="s">
        <v>1413</v>
      </c>
      <c r="I1194" s="64" t="s">
        <v>4068</v>
      </c>
      <c r="J1194" s="66"/>
      <c r="K1194" s="66"/>
      <c r="L1194" s="68"/>
      <c r="M1194" s="63" t="str">
        <f>HYPERLINK("http://nsgreg.nga.mil/genc/view?v=868821&amp;end_month=12&amp;end_day=31&amp;end_year=2016","Correlation")</f>
        <v>Correlation</v>
      </c>
    </row>
    <row r="1195" spans="1:13" x14ac:dyDescent="0.2">
      <c r="A1195" s="113"/>
      <c r="B1195" s="58" t="s">
        <v>4069</v>
      </c>
      <c r="C1195" s="58" t="s">
        <v>1413</v>
      </c>
      <c r="D1195" s="58" t="s">
        <v>4070</v>
      </c>
      <c r="E1195" s="60" t="b">
        <v>1</v>
      </c>
      <c r="F1195" s="80" t="s">
        <v>556</v>
      </c>
      <c r="G1195" s="58" t="s">
        <v>4069</v>
      </c>
      <c r="H1195" s="58" t="s">
        <v>1413</v>
      </c>
      <c r="I1195" s="64" t="s">
        <v>4070</v>
      </c>
      <c r="J1195" s="66"/>
      <c r="K1195" s="66"/>
      <c r="L1195" s="68"/>
      <c r="M1195" s="63" t="str">
        <f>HYPERLINK("http://nsgreg.nga.mil/genc/view?v=868822&amp;end_month=12&amp;end_day=31&amp;end_year=2016","Correlation")</f>
        <v>Correlation</v>
      </c>
    </row>
    <row r="1196" spans="1:13" x14ac:dyDescent="0.2">
      <c r="A1196" s="113"/>
      <c r="B1196" s="58" t="s">
        <v>4071</v>
      </c>
      <c r="C1196" s="58" t="s">
        <v>2048</v>
      </c>
      <c r="D1196" s="58" t="s">
        <v>4072</v>
      </c>
      <c r="E1196" s="60" t="b">
        <v>1</v>
      </c>
      <c r="F1196" s="80" t="s">
        <v>556</v>
      </c>
      <c r="G1196" s="58" t="s">
        <v>4071</v>
      </c>
      <c r="H1196" s="58" t="s">
        <v>2048</v>
      </c>
      <c r="I1196" s="64" t="s">
        <v>4072</v>
      </c>
      <c r="J1196" s="66"/>
      <c r="K1196" s="66"/>
      <c r="L1196" s="68"/>
      <c r="M1196" s="63" t="str">
        <f>HYPERLINK("http://nsgreg.nga.mil/genc/view?v=868829&amp;end_month=12&amp;end_day=31&amp;end_year=2016","Correlation")</f>
        <v>Correlation</v>
      </c>
    </row>
    <row r="1197" spans="1:13" x14ac:dyDescent="0.2">
      <c r="A1197" s="113"/>
      <c r="B1197" s="58" t="s">
        <v>4073</v>
      </c>
      <c r="C1197" s="58" t="s">
        <v>1413</v>
      </c>
      <c r="D1197" s="58" t="s">
        <v>4074</v>
      </c>
      <c r="E1197" s="60" t="b">
        <v>1</v>
      </c>
      <c r="F1197" s="80" t="s">
        <v>556</v>
      </c>
      <c r="G1197" s="58" t="s">
        <v>4073</v>
      </c>
      <c r="H1197" s="58" t="s">
        <v>1413</v>
      </c>
      <c r="I1197" s="64" t="s">
        <v>4074</v>
      </c>
      <c r="J1197" s="66"/>
      <c r="K1197" s="66"/>
      <c r="L1197" s="68"/>
      <c r="M1197" s="63" t="str">
        <f>HYPERLINK("http://nsgreg.nga.mil/genc/view?v=868823&amp;end_month=12&amp;end_day=31&amp;end_year=2016","Correlation")</f>
        <v>Correlation</v>
      </c>
    </row>
    <row r="1198" spans="1:13" x14ac:dyDescent="0.2">
      <c r="A1198" s="113"/>
      <c r="B1198" s="58" t="s">
        <v>4075</v>
      </c>
      <c r="C1198" s="58" t="s">
        <v>1413</v>
      </c>
      <c r="D1198" s="58" t="s">
        <v>4076</v>
      </c>
      <c r="E1198" s="60" t="b">
        <v>1</v>
      </c>
      <c r="F1198" s="80" t="s">
        <v>556</v>
      </c>
      <c r="G1198" s="58" t="s">
        <v>4075</v>
      </c>
      <c r="H1198" s="58" t="s">
        <v>1413</v>
      </c>
      <c r="I1198" s="64" t="s">
        <v>4076</v>
      </c>
      <c r="J1198" s="66"/>
      <c r="K1198" s="66"/>
      <c r="L1198" s="68"/>
      <c r="M1198" s="63" t="str">
        <f>HYPERLINK("http://nsgreg.nga.mil/genc/view?v=868824&amp;end_month=12&amp;end_day=31&amp;end_year=2016","Correlation")</f>
        <v>Correlation</v>
      </c>
    </row>
    <row r="1199" spans="1:13" x14ac:dyDescent="0.2">
      <c r="A1199" s="113"/>
      <c r="B1199" s="58" t="s">
        <v>4077</v>
      </c>
      <c r="C1199" s="58" t="s">
        <v>1659</v>
      </c>
      <c r="D1199" s="58" t="s">
        <v>4078</v>
      </c>
      <c r="E1199" s="60" t="b">
        <v>1</v>
      </c>
      <c r="F1199" s="80" t="s">
        <v>556</v>
      </c>
      <c r="G1199" s="58" t="s">
        <v>4077</v>
      </c>
      <c r="H1199" s="58" t="s">
        <v>1659</v>
      </c>
      <c r="I1199" s="64" t="s">
        <v>4078</v>
      </c>
      <c r="J1199" s="66"/>
      <c r="K1199" s="66"/>
      <c r="L1199" s="68"/>
      <c r="M1199" s="63" t="str">
        <f>HYPERLINK("http://nsgreg.nga.mil/genc/view?v=868830&amp;end_month=12&amp;end_day=31&amp;end_year=2016","Correlation")</f>
        <v>Correlation</v>
      </c>
    </row>
    <row r="1200" spans="1:13" x14ac:dyDescent="0.2">
      <c r="A1200" s="113"/>
      <c r="B1200" s="58" t="s">
        <v>4079</v>
      </c>
      <c r="C1200" s="58" t="s">
        <v>1413</v>
      </c>
      <c r="D1200" s="58" t="s">
        <v>4080</v>
      </c>
      <c r="E1200" s="60" t="b">
        <v>1</v>
      </c>
      <c r="F1200" s="80" t="s">
        <v>556</v>
      </c>
      <c r="G1200" s="58" t="s">
        <v>4079</v>
      </c>
      <c r="H1200" s="58" t="s">
        <v>1413</v>
      </c>
      <c r="I1200" s="64" t="s">
        <v>4080</v>
      </c>
      <c r="J1200" s="66"/>
      <c r="K1200" s="66"/>
      <c r="L1200" s="68"/>
      <c r="M1200" s="63" t="str">
        <f>HYPERLINK("http://nsgreg.nga.mil/genc/view?v=868825&amp;end_month=12&amp;end_day=31&amp;end_year=2016","Correlation")</f>
        <v>Correlation</v>
      </c>
    </row>
    <row r="1201" spans="1:13" x14ac:dyDescent="0.2">
      <c r="A1201" s="113"/>
      <c r="B1201" s="58" t="s">
        <v>4081</v>
      </c>
      <c r="C1201" s="58" t="s">
        <v>1413</v>
      </c>
      <c r="D1201" s="58" t="s">
        <v>4082</v>
      </c>
      <c r="E1201" s="60" t="b">
        <v>1</v>
      </c>
      <c r="F1201" s="80" t="s">
        <v>556</v>
      </c>
      <c r="G1201" s="58" t="s">
        <v>4081</v>
      </c>
      <c r="H1201" s="58" t="s">
        <v>1413</v>
      </c>
      <c r="I1201" s="64" t="s">
        <v>4082</v>
      </c>
      <c r="J1201" s="66"/>
      <c r="K1201" s="66"/>
      <c r="L1201" s="68"/>
      <c r="M1201" s="63" t="str">
        <f>HYPERLINK("http://nsgreg.nga.mil/genc/view?v=868826&amp;end_month=12&amp;end_day=31&amp;end_year=2016","Correlation")</f>
        <v>Correlation</v>
      </c>
    </row>
    <row r="1202" spans="1:13" x14ac:dyDescent="0.2">
      <c r="A1202" s="114"/>
      <c r="B1202" s="71" t="s">
        <v>4083</v>
      </c>
      <c r="C1202" s="71" t="s">
        <v>2048</v>
      </c>
      <c r="D1202" s="71" t="s">
        <v>4084</v>
      </c>
      <c r="E1202" s="73" t="b">
        <v>1</v>
      </c>
      <c r="F1202" s="81" t="s">
        <v>556</v>
      </c>
      <c r="G1202" s="71" t="s">
        <v>4083</v>
      </c>
      <c r="H1202" s="71" t="s">
        <v>2048</v>
      </c>
      <c r="I1202" s="74" t="s">
        <v>4084</v>
      </c>
      <c r="J1202" s="76"/>
      <c r="K1202" s="76"/>
      <c r="L1202" s="82"/>
      <c r="M1202" s="77" t="str">
        <f>HYPERLINK("http://nsgreg.nga.mil/genc/view?v=868831&amp;end_month=12&amp;end_day=31&amp;end_year=2016","Correlation")</f>
        <v>Correlation</v>
      </c>
    </row>
    <row r="1203" spans="1:13" x14ac:dyDescent="0.2">
      <c r="A1203" s="112" t="s">
        <v>560</v>
      </c>
      <c r="B1203" s="50" t="s">
        <v>4087</v>
      </c>
      <c r="C1203" s="50" t="s">
        <v>1728</v>
      </c>
      <c r="D1203" s="50" t="s">
        <v>4086</v>
      </c>
      <c r="E1203" s="52" t="b">
        <v>1</v>
      </c>
      <c r="F1203" s="78" t="s">
        <v>560</v>
      </c>
      <c r="G1203" s="50" t="s">
        <v>4085</v>
      </c>
      <c r="H1203" s="50" t="s">
        <v>1728</v>
      </c>
      <c r="I1203" s="53" t="s">
        <v>4086</v>
      </c>
      <c r="J1203" s="55"/>
      <c r="K1203" s="55"/>
      <c r="L1203" s="79"/>
      <c r="M1203" s="56" t="str">
        <f>HYPERLINK("http://nsgreg.nga.mil/genc/view?v=868794&amp;end_month=12&amp;end_day=31&amp;end_year=2016","Correlation")</f>
        <v>Correlation</v>
      </c>
    </row>
    <row r="1204" spans="1:13" x14ac:dyDescent="0.2">
      <c r="A1204" s="113"/>
      <c r="B1204" s="58" t="s">
        <v>4088</v>
      </c>
      <c r="C1204" s="58" t="s">
        <v>1728</v>
      </c>
      <c r="D1204" s="58" t="s">
        <v>4089</v>
      </c>
      <c r="E1204" s="60" t="b">
        <v>1</v>
      </c>
      <c r="F1204" s="80" t="s">
        <v>560</v>
      </c>
      <c r="G1204" s="58" t="s">
        <v>4088</v>
      </c>
      <c r="H1204" s="58" t="s">
        <v>1728</v>
      </c>
      <c r="I1204" s="64" t="s">
        <v>4089</v>
      </c>
      <c r="J1204" s="66"/>
      <c r="K1204" s="66"/>
      <c r="L1204" s="68"/>
      <c r="M1204" s="63" t="str">
        <f>HYPERLINK("http://nsgreg.nga.mil/genc/view?v=868795&amp;end_month=12&amp;end_day=31&amp;end_year=2016","Correlation")</f>
        <v>Correlation</v>
      </c>
    </row>
    <row r="1205" spans="1:13" x14ac:dyDescent="0.2">
      <c r="A1205" s="113"/>
      <c r="B1205" s="58" t="s">
        <v>4090</v>
      </c>
      <c r="C1205" s="58" t="s">
        <v>1728</v>
      </c>
      <c r="D1205" s="58" t="s">
        <v>4091</v>
      </c>
      <c r="E1205" s="60" t="b">
        <v>1</v>
      </c>
      <c r="F1205" s="80" t="s">
        <v>560</v>
      </c>
      <c r="G1205" s="58" t="s">
        <v>4090</v>
      </c>
      <c r="H1205" s="58" t="s">
        <v>1728</v>
      </c>
      <c r="I1205" s="64" t="s">
        <v>4091</v>
      </c>
      <c r="J1205" s="66"/>
      <c r="K1205" s="66"/>
      <c r="L1205" s="68"/>
      <c r="M1205" s="63" t="str">
        <f>HYPERLINK("http://nsgreg.nga.mil/genc/view?v=868796&amp;end_month=12&amp;end_day=31&amp;end_year=2016","Correlation")</f>
        <v>Correlation</v>
      </c>
    </row>
    <row r="1206" spans="1:13" x14ac:dyDescent="0.2">
      <c r="A1206" s="113"/>
      <c r="B1206" s="58" t="s">
        <v>4092</v>
      </c>
      <c r="C1206" s="58" t="s">
        <v>1728</v>
      </c>
      <c r="D1206" s="58" t="s">
        <v>4093</v>
      </c>
      <c r="E1206" s="60" t="b">
        <v>1</v>
      </c>
      <c r="F1206" s="80" t="s">
        <v>560</v>
      </c>
      <c r="G1206" s="58" t="s">
        <v>4092</v>
      </c>
      <c r="H1206" s="58" t="s">
        <v>1728</v>
      </c>
      <c r="I1206" s="64" t="s">
        <v>4093</v>
      </c>
      <c r="J1206" s="66"/>
      <c r="K1206" s="66"/>
      <c r="L1206" s="68"/>
      <c r="M1206" s="63" t="str">
        <f>HYPERLINK("http://nsgreg.nga.mil/genc/view?v=868797&amp;end_month=12&amp;end_day=31&amp;end_year=2016","Correlation")</f>
        <v>Correlation</v>
      </c>
    </row>
    <row r="1207" spans="1:13" x14ac:dyDescent="0.2">
      <c r="A1207" s="113"/>
      <c r="B1207" s="58" t="s">
        <v>4094</v>
      </c>
      <c r="C1207" s="58" t="s">
        <v>1728</v>
      </c>
      <c r="D1207" s="58" t="s">
        <v>4095</v>
      </c>
      <c r="E1207" s="60" t="b">
        <v>1</v>
      </c>
      <c r="F1207" s="80" t="s">
        <v>560</v>
      </c>
      <c r="G1207" s="58" t="s">
        <v>4094</v>
      </c>
      <c r="H1207" s="58" t="s">
        <v>1728</v>
      </c>
      <c r="I1207" s="64" t="s">
        <v>4095</v>
      </c>
      <c r="J1207" s="66"/>
      <c r="K1207" s="66"/>
      <c r="L1207" s="68"/>
      <c r="M1207" s="63" t="str">
        <f>HYPERLINK("http://nsgreg.nga.mil/genc/view?v=868798&amp;end_month=12&amp;end_day=31&amp;end_year=2016","Correlation")</f>
        <v>Correlation</v>
      </c>
    </row>
    <row r="1208" spans="1:13" x14ac:dyDescent="0.2">
      <c r="A1208" s="113"/>
      <c r="B1208" s="58" t="s">
        <v>4096</v>
      </c>
      <c r="C1208" s="58" t="s">
        <v>1728</v>
      </c>
      <c r="D1208" s="58" t="s">
        <v>4097</v>
      </c>
      <c r="E1208" s="60" t="b">
        <v>1</v>
      </c>
      <c r="F1208" s="80" t="s">
        <v>560</v>
      </c>
      <c r="G1208" s="58" t="s">
        <v>4096</v>
      </c>
      <c r="H1208" s="58" t="s">
        <v>1728</v>
      </c>
      <c r="I1208" s="64" t="s">
        <v>4097</v>
      </c>
      <c r="J1208" s="66"/>
      <c r="K1208" s="66"/>
      <c r="L1208" s="68"/>
      <c r="M1208" s="63" t="str">
        <f>HYPERLINK("http://nsgreg.nga.mil/genc/view?v=868799&amp;end_month=12&amp;end_day=31&amp;end_year=2016","Correlation")</f>
        <v>Correlation</v>
      </c>
    </row>
    <row r="1209" spans="1:13" x14ac:dyDescent="0.2">
      <c r="A1209" s="113"/>
      <c r="B1209" s="58" t="s">
        <v>4098</v>
      </c>
      <c r="C1209" s="58" t="s">
        <v>1728</v>
      </c>
      <c r="D1209" s="58" t="s">
        <v>4099</v>
      </c>
      <c r="E1209" s="60" t="b">
        <v>1</v>
      </c>
      <c r="F1209" s="80" t="s">
        <v>560</v>
      </c>
      <c r="G1209" s="58" t="s">
        <v>4098</v>
      </c>
      <c r="H1209" s="58" t="s">
        <v>1728</v>
      </c>
      <c r="I1209" s="64" t="s">
        <v>4099</v>
      </c>
      <c r="J1209" s="66"/>
      <c r="K1209" s="66"/>
      <c r="L1209" s="68"/>
      <c r="M1209" s="63" t="str">
        <f>HYPERLINK("http://nsgreg.nga.mil/genc/view?v=868800&amp;end_month=12&amp;end_day=31&amp;end_year=2016","Correlation")</f>
        <v>Correlation</v>
      </c>
    </row>
    <row r="1210" spans="1:13" x14ac:dyDescent="0.2">
      <c r="A1210" s="113"/>
      <c r="B1210" s="58" t="s">
        <v>4100</v>
      </c>
      <c r="C1210" s="58" t="s">
        <v>1728</v>
      </c>
      <c r="D1210" s="58" t="s">
        <v>4101</v>
      </c>
      <c r="E1210" s="60" t="b">
        <v>1</v>
      </c>
      <c r="F1210" s="80" t="s">
        <v>560</v>
      </c>
      <c r="G1210" s="58" t="s">
        <v>4100</v>
      </c>
      <c r="H1210" s="58" t="s">
        <v>1728</v>
      </c>
      <c r="I1210" s="64" t="s">
        <v>4101</v>
      </c>
      <c r="J1210" s="66"/>
      <c r="K1210" s="66"/>
      <c r="L1210" s="68"/>
      <c r="M1210" s="63" t="str">
        <f>HYPERLINK("http://nsgreg.nga.mil/genc/view?v=868801&amp;end_month=12&amp;end_day=31&amp;end_year=2016","Correlation")</f>
        <v>Correlation</v>
      </c>
    </row>
    <row r="1211" spans="1:13" x14ac:dyDescent="0.2">
      <c r="A1211" s="113"/>
      <c r="B1211" s="58" t="s">
        <v>4102</v>
      </c>
      <c r="C1211" s="58" t="s">
        <v>1728</v>
      </c>
      <c r="D1211" s="58" t="s">
        <v>4103</v>
      </c>
      <c r="E1211" s="60" t="b">
        <v>1</v>
      </c>
      <c r="F1211" s="80" t="s">
        <v>560</v>
      </c>
      <c r="G1211" s="58" t="s">
        <v>4102</v>
      </c>
      <c r="H1211" s="58" t="s">
        <v>1728</v>
      </c>
      <c r="I1211" s="64" t="s">
        <v>4103</v>
      </c>
      <c r="J1211" s="66"/>
      <c r="K1211" s="66"/>
      <c r="L1211" s="68"/>
      <c r="M1211" s="63" t="str">
        <f>HYPERLINK("http://nsgreg.nga.mil/genc/view?v=868802&amp;end_month=12&amp;end_day=31&amp;end_year=2016","Correlation")</f>
        <v>Correlation</v>
      </c>
    </row>
    <row r="1212" spans="1:13" x14ac:dyDescent="0.2">
      <c r="A1212" s="113"/>
      <c r="B1212" s="58" t="s">
        <v>4104</v>
      </c>
      <c r="C1212" s="58" t="s">
        <v>1728</v>
      </c>
      <c r="D1212" s="58" t="s">
        <v>4105</v>
      </c>
      <c r="E1212" s="60" t="b">
        <v>1</v>
      </c>
      <c r="F1212" s="80" t="s">
        <v>560</v>
      </c>
      <c r="G1212" s="58" t="s">
        <v>4104</v>
      </c>
      <c r="H1212" s="58" t="s">
        <v>1728</v>
      </c>
      <c r="I1212" s="64" t="s">
        <v>4105</v>
      </c>
      <c r="J1212" s="66"/>
      <c r="K1212" s="66"/>
      <c r="L1212" s="68"/>
      <c r="M1212" s="63" t="str">
        <f>HYPERLINK("http://nsgreg.nga.mil/genc/view?v=868803&amp;end_month=12&amp;end_day=31&amp;end_year=2016","Correlation")</f>
        <v>Correlation</v>
      </c>
    </row>
    <row r="1213" spans="1:13" x14ac:dyDescent="0.2">
      <c r="A1213" s="113"/>
      <c r="B1213" s="58" t="s">
        <v>4106</v>
      </c>
      <c r="C1213" s="58" t="s">
        <v>1728</v>
      </c>
      <c r="D1213" s="58" t="s">
        <v>4107</v>
      </c>
      <c r="E1213" s="60" t="b">
        <v>1</v>
      </c>
      <c r="F1213" s="80" t="s">
        <v>560</v>
      </c>
      <c r="G1213" s="58" t="s">
        <v>4106</v>
      </c>
      <c r="H1213" s="58" t="s">
        <v>1728</v>
      </c>
      <c r="I1213" s="64" t="s">
        <v>4107</v>
      </c>
      <c r="J1213" s="66"/>
      <c r="K1213" s="66"/>
      <c r="L1213" s="68"/>
      <c r="M1213" s="63" t="str">
        <f>HYPERLINK("http://nsgreg.nga.mil/genc/view?v=868809&amp;end_month=12&amp;end_day=31&amp;end_year=2016","Correlation")</f>
        <v>Correlation</v>
      </c>
    </row>
    <row r="1214" spans="1:13" x14ac:dyDescent="0.2">
      <c r="A1214" s="113"/>
      <c r="B1214" s="58" t="s">
        <v>4108</v>
      </c>
      <c r="C1214" s="58" t="s">
        <v>1728</v>
      </c>
      <c r="D1214" s="58" t="s">
        <v>4109</v>
      </c>
      <c r="E1214" s="60" t="b">
        <v>1</v>
      </c>
      <c r="F1214" s="80" t="s">
        <v>560</v>
      </c>
      <c r="G1214" s="58" t="s">
        <v>4108</v>
      </c>
      <c r="H1214" s="58" t="s">
        <v>1728</v>
      </c>
      <c r="I1214" s="64" t="s">
        <v>4109</v>
      </c>
      <c r="J1214" s="66"/>
      <c r="K1214" s="66"/>
      <c r="L1214" s="68"/>
      <c r="M1214" s="63" t="str">
        <f>HYPERLINK("http://nsgreg.nga.mil/genc/view?v=868804&amp;end_month=12&amp;end_day=31&amp;end_year=2016","Correlation")</f>
        <v>Correlation</v>
      </c>
    </row>
    <row r="1215" spans="1:13" x14ac:dyDescent="0.2">
      <c r="A1215" s="113"/>
      <c r="B1215" s="58" t="s">
        <v>4110</v>
      </c>
      <c r="C1215" s="58" t="s">
        <v>1728</v>
      </c>
      <c r="D1215" s="58" t="s">
        <v>4111</v>
      </c>
      <c r="E1215" s="60" t="b">
        <v>1</v>
      </c>
      <c r="F1215" s="80" t="s">
        <v>560</v>
      </c>
      <c r="G1215" s="58" t="s">
        <v>4110</v>
      </c>
      <c r="H1215" s="58" t="s">
        <v>1728</v>
      </c>
      <c r="I1215" s="64" t="s">
        <v>4111</v>
      </c>
      <c r="J1215" s="66"/>
      <c r="K1215" s="66"/>
      <c r="L1215" s="68"/>
      <c r="M1215" s="63" t="str">
        <f>HYPERLINK("http://nsgreg.nga.mil/genc/view?v=868805&amp;end_month=12&amp;end_day=31&amp;end_year=2016","Correlation")</f>
        <v>Correlation</v>
      </c>
    </row>
    <row r="1216" spans="1:13" x14ac:dyDescent="0.2">
      <c r="A1216" s="113"/>
      <c r="B1216" s="58" t="s">
        <v>4112</v>
      </c>
      <c r="C1216" s="58" t="s">
        <v>1728</v>
      </c>
      <c r="D1216" s="58" t="s">
        <v>4113</v>
      </c>
      <c r="E1216" s="60" t="b">
        <v>1</v>
      </c>
      <c r="F1216" s="80" t="s">
        <v>560</v>
      </c>
      <c r="G1216" s="58" t="s">
        <v>4112</v>
      </c>
      <c r="H1216" s="58" t="s">
        <v>1728</v>
      </c>
      <c r="I1216" s="64" t="s">
        <v>4113</v>
      </c>
      <c r="J1216" s="66"/>
      <c r="K1216" s="66"/>
      <c r="L1216" s="68"/>
      <c r="M1216" s="63" t="str">
        <f>HYPERLINK("http://nsgreg.nga.mil/genc/view?v=868806&amp;end_month=12&amp;end_day=31&amp;end_year=2016","Correlation")</f>
        <v>Correlation</v>
      </c>
    </row>
    <row r="1217" spans="1:13" x14ac:dyDescent="0.2">
      <c r="A1217" s="113"/>
      <c r="B1217" s="58" t="s">
        <v>4114</v>
      </c>
      <c r="C1217" s="58" t="s">
        <v>1728</v>
      </c>
      <c r="D1217" s="58" t="s">
        <v>4115</v>
      </c>
      <c r="E1217" s="60" t="b">
        <v>1</v>
      </c>
      <c r="F1217" s="80" t="s">
        <v>560</v>
      </c>
      <c r="G1217" s="58" t="s">
        <v>4114</v>
      </c>
      <c r="H1217" s="58" t="s">
        <v>1728</v>
      </c>
      <c r="I1217" s="64" t="s">
        <v>4115</v>
      </c>
      <c r="J1217" s="66"/>
      <c r="K1217" s="66"/>
      <c r="L1217" s="68"/>
      <c r="M1217" s="63" t="str">
        <f>HYPERLINK("http://nsgreg.nga.mil/genc/view?v=868807&amp;end_month=12&amp;end_day=31&amp;end_year=2016","Correlation")</f>
        <v>Correlation</v>
      </c>
    </row>
    <row r="1218" spans="1:13" x14ac:dyDescent="0.2">
      <c r="A1218" s="113"/>
      <c r="B1218" s="58" t="s">
        <v>4116</v>
      </c>
      <c r="C1218" s="58" t="s">
        <v>1728</v>
      </c>
      <c r="D1218" s="58" t="s">
        <v>4117</v>
      </c>
      <c r="E1218" s="60" t="b">
        <v>1</v>
      </c>
      <c r="F1218" s="80" t="s">
        <v>560</v>
      </c>
      <c r="G1218" s="58" t="s">
        <v>4116</v>
      </c>
      <c r="H1218" s="58" t="s">
        <v>1728</v>
      </c>
      <c r="I1218" s="64" t="s">
        <v>4117</v>
      </c>
      <c r="J1218" s="66"/>
      <c r="K1218" s="66"/>
      <c r="L1218" s="68"/>
      <c r="M1218" s="63" t="str">
        <f>HYPERLINK("http://nsgreg.nga.mil/genc/view?v=868808&amp;end_month=12&amp;end_day=31&amp;end_year=2016","Correlation")</f>
        <v>Correlation</v>
      </c>
    </row>
    <row r="1219" spans="1:13" x14ac:dyDescent="0.2">
      <c r="A1219" s="113"/>
      <c r="B1219" s="58" t="s">
        <v>4118</v>
      </c>
      <c r="C1219" s="58" t="s">
        <v>1728</v>
      </c>
      <c r="D1219" s="58" t="s">
        <v>4119</v>
      </c>
      <c r="E1219" s="60" t="b">
        <v>1</v>
      </c>
      <c r="F1219" s="80" t="s">
        <v>560</v>
      </c>
      <c r="G1219" s="58" t="s">
        <v>4118</v>
      </c>
      <c r="H1219" s="58" t="s">
        <v>1728</v>
      </c>
      <c r="I1219" s="64" t="s">
        <v>4119</v>
      </c>
      <c r="J1219" s="66"/>
      <c r="K1219" s="66"/>
      <c r="L1219" s="68"/>
      <c r="M1219" s="63" t="str">
        <f>HYPERLINK("http://nsgreg.nga.mil/genc/view?v=868810&amp;end_month=12&amp;end_day=31&amp;end_year=2016","Correlation")</f>
        <v>Correlation</v>
      </c>
    </row>
    <row r="1220" spans="1:13" x14ac:dyDescent="0.2">
      <c r="A1220" s="113"/>
      <c r="B1220" s="58" t="s">
        <v>4120</v>
      </c>
      <c r="C1220" s="58" t="s">
        <v>1728</v>
      </c>
      <c r="D1220" s="58" t="s">
        <v>4121</v>
      </c>
      <c r="E1220" s="60" t="b">
        <v>1</v>
      </c>
      <c r="F1220" s="80" t="s">
        <v>560</v>
      </c>
      <c r="G1220" s="58" t="s">
        <v>4120</v>
      </c>
      <c r="H1220" s="58" t="s">
        <v>1728</v>
      </c>
      <c r="I1220" s="64" t="s">
        <v>4121</v>
      </c>
      <c r="J1220" s="66"/>
      <c r="K1220" s="66"/>
      <c r="L1220" s="68"/>
      <c r="M1220" s="63" t="str">
        <f>HYPERLINK("http://nsgreg.nga.mil/genc/view?v=868811&amp;end_month=12&amp;end_day=31&amp;end_year=2016","Correlation")</f>
        <v>Correlation</v>
      </c>
    </row>
    <row r="1221" spans="1:13" x14ac:dyDescent="0.2">
      <c r="A1221" s="114"/>
      <c r="B1221" s="71" t="s">
        <v>4122</v>
      </c>
      <c r="C1221" s="71" t="s">
        <v>1728</v>
      </c>
      <c r="D1221" s="71" t="s">
        <v>4123</v>
      </c>
      <c r="E1221" s="73" t="b">
        <v>1</v>
      </c>
      <c r="F1221" s="81" t="s">
        <v>560</v>
      </c>
      <c r="G1221" s="71" t="s">
        <v>4122</v>
      </c>
      <c r="H1221" s="71" t="s">
        <v>1728</v>
      </c>
      <c r="I1221" s="74" t="s">
        <v>4123</v>
      </c>
      <c r="J1221" s="76"/>
      <c r="K1221" s="76"/>
      <c r="L1221" s="82"/>
      <c r="M1221" s="77" t="str">
        <f>HYPERLINK("http://nsgreg.nga.mil/genc/view?v=868812&amp;end_month=12&amp;end_day=31&amp;end_year=2016","Correlation")</f>
        <v>Correlation</v>
      </c>
    </row>
    <row r="1222" spans="1:13" x14ac:dyDescent="0.2">
      <c r="A1222" s="112" t="s">
        <v>404</v>
      </c>
      <c r="B1222" s="50" t="s">
        <v>4124</v>
      </c>
      <c r="C1222" s="50" t="s">
        <v>4126</v>
      </c>
      <c r="D1222" s="50" t="s">
        <v>4125</v>
      </c>
      <c r="E1222" s="52" t="b">
        <v>1</v>
      </c>
      <c r="F1222" s="78" t="s">
        <v>404</v>
      </c>
      <c r="G1222" s="50" t="s">
        <v>4124</v>
      </c>
      <c r="H1222" s="50" t="s">
        <v>2294</v>
      </c>
      <c r="I1222" s="53" t="s">
        <v>4125</v>
      </c>
      <c r="J1222" s="55"/>
      <c r="K1222" s="55"/>
      <c r="L1222" s="79"/>
      <c r="M1222" s="56" t="str">
        <f>HYPERLINK("http://nsgreg.nga.mil/genc/view?v=868836&amp;end_month=12&amp;end_day=31&amp;end_year=2016","Correlation")</f>
        <v>Correlation</v>
      </c>
    </row>
    <row r="1223" spans="1:13" x14ac:dyDescent="0.2">
      <c r="A1223" s="113"/>
      <c r="B1223" s="58" t="s">
        <v>4127</v>
      </c>
      <c r="C1223" s="58" t="s">
        <v>4126</v>
      </c>
      <c r="D1223" s="58" t="s">
        <v>4128</v>
      </c>
      <c r="E1223" s="60" t="b">
        <v>1</v>
      </c>
      <c r="F1223" s="80" t="s">
        <v>404</v>
      </c>
      <c r="G1223" s="58" t="s">
        <v>4127</v>
      </c>
      <c r="H1223" s="58" t="s">
        <v>2294</v>
      </c>
      <c r="I1223" s="64" t="s">
        <v>4128</v>
      </c>
      <c r="J1223" s="66"/>
      <c r="K1223" s="66"/>
      <c r="L1223" s="68"/>
      <c r="M1223" s="63" t="str">
        <f>HYPERLINK("http://nsgreg.nga.mil/genc/view?v=868837&amp;end_month=12&amp;end_day=31&amp;end_year=2016","Correlation")</f>
        <v>Correlation</v>
      </c>
    </row>
    <row r="1224" spans="1:13" x14ac:dyDescent="0.2">
      <c r="A1224" s="113"/>
      <c r="B1224" s="58" t="s">
        <v>4129</v>
      </c>
      <c r="C1224" s="58" t="s">
        <v>4126</v>
      </c>
      <c r="D1224" s="58" t="s">
        <v>4130</v>
      </c>
      <c r="E1224" s="60" t="b">
        <v>1</v>
      </c>
      <c r="F1224" s="80" t="s">
        <v>404</v>
      </c>
      <c r="G1224" s="58" t="s">
        <v>4129</v>
      </c>
      <c r="H1224" s="58" t="s">
        <v>2294</v>
      </c>
      <c r="I1224" s="64" t="s">
        <v>4130</v>
      </c>
      <c r="J1224" s="66"/>
      <c r="K1224" s="66"/>
      <c r="L1224" s="68"/>
      <c r="M1224" s="63" t="str">
        <f>HYPERLINK("http://nsgreg.nga.mil/genc/view?v=868838&amp;end_month=12&amp;end_day=31&amp;end_year=2016","Correlation")</f>
        <v>Correlation</v>
      </c>
    </row>
    <row r="1225" spans="1:13" x14ac:dyDescent="0.2">
      <c r="A1225" s="113"/>
      <c r="B1225" s="58" t="s">
        <v>4131</v>
      </c>
      <c r="C1225" s="58" t="s">
        <v>4126</v>
      </c>
      <c r="D1225" s="58" t="s">
        <v>4132</v>
      </c>
      <c r="E1225" s="60" t="b">
        <v>1</v>
      </c>
      <c r="F1225" s="80" t="s">
        <v>404</v>
      </c>
      <c r="G1225" s="58" t="s">
        <v>4131</v>
      </c>
      <c r="H1225" s="58" t="s">
        <v>2294</v>
      </c>
      <c r="I1225" s="64" t="s">
        <v>4132</v>
      </c>
      <c r="J1225" s="66"/>
      <c r="K1225" s="66"/>
      <c r="L1225" s="68"/>
      <c r="M1225" s="63" t="str">
        <f>HYPERLINK("http://nsgreg.nga.mil/genc/view?v=868839&amp;end_month=12&amp;end_day=31&amp;end_year=2016","Correlation")</f>
        <v>Correlation</v>
      </c>
    </row>
    <row r="1226" spans="1:13" x14ac:dyDescent="0.2">
      <c r="A1226" s="113"/>
      <c r="B1226" s="58" t="s">
        <v>4133</v>
      </c>
      <c r="C1226" s="58" t="s">
        <v>4126</v>
      </c>
      <c r="D1226" s="58" t="s">
        <v>4134</v>
      </c>
      <c r="E1226" s="60" t="b">
        <v>1</v>
      </c>
      <c r="F1226" s="80" t="s">
        <v>404</v>
      </c>
      <c r="G1226" s="58" t="s">
        <v>4133</v>
      </c>
      <c r="H1226" s="58" t="s">
        <v>2294</v>
      </c>
      <c r="I1226" s="64" t="s">
        <v>4134</v>
      </c>
      <c r="J1226" s="66"/>
      <c r="K1226" s="66"/>
      <c r="L1226" s="68"/>
      <c r="M1226" s="63" t="str">
        <f>HYPERLINK("http://nsgreg.nga.mil/genc/view?v=868841&amp;end_month=12&amp;end_day=31&amp;end_year=2016","Correlation")</f>
        <v>Correlation</v>
      </c>
    </row>
    <row r="1227" spans="1:13" x14ac:dyDescent="0.2">
      <c r="A1227" s="113"/>
      <c r="B1227" s="58" t="s">
        <v>4135</v>
      </c>
      <c r="C1227" s="58" t="s">
        <v>4126</v>
      </c>
      <c r="D1227" s="58" t="s">
        <v>4136</v>
      </c>
      <c r="E1227" s="60" t="b">
        <v>1</v>
      </c>
      <c r="F1227" s="80" t="s">
        <v>404</v>
      </c>
      <c r="G1227" s="58" t="s">
        <v>4135</v>
      </c>
      <c r="H1227" s="58" t="s">
        <v>2294</v>
      </c>
      <c r="I1227" s="64" t="s">
        <v>4136</v>
      </c>
      <c r="J1227" s="66"/>
      <c r="K1227" s="66"/>
      <c r="L1227" s="68"/>
      <c r="M1227" s="63" t="str">
        <f>HYPERLINK("http://nsgreg.nga.mil/genc/view?v=868842&amp;end_month=12&amp;end_day=31&amp;end_year=2016","Correlation")</f>
        <v>Correlation</v>
      </c>
    </row>
    <row r="1228" spans="1:13" x14ac:dyDescent="0.2">
      <c r="A1228" s="113"/>
      <c r="B1228" s="58" t="s">
        <v>4137</v>
      </c>
      <c r="C1228" s="58" t="s">
        <v>4126</v>
      </c>
      <c r="D1228" s="58" t="s">
        <v>4138</v>
      </c>
      <c r="E1228" s="60" t="b">
        <v>1</v>
      </c>
      <c r="F1228" s="80" t="s">
        <v>404</v>
      </c>
      <c r="G1228" s="58" t="s">
        <v>4137</v>
      </c>
      <c r="H1228" s="58" t="s">
        <v>2294</v>
      </c>
      <c r="I1228" s="64" t="s">
        <v>4138</v>
      </c>
      <c r="J1228" s="66"/>
      <c r="K1228" s="66"/>
      <c r="L1228" s="68"/>
      <c r="M1228" s="63" t="str">
        <f>HYPERLINK("http://nsgreg.nga.mil/genc/view?v=868843&amp;end_month=12&amp;end_day=31&amp;end_year=2016","Correlation")</f>
        <v>Correlation</v>
      </c>
    </row>
    <row r="1229" spans="1:13" x14ac:dyDescent="0.2">
      <c r="A1229" s="113"/>
      <c r="B1229" s="58" t="s">
        <v>4139</v>
      </c>
      <c r="C1229" s="58" t="s">
        <v>4126</v>
      </c>
      <c r="D1229" s="58" t="s">
        <v>4140</v>
      </c>
      <c r="E1229" s="60" t="b">
        <v>1</v>
      </c>
      <c r="F1229" s="80" t="s">
        <v>404</v>
      </c>
      <c r="G1229" s="58" t="s">
        <v>4139</v>
      </c>
      <c r="H1229" s="58" t="s">
        <v>2294</v>
      </c>
      <c r="I1229" s="64" t="s">
        <v>4140</v>
      </c>
      <c r="J1229" s="66"/>
      <c r="K1229" s="66"/>
      <c r="L1229" s="68"/>
      <c r="M1229" s="63" t="str">
        <f>HYPERLINK("http://nsgreg.nga.mil/genc/view?v=868844&amp;end_month=12&amp;end_day=31&amp;end_year=2016","Correlation")</f>
        <v>Correlation</v>
      </c>
    </row>
    <row r="1230" spans="1:13" x14ac:dyDescent="0.2">
      <c r="A1230" s="113"/>
      <c r="B1230" s="58" t="s">
        <v>4141</v>
      </c>
      <c r="C1230" s="58" t="s">
        <v>4126</v>
      </c>
      <c r="D1230" s="58" t="s">
        <v>4142</v>
      </c>
      <c r="E1230" s="60" t="b">
        <v>1</v>
      </c>
      <c r="F1230" s="80" t="s">
        <v>404</v>
      </c>
      <c r="G1230" s="58" t="s">
        <v>4141</v>
      </c>
      <c r="H1230" s="58" t="s">
        <v>2294</v>
      </c>
      <c r="I1230" s="64" t="s">
        <v>4142</v>
      </c>
      <c r="J1230" s="66"/>
      <c r="K1230" s="66"/>
      <c r="L1230" s="68"/>
      <c r="M1230" s="63" t="str">
        <f>HYPERLINK("http://nsgreg.nga.mil/genc/view?v=868845&amp;end_month=12&amp;end_day=31&amp;end_year=2016","Correlation")</f>
        <v>Correlation</v>
      </c>
    </row>
    <row r="1231" spans="1:13" x14ac:dyDescent="0.2">
      <c r="A1231" s="113"/>
      <c r="B1231" s="58" t="s">
        <v>4143</v>
      </c>
      <c r="C1231" s="58" t="s">
        <v>4126</v>
      </c>
      <c r="D1231" s="58" t="s">
        <v>4144</v>
      </c>
      <c r="E1231" s="60" t="b">
        <v>1</v>
      </c>
      <c r="F1231" s="80" t="s">
        <v>404</v>
      </c>
      <c r="G1231" s="58" t="s">
        <v>4143</v>
      </c>
      <c r="H1231" s="58" t="s">
        <v>2294</v>
      </c>
      <c r="I1231" s="64" t="s">
        <v>4144</v>
      </c>
      <c r="J1231" s="66"/>
      <c r="K1231" s="66"/>
      <c r="L1231" s="68"/>
      <c r="M1231" s="63" t="str">
        <f>HYPERLINK("http://nsgreg.nga.mil/genc/view?v=868846&amp;end_month=12&amp;end_day=31&amp;end_year=2016","Correlation")</f>
        <v>Correlation</v>
      </c>
    </row>
    <row r="1232" spans="1:13" x14ac:dyDescent="0.2">
      <c r="A1232" s="113"/>
      <c r="B1232" s="58" t="s">
        <v>4145</v>
      </c>
      <c r="C1232" s="58" t="s">
        <v>4147</v>
      </c>
      <c r="D1232" s="58" t="s">
        <v>4146</v>
      </c>
      <c r="E1232" s="60" t="b">
        <v>1</v>
      </c>
      <c r="F1232" s="80" t="s">
        <v>404</v>
      </c>
      <c r="G1232" s="58" t="s">
        <v>4145</v>
      </c>
      <c r="H1232" s="58" t="s">
        <v>1728</v>
      </c>
      <c r="I1232" s="64" t="s">
        <v>4146</v>
      </c>
      <c r="J1232" s="66"/>
      <c r="K1232" s="66"/>
      <c r="L1232" s="68"/>
      <c r="M1232" s="63" t="str">
        <f>HYPERLINK("http://nsgreg.nga.mil/genc/view?v=868950&amp;end_month=12&amp;end_day=31&amp;end_year=2016","Correlation")</f>
        <v>Correlation</v>
      </c>
    </row>
    <row r="1233" spans="1:13" x14ac:dyDescent="0.2">
      <c r="A1233" s="113"/>
      <c r="B1233" s="58" t="s">
        <v>4148</v>
      </c>
      <c r="C1233" s="58" t="s">
        <v>4126</v>
      </c>
      <c r="D1233" s="58" t="s">
        <v>4149</v>
      </c>
      <c r="E1233" s="60" t="b">
        <v>1</v>
      </c>
      <c r="F1233" s="80" t="s">
        <v>404</v>
      </c>
      <c r="G1233" s="58" t="s">
        <v>4148</v>
      </c>
      <c r="H1233" s="58" t="s">
        <v>2294</v>
      </c>
      <c r="I1233" s="64" t="s">
        <v>4149</v>
      </c>
      <c r="J1233" s="66"/>
      <c r="K1233" s="66"/>
      <c r="L1233" s="68"/>
      <c r="M1233" s="63" t="str">
        <f>HYPERLINK("http://nsgreg.nga.mil/genc/view?v=868847&amp;end_month=12&amp;end_day=31&amp;end_year=2016","Correlation")</f>
        <v>Correlation</v>
      </c>
    </row>
    <row r="1234" spans="1:13" x14ac:dyDescent="0.2">
      <c r="A1234" s="113"/>
      <c r="B1234" s="58" t="s">
        <v>4150</v>
      </c>
      <c r="C1234" s="58" t="s">
        <v>4126</v>
      </c>
      <c r="D1234" s="58" t="s">
        <v>4151</v>
      </c>
      <c r="E1234" s="60" t="b">
        <v>1</v>
      </c>
      <c r="F1234" s="80" t="s">
        <v>404</v>
      </c>
      <c r="G1234" s="58" t="s">
        <v>4150</v>
      </c>
      <c r="H1234" s="58" t="s">
        <v>2294</v>
      </c>
      <c r="I1234" s="64" t="s">
        <v>4151</v>
      </c>
      <c r="J1234" s="66"/>
      <c r="K1234" s="66"/>
      <c r="L1234" s="68"/>
      <c r="M1234" s="63" t="str">
        <f>HYPERLINK("http://nsgreg.nga.mil/genc/view?v=868903&amp;end_month=12&amp;end_day=31&amp;end_year=2016","Correlation")</f>
        <v>Correlation</v>
      </c>
    </row>
    <row r="1235" spans="1:13" x14ac:dyDescent="0.2">
      <c r="A1235" s="113"/>
      <c r="B1235" s="58" t="s">
        <v>4155</v>
      </c>
      <c r="C1235" s="58" t="s">
        <v>4126</v>
      </c>
      <c r="D1235" s="58" t="s">
        <v>4156</v>
      </c>
      <c r="E1235" s="60" t="b">
        <v>1</v>
      </c>
      <c r="F1235" s="80" t="s">
        <v>404</v>
      </c>
      <c r="G1235" s="58" t="s">
        <v>4155</v>
      </c>
      <c r="H1235" s="58" t="s">
        <v>2294</v>
      </c>
      <c r="I1235" s="64" t="s">
        <v>4156</v>
      </c>
      <c r="J1235" s="66"/>
      <c r="K1235" s="66"/>
      <c r="L1235" s="68"/>
      <c r="M1235" s="63" t="str">
        <f>HYPERLINK("http://nsgreg.nga.mil/genc/view?v=868848&amp;end_month=12&amp;end_day=31&amp;end_year=2016","Correlation")</f>
        <v>Correlation</v>
      </c>
    </row>
    <row r="1236" spans="1:13" x14ac:dyDescent="0.2">
      <c r="A1236" s="113"/>
      <c r="B1236" s="58" t="s">
        <v>4157</v>
      </c>
      <c r="C1236" s="58" t="s">
        <v>4147</v>
      </c>
      <c r="D1236" s="58" t="s">
        <v>4158</v>
      </c>
      <c r="E1236" s="60" t="b">
        <v>1</v>
      </c>
      <c r="F1236" s="80" t="s">
        <v>404</v>
      </c>
      <c r="G1236" s="58" t="s">
        <v>4157</v>
      </c>
      <c r="H1236" s="58" t="s">
        <v>1728</v>
      </c>
      <c r="I1236" s="64" t="s">
        <v>4158</v>
      </c>
      <c r="J1236" s="66"/>
      <c r="K1236" s="66"/>
      <c r="L1236" s="68"/>
      <c r="M1236" s="63" t="str">
        <f>HYPERLINK("http://nsgreg.nga.mil/genc/view?v=868951&amp;end_month=12&amp;end_day=31&amp;end_year=2016","Correlation")</f>
        <v>Correlation</v>
      </c>
    </row>
    <row r="1237" spans="1:13" x14ac:dyDescent="0.2">
      <c r="A1237" s="113"/>
      <c r="B1237" s="58" t="s">
        <v>4159</v>
      </c>
      <c r="C1237" s="58" t="s">
        <v>4147</v>
      </c>
      <c r="D1237" s="58" t="s">
        <v>4160</v>
      </c>
      <c r="E1237" s="60" t="b">
        <v>1</v>
      </c>
      <c r="F1237" s="80" t="s">
        <v>404</v>
      </c>
      <c r="G1237" s="58" t="s">
        <v>4159</v>
      </c>
      <c r="H1237" s="58" t="s">
        <v>1728</v>
      </c>
      <c r="I1237" s="64" t="s">
        <v>4160</v>
      </c>
      <c r="J1237" s="66"/>
      <c r="K1237" s="66"/>
      <c r="L1237" s="68"/>
      <c r="M1237" s="63" t="str">
        <f>HYPERLINK("http://nsgreg.nga.mil/genc/view?v=868952&amp;end_month=12&amp;end_day=31&amp;end_year=2016","Correlation")</f>
        <v>Correlation</v>
      </c>
    </row>
    <row r="1238" spans="1:13" x14ac:dyDescent="0.2">
      <c r="A1238" s="113"/>
      <c r="B1238" s="58" t="s">
        <v>4161</v>
      </c>
      <c r="C1238" s="58" t="s">
        <v>4126</v>
      </c>
      <c r="D1238" s="58" t="s">
        <v>4162</v>
      </c>
      <c r="E1238" s="60" t="b">
        <v>1</v>
      </c>
      <c r="F1238" s="80" t="s">
        <v>404</v>
      </c>
      <c r="G1238" s="58" t="s">
        <v>4161</v>
      </c>
      <c r="H1238" s="58" t="s">
        <v>2294</v>
      </c>
      <c r="I1238" s="64" t="s">
        <v>4162</v>
      </c>
      <c r="J1238" s="66"/>
      <c r="K1238" s="66"/>
      <c r="L1238" s="68"/>
      <c r="M1238" s="63" t="str">
        <f>HYPERLINK("http://nsgreg.nga.mil/genc/view?v=868849&amp;end_month=12&amp;end_day=31&amp;end_year=2016","Correlation")</f>
        <v>Correlation</v>
      </c>
    </row>
    <row r="1239" spans="1:13" x14ac:dyDescent="0.2">
      <c r="A1239" s="113"/>
      <c r="B1239" s="58" t="s">
        <v>4163</v>
      </c>
      <c r="C1239" s="58" t="s">
        <v>4126</v>
      </c>
      <c r="D1239" s="58" t="s">
        <v>4164</v>
      </c>
      <c r="E1239" s="60" t="b">
        <v>1</v>
      </c>
      <c r="F1239" s="80" t="s">
        <v>404</v>
      </c>
      <c r="G1239" s="58" t="s">
        <v>4163</v>
      </c>
      <c r="H1239" s="58" t="s">
        <v>2294</v>
      </c>
      <c r="I1239" s="64" t="s">
        <v>4164</v>
      </c>
      <c r="J1239" s="66"/>
      <c r="K1239" s="66"/>
      <c r="L1239" s="68"/>
      <c r="M1239" s="63" t="str">
        <f>HYPERLINK("http://nsgreg.nga.mil/genc/view?v=868850&amp;end_month=12&amp;end_day=31&amp;end_year=2016","Correlation")</f>
        <v>Correlation</v>
      </c>
    </row>
    <row r="1240" spans="1:13" x14ac:dyDescent="0.2">
      <c r="A1240" s="113"/>
      <c r="B1240" s="58" t="s">
        <v>4165</v>
      </c>
      <c r="C1240" s="58" t="s">
        <v>4147</v>
      </c>
      <c r="D1240" s="58" t="s">
        <v>4166</v>
      </c>
      <c r="E1240" s="60" t="b">
        <v>1</v>
      </c>
      <c r="F1240" s="80" t="s">
        <v>404</v>
      </c>
      <c r="G1240" s="58" t="s">
        <v>4165</v>
      </c>
      <c r="H1240" s="58" t="s">
        <v>1728</v>
      </c>
      <c r="I1240" s="64" t="s">
        <v>4166</v>
      </c>
      <c r="J1240" s="66"/>
      <c r="K1240" s="66"/>
      <c r="L1240" s="68"/>
      <c r="M1240" s="63" t="str">
        <f>HYPERLINK("http://nsgreg.nga.mil/genc/view?v=868954&amp;end_month=12&amp;end_day=31&amp;end_year=2016","Correlation")</f>
        <v>Correlation</v>
      </c>
    </row>
    <row r="1241" spans="1:13" x14ac:dyDescent="0.2">
      <c r="A1241" s="113"/>
      <c r="B1241" s="58" t="s">
        <v>4167</v>
      </c>
      <c r="C1241" s="58" t="s">
        <v>4126</v>
      </c>
      <c r="D1241" s="58" t="s">
        <v>4168</v>
      </c>
      <c r="E1241" s="60" t="b">
        <v>1</v>
      </c>
      <c r="F1241" s="80" t="s">
        <v>404</v>
      </c>
      <c r="G1241" s="58" t="s">
        <v>4167</v>
      </c>
      <c r="H1241" s="58" t="s">
        <v>2294</v>
      </c>
      <c r="I1241" s="64" t="s">
        <v>4168</v>
      </c>
      <c r="J1241" s="66"/>
      <c r="K1241" s="66"/>
      <c r="L1241" s="68"/>
      <c r="M1241" s="63" t="str">
        <f>HYPERLINK("http://nsgreg.nga.mil/genc/view?v=868851&amp;end_month=12&amp;end_day=31&amp;end_year=2016","Correlation")</f>
        <v>Correlation</v>
      </c>
    </row>
    <row r="1242" spans="1:13" x14ac:dyDescent="0.2">
      <c r="A1242" s="113"/>
      <c r="B1242" s="58" t="s">
        <v>4169</v>
      </c>
      <c r="C1242" s="58" t="s">
        <v>4126</v>
      </c>
      <c r="D1242" s="58" t="s">
        <v>4170</v>
      </c>
      <c r="E1242" s="60" t="b">
        <v>1</v>
      </c>
      <c r="F1242" s="80" t="s">
        <v>404</v>
      </c>
      <c r="G1242" s="58" t="s">
        <v>4169</v>
      </c>
      <c r="H1242" s="58" t="s">
        <v>2294</v>
      </c>
      <c r="I1242" s="64" t="s">
        <v>4170</v>
      </c>
      <c r="J1242" s="66"/>
      <c r="K1242" s="66"/>
      <c r="L1242" s="68"/>
      <c r="M1242" s="63" t="str">
        <f>HYPERLINK("http://nsgreg.nga.mil/genc/view?v=868852&amp;end_month=12&amp;end_day=31&amp;end_year=2016","Correlation")</f>
        <v>Correlation</v>
      </c>
    </row>
    <row r="1243" spans="1:13" x14ac:dyDescent="0.2">
      <c r="A1243" s="113"/>
      <c r="B1243" s="58" t="s">
        <v>4171</v>
      </c>
      <c r="C1243" s="58" t="s">
        <v>4126</v>
      </c>
      <c r="D1243" s="58" t="s">
        <v>4172</v>
      </c>
      <c r="E1243" s="60" t="b">
        <v>1</v>
      </c>
      <c r="F1243" s="80" t="s">
        <v>404</v>
      </c>
      <c r="G1243" s="58" t="s">
        <v>4171</v>
      </c>
      <c r="H1243" s="58" t="s">
        <v>2294</v>
      </c>
      <c r="I1243" s="64" t="s">
        <v>4172</v>
      </c>
      <c r="J1243" s="66"/>
      <c r="K1243" s="66"/>
      <c r="L1243" s="68"/>
      <c r="M1243" s="63" t="str">
        <f>HYPERLINK("http://nsgreg.nga.mil/genc/view?v=868853&amp;end_month=12&amp;end_day=31&amp;end_year=2016","Correlation")</f>
        <v>Correlation</v>
      </c>
    </row>
    <row r="1244" spans="1:13" x14ac:dyDescent="0.2">
      <c r="A1244" s="113"/>
      <c r="B1244" s="58" t="s">
        <v>408</v>
      </c>
      <c r="C1244" s="58" t="s">
        <v>1659</v>
      </c>
      <c r="D1244" s="58" t="s">
        <v>409</v>
      </c>
      <c r="E1244" s="60" t="b">
        <v>1</v>
      </c>
      <c r="F1244" s="80" t="s">
        <v>400</v>
      </c>
      <c r="G1244" s="88"/>
      <c r="H1244" s="88"/>
      <c r="I1244" s="66"/>
      <c r="J1244" s="64" t="s">
        <v>401</v>
      </c>
      <c r="K1244" s="64" t="s">
        <v>402</v>
      </c>
      <c r="L1244" s="65" t="s">
        <v>403</v>
      </c>
      <c r="M1244" s="63" t="str">
        <f>HYPERLINK("http://nsgreg.nga.mil/genc/view?v=868933&amp;end_month=12&amp;end_day=31&amp;end_year=2016","Correlation")</f>
        <v>Correlation</v>
      </c>
    </row>
    <row r="1245" spans="1:13" x14ac:dyDescent="0.2">
      <c r="A1245" s="113"/>
      <c r="B1245" s="58" t="s">
        <v>4173</v>
      </c>
      <c r="C1245" s="58" t="s">
        <v>4126</v>
      </c>
      <c r="D1245" s="58" t="s">
        <v>4174</v>
      </c>
      <c r="E1245" s="60" t="b">
        <v>1</v>
      </c>
      <c r="F1245" s="80" t="s">
        <v>404</v>
      </c>
      <c r="G1245" s="58" t="s">
        <v>4173</v>
      </c>
      <c r="H1245" s="58" t="s">
        <v>2294</v>
      </c>
      <c r="I1245" s="64" t="s">
        <v>4174</v>
      </c>
      <c r="J1245" s="66"/>
      <c r="K1245" s="66"/>
      <c r="L1245" s="68"/>
      <c r="M1245" s="63" t="str">
        <f>HYPERLINK("http://nsgreg.nga.mil/genc/view?v=868854&amp;end_month=12&amp;end_day=31&amp;end_year=2016","Correlation")</f>
        <v>Correlation</v>
      </c>
    </row>
    <row r="1246" spans="1:13" x14ac:dyDescent="0.2">
      <c r="A1246" s="113"/>
      <c r="B1246" s="58" t="s">
        <v>4179</v>
      </c>
      <c r="C1246" s="58" t="s">
        <v>4147</v>
      </c>
      <c r="D1246" s="58" t="s">
        <v>4178</v>
      </c>
      <c r="E1246" s="60" t="b">
        <v>1</v>
      </c>
      <c r="F1246" s="80" t="s">
        <v>404</v>
      </c>
      <c r="G1246" s="58" t="s">
        <v>4177</v>
      </c>
      <c r="H1246" s="58" t="s">
        <v>1728</v>
      </c>
      <c r="I1246" s="64" t="s">
        <v>4178</v>
      </c>
      <c r="J1246" s="66"/>
      <c r="K1246" s="66"/>
      <c r="L1246" s="68"/>
      <c r="M1246" s="63" t="str">
        <f>HYPERLINK("http://nsgreg.nga.mil/genc/view?v=868953&amp;end_month=12&amp;end_day=31&amp;end_year=2016","Correlation")</f>
        <v>Correlation</v>
      </c>
    </row>
    <row r="1247" spans="1:13" x14ac:dyDescent="0.2">
      <c r="A1247" s="113"/>
      <c r="B1247" s="58" t="s">
        <v>4175</v>
      </c>
      <c r="C1247" s="58" t="s">
        <v>4126</v>
      </c>
      <c r="D1247" s="58" t="s">
        <v>4176</v>
      </c>
      <c r="E1247" s="60" t="b">
        <v>1</v>
      </c>
      <c r="F1247" s="80" t="s">
        <v>404</v>
      </c>
      <c r="G1247" s="58" t="s">
        <v>4175</v>
      </c>
      <c r="H1247" s="58" t="s">
        <v>2294</v>
      </c>
      <c r="I1247" s="64" t="s">
        <v>4176</v>
      </c>
      <c r="J1247" s="66"/>
      <c r="K1247" s="66"/>
      <c r="L1247" s="68"/>
      <c r="M1247" s="63" t="str">
        <f>HYPERLINK("http://nsgreg.nga.mil/genc/view?v=868864&amp;end_month=12&amp;end_day=31&amp;end_year=2016","Correlation")</f>
        <v>Correlation</v>
      </c>
    </row>
    <row r="1248" spans="1:13" x14ac:dyDescent="0.2">
      <c r="A1248" s="113"/>
      <c r="B1248" s="58" t="s">
        <v>4182</v>
      </c>
      <c r="C1248" s="58" t="s">
        <v>4126</v>
      </c>
      <c r="D1248" s="58" t="s">
        <v>4181</v>
      </c>
      <c r="E1248" s="60" t="b">
        <v>1</v>
      </c>
      <c r="F1248" s="80" t="s">
        <v>404</v>
      </c>
      <c r="G1248" s="58" t="s">
        <v>4180</v>
      </c>
      <c r="H1248" s="58" t="s">
        <v>2294</v>
      </c>
      <c r="I1248" s="64" t="s">
        <v>4181</v>
      </c>
      <c r="J1248" s="66"/>
      <c r="K1248" s="66"/>
      <c r="L1248" s="68"/>
      <c r="M1248" s="63" t="str">
        <f>HYPERLINK("http://nsgreg.nga.mil/genc/view?v=868855&amp;end_month=12&amp;end_day=31&amp;end_year=2016","Correlation")</f>
        <v>Correlation</v>
      </c>
    </row>
    <row r="1249" spans="1:13" x14ac:dyDescent="0.2">
      <c r="A1249" s="113"/>
      <c r="B1249" s="58" t="s">
        <v>4185</v>
      </c>
      <c r="C1249" s="58" t="s">
        <v>4126</v>
      </c>
      <c r="D1249" s="58" t="s">
        <v>4184</v>
      </c>
      <c r="E1249" s="60" t="b">
        <v>1</v>
      </c>
      <c r="F1249" s="80" t="s">
        <v>404</v>
      </c>
      <c r="G1249" s="58" t="s">
        <v>4183</v>
      </c>
      <c r="H1249" s="58" t="s">
        <v>2294</v>
      </c>
      <c r="I1249" s="64" t="s">
        <v>4184</v>
      </c>
      <c r="J1249" s="66"/>
      <c r="K1249" s="66"/>
      <c r="L1249" s="68"/>
      <c r="M1249" s="63" t="str">
        <f>HYPERLINK("http://nsgreg.nga.mil/genc/view?v=868856&amp;end_month=12&amp;end_day=31&amp;end_year=2016","Correlation")</f>
        <v>Correlation</v>
      </c>
    </row>
    <row r="1250" spans="1:13" x14ac:dyDescent="0.2">
      <c r="A1250" s="113"/>
      <c r="B1250" s="58" t="s">
        <v>4186</v>
      </c>
      <c r="C1250" s="58" t="s">
        <v>4126</v>
      </c>
      <c r="D1250" s="58" t="s">
        <v>4187</v>
      </c>
      <c r="E1250" s="60" t="b">
        <v>1</v>
      </c>
      <c r="F1250" s="80" t="s">
        <v>404</v>
      </c>
      <c r="G1250" s="58" t="s">
        <v>4186</v>
      </c>
      <c r="H1250" s="58" t="s">
        <v>2294</v>
      </c>
      <c r="I1250" s="64" t="s">
        <v>4187</v>
      </c>
      <c r="J1250" s="66"/>
      <c r="K1250" s="66"/>
      <c r="L1250" s="68"/>
      <c r="M1250" s="63" t="str">
        <f>HYPERLINK("http://nsgreg.nga.mil/genc/view?v=868857&amp;end_month=12&amp;end_day=31&amp;end_year=2016","Correlation")</f>
        <v>Correlation</v>
      </c>
    </row>
    <row r="1251" spans="1:13" x14ac:dyDescent="0.2">
      <c r="A1251" s="113"/>
      <c r="B1251" s="58" t="s">
        <v>4188</v>
      </c>
      <c r="C1251" s="58" t="s">
        <v>4126</v>
      </c>
      <c r="D1251" s="58" t="s">
        <v>4189</v>
      </c>
      <c r="E1251" s="60" t="b">
        <v>1</v>
      </c>
      <c r="F1251" s="80" t="s">
        <v>404</v>
      </c>
      <c r="G1251" s="58" t="s">
        <v>4188</v>
      </c>
      <c r="H1251" s="58" t="s">
        <v>2294</v>
      </c>
      <c r="I1251" s="64" t="s">
        <v>4189</v>
      </c>
      <c r="J1251" s="66"/>
      <c r="K1251" s="66"/>
      <c r="L1251" s="68"/>
      <c r="M1251" s="63" t="str">
        <f>HYPERLINK("http://nsgreg.nga.mil/genc/view?v=868915&amp;end_month=12&amp;end_day=31&amp;end_year=2016","Correlation")</f>
        <v>Correlation</v>
      </c>
    </row>
    <row r="1252" spans="1:13" x14ac:dyDescent="0.2">
      <c r="A1252" s="113"/>
      <c r="B1252" s="58" t="s">
        <v>4190</v>
      </c>
      <c r="C1252" s="58" t="s">
        <v>4126</v>
      </c>
      <c r="D1252" s="58" t="s">
        <v>4191</v>
      </c>
      <c r="E1252" s="60" t="b">
        <v>1</v>
      </c>
      <c r="F1252" s="80" t="s">
        <v>404</v>
      </c>
      <c r="G1252" s="58" t="s">
        <v>4190</v>
      </c>
      <c r="H1252" s="58" t="s">
        <v>2294</v>
      </c>
      <c r="I1252" s="64" t="s">
        <v>4191</v>
      </c>
      <c r="J1252" s="66"/>
      <c r="K1252" s="66"/>
      <c r="L1252" s="68"/>
      <c r="M1252" s="63" t="str">
        <f>HYPERLINK("http://nsgreg.nga.mil/genc/view?v=868858&amp;end_month=12&amp;end_day=31&amp;end_year=2016","Correlation")</f>
        <v>Correlation</v>
      </c>
    </row>
    <row r="1253" spans="1:13" x14ac:dyDescent="0.2">
      <c r="A1253" s="113"/>
      <c r="B1253" s="58" t="s">
        <v>4192</v>
      </c>
      <c r="C1253" s="58" t="s">
        <v>4126</v>
      </c>
      <c r="D1253" s="58" t="s">
        <v>4193</v>
      </c>
      <c r="E1253" s="60" t="b">
        <v>1</v>
      </c>
      <c r="F1253" s="80" t="s">
        <v>404</v>
      </c>
      <c r="G1253" s="58" t="s">
        <v>4192</v>
      </c>
      <c r="H1253" s="58" t="s">
        <v>2294</v>
      </c>
      <c r="I1253" s="64" t="s">
        <v>4193</v>
      </c>
      <c r="J1253" s="66"/>
      <c r="K1253" s="66"/>
      <c r="L1253" s="68"/>
      <c r="M1253" s="63" t="str">
        <f>HYPERLINK("http://nsgreg.nga.mil/genc/view?v=868859&amp;end_month=12&amp;end_day=31&amp;end_year=2016","Correlation")</f>
        <v>Correlation</v>
      </c>
    </row>
    <row r="1254" spans="1:13" x14ac:dyDescent="0.2">
      <c r="A1254" s="113"/>
      <c r="B1254" s="58" t="s">
        <v>4194</v>
      </c>
      <c r="C1254" s="58" t="s">
        <v>4126</v>
      </c>
      <c r="D1254" s="58" t="s">
        <v>4195</v>
      </c>
      <c r="E1254" s="60" t="b">
        <v>1</v>
      </c>
      <c r="F1254" s="80" t="s">
        <v>404</v>
      </c>
      <c r="G1254" s="58" t="s">
        <v>4194</v>
      </c>
      <c r="H1254" s="58" t="s">
        <v>2294</v>
      </c>
      <c r="I1254" s="64" t="s">
        <v>4195</v>
      </c>
      <c r="J1254" s="66"/>
      <c r="K1254" s="66"/>
      <c r="L1254" s="68"/>
      <c r="M1254" s="63" t="str">
        <f>HYPERLINK("http://nsgreg.nga.mil/genc/view?v=868860&amp;end_month=12&amp;end_day=31&amp;end_year=2016","Correlation")</f>
        <v>Correlation</v>
      </c>
    </row>
    <row r="1255" spans="1:13" x14ac:dyDescent="0.2">
      <c r="A1255" s="113"/>
      <c r="B1255" s="58" t="s">
        <v>4196</v>
      </c>
      <c r="C1255" s="58" t="s">
        <v>4126</v>
      </c>
      <c r="D1255" s="58" t="s">
        <v>4197</v>
      </c>
      <c r="E1255" s="60" t="b">
        <v>1</v>
      </c>
      <c r="F1255" s="80" t="s">
        <v>404</v>
      </c>
      <c r="G1255" s="58" t="s">
        <v>4196</v>
      </c>
      <c r="H1255" s="58" t="s">
        <v>2294</v>
      </c>
      <c r="I1255" s="64" t="s">
        <v>4197</v>
      </c>
      <c r="J1255" s="66"/>
      <c r="K1255" s="66"/>
      <c r="L1255" s="68"/>
      <c r="M1255" s="63" t="str">
        <f>HYPERLINK("http://nsgreg.nga.mil/genc/view?v=868927&amp;end_month=12&amp;end_day=31&amp;end_year=2016","Correlation")</f>
        <v>Correlation</v>
      </c>
    </row>
    <row r="1256" spans="1:13" x14ac:dyDescent="0.2">
      <c r="A1256" s="113"/>
      <c r="B1256" s="58" t="s">
        <v>4198</v>
      </c>
      <c r="C1256" s="58" t="s">
        <v>4126</v>
      </c>
      <c r="D1256" s="58" t="s">
        <v>4199</v>
      </c>
      <c r="E1256" s="60" t="b">
        <v>1</v>
      </c>
      <c r="F1256" s="80" t="s">
        <v>404</v>
      </c>
      <c r="G1256" s="58" t="s">
        <v>4198</v>
      </c>
      <c r="H1256" s="58" t="s">
        <v>2294</v>
      </c>
      <c r="I1256" s="64" t="s">
        <v>4199</v>
      </c>
      <c r="J1256" s="66"/>
      <c r="K1256" s="66"/>
      <c r="L1256" s="68"/>
      <c r="M1256" s="63" t="str">
        <f>HYPERLINK("http://nsgreg.nga.mil/genc/view?v=868861&amp;end_month=12&amp;end_day=31&amp;end_year=2016","Correlation")</f>
        <v>Correlation</v>
      </c>
    </row>
    <row r="1257" spans="1:13" x14ac:dyDescent="0.2">
      <c r="A1257" s="113"/>
      <c r="B1257" s="58" t="s">
        <v>4200</v>
      </c>
      <c r="C1257" s="58" t="s">
        <v>4126</v>
      </c>
      <c r="D1257" s="58" t="s">
        <v>4201</v>
      </c>
      <c r="E1257" s="60" t="b">
        <v>1</v>
      </c>
      <c r="F1257" s="80" t="s">
        <v>404</v>
      </c>
      <c r="G1257" s="58" t="s">
        <v>4200</v>
      </c>
      <c r="H1257" s="58" t="s">
        <v>2294</v>
      </c>
      <c r="I1257" s="64" t="s">
        <v>4201</v>
      </c>
      <c r="J1257" s="66"/>
      <c r="K1257" s="66"/>
      <c r="L1257" s="68"/>
      <c r="M1257" s="63" t="str">
        <f>HYPERLINK("http://nsgreg.nga.mil/genc/view?v=868862&amp;end_month=12&amp;end_day=31&amp;end_year=2016","Correlation")</f>
        <v>Correlation</v>
      </c>
    </row>
    <row r="1258" spans="1:13" x14ac:dyDescent="0.2">
      <c r="A1258" s="113"/>
      <c r="B1258" s="58" t="s">
        <v>4202</v>
      </c>
      <c r="C1258" s="58" t="s">
        <v>4126</v>
      </c>
      <c r="D1258" s="58" t="s">
        <v>4203</v>
      </c>
      <c r="E1258" s="60" t="b">
        <v>1</v>
      </c>
      <c r="F1258" s="80" t="s">
        <v>404</v>
      </c>
      <c r="G1258" s="58" t="s">
        <v>4202</v>
      </c>
      <c r="H1258" s="58" t="s">
        <v>2294</v>
      </c>
      <c r="I1258" s="64" t="s">
        <v>4203</v>
      </c>
      <c r="J1258" s="66"/>
      <c r="K1258" s="66"/>
      <c r="L1258" s="68"/>
      <c r="M1258" s="63" t="str">
        <f>HYPERLINK("http://nsgreg.nga.mil/genc/view?v=868863&amp;end_month=12&amp;end_day=31&amp;end_year=2016","Correlation")</f>
        <v>Correlation</v>
      </c>
    </row>
    <row r="1259" spans="1:13" x14ac:dyDescent="0.2">
      <c r="A1259" s="113"/>
      <c r="B1259" s="58" t="s">
        <v>4204</v>
      </c>
      <c r="C1259" s="58" t="s">
        <v>4126</v>
      </c>
      <c r="D1259" s="58" t="s">
        <v>4205</v>
      </c>
      <c r="E1259" s="60" t="b">
        <v>1</v>
      </c>
      <c r="F1259" s="80" t="s">
        <v>404</v>
      </c>
      <c r="G1259" s="58" t="s">
        <v>4204</v>
      </c>
      <c r="H1259" s="58" t="s">
        <v>2294</v>
      </c>
      <c r="I1259" s="64" t="s">
        <v>4205</v>
      </c>
      <c r="J1259" s="66"/>
      <c r="K1259" s="66"/>
      <c r="L1259" s="68"/>
      <c r="M1259" s="63" t="str">
        <f>HYPERLINK("http://nsgreg.nga.mil/genc/view?v=868866&amp;end_month=12&amp;end_day=31&amp;end_year=2016","Correlation")</f>
        <v>Correlation</v>
      </c>
    </row>
    <row r="1260" spans="1:13" x14ac:dyDescent="0.2">
      <c r="A1260" s="113"/>
      <c r="B1260" s="58" t="s">
        <v>4206</v>
      </c>
      <c r="C1260" s="58" t="s">
        <v>4126</v>
      </c>
      <c r="D1260" s="58" t="s">
        <v>4207</v>
      </c>
      <c r="E1260" s="60" t="b">
        <v>1</v>
      </c>
      <c r="F1260" s="80" t="s">
        <v>404</v>
      </c>
      <c r="G1260" s="58" t="s">
        <v>4206</v>
      </c>
      <c r="H1260" s="58" t="s">
        <v>2294</v>
      </c>
      <c r="I1260" s="64" t="s">
        <v>4207</v>
      </c>
      <c r="J1260" s="66"/>
      <c r="K1260" s="66"/>
      <c r="L1260" s="68"/>
      <c r="M1260" s="63" t="str">
        <f>HYPERLINK("http://nsgreg.nga.mil/genc/view?v=868868&amp;end_month=12&amp;end_day=31&amp;end_year=2016","Correlation")</f>
        <v>Correlation</v>
      </c>
    </row>
    <row r="1261" spans="1:13" x14ac:dyDescent="0.2">
      <c r="A1261" s="113"/>
      <c r="B1261" s="58" t="s">
        <v>4208</v>
      </c>
      <c r="C1261" s="58" t="s">
        <v>4126</v>
      </c>
      <c r="D1261" s="58" t="s">
        <v>4209</v>
      </c>
      <c r="E1261" s="60" t="b">
        <v>1</v>
      </c>
      <c r="F1261" s="80" t="s">
        <v>404</v>
      </c>
      <c r="G1261" s="58" t="s">
        <v>4208</v>
      </c>
      <c r="H1261" s="58" t="s">
        <v>2294</v>
      </c>
      <c r="I1261" s="64" t="s">
        <v>4209</v>
      </c>
      <c r="J1261" s="66"/>
      <c r="K1261" s="66"/>
      <c r="L1261" s="68"/>
      <c r="M1261" s="63" t="str">
        <f>HYPERLINK("http://nsgreg.nga.mil/genc/view?v=868869&amp;end_month=12&amp;end_day=31&amp;end_year=2016","Correlation")</f>
        <v>Correlation</v>
      </c>
    </row>
    <row r="1262" spans="1:13" x14ac:dyDescent="0.2">
      <c r="A1262" s="113"/>
      <c r="B1262" s="58" t="s">
        <v>4212</v>
      </c>
      <c r="C1262" s="58" t="s">
        <v>4147</v>
      </c>
      <c r="D1262" s="58" t="s">
        <v>4211</v>
      </c>
      <c r="E1262" s="60" t="b">
        <v>1</v>
      </c>
      <c r="F1262" s="80" t="s">
        <v>404</v>
      </c>
      <c r="G1262" s="58" t="s">
        <v>4210</v>
      </c>
      <c r="H1262" s="58" t="s">
        <v>1728</v>
      </c>
      <c r="I1262" s="64" t="s">
        <v>4211</v>
      </c>
      <c r="J1262" s="66"/>
      <c r="K1262" s="66"/>
      <c r="L1262" s="68"/>
      <c r="M1262" s="63" t="str">
        <f>HYPERLINK("http://nsgreg.nga.mil/genc/view?v=868955&amp;end_month=12&amp;end_day=31&amp;end_year=2016","Correlation")</f>
        <v>Correlation</v>
      </c>
    </row>
    <row r="1263" spans="1:13" x14ac:dyDescent="0.2">
      <c r="A1263" s="113"/>
      <c r="B1263" s="58" t="s">
        <v>634</v>
      </c>
      <c r="C1263" s="58" t="s">
        <v>12340</v>
      </c>
      <c r="D1263" s="58" t="s">
        <v>635</v>
      </c>
      <c r="E1263" s="60" t="b">
        <v>1</v>
      </c>
      <c r="F1263" s="80" t="s">
        <v>630</v>
      </c>
      <c r="G1263" s="88"/>
      <c r="H1263" s="88"/>
      <c r="I1263" s="66"/>
      <c r="J1263" s="64" t="s">
        <v>631</v>
      </c>
      <c r="K1263" s="64" t="s">
        <v>632</v>
      </c>
      <c r="L1263" s="65" t="s">
        <v>633</v>
      </c>
      <c r="M1263" s="63" t="str">
        <f>HYPERLINK("http://nsgreg.nga.mil/genc/view?v=868935&amp;end_month=12&amp;end_day=31&amp;end_year=2016","Correlation")</f>
        <v>Correlation</v>
      </c>
    </row>
    <row r="1264" spans="1:13" x14ac:dyDescent="0.2">
      <c r="A1264" s="113"/>
      <c r="B1264" s="58" t="s">
        <v>634</v>
      </c>
      <c r="C1264" s="58" t="s">
        <v>12341</v>
      </c>
      <c r="D1264" s="58" t="s">
        <v>636</v>
      </c>
      <c r="E1264" s="60" t="b">
        <v>1</v>
      </c>
      <c r="F1264" s="80" t="s">
        <v>630</v>
      </c>
      <c r="G1264" s="88"/>
      <c r="H1264" s="88"/>
      <c r="I1264" s="66"/>
      <c r="J1264" s="64" t="s">
        <v>631</v>
      </c>
      <c r="K1264" s="64" t="s">
        <v>632</v>
      </c>
      <c r="L1264" s="65" t="s">
        <v>633</v>
      </c>
      <c r="M1264" s="63" t="str">
        <f>HYPERLINK("http://nsgreg.nga.mil/genc/view?v=868963&amp;end_month=12&amp;end_day=31&amp;end_year=2016","Correlation")</f>
        <v>Correlation</v>
      </c>
    </row>
    <row r="1265" spans="1:13" x14ac:dyDescent="0.2">
      <c r="A1265" s="113"/>
      <c r="B1265" s="58" t="s">
        <v>572</v>
      </c>
      <c r="C1265" s="58" t="s">
        <v>12342</v>
      </c>
      <c r="D1265" s="58" t="s">
        <v>573</v>
      </c>
      <c r="E1265" s="60" t="b">
        <v>1</v>
      </c>
      <c r="F1265" s="80" t="s">
        <v>568</v>
      </c>
      <c r="G1265" s="88"/>
      <c r="H1265" s="88"/>
      <c r="I1265" s="66"/>
      <c r="J1265" s="64" t="s">
        <v>569</v>
      </c>
      <c r="K1265" s="64" t="s">
        <v>570</v>
      </c>
      <c r="L1265" s="65" t="s">
        <v>571</v>
      </c>
      <c r="M1265" s="63" t="str">
        <f>HYPERLINK("http://nsgreg.nga.mil/genc/view?v=868934&amp;end_month=12&amp;end_day=31&amp;end_year=2016","Correlation")</f>
        <v>Correlation</v>
      </c>
    </row>
    <row r="1266" spans="1:13" x14ac:dyDescent="0.2">
      <c r="A1266" s="113"/>
      <c r="B1266" s="58" t="s">
        <v>4213</v>
      </c>
      <c r="C1266" s="58" t="s">
        <v>4126</v>
      </c>
      <c r="D1266" s="58" t="s">
        <v>4214</v>
      </c>
      <c r="E1266" s="60" t="b">
        <v>1</v>
      </c>
      <c r="F1266" s="80" t="s">
        <v>404</v>
      </c>
      <c r="G1266" s="58" t="s">
        <v>4213</v>
      </c>
      <c r="H1266" s="58" t="s">
        <v>2294</v>
      </c>
      <c r="I1266" s="64" t="s">
        <v>4214</v>
      </c>
      <c r="J1266" s="66"/>
      <c r="K1266" s="66"/>
      <c r="L1266" s="68"/>
      <c r="M1266" s="63" t="str">
        <f>HYPERLINK("http://nsgreg.nga.mil/genc/view?v=868865&amp;end_month=12&amp;end_day=31&amp;end_year=2016","Correlation")</f>
        <v>Correlation</v>
      </c>
    </row>
    <row r="1267" spans="1:13" x14ac:dyDescent="0.2">
      <c r="A1267" s="113"/>
      <c r="B1267" s="58" t="s">
        <v>4215</v>
      </c>
      <c r="C1267" s="58" t="s">
        <v>4126</v>
      </c>
      <c r="D1267" s="58" t="s">
        <v>4216</v>
      </c>
      <c r="E1267" s="60" t="b">
        <v>1</v>
      </c>
      <c r="F1267" s="80" t="s">
        <v>404</v>
      </c>
      <c r="G1267" s="58" t="s">
        <v>4215</v>
      </c>
      <c r="H1267" s="58" t="s">
        <v>2294</v>
      </c>
      <c r="I1267" s="64" t="s">
        <v>4216</v>
      </c>
      <c r="J1267" s="66"/>
      <c r="K1267" s="66"/>
      <c r="L1267" s="68"/>
      <c r="M1267" s="63" t="str">
        <f>HYPERLINK("http://nsgreg.nga.mil/genc/view?v=868867&amp;end_month=12&amp;end_day=31&amp;end_year=2016","Correlation")</f>
        <v>Correlation</v>
      </c>
    </row>
    <row r="1268" spans="1:13" x14ac:dyDescent="0.2">
      <c r="A1268" s="113"/>
      <c r="B1268" s="58" t="s">
        <v>4217</v>
      </c>
      <c r="C1268" s="58" t="s">
        <v>4126</v>
      </c>
      <c r="D1268" s="58" t="s">
        <v>4218</v>
      </c>
      <c r="E1268" s="60" t="b">
        <v>1</v>
      </c>
      <c r="F1268" s="80" t="s">
        <v>404</v>
      </c>
      <c r="G1268" s="58" t="s">
        <v>4217</v>
      </c>
      <c r="H1268" s="58" t="s">
        <v>2294</v>
      </c>
      <c r="I1268" s="64" t="s">
        <v>4218</v>
      </c>
      <c r="J1268" s="66"/>
      <c r="K1268" s="66"/>
      <c r="L1268" s="68"/>
      <c r="M1268" s="63" t="str">
        <f>HYPERLINK("http://nsgreg.nga.mil/genc/view?v=868879&amp;end_month=12&amp;end_day=31&amp;end_year=2016","Correlation")</f>
        <v>Correlation</v>
      </c>
    </row>
    <row r="1269" spans="1:13" x14ac:dyDescent="0.2">
      <c r="A1269" s="113"/>
      <c r="B1269" s="58" t="s">
        <v>4219</v>
      </c>
      <c r="C1269" s="58" t="s">
        <v>4126</v>
      </c>
      <c r="D1269" s="58" t="s">
        <v>4220</v>
      </c>
      <c r="E1269" s="60" t="b">
        <v>1</v>
      </c>
      <c r="F1269" s="80" t="s">
        <v>404</v>
      </c>
      <c r="G1269" s="58" t="s">
        <v>4219</v>
      </c>
      <c r="H1269" s="58" t="s">
        <v>2294</v>
      </c>
      <c r="I1269" s="64" t="s">
        <v>4220</v>
      </c>
      <c r="J1269" s="66"/>
      <c r="K1269" s="66"/>
      <c r="L1269" s="68"/>
      <c r="M1269" s="63" t="str">
        <f>HYPERLINK("http://nsgreg.nga.mil/genc/view?v=868888&amp;end_month=12&amp;end_day=31&amp;end_year=2016","Correlation")</f>
        <v>Correlation</v>
      </c>
    </row>
    <row r="1270" spans="1:13" x14ac:dyDescent="0.2">
      <c r="A1270" s="113"/>
      <c r="B1270" s="58" t="s">
        <v>4221</v>
      </c>
      <c r="C1270" s="58" t="s">
        <v>4126</v>
      </c>
      <c r="D1270" s="58" t="s">
        <v>4222</v>
      </c>
      <c r="E1270" s="60" t="b">
        <v>1</v>
      </c>
      <c r="F1270" s="80" t="s">
        <v>404</v>
      </c>
      <c r="G1270" s="58" t="s">
        <v>4221</v>
      </c>
      <c r="H1270" s="58" t="s">
        <v>2294</v>
      </c>
      <c r="I1270" s="64" t="s">
        <v>4222</v>
      </c>
      <c r="J1270" s="66"/>
      <c r="K1270" s="66"/>
      <c r="L1270" s="68"/>
      <c r="M1270" s="63" t="str">
        <f>HYPERLINK("http://nsgreg.nga.mil/genc/view?v=868840&amp;end_month=12&amp;end_day=31&amp;end_year=2016","Correlation")</f>
        <v>Correlation</v>
      </c>
    </row>
    <row r="1271" spans="1:13" x14ac:dyDescent="0.2">
      <c r="A1271" s="113"/>
      <c r="B1271" s="58" t="s">
        <v>4223</v>
      </c>
      <c r="C1271" s="58" t="s">
        <v>4126</v>
      </c>
      <c r="D1271" s="58" t="s">
        <v>4224</v>
      </c>
      <c r="E1271" s="60" t="b">
        <v>1</v>
      </c>
      <c r="F1271" s="80" t="s">
        <v>404</v>
      </c>
      <c r="G1271" s="58" t="s">
        <v>4223</v>
      </c>
      <c r="H1271" s="58" t="s">
        <v>2294</v>
      </c>
      <c r="I1271" s="64" t="s">
        <v>4224</v>
      </c>
      <c r="J1271" s="66"/>
      <c r="K1271" s="66"/>
      <c r="L1271" s="68"/>
      <c r="M1271" s="63" t="str">
        <f>HYPERLINK("http://nsgreg.nga.mil/genc/view?v=868906&amp;end_month=12&amp;end_day=31&amp;end_year=2016","Correlation")</f>
        <v>Correlation</v>
      </c>
    </row>
    <row r="1272" spans="1:13" x14ac:dyDescent="0.2">
      <c r="A1272" s="113"/>
      <c r="B1272" s="58" t="s">
        <v>4225</v>
      </c>
      <c r="C1272" s="58" t="s">
        <v>4126</v>
      </c>
      <c r="D1272" s="58" t="s">
        <v>4226</v>
      </c>
      <c r="E1272" s="60" t="b">
        <v>1</v>
      </c>
      <c r="F1272" s="80" t="s">
        <v>404</v>
      </c>
      <c r="G1272" s="58" t="s">
        <v>4225</v>
      </c>
      <c r="H1272" s="58" t="s">
        <v>2294</v>
      </c>
      <c r="I1272" s="64" t="s">
        <v>4226</v>
      </c>
      <c r="J1272" s="66"/>
      <c r="K1272" s="66"/>
      <c r="L1272" s="68"/>
      <c r="M1272" s="63" t="str">
        <f>HYPERLINK("http://nsgreg.nga.mil/genc/view?v=868910&amp;end_month=12&amp;end_day=31&amp;end_year=2016","Correlation")</f>
        <v>Correlation</v>
      </c>
    </row>
    <row r="1273" spans="1:13" x14ac:dyDescent="0.2">
      <c r="A1273" s="113"/>
      <c r="B1273" s="58" t="s">
        <v>4227</v>
      </c>
      <c r="C1273" s="58" t="s">
        <v>4126</v>
      </c>
      <c r="D1273" s="58" t="s">
        <v>4228</v>
      </c>
      <c r="E1273" s="60" t="b">
        <v>1</v>
      </c>
      <c r="F1273" s="80" t="s">
        <v>404</v>
      </c>
      <c r="G1273" s="58" t="s">
        <v>4227</v>
      </c>
      <c r="H1273" s="58" t="s">
        <v>2294</v>
      </c>
      <c r="I1273" s="64" t="s">
        <v>4228</v>
      </c>
      <c r="J1273" s="66"/>
      <c r="K1273" s="66"/>
      <c r="L1273" s="68"/>
      <c r="M1273" s="63" t="str">
        <f>HYPERLINK("http://nsgreg.nga.mil/genc/view?v=868901&amp;end_month=12&amp;end_day=31&amp;end_year=2016","Correlation")</f>
        <v>Correlation</v>
      </c>
    </row>
    <row r="1274" spans="1:13" x14ac:dyDescent="0.2">
      <c r="A1274" s="113"/>
      <c r="B1274" s="58" t="s">
        <v>4229</v>
      </c>
      <c r="C1274" s="58" t="s">
        <v>4126</v>
      </c>
      <c r="D1274" s="58" t="s">
        <v>4230</v>
      </c>
      <c r="E1274" s="60" t="b">
        <v>1</v>
      </c>
      <c r="F1274" s="80" t="s">
        <v>404</v>
      </c>
      <c r="G1274" s="58" t="s">
        <v>4229</v>
      </c>
      <c r="H1274" s="58" t="s">
        <v>2294</v>
      </c>
      <c r="I1274" s="64" t="s">
        <v>4230</v>
      </c>
      <c r="J1274" s="66"/>
      <c r="K1274" s="66"/>
      <c r="L1274" s="68"/>
      <c r="M1274" s="63" t="str">
        <f>HYPERLINK("http://nsgreg.nga.mil/genc/view?v=868923&amp;end_month=12&amp;end_day=31&amp;end_year=2016","Correlation")</f>
        <v>Correlation</v>
      </c>
    </row>
    <row r="1275" spans="1:13" x14ac:dyDescent="0.2">
      <c r="A1275" s="113"/>
      <c r="B1275" s="58" t="s">
        <v>4231</v>
      </c>
      <c r="C1275" s="58" t="s">
        <v>4126</v>
      </c>
      <c r="D1275" s="58" t="s">
        <v>4232</v>
      </c>
      <c r="E1275" s="60" t="b">
        <v>1</v>
      </c>
      <c r="F1275" s="80" t="s">
        <v>404</v>
      </c>
      <c r="G1275" s="58" t="s">
        <v>4231</v>
      </c>
      <c r="H1275" s="58" t="s">
        <v>2294</v>
      </c>
      <c r="I1275" s="64" t="s">
        <v>4232</v>
      </c>
      <c r="J1275" s="66"/>
      <c r="K1275" s="66"/>
      <c r="L1275" s="68"/>
      <c r="M1275" s="63" t="str">
        <f>HYPERLINK("http://nsgreg.nga.mil/genc/view?v=868904&amp;end_month=12&amp;end_day=31&amp;end_year=2016","Correlation")</f>
        <v>Correlation</v>
      </c>
    </row>
    <row r="1276" spans="1:13" x14ac:dyDescent="0.2">
      <c r="A1276" s="113"/>
      <c r="B1276" s="58" t="s">
        <v>4233</v>
      </c>
      <c r="C1276" s="58" t="s">
        <v>4147</v>
      </c>
      <c r="D1276" s="58" t="s">
        <v>4234</v>
      </c>
      <c r="E1276" s="60" t="b">
        <v>1</v>
      </c>
      <c r="F1276" s="80" t="s">
        <v>404</v>
      </c>
      <c r="G1276" s="58" t="s">
        <v>4233</v>
      </c>
      <c r="H1276" s="58" t="s">
        <v>1728</v>
      </c>
      <c r="I1276" s="64" t="s">
        <v>4234</v>
      </c>
      <c r="J1276" s="66"/>
      <c r="K1276" s="66"/>
      <c r="L1276" s="68"/>
      <c r="M1276" s="63" t="str">
        <f>HYPERLINK("http://nsgreg.nga.mil/genc/view?v=868956&amp;end_month=12&amp;end_day=31&amp;end_year=2016","Correlation")</f>
        <v>Correlation</v>
      </c>
    </row>
    <row r="1277" spans="1:13" x14ac:dyDescent="0.2">
      <c r="A1277" s="113"/>
      <c r="B1277" s="58" t="s">
        <v>4235</v>
      </c>
      <c r="C1277" s="58" t="s">
        <v>4126</v>
      </c>
      <c r="D1277" s="58" t="s">
        <v>4236</v>
      </c>
      <c r="E1277" s="60" t="b">
        <v>1</v>
      </c>
      <c r="F1277" s="80" t="s">
        <v>404</v>
      </c>
      <c r="G1277" s="58" t="s">
        <v>4235</v>
      </c>
      <c r="H1277" s="58" t="s">
        <v>2294</v>
      </c>
      <c r="I1277" s="64" t="s">
        <v>4236</v>
      </c>
      <c r="J1277" s="66"/>
      <c r="K1277" s="66"/>
      <c r="L1277" s="68"/>
      <c r="M1277" s="63" t="str">
        <f>HYPERLINK("http://nsgreg.nga.mil/genc/view?v=868928&amp;end_month=12&amp;end_day=31&amp;end_year=2016","Correlation")</f>
        <v>Correlation</v>
      </c>
    </row>
    <row r="1278" spans="1:13" x14ac:dyDescent="0.2">
      <c r="A1278" s="113"/>
      <c r="B1278" s="58" t="s">
        <v>4237</v>
      </c>
      <c r="C1278" s="58" t="s">
        <v>4126</v>
      </c>
      <c r="D1278" s="58" t="s">
        <v>4238</v>
      </c>
      <c r="E1278" s="60" t="b">
        <v>1</v>
      </c>
      <c r="F1278" s="80" t="s">
        <v>404</v>
      </c>
      <c r="G1278" s="58" t="s">
        <v>4237</v>
      </c>
      <c r="H1278" s="58" t="s">
        <v>2294</v>
      </c>
      <c r="I1278" s="64" t="s">
        <v>4238</v>
      </c>
      <c r="J1278" s="66"/>
      <c r="K1278" s="66"/>
      <c r="L1278" s="68"/>
      <c r="M1278" s="63" t="str">
        <f>HYPERLINK("http://nsgreg.nga.mil/genc/view?v=868870&amp;end_month=12&amp;end_day=31&amp;end_year=2016","Correlation")</f>
        <v>Correlation</v>
      </c>
    </row>
    <row r="1279" spans="1:13" x14ac:dyDescent="0.2">
      <c r="A1279" s="113"/>
      <c r="B1279" s="58" t="s">
        <v>4239</v>
      </c>
      <c r="C1279" s="58" t="s">
        <v>4147</v>
      </c>
      <c r="D1279" s="58" t="s">
        <v>4240</v>
      </c>
      <c r="E1279" s="60" t="b">
        <v>1</v>
      </c>
      <c r="F1279" s="80" t="s">
        <v>404</v>
      </c>
      <c r="G1279" s="58" t="s">
        <v>4239</v>
      </c>
      <c r="H1279" s="58" t="s">
        <v>1728</v>
      </c>
      <c r="I1279" s="64" t="s">
        <v>4240</v>
      </c>
      <c r="J1279" s="66"/>
      <c r="K1279" s="66"/>
      <c r="L1279" s="68"/>
      <c r="M1279" s="63" t="str">
        <f>HYPERLINK("http://nsgreg.nga.mil/genc/view?v=868957&amp;end_month=12&amp;end_day=31&amp;end_year=2016","Correlation")</f>
        <v>Correlation</v>
      </c>
    </row>
    <row r="1280" spans="1:13" x14ac:dyDescent="0.2">
      <c r="A1280" s="113"/>
      <c r="B1280" s="58" t="s">
        <v>4241</v>
      </c>
      <c r="C1280" s="58" t="s">
        <v>4126</v>
      </c>
      <c r="D1280" s="58" t="s">
        <v>4242</v>
      </c>
      <c r="E1280" s="60" t="b">
        <v>1</v>
      </c>
      <c r="F1280" s="80" t="s">
        <v>404</v>
      </c>
      <c r="G1280" s="58" t="s">
        <v>4241</v>
      </c>
      <c r="H1280" s="58" t="s">
        <v>2294</v>
      </c>
      <c r="I1280" s="64" t="s">
        <v>4242</v>
      </c>
      <c r="J1280" s="66"/>
      <c r="K1280" s="66"/>
      <c r="L1280" s="68"/>
      <c r="M1280" s="63" t="str">
        <f>HYPERLINK("http://nsgreg.nga.mil/genc/view?v=868871&amp;end_month=12&amp;end_day=31&amp;end_year=2016","Correlation")</f>
        <v>Correlation</v>
      </c>
    </row>
    <row r="1281" spans="1:13" x14ac:dyDescent="0.2">
      <c r="A1281" s="113"/>
      <c r="B1281" s="58" t="s">
        <v>4243</v>
      </c>
      <c r="C1281" s="58" t="s">
        <v>4126</v>
      </c>
      <c r="D1281" s="58" t="s">
        <v>4244</v>
      </c>
      <c r="E1281" s="60" t="b">
        <v>1</v>
      </c>
      <c r="F1281" s="80" t="s">
        <v>404</v>
      </c>
      <c r="G1281" s="58" t="s">
        <v>4243</v>
      </c>
      <c r="H1281" s="58" t="s">
        <v>2294</v>
      </c>
      <c r="I1281" s="64" t="s">
        <v>4244</v>
      </c>
      <c r="J1281" s="66"/>
      <c r="K1281" s="66"/>
      <c r="L1281" s="68"/>
      <c r="M1281" s="63" t="str">
        <f>HYPERLINK("http://nsgreg.nga.mil/genc/view?v=868872&amp;end_month=12&amp;end_day=31&amp;end_year=2016","Correlation")</f>
        <v>Correlation</v>
      </c>
    </row>
    <row r="1282" spans="1:13" x14ac:dyDescent="0.2">
      <c r="A1282" s="113"/>
      <c r="B1282" s="58" t="s">
        <v>4245</v>
      </c>
      <c r="C1282" s="58" t="s">
        <v>4126</v>
      </c>
      <c r="D1282" s="58" t="s">
        <v>4246</v>
      </c>
      <c r="E1282" s="60" t="b">
        <v>1</v>
      </c>
      <c r="F1282" s="80" t="s">
        <v>404</v>
      </c>
      <c r="G1282" s="58" t="s">
        <v>4245</v>
      </c>
      <c r="H1282" s="58" t="s">
        <v>2294</v>
      </c>
      <c r="I1282" s="64" t="s">
        <v>4246</v>
      </c>
      <c r="J1282" s="66"/>
      <c r="K1282" s="66"/>
      <c r="L1282" s="68"/>
      <c r="M1282" s="63" t="str">
        <f>HYPERLINK("http://nsgreg.nga.mil/genc/view?v=868873&amp;end_month=12&amp;end_day=31&amp;end_year=2016","Correlation")</f>
        <v>Correlation</v>
      </c>
    </row>
    <row r="1283" spans="1:13" x14ac:dyDescent="0.2">
      <c r="A1283" s="113"/>
      <c r="B1283" s="58" t="s">
        <v>4247</v>
      </c>
      <c r="C1283" s="58" t="s">
        <v>4126</v>
      </c>
      <c r="D1283" s="58" t="s">
        <v>4248</v>
      </c>
      <c r="E1283" s="60" t="b">
        <v>1</v>
      </c>
      <c r="F1283" s="80" t="s">
        <v>404</v>
      </c>
      <c r="G1283" s="58" t="s">
        <v>4247</v>
      </c>
      <c r="H1283" s="58" t="s">
        <v>2294</v>
      </c>
      <c r="I1283" s="64" t="s">
        <v>4248</v>
      </c>
      <c r="J1283" s="66"/>
      <c r="K1283" s="66"/>
      <c r="L1283" s="68"/>
      <c r="M1283" s="63" t="str">
        <f>HYPERLINK("http://nsgreg.nga.mil/genc/view?v=868874&amp;end_month=12&amp;end_day=31&amp;end_year=2016","Correlation")</f>
        <v>Correlation</v>
      </c>
    </row>
    <row r="1284" spans="1:13" x14ac:dyDescent="0.2">
      <c r="A1284" s="113"/>
      <c r="B1284" s="58" t="s">
        <v>4249</v>
      </c>
      <c r="C1284" s="58" t="s">
        <v>4126</v>
      </c>
      <c r="D1284" s="58" t="s">
        <v>4250</v>
      </c>
      <c r="E1284" s="60" t="b">
        <v>1</v>
      </c>
      <c r="F1284" s="80" t="s">
        <v>404</v>
      </c>
      <c r="G1284" s="58" t="s">
        <v>4249</v>
      </c>
      <c r="H1284" s="58" t="s">
        <v>2294</v>
      </c>
      <c r="I1284" s="64" t="s">
        <v>4250</v>
      </c>
      <c r="J1284" s="66"/>
      <c r="K1284" s="66"/>
      <c r="L1284" s="68"/>
      <c r="M1284" s="63" t="str">
        <f>HYPERLINK("http://nsgreg.nga.mil/genc/view?v=868875&amp;end_month=12&amp;end_day=31&amp;end_year=2016","Correlation")</f>
        <v>Correlation</v>
      </c>
    </row>
    <row r="1285" spans="1:13" x14ac:dyDescent="0.2">
      <c r="A1285" s="113"/>
      <c r="B1285" s="58" t="s">
        <v>4251</v>
      </c>
      <c r="C1285" s="58" t="s">
        <v>4126</v>
      </c>
      <c r="D1285" s="58" t="s">
        <v>4252</v>
      </c>
      <c r="E1285" s="60" t="b">
        <v>1</v>
      </c>
      <c r="F1285" s="80" t="s">
        <v>404</v>
      </c>
      <c r="G1285" s="58" t="s">
        <v>4251</v>
      </c>
      <c r="H1285" s="58" t="s">
        <v>2294</v>
      </c>
      <c r="I1285" s="64" t="s">
        <v>4252</v>
      </c>
      <c r="J1285" s="66"/>
      <c r="K1285" s="66"/>
      <c r="L1285" s="68"/>
      <c r="M1285" s="63" t="str">
        <f>HYPERLINK("http://nsgreg.nga.mil/genc/view?v=868876&amp;end_month=12&amp;end_day=31&amp;end_year=2016","Correlation")</f>
        <v>Correlation</v>
      </c>
    </row>
    <row r="1286" spans="1:13" x14ac:dyDescent="0.2">
      <c r="A1286" s="113"/>
      <c r="B1286" s="58" t="s">
        <v>1094</v>
      </c>
      <c r="C1286" s="58" t="s">
        <v>12340</v>
      </c>
      <c r="D1286" s="58" t="s">
        <v>1095</v>
      </c>
      <c r="E1286" s="60" t="b">
        <v>1</v>
      </c>
      <c r="F1286" s="80" t="s">
        <v>1089</v>
      </c>
      <c r="G1286" s="88"/>
      <c r="H1286" s="88"/>
      <c r="I1286" s="66"/>
      <c r="J1286" s="64" t="s">
        <v>1090</v>
      </c>
      <c r="K1286" s="64" t="s">
        <v>1091</v>
      </c>
      <c r="L1286" s="65" t="s">
        <v>1092</v>
      </c>
      <c r="M1286" s="63" t="str">
        <f>HYPERLINK("http://nsgreg.nga.mil/genc/view?v=868941&amp;end_month=12&amp;end_day=31&amp;end_year=2016","Correlation")</f>
        <v>Correlation</v>
      </c>
    </row>
    <row r="1287" spans="1:13" x14ac:dyDescent="0.2">
      <c r="A1287" s="113"/>
      <c r="B1287" s="58" t="s">
        <v>1094</v>
      </c>
      <c r="C1287" s="58" t="s">
        <v>12341</v>
      </c>
      <c r="D1287" s="58" t="s">
        <v>1096</v>
      </c>
      <c r="E1287" s="60" t="b">
        <v>1</v>
      </c>
      <c r="F1287" s="80" t="s">
        <v>1089</v>
      </c>
      <c r="G1287" s="88"/>
      <c r="H1287" s="88"/>
      <c r="I1287" s="66"/>
      <c r="J1287" s="64" t="s">
        <v>1090</v>
      </c>
      <c r="K1287" s="64" t="s">
        <v>1091</v>
      </c>
      <c r="L1287" s="65" t="s">
        <v>1092</v>
      </c>
      <c r="M1287" s="63" t="str">
        <f>HYPERLINK("http://nsgreg.nga.mil/genc/view?v=868964&amp;end_month=12&amp;end_day=31&amp;end_year=2016","Correlation")</f>
        <v>Correlation</v>
      </c>
    </row>
    <row r="1288" spans="1:13" x14ac:dyDescent="0.2">
      <c r="A1288" s="113"/>
      <c r="B1288" s="58" t="s">
        <v>4253</v>
      </c>
      <c r="C1288" s="58" t="s">
        <v>4126</v>
      </c>
      <c r="D1288" s="58" t="s">
        <v>4254</v>
      </c>
      <c r="E1288" s="60" t="b">
        <v>1</v>
      </c>
      <c r="F1288" s="80" t="s">
        <v>404</v>
      </c>
      <c r="G1288" s="58" t="s">
        <v>4253</v>
      </c>
      <c r="H1288" s="58" t="s">
        <v>2294</v>
      </c>
      <c r="I1288" s="64" t="s">
        <v>4254</v>
      </c>
      <c r="J1288" s="66"/>
      <c r="K1288" s="66"/>
      <c r="L1288" s="68"/>
      <c r="M1288" s="63" t="str">
        <f>HYPERLINK("http://nsgreg.nga.mil/genc/view?v=868878&amp;end_month=12&amp;end_day=31&amp;end_year=2016","Correlation")</f>
        <v>Correlation</v>
      </c>
    </row>
    <row r="1289" spans="1:13" x14ac:dyDescent="0.2">
      <c r="A1289" s="113"/>
      <c r="B1289" s="58" t="s">
        <v>4255</v>
      </c>
      <c r="C1289" s="58" t="s">
        <v>4126</v>
      </c>
      <c r="D1289" s="58" t="s">
        <v>4256</v>
      </c>
      <c r="E1289" s="60" t="b">
        <v>1</v>
      </c>
      <c r="F1289" s="80" t="s">
        <v>404</v>
      </c>
      <c r="G1289" s="58" t="s">
        <v>4255</v>
      </c>
      <c r="H1289" s="58" t="s">
        <v>2294</v>
      </c>
      <c r="I1289" s="64" t="s">
        <v>4256</v>
      </c>
      <c r="J1289" s="66"/>
      <c r="K1289" s="66"/>
      <c r="L1289" s="68"/>
      <c r="M1289" s="63" t="str">
        <f>HYPERLINK("http://nsgreg.nga.mil/genc/view?v=868880&amp;end_month=12&amp;end_day=31&amp;end_year=2016","Correlation")</f>
        <v>Correlation</v>
      </c>
    </row>
    <row r="1290" spans="1:13" x14ac:dyDescent="0.2">
      <c r="A1290" s="113"/>
      <c r="B1290" s="58" t="s">
        <v>4257</v>
      </c>
      <c r="C1290" s="58" t="s">
        <v>4126</v>
      </c>
      <c r="D1290" s="58" t="s">
        <v>4258</v>
      </c>
      <c r="E1290" s="60" t="b">
        <v>1</v>
      </c>
      <c r="F1290" s="80" t="s">
        <v>404</v>
      </c>
      <c r="G1290" s="58" t="s">
        <v>4257</v>
      </c>
      <c r="H1290" s="58" t="s">
        <v>2294</v>
      </c>
      <c r="I1290" s="64" t="s">
        <v>4258</v>
      </c>
      <c r="J1290" s="66"/>
      <c r="K1290" s="66"/>
      <c r="L1290" s="68"/>
      <c r="M1290" s="63" t="str">
        <f>HYPERLINK("http://nsgreg.nga.mil/genc/view?v=868881&amp;end_month=12&amp;end_day=31&amp;end_year=2016","Correlation")</f>
        <v>Correlation</v>
      </c>
    </row>
    <row r="1291" spans="1:13" x14ac:dyDescent="0.2">
      <c r="A1291" s="113"/>
      <c r="B1291" s="58" t="s">
        <v>4259</v>
      </c>
      <c r="C1291" s="58" t="s">
        <v>4126</v>
      </c>
      <c r="D1291" s="58" t="s">
        <v>4260</v>
      </c>
      <c r="E1291" s="60" t="b">
        <v>1</v>
      </c>
      <c r="F1291" s="80" t="s">
        <v>404</v>
      </c>
      <c r="G1291" s="58" t="s">
        <v>4259</v>
      </c>
      <c r="H1291" s="58" t="s">
        <v>2294</v>
      </c>
      <c r="I1291" s="64" t="s">
        <v>4260</v>
      </c>
      <c r="J1291" s="66"/>
      <c r="K1291" s="66"/>
      <c r="L1291" s="68"/>
      <c r="M1291" s="63" t="str">
        <f>HYPERLINK("http://nsgreg.nga.mil/genc/view?v=868877&amp;end_month=12&amp;end_day=31&amp;end_year=2016","Correlation")</f>
        <v>Correlation</v>
      </c>
    </row>
    <row r="1292" spans="1:13" x14ac:dyDescent="0.2">
      <c r="A1292" s="113"/>
      <c r="B1292" s="58" t="s">
        <v>4261</v>
      </c>
      <c r="C1292" s="58" t="s">
        <v>4126</v>
      </c>
      <c r="D1292" s="58" t="s">
        <v>4262</v>
      </c>
      <c r="E1292" s="60" t="b">
        <v>1</v>
      </c>
      <c r="F1292" s="80" t="s">
        <v>404</v>
      </c>
      <c r="G1292" s="58" t="s">
        <v>4261</v>
      </c>
      <c r="H1292" s="58" t="s">
        <v>2294</v>
      </c>
      <c r="I1292" s="64" t="s">
        <v>4262</v>
      </c>
      <c r="J1292" s="66"/>
      <c r="K1292" s="66"/>
      <c r="L1292" s="68"/>
      <c r="M1292" s="63" t="str">
        <f>HYPERLINK("http://nsgreg.nga.mil/genc/view?v=868882&amp;end_month=12&amp;end_day=31&amp;end_year=2016","Correlation")</f>
        <v>Correlation</v>
      </c>
    </row>
    <row r="1293" spans="1:13" x14ac:dyDescent="0.2">
      <c r="A1293" s="113"/>
      <c r="B1293" s="58" t="s">
        <v>4263</v>
      </c>
      <c r="C1293" s="58" t="s">
        <v>4126</v>
      </c>
      <c r="D1293" s="58" t="s">
        <v>4264</v>
      </c>
      <c r="E1293" s="60" t="b">
        <v>1</v>
      </c>
      <c r="F1293" s="80" t="s">
        <v>404</v>
      </c>
      <c r="G1293" s="58" t="s">
        <v>4263</v>
      </c>
      <c r="H1293" s="58" t="s">
        <v>2294</v>
      </c>
      <c r="I1293" s="64" t="s">
        <v>4264</v>
      </c>
      <c r="J1293" s="66"/>
      <c r="K1293" s="66"/>
      <c r="L1293" s="68"/>
      <c r="M1293" s="63" t="str">
        <f>HYPERLINK("http://nsgreg.nga.mil/genc/view?v=868883&amp;end_month=12&amp;end_day=31&amp;end_year=2016","Correlation")</f>
        <v>Correlation</v>
      </c>
    </row>
    <row r="1294" spans="1:13" x14ac:dyDescent="0.2">
      <c r="A1294" s="113"/>
      <c r="B1294" s="58" t="s">
        <v>4265</v>
      </c>
      <c r="C1294" s="58" t="s">
        <v>4126</v>
      </c>
      <c r="D1294" s="58" t="s">
        <v>4266</v>
      </c>
      <c r="E1294" s="60" t="b">
        <v>1</v>
      </c>
      <c r="F1294" s="80" t="s">
        <v>404</v>
      </c>
      <c r="G1294" s="58" t="s">
        <v>4265</v>
      </c>
      <c r="H1294" s="58" t="s">
        <v>2294</v>
      </c>
      <c r="I1294" s="64" t="s">
        <v>4266</v>
      </c>
      <c r="J1294" s="66"/>
      <c r="K1294" s="66"/>
      <c r="L1294" s="68"/>
      <c r="M1294" s="63" t="str">
        <f>HYPERLINK("http://nsgreg.nga.mil/genc/view?v=868884&amp;end_month=12&amp;end_day=31&amp;end_year=2016","Correlation")</f>
        <v>Correlation</v>
      </c>
    </row>
    <row r="1295" spans="1:13" x14ac:dyDescent="0.2">
      <c r="A1295" s="113"/>
      <c r="B1295" s="58" t="s">
        <v>4267</v>
      </c>
      <c r="C1295" s="58" t="s">
        <v>4126</v>
      </c>
      <c r="D1295" s="58" t="s">
        <v>4268</v>
      </c>
      <c r="E1295" s="60" t="b">
        <v>1</v>
      </c>
      <c r="F1295" s="80" t="s">
        <v>404</v>
      </c>
      <c r="G1295" s="58" t="s">
        <v>4267</v>
      </c>
      <c r="H1295" s="58" t="s">
        <v>2294</v>
      </c>
      <c r="I1295" s="64" t="s">
        <v>4268</v>
      </c>
      <c r="J1295" s="66"/>
      <c r="K1295" s="66"/>
      <c r="L1295" s="68"/>
      <c r="M1295" s="63" t="str">
        <f>HYPERLINK("http://nsgreg.nga.mil/genc/view?v=868885&amp;end_month=12&amp;end_day=31&amp;end_year=2016","Correlation")</f>
        <v>Correlation</v>
      </c>
    </row>
    <row r="1296" spans="1:13" x14ac:dyDescent="0.2">
      <c r="A1296" s="113"/>
      <c r="B1296" s="58" t="s">
        <v>4269</v>
      </c>
      <c r="C1296" s="58" t="s">
        <v>4126</v>
      </c>
      <c r="D1296" s="58" t="s">
        <v>4270</v>
      </c>
      <c r="E1296" s="60" t="b">
        <v>1</v>
      </c>
      <c r="F1296" s="80" t="s">
        <v>404</v>
      </c>
      <c r="G1296" s="58" t="s">
        <v>4269</v>
      </c>
      <c r="H1296" s="58" t="s">
        <v>2294</v>
      </c>
      <c r="I1296" s="64" t="s">
        <v>4270</v>
      </c>
      <c r="J1296" s="66"/>
      <c r="K1296" s="66"/>
      <c r="L1296" s="68"/>
      <c r="M1296" s="63" t="str">
        <f>HYPERLINK("http://nsgreg.nga.mil/genc/view?v=868886&amp;end_month=12&amp;end_day=31&amp;end_year=2016","Correlation")</f>
        <v>Correlation</v>
      </c>
    </row>
    <row r="1297" spans="1:13" x14ac:dyDescent="0.2">
      <c r="A1297" s="113"/>
      <c r="B1297" s="58" t="s">
        <v>4271</v>
      </c>
      <c r="C1297" s="58" t="s">
        <v>4126</v>
      </c>
      <c r="D1297" s="58" t="s">
        <v>4272</v>
      </c>
      <c r="E1297" s="60" t="b">
        <v>1</v>
      </c>
      <c r="F1297" s="80" t="s">
        <v>404</v>
      </c>
      <c r="G1297" s="58" t="s">
        <v>4271</v>
      </c>
      <c r="H1297" s="58" t="s">
        <v>2294</v>
      </c>
      <c r="I1297" s="64" t="s">
        <v>4272</v>
      </c>
      <c r="J1297" s="66"/>
      <c r="K1297" s="66"/>
      <c r="L1297" s="68"/>
      <c r="M1297" s="63" t="str">
        <f>HYPERLINK("http://nsgreg.nga.mil/genc/view?v=868887&amp;end_month=12&amp;end_day=31&amp;end_year=2016","Correlation")</f>
        <v>Correlation</v>
      </c>
    </row>
    <row r="1298" spans="1:13" x14ac:dyDescent="0.2">
      <c r="A1298" s="113"/>
      <c r="B1298" s="58" t="s">
        <v>897</v>
      </c>
      <c r="C1298" s="58" t="s">
        <v>12342</v>
      </c>
      <c r="D1298" s="58" t="s">
        <v>898</v>
      </c>
      <c r="E1298" s="60" t="b">
        <v>1</v>
      </c>
      <c r="F1298" s="80" t="s">
        <v>893</v>
      </c>
      <c r="G1298" s="88"/>
      <c r="H1298" s="88"/>
      <c r="I1298" s="66"/>
      <c r="J1298" s="64" t="s">
        <v>894</v>
      </c>
      <c r="K1298" s="64" t="s">
        <v>895</v>
      </c>
      <c r="L1298" s="65" t="s">
        <v>896</v>
      </c>
      <c r="M1298" s="63" t="str">
        <f>HYPERLINK("http://nsgreg.nga.mil/genc/view?v=868937&amp;end_month=12&amp;end_day=31&amp;end_year=2016","Correlation")</f>
        <v>Correlation</v>
      </c>
    </row>
    <row r="1299" spans="1:13" x14ac:dyDescent="0.2">
      <c r="A1299" s="113"/>
      <c r="B1299" s="58" t="s">
        <v>4273</v>
      </c>
      <c r="C1299" s="58" t="s">
        <v>4126</v>
      </c>
      <c r="D1299" s="58" t="s">
        <v>4274</v>
      </c>
      <c r="E1299" s="60" t="b">
        <v>1</v>
      </c>
      <c r="F1299" s="80" t="s">
        <v>404</v>
      </c>
      <c r="G1299" s="58" t="s">
        <v>4273</v>
      </c>
      <c r="H1299" s="58" t="s">
        <v>2294</v>
      </c>
      <c r="I1299" s="64" t="s">
        <v>4274</v>
      </c>
      <c r="J1299" s="66"/>
      <c r="K1299" s="66"/>
      <c r="L1299" s="68"/>
      <c r="M1299" s="63" t="str">
        <f>HYPERLINK("http://nsgreg.nga.mil/genc/view?v=868889&amp;end_month=12&amp;end_day=31&amp;end_year=2016","Correlation")</f>
        <v>Correlation</v>
      </c>
    </row>
    <row r="1300" spans="1:13" x14ac:dyDescent="0.2">
      <c r="A1300" s="113"/>
      <c r="B1300" s="58" t="s">
        <v>911</v>
      </c>
      <c r="C1300" s="58" t="s">
        <v>12340</v>
      </c>
      <c r="D1300" s="58" t="s">
        <v>912</v>
      </c>
      <c r="E1300" s="60" t="b">
        <v>1</v>
      </c>
      <c r="F1300" s="80" t="s">
        <v>907</v>
      </c>
      <c r="G1300" s="88"/>
      <c r="H1300" s="88"/>
      <c r="I1300" s="66"/>
      <c r="J1300" s="64" t="s">
        <v>908</v>
      </c>
      <c r="K1300" s="64" t="s">
        <v>909</v>
      </c>
      <c r="L1300" s="65" t="s">
        <v>910</v>
      </c>
      <c r="M1300" s="63" t="str">
        <f>HYPERLINK("http://nsgreg.nga.mil/genc/view?v=868949&amp;end_month=12&amp;end_day=31&amp;end_year=2016","Correlation")</f>
        <v>Correlation</v>
      </c>
    </row>
    <row r="1301" spans="1:13" x14ac:dyDescent="0.2">
      <c r="A1301" s="113"/>
      <c r="B1301" s="58" t="s">
        <v>911</v>
      </c>
      <c r="C1301" s="58" t="s">
        <v>12341</v>
      </c>
      <c r="D1301" s="58" t="s">
        <v>913</v>
      </c>
      <c r="E1301" s="60" t="b">
        <v>1</v>
      </c>
      <c r="F1301" s="80" t="s">
        <v>907</v>
      </c>
      <c r="G1301" s="88"/>
      <c r="H1301" s="88"/>
      <c r="I1301" s="66"/>
      <c r="J1301" s="64" t="s">
        <v>908</v>
      </c>
      <c r="K1301" s="64" t="s">
        <v>909</v>
      </c>
      <c r="L1301" s="65" t="s">
        <v>910</v>
      </c>
      <c r="M1301" s="63" t="str">
        <f>HYPERLINK("http://nsgreg.nga.mil/genc/view?v=868965&amp;end_month=12&amp;end_day=31&amp;end_year=2016","Correlation")</f>
        <v>Correlation</v>
      </c>
    </row>
    <row r="1302" spans="1:13" x14ac:dyDescent="0.2">
      <c r="A1302" s="113"/>
      <c r="B1302" s="58" t="s">
        <v>4275</v>
      </c>
      <c r="C1302" s="58" t="s">
        <v>4126</v>
      </c>
      <c r="D1302" s="58" t="s">
        <v>4276</v>
      </c>
      <c r="E1302" s="60" t="b">
        <v>1</v>
      </c>
      <c r="F1302" s="80" t="s">
        <v>404</v>
      </c>
      <c r="G1302" s="58" t="s">
        <v>4275</v>
      </c>
      <c r="H1302" s="58" t="s">
        <v>2294</v>
      </c>
      <c r="I1302" s="64" t="s">
        <v>4276</v>
      </c>
      <c r="J1302" s="66"/>
      <c r="K1302" s="66"/>
      <c r="L1302" s="68"/>
      <c r="M1302" s="63" t="str">
        <f>HYPERLINK("http://nsgreg.nga.mil/genc/view?v=868890&amp;end_month=12&amp;end_day=31&amp;end_year=2016","Correlation")</f>
        <v>Correlation</v>
      </c>
    </row>
    <row r="1303" spans="1:13" x14ac:dyDescent="0.2">
      <c r="A1303" s="113"/>
      <c r="B1303" s="58" t="s">
        <v>4277</v>
      </c>
      <c r="C1303" s="58" t="s">
        <v>4126</v>
      </c>
      <c r="D1303" s="58" t="s">
        <v>4278</v>
      </c>
      <c r="E1303" s="60" t="b">
        <v>1</v>
      </c>
      <c r="F1303" s="80" t="s">
        <v>404</v>
      </c>
      <c r="G1303" s="58" t="s">
        <v>4277</v>
      </c>
      <c r="H1303" s="58" t="s">
        <v>2294</v>
      </c>
      <c r="I1303" s="64" t="s">
        <v>4278</v>
      </c>
      <c r="J1303" s="66"/>
      <c r="K1303" s="66"/>
      <c r="L1303" s="68"/>
      <c r="M1303" s="63" t="str">
        <f>HYPERLINK("http://nsgreg.nga.mil/genc/view?v=868891&amp;end_month=12&amp;end_day=31&amp;end_year=2016","Correlation")</f>
        <v>Correlation</v>
      </c>
    </row>
    <row r="1304" spans="1:13" x14ac:dyDescent="0.2">
      <c r="A1304" s="113"/>
      <c r="B1304" s="58" t="s">
        <v>4279</v>
      </c>
      <c r="C1304" s="58" t="s">
        <v>4126</v>
      </c>
      <c r="D1304" s="58" t="s">
        <v>4280</v>
      </c>
      <c r="E1304" s="60" t="b">
        <v>1</v>
      </c>
      <c r="F1304" s="80" t="s">
        <v>404</v>
      </c>
      <c r="G1304" s="58" t="s">
        <v>4279</v>
      </c>
      <c r="H1304" s="58" t="s">
        <v>2294</v>
      </c>
      <c r="I1304" s="64" t="s">
        <v>4280</v>
      </c>
      <c r="J1304" s="66"/>
      <c r="K1304" s="66"/>
      <c r="L1304" s="68"/>
      <c r="M1304" s="63" t="str">
        <f>HYPERLINK("http://nsgreg.nga.mil/genc/view?v=868892&amp;end_month=12&amp;end_day=31&amp;end_year=2016","Correlation")</f>
        <v>Correlation</v>
      </c>
    </row>
    <row r="1305" spans="1:13" x14ac:dyDescent="0.2">
      <c r="A1305" s="113"/>
      <c r="B1305" s="58" t="s">
        <v>4281</v>
      </c>
      <c r="C1305" s="58" t="s">
        <v>4126</v>
      </c>
      <c r="D1305" s="58" t="s">
        <v>4282</v>
      </c>
      <c r="E1305" s="60" t="b">
        <v>1</v>
      </c>
      <c r="F1305" s="80" t="s">
        <v>404</v>
      </c>
      <c r="G1305" s="58" t="s">
        <v>4281</v>
      </c>
      <c r="H1305" s="58" t="s">
        <v>2294</v>
      </c>
      <c r="I1305" s="64" t="s">
        <v>4282</v>
      </c>
      <c r="J1305" s="66"/>
      <c r="K1305" s="66"/>
      <c r="L1305" s="68"/>
      <c r="M1305" s="63" t="str">
        <f>HYPERLINK("http://nsgreg.nga.mil/genc/view?v=868893&amp;end_month=12&amp;end_day=31&amp;end_year=2016","Correlation")</f>
        <v>Correlation</v>
      </c>
    </row>
    <row r="1306" spans="1:13" x14ac:dyDescent="0.2">
      <c r="A1306" s="113"/>
      <c r="B1306" s="58" t="s">
        <v>4283</v>
      </c>
      <c r="C1306" s="58" t="s">
        <v>4126</v>
      </c>
      <c r="D1306" s="58" t="s">
        <v>4284</v>
      </c>
      <c r="E1306" s="60" t="b">
        <v>1</v>
      </c>
      <c r="F1306" s="80" t="s">
        <v>404</v>
      </c>
      <c r="G1306" s="58" t="s">
        <v>4283</v>
      </c>
      <c r="H1306" s="58" t="s">
        <v>2294</v>
      </c>
      <c r="I1306" s="64" t="s">
        <v>4284</v>
      </c>
      <c r="J1306" s="66"/>
      <c r="K1306" s="66"/>
      <c r="L1306" s="68"/>
      <c r="M1306" s="63" t="str">
        <f>HYPERLINK("http://nsgreg.nga.mil/genc/view?v=868894&amp;end_month=12&amp;end_day=31&amp;end_year=2016","Correlation")</f>
        <v>Correlation</v>
      </c>
    </row>
    <row r="1307" spans="1:13" x14ac:dyDescent="0.2">
      <c r="A1307" s="113"/>
      <c r="B1307" s="58" t="s">
        <v>2637</v>
      </c>
      <c r="C1307" s="58" t="s">
        <v>4126</v>
      </c>
      <c r="D1307" s="58" t="s">
        <v>4285</v>
      </c>
      <c r="E1307" s="60" t="b">
        <v>1</v>
      </c>
      <c r="F1307" s="80" t="s">
        <v>404</v>
      </c>
      <c r="G1307" s="58" t="s">
        <v>2637</v>
      </c>
      <c r="H1307" s="58" t="s">
        <v>2294</v>
      </c>
      <c r="I1307" s="64" t="s">
        <v>4285</v>
      </c>
      <c r="J1307" s="66"/>
      <c r="K1307" s="66"/>
      <c r="L1307" s="68"/>
      <c r="M1307" s="63" t="str">
        <f>HYPERLINK("http://nsgreg.nga.mil/genc/view?v=868895&amp;end_month=12&amp;end_day=31&amp;end_year=2016","Correlation")</f>
        <v>Correlation</v>
      </c>
    </row>
    <row r="1308" spans="1:13" x14ac:dyDescent="0.2">
      <c r="A1308" s="113"/>
      <c r="B1308" s="58" t="s">
        <v>4286</v>
      </c>
      <c r="C1308" s="58" t="s">
        <v>4147</v>
      </c>
      <c r="D1308" s="58" t="s">
        <v>4287</v>
      </c>
      <c r="E1308" s="60" t="b">
        <v>1</v>
      </c>
      <c r="F1308" s="80" t="s">
        <v>404</v>
      </c>
      <c r="G1308" s="58" t="s">
        <v>4286</v>
      </c>
      <c r="H1308" s="58" t="s">
        <v>1728</v>
      </c>
      <c r="I1308" s="64" t="s">
        <v>4287</v>
      </c>
      <c r="J1308" s="66"/>
      <c r="K1308" s="66"/>
      <c r="L1308" s="68"/>
      <c r="M1308" s="63" t="str">
        <f>HYPERLINK("http://nsgreg.nga.mil/genc/view?v=868959&amp;end_month=12&amp;end_day=31&amp;end_year=2016","Correlation")</f>
        <v>Correlation</v>
      </c>
    </row>
    <row r="1309" spans="1:13" x14ac:dyDescent="0.2">
      <c r="A1309" s="113"/>
      <c r="B1309" s="58" t="s">
        <v>4288</v>
      </c>
      <c r="C1309" s="58" t="s">
        <v>4147</v>
      </c>
      <c r="D1309" s="58" t="s">
        <v>4289</v>
      </c>
      <c r="E1309" s="60" t="b">
        <v>1</v>
      </c>
      <c r="F1309" s="80" t="s">
        <v>404</v>
      </c>
      <c r="G1309" s="58" t="s">
        <v>4288</v>
      </c>
      <c r="H1309" s="58" t="s">
        <v>1728</v>
      </c>
      <c r="I1309" s="64" t="s">
        <v>4289</v>
      </c>
      <c r="J1309" s="66"/>
      <c r="K1309" s="66"/>
      <c r="L1309" s="68"/>
      <c r="M1309" s="63" t="str">
        <f>HYPERLINK("http://nsgreg.nga.mil/genc/view?v=868958&amp;end_month=12&amp;end_day=31&amp;end_year=2016","Correlation")</f>
        <v>Correlation</v>
      </c>
    </row>
    <row r="1310" spans="1:13" x14ac:dyDescent="0.2">
      <c r="A1310" s="113"/>
      <c r="B1310" s="58" t="s">
        <v>980</v>
      </c>
      <c r="C1310" s="58" t="s">
        <v>12342</v>
      </c>
      <c r="D1310" s="58" t="s">
        <v>981</v>
      </c>
      <c r="E1310" s="60" t="b">
        <v>1</v>
      </c>
      <c r="F1310" s="80" t="s">
        <v>976</v>
      </c>
      <c r="G1310" s="88"/>
      <c r="H1310" s="88"/>
      <c r="I1310" s="66"/>
      <c r="J1310" s="64" t="s">
        <v>977</v>
      </c>
      <c r="K1310" s="64" t="s">
        <v>978</v>
      </c>
      <c r="L1310" s="65" t="s">
        <v>979</v>
      </c>
      <c r="M1310" s="63" t="str">
        <f>HYPERLINK("http://nsgreg.nga.mil/genc/view?v=868938&amp;end_month=12&amp;end_day=31&amp;end_year=2016","Correlation")</f>
        <v>Correlation</v>
      </c>
    </row>
    <row r="1311" spans="1:13" x14ac:dyDescent="0.2">
      <c r="A1311" s="113"/>
      <c r="B1311" s="58" t="s">
        <v>4290</v>
      </c>
      <c r="C1311" s="58" t="s">
        <v>4147</v>
      </c>
      <c r="D1311" s="58" t="s">
        <v>4291</v>
      </c>
      <c r="E1311" s="60" t="b">
        <v>1</v>
      </c>
      <c r="F1311" s="80" t="s">
        <v>404</v>
      </c>
      <c r="G1311" s="58" t="s">
        <v>4290</v>
      </c>
      <c r="H1311" s="58" t="s">
        <v>1728</v>
      </c>
      <c r="I1311" s="64" t="s">
        <v>4291</v>
      </c>
      <c r="J1311" s="66"/>
      <c r="K1311" s="66"/>
      <c r="L1311" s="68"/>
      <c r="M1311" s="63" t="str">
        <f>HYPERLINK("http://nsgreg.nga.mil/genc/view?v=868960&amp;end_month=12&amp;end_day=31&amp;end_year=2016","Correlation")</f>
        <v>Correlation</v>
      </c>
    </row>
    <row r="1312" spans="1:13" x14ac:dyDescent="0.2">
      <c r="A1312" s="113"/>
      <c r="B1312" s="58" t="s">
        <v>4292</v>
      </c>
      <c r="C1312" s="58" t="s">
        <v>4126</v>
      </c>
      <c r="D1312" s="58" t="s">
        <v>4293</v>
      </c>
      <c r="E1312" s="60" t="b">
        <v>1</v>
      </c>
      <c r="F1312" s="80" t="s">
        <v>404</v>
      </c>
      <c r="G1312" s="58" t="s">
        <v>4292</v>
      </c>
      <c r="H1312" s="58" t="s">
        <v>2294</v>
      </c>
      <c r="I1312" s="64" t="s">
        <v>4293</v>
      </c>
      <c r="J1312" s="66"/>
      <c r="K1312" s="66"/>
      <c r="L1312" s="68"/>
      <c r="M1312" s="63" t="str">
        <f>HYPERLINK("http://nsgreg.nga.mil/genc/view?v=868896&amp;end_month=12&amp;end_day=31&amp;end_year=2016","Correlation")</f>
        <v>Correlation</v>
      </c>
    </row>
    <row r="1313" spans="1:13" x14ac:dyDescent="0.2">
      <c r="A1313" s="113"/>
      <c r="B1313" s="58" t="s">
        <v>4294</v>
      </c>
      <c r="C1313" s="58" t="s">
        <v>4126</v>
      </c>
      <c r="D1313" s="58" t="s">
        <v>4295</v>
      </c>
      <c r="E1313" s="60" t="b">
        <v>1</v>
      </c>
      <c r="F1313" s="80" t="s">
        <v>404</v>
      </c>
      <c r="G1313" s="58" t="s">
        <v>4294</v>
      </c>
      <c r="H1313" s="58" t="s">
        <v>2294</v>
      </c>
      <c r="I1313" s="64" t="s">
        <v>4295</v>
      </c>
      <c r="J1313" s="66"/>
      <c r="K1313" s="66"/>
      <c r="L1313" s="68"/>
      <c r="M1313" s="63" t="str">
        <f>HYPERLINK("http://nsgreg.nga.mil/genc/view?v=868897&amp;end_month=12&amp;end_day=31&amp;end_year=2016","Correlation")</f>
        <v>Correlation</v>
      </c>
    </row>
    <row r="1314" spans="1:13" x14ac:dyDescent="0.2">
      <c r="A1314" s="113"/>
      <c r="B1314" s="58" t="s">
        <v>4296</v>
      </c>
      <c r="C1314" s="58" t="s">
        <v>4126</v>
      </c>
      <c r="D1314" s="58" t="s">
        <v>4297</v>
      </c>
      <c r="E1314" s="60" t="b">
        <v>1</v>
      </c>
      <c r="F1314" s="80" t="s">
        <v>404</v>
      </c>
      <c r="G1314" s="58" t="s">
        <v>4296</v>
      </c>
      <c r="H1314" s="58" t="s">
        <v>2294</v>
      </c>
      <c r="I1314" s="64" t="s">
        <v>4297</v>
      </c>
      <c r="J1314" s="66"/>
      <c r="K1314" s="66"/>
      <c r="L1314" s="68"/>
      <c r="M1314" s="63" t="str">
        <f>HYPERLINK("http://nsgreg.nga.mil/genc/view?v=868911&amp;end_month=12&amp;end_day=31&amp;end_year=2016","Correlation")</f>
        <v>Correlation</v>
      </c>
    </row>
    <row r="1315" spans="1:13" x14ac:dyDescent="0.2">
      <c r="A1315" s="113"/>
      <c r="B1315" s="58" t="s">
        <v>4298</v>
      </c>
      <c r="C1315" s="58" t="s">
        <v>4126</v>
      </c>
      <c r="D1315" s="58" t="s">
        <v>4299</v>
      </c>
      <c r="E1315" s="60" t="b">
        <v>1</v>
      </c>
      <c r="F1315" s="80" t="s">
        <v>404</v>
      </c>
      <c r="G1315" s="58" t="s">
        <v>4298</v>
      </c>
      <c r="H1315" s="58" t="s">
        <v>2294</v>
      </c>
      <c r="I1315" s="64" t="s">
        <v>4299</v>
      </c>
      <c r="J1315" s="66"/>
      <c r="K1315" s="66"/>
      <c r="L1315" s="68"/>
      <c r="M1315" s="63" t="str">
        <f>HYPERLINK("http://nsgreg.nga.mil/genc/view?v=868898&amp;end_month=12&amp;end_day=31&amp;end_year=2016","Correlation")</f>
        <v>Correlation</v>
      </c>
    </row>
    <row r="1316" spans="1:13" x14ac:dyDescent="0.2">
      <c r="A1316" s="113"/>
      <c r="B1316" s="58" t="s">
        <v>4302</v>
      </c>
      <c r="C1316" s="58" t="s">
        <v>4147</v>
      </c>
      <c r="D1316" s="58" t="s">
        <v>4301</v>
      </c>
      <c r="E1316" s="60" t="b">
        <v>1</v>
      </c>
      <c r="F1316" s="80" t="s">
        <v>404</v>
      </c>
      <c r="G1316" s="58" t="s">
        <v>4300</v>
      </c>
      <c r="H1316" s="58" t="s">
        <v>1728</v>
      </c>
      <c r="I1316" s="64" t="s">
        <v>4301</v>
      </c>
      <c r="J1316" s="66"/>
      <c r="K1316" s="66"/>
      <c r="L1316" s="68"/>
      <c r="M1316" s="63" t="str">
        <f>HYPERLINK("http://nsgreg.nga.mil/genc/view?v=868962&amp;end_month=12&amp;end_day=31&amp;end_year=2016","Correlation")</f>
        <v>Correlation</v>
      </c>
    </row>
    <row r="1317" spans="1:13" x14ac:dyDescent="0.2">
      <c r="A1317" s="113"/>
      <c r="B1317" s="58" t="s">
        <v>578</v>
      </c>
      <c r="C1317" s="58" t="s">
        <v>12342</v>
      </c>
      <c r="D1317" s="58" t="s">
        <v>579</v>
      </c>
      <c r="E1317" s="60" t="b">
        <v>1</v>
      </c>
      <c r="F1317" s="80" t="s">
        <v>574</v>
      </c>
      <c r="G1317" s="88"/>
      <c r="H1317" s="88"/>
      <c r="I1317" s="66"/>
      <c r="J1317" s="64" t="s">
        <v>575</v>
      </c>
      <c r="K1317" s="64" t="s">
        <v>576</v>
      </c>
      <c r="L1317" s="65" t="s">
        <v>577</v>
      </c>
      <c r="M1317" s="63" t="str">
        <f>HYPERLINK("http://nsgreg.nga.mil/genc/view?v=868939&amp;end_month=12&amp;end_day=31&amp;end_year=2016","Correlation")</f>
        <v>Correlation</v>
      </c>
    </row>
    <row r="1318" spans="1:13" x14ac:dyDescent="0.2">
      <c r="A1318" s="113"/>
      <c r="B1318" s="58" t="s">
        <v>4305</v>
      </c>
      <c r="C1318" s="58" t="s">
        <v>4147</v>
      </c>
      <c r="D1318" s="58" t="s">
        <v>4304</v>
      </c>
      <c r="E1318" s="60" t="b">
        <v>1</v>
      </c>
      <c r="F1318" s="80" t="s">
        <v>404</v>
      </c>
      <c r="G1318" s="58" t="s">
        <v>4303</v>
      </c>
      <c r="H1318" s="58" t="s">
        <v>1728</v>
      </c>
      <c r="I1318" s="64" t="s">
        <v>4304</v>
      </c>
      <c r="J1318" s="66"/>
      <c r="K1318" s="66"/>
      <c r="L1318" s="68"/>
      <c r="M1318" s="63" t="str">
        <f>HYPERLINK("http://nsgreg.nga.mil/genc/view?v=868961&amp;end_month=12&amp;end_day=31&amp;end_year=2016","Correlation")</f>
        <v>Correlation</v>
      </c>
    </row>
    <row r="1319" spans="1:13" x14ac:dyDescent="0.2">
      <c r="A1319" s="113"/>
      <c r="B1319" s="58" t="s">
        <v>4306</v>
      </c>
      <c r="C1319" s="58" t="s">
        <v>4126</v>
      </c>
      <c r="D1319" s="58" t="s">
        <v>4307</v>
      </c>
      <c r="E1319" s="60" t="b">
        <v>1</v>
      </c>
      <c r="F1319" s="80" t="s">
        <v>404</v>
      </c>
      <c r="G1319" s="58" t="s">
        <v>4306</v>
      </c>
      <c r="H1319" s="58" t="s">
        <v>2294</v>
      </c>
      <c r="I1319" s="64" t="s">
        <v>4307</v>
      </c>
      <c r="J1319" s="66"/>
      <c r="K1319" s="66"/>
      <c r="L1319" s="68"/>
      <c r="M1319" s="63" t="str">
        <f>HYPERLINK("http://nsgreg.nga.mil/genc/view?v=868899&amp;end_month=12&amp;end_day=31&amp;end_year=2016","Correlation")</f>
        <v>Correlation</v>
      </c>
    </row>
    <row r="1320" spans="1:13" x14ac:dyDescent="0.2">
      <c r="A1320" s="113"/>
      <c r="B1320" s="58" t="s">
        <v>4308</v>
      </c>
      <c r="C1320" s="58" t="s">
        <v>4126</v>
      </c>
      <c r="D1320" s="58" t="s">
        <v>4309</v>
      </c>
      <c r="E1320" s="60" t="b">
        <v>1</v>
      </c>
      <c r="F1320" s="80" t="s">
        <v>404</v>
      </c>
      <c r="G1320" s="58" t="s">
        <v>4308</v>
      </c>
      <c r="H1320" s="58" t="s">
        <v>2294</v>
      </c>
      <c r="I1320" s="64" t="s">
        <v>4309</v>
      </c>
      <c r="J1320" s="66"/>
      <c r="K1320" s="66"/>
      <c r="L1320" s="68"/>
      <c r="M1320" s="63" t="str">
        <f>HYPERLINK("http://nsgreg.nga.mil/genc/view?v=868900&amp;end_month=12&amp;end_day=31&amp;end_year=2016","Correlation")</f>
        <v>Correlation</v>
      </c>
    </row>
    <row r="1321" spans="1:13" x14ac:dyDescent="0.2">
      <c r="A1321" s="113"/>
      <c r="B1321" s="58" t="s">
        <v>4310</v>
      </c>
      <c r="C1321" s="58" t="s">
        <v>4126</v>
      </c>
      <c r="D1321" s="58" t="s">
        <v>4311</v>
      </c>
      <c r="E1321" s="60" t="b">
        <v>1</v>
      </c>
      <c r="F1321" s="80" t="s">
        <v>404</v>
      </c>
      <c r="G1321" s="58" t="s">
        <v>4310</v>
      </c>
      <c r="H1321" s="58" t="s">
        <v>2294</v>
      </c>
      <c r="I1321" s="64" t="s">
        <v>4311</v>
      </c>
      <c r="J1321" s="66"/>
      <c r="K1321" s="66"/>
      <c r="L1321" s="68"/>
      <c r="M1321" s="63" t="str">
        <f>HYPERLINK("http://nsgreg.nga.mil/genc/view?v=868902&amp;end_month=12&amp;end_day=31&amp;end_year=2016","Correlation")</f>
        <v>Correlation</v>
      </c>
    </row>
    <row r="1322" spans="1:13" x14ac:dyDescent="0.2">
      <c r="A1322" s="113"/>
      <c r="B1322" s="58" t="s">
        <v>4312</v>
      </c>
      <c r="C1322" s="58" t="s">
        <v>4126</v>
      </c>
      <c r="D1322" s="58" t="s">
        <v>4313</v>
      </c>
      <c r="E1322" s="60" t="b">
        <v>1</v>
      </c>
      <c r="F1322" s="80" t="s">
        <v>404</v>
      </c>
      <c r="G1322" s="58" t="s">
        <v>4312</v>
      </c>
      <c r="H1322" s="58" t="s">
        <v>2294</v>
      </c>
      <c r="I1322" s="64" t="s">
        <v>4313</v>
      </c>
      <c r="J1322" s="66"/>
      <c r="K1322" s="66"/>
      <c r="L1322" s="68"/>
      <c r="M1322" s="63" t="str">
        <f>HYPERLINK("http://nsgreg.nga.mil/genc/view?v=868905&amp;end_month=12&amp;end_day=31&amp;end_year=2016","Correlation")</f>
        <v>Correlation</v>
      </c>
    </row>
    <row r="1323" spans="1:13" x14ac:dyDescent="0.2">
      <c r="A1323" s="113"/>
      <c r="B1323" s="58" t="s">
        <v>1115</v>
      </c>
      <c r="C1323" s="58" t="s">
        <v>12342</v>
      </c>
      <c r="D1323" s="58" t="s">
        <v>1116</v>
      </c>
      <c r="E1323" s="60" t="b">
        <v>1</v>
      </c>
      <c r="F1323" s="80" t="s">
        <v>1110</v>
      </c>
      <c r="G1323" s="88"/>
      <c r="H1323" s="88"/>
      <c r="I1323" s="66"/>
      <c r="J1323" s="64" t="s">
        <v>1111</v>
      </c>
      <c r="K1323" s="64" t="s">
        <v>1112</v>
      </c>
      <c r="L1323" s="65" t="s">
        <v>1113</v>
      </c>
      <c r="M1323" s="63" t="str">
        <f>HYPERLINK("http://nsgreg.nga.mil/genc/view?v=868932&amp;end_month=12&amp;end_day=31&amp;end_year=2016","Correlation")</f>
        <v>Correlation</v>
      </c>
    </row>
    <row r="1324" spans="1:13" x14ac:dyDescent="0.2">
      <c r="A1324" s="113"/>
      <c r="B1324" s="58" t="s">
        <v>1135</v>
      </c>
      <c r="C1324" s="58" t="s">
        <v>12342</v>
      </c>
      <c r="D1324" s="58" t="s">
        <v>1136</v>
      </c>
      <c r="E1324" s="60" t="b">
        <v>1</v>
      </c>
      <c r="F1324" s="80" t="s">
        <v>1130</v>
      </c>
      <c r="G1324" s="88"/>
      <c r="H1324" s="88"/>
      <c r="I1324" s="66"/>
      <c r="J1324" s="64" t="s">
        <v>1131</v>
      </c>
      <c r="K1324" s="64" t="s">
        <v>1132</v>
      </c>
      <c r="L1324" s="65" t="s">
        <v>1133</v>
      </c>
      <c r="M1324" s="63" t="str">
        <f>HYPERLINK("http://nsgreg.nga.mil/genc/view?v=868936&amp;end_month=12&amp;end_day=31&amp;end_year=2016","Correlation")</f>
        <v>Correlation</v>
      </c>
    </row>
    <row r="1325" spans="1:13" x14ac:dyDescent="0.2">
      <c r="A1325" s="113"/>
      <c r="B1325" s="58" t="s">
        <v>1141</v>
      </c>
      <c r="C1325" s="58" t="s">
        <v>12342</v>
      </c>
      <c r="D1325" s="58" t="s">
        <v>1142</v>
      </c>
      <c r="E1325" s="60" t="b">
        <v>1</v>
      </c>
      <c r="F1325" s="80" t="s">
        <v>1137</v>
      </c>
      <c r="G1325" s="88"/>
      <c r="H1325" s="88"/>
      <c r="I1325" s="66"/>
      <c r="J1325" s="64" t="s">
        <v>1138</v>
      </c>
      <c r="K1325" s="64" t="s">
        <v>1139</v>
      </c>
      <c r="L1325" s="65" t="s">
        <v>1140</v>
      </c>
      <c r="M1325" s="63" t="str">
        <f>HYPERLINK("http://nsgreg.nga.mil/genc/view?v=868940&amp;end_month=12&amp;end_day=31&amp;end_year=2016","Correlation")</f>
        <v>Correlation</v>
      </c>
    </row>
    <row r="1326" spans="1:13" x14ac:dyDescent="0.2">
      <c r="A1326" s="113"/>
      <c r="B1326" s="58" t="s">
        <v>4314</v>
      </c>
      <c r="C1326" s="58" t="s">
        <v>4126</v>
      </c>
      <c r="D1326" s="58" t="s">
        <v>4315</v>
      </c>
      <c r="E1326" s="60" t="b">
        <v>1</v>
      </c>
      <c r="F1326" s="80" t="s">
        <v>404</v>
      </c>
      <c r="G1326" s="58" t="s">
        <v>4314</v>
      </c>
      <c r="H1326" s="58" t="s">
        <v>2294</v>
      </c>
      <c r="I1326" s="64" t="s">
        <v>4315</v>
      </c>
      <c r="J1326" s="66"/>
      <c r="K1326" s="66"/>
      <c r="L1326" s="68"/>
      <c r="M1326" s="63" t="str">
        <f>HYPERLINK("http://nsgreg.nga.mil/genc/view?v=868907&amp;end_month=12&amp;end_day=31&amp;end_year=2016","Correlation")</f>
        <v>Correlation</v>
      </c>
    </row>
    <row r="1327" spans="1:13" x14ac:dyDescent="0.2">
      <c r="A1327" s="113"/>
      <c r="B1327" s="58" t="s">
        <v>4316</v>
      </c>
      <c r="C1327" s="58" t="s">
        <v>4126</v>
      </c>
      <c r="D1327" s="58" t="s">
        <v>4317</v>
      </c>
      <c r="E1327" s="60" t="b">
        <v>1</v>
      </c>
      <c r="F1327" s="80" t="s">
        <v>404</v>
      </c>
      <c r="G1327" s="58" t="s">
        <v>4316</v>
      </c>
      <c r="H1327" s="58" t="s">
        <v>2294</v>
      </c>
      <c r="I1327" s="64" t="s">
        <v>4317</v>
      </c>
      <c r="J1327" s="66"/>
      <c r="K1327" s="66"/>
      <c r="L1327" s="68"/>
      <c r="M1327" s="63" t="str">
        <f>HYPERLINK("http://nsgreg.nga.mil/genc/view?v=868908&amp;end_month=12&amp;end_day=31&amp;end_year=2016","Correlation")</f>
        <v>Correlation</v>
      </c>
    </row>
    <row r="1328" spans="1:13" x14ac:dyDescent="0.2">
      <c r="A1328" s="113"/>
      <c r="B1328" s="58" t="s">
        <v>4318</v>
      </c>
      <c r="C1328" s="58" t="s">
        <v>4126</v>
      </c>
      <c r="D1328" s="58" t="s">
        <v>4319</v>
      </c>
      <c r="E1328" s="60" t="b">
        <v>1</v>
      </c>
      <c r="F1328" s="80" t="s">
        <v>404</v>
      </c>
      <c r="G1328" s="58" t="s">
        <v>4318</v>
      </c>
      <c r="H1328" s="58" t="s">
        <v>2294</v>
      </c>
      <c r="I1328" s="64" t="s">
        <v>4319</v>
      </c>
      <c r="J1328" s="66"/>
      <c r="K1328" s="66"/>
      <c r="L1328" s="68"/>
      <c r="M1328" s="63" t="str">
        <f>HYPERLINK("http://nsgreg.nga.mil/genc/view?v=868909&amp;end_month=12&amp;end_day=31&amp;end_year=2016","Correlation")</f>
        <v>Correlation</v>
      </c>
    </row>
    <row r="1329" spans="1:13" x14ac:dyDescent="0.2">
      <c r="A1329" s="113"/>
      <c r="B1329" s="58" t="s">
        <v>4320</v>
      </c>
      <c r="C1329" s="58" t="s">
        <v>4126</v>
      </c>
      <c r="D1329" s="58" t="s">
        <v>4321</v>
      </c>
      <c r="E1329" s="60" t="b">
        <v>1</v>
      </c>
      <c r="F1329" s="80" t="s">
        <v>404</v>
      </c>
      <c r="G1329" s="58" t="s">
        <v>4320</v>
      </c>
      <c r="H1329" s="58" t="s">
        <v>2294</v>
      </c>
      <c r="I1329" s="64" t="s">
        <v>4321</v>
      </c>
      <c r="J1329" s="66"/>
      <c r="K1329" s="66"/>
      <c r="L1329" s="68"/>
      <c r="M1329" s="63" t="str">
        <f>HYPERLINK("http://nsgreg.nga.mil/genc/view?v=868913&amp;end_month=12&amp;end_day=31&amp;end_year=2016","Correlation")</f>
        <v>Correlation</v>
      </c>
    </row>
    <row r="1330" spans="1:13" x14ac:dyDescent="0.2">
      <c r="A1330" s="113"/>
      <c r="B1330" s="58" t="s">
        <v>4322</v>
      </c>
      <c r="C1330" s="58" t="s">
        <v>4126</v>
      </c>
      <c r="D1330" s="58" t="s">
        <v>4323</v>
      </c>
      <c r="E1330" s="60" t="b">
        <v>1</v>
      </c>
      <c r="F1330" s="80" t="s">
        <v>404</v>
      </c>
      <c r="G1330" s="58" t="s">
        <v>4322</v>
      </c>
      <c r="H1330" s="58" t="s">
        <v>2294</v>
      </c>
      <c r="I1330" s="64" t="s">
        <v>4323</v>
      </c>
      <c r="J1330" s="66"/>
      <c r="K1330" s="66"/>
      <c r="L1330" s="68"/>
      <c r="M1330" s="63" t="str">
        <f>HYPERLINK("http://nsgreg.nga.mil/genc/view?v=868912&amp;end_month=12&amp;end_day=31&amp;end_year=2016","Correlation")</f>
        <v>Correlation</v>
      </c>
    </row>
    <row r="1331" spans="1:13" x14ac:dyDescent="0.2">
      <c r="A1331" s="113"/>
      <c r="B1331" s="58" t="s">
        <v>4324</v>
      </c>
      <c r="C1331" s="58" t="s">
        <v>4126</v>
      </c>
      <c r="D1331" s="58" t="s">
        <v>4325</v>
      </c>
      <c r="E1331" s="60" t="b">
        <v>1</v>
      </c>
      <c r="F1331" s="80" t="s">
        <v>404</v>
      </c>
      <c r="G1331" s="58" t="s">
        <v>4324</v>
      </c>
      <c r="H1331" s="58" t="s">
        <v>2294</v>
      </c>
      <c r="I1331" s="64" t="s">
        <v>4325</v>
      </c>
      <c r="J1331" s="66"/>
      <c r="K1331" s="66"/>
      <c r="L1331" s="68"/>
      <c r="M1331" s="63" t="str">
        <f>HYPERLINK("http://nsgreg.nga.mil/genc/view?v=868929&amp;end_month=12&amp;end_day=31&amp;end_year=2016","Correlation")</f>
        <v>Correlation</v>
      </c>
    </row>
    <row r="1332" spans="1:13" x14ac:dyDescent="0.2">
      <c r="A1332" s="113"/>
      <c r="B1332" s="58" t="s">
        <v>4326</v>
      </c>
      <c r="C1332" s="58" t="s">
        <v>4126</v>
      </c>
      <c r="D1332" s="58" t="s">
        <v>4327</v>
      </c>
      <c r="E1332" s="60" t="b">
        <v>1</v>
      </c>
      <c r="F1332" s="80" t="s">
        <v>404</v>
      </c>
      <c r="G1332" s="58" t="s">
        <v>4326</v>
      </c>
      <c r="H1332" s="58" t="s">
        <v>2294</v>
      </c>
      <c r="I1332" s="64" t="s">
        <v>4327</v>
      </c>
      <c r="J1332" s="66"/>
      <c r="K1332" s="66"/>
      <c r="L1332" s="68"/>
      <c r="M1332" s="63" t="str">
        <f>HYPERLINK("http://nsgreg.nga.mil/genc/view?v=868916&amp;end_month=12&amp;end_day=31&amp;end_year=2016","Correlation")</f>
        <v>Correlation</v>
      </c>
    </row>
    <row r="1333" spans="1:13" x14ac:dyDescent="0.2">
      <c r="A1333" s="113"/>
      <c r="B1333" s="58" t="s">
        <v>4328</v>
      </c>
      <c r="C1333" s="58" t="s">
        <v>4126</v>
      </c>
      <c r="D1333" s="58" t="s">
        <v>4329</v>
      </c>
      <c r="E1333" s="60" t="b">
        <v>1</v>
      </c>
      <c r="F1333" s="80" t="s">
        <v>404</v>
      </c>
      <c r="G1333" s="58" t="s">
        <v>4328</v>
      </c>
      <c r="H1333" s="58" t="s">
        <v>2294</v>
      </c>
      <c r="I1333" s="64" t="s">
        <v>4329</v>
      </c>
      <c r="J1333" s="66"/>
      <c r="K1333" s="66"/>
      <c r="L1333" s="68"/>
      <c r="M1333" s="63" t="str">
        <f>HYPERLINK("http://nsgreg.nga.mil/genc/view?v=868917&amp;end_month=12&amp;end_day=31&amp;end_year=2016","Correlation")</f>
        <v>Correlation</v>
      </c>
    </row>
    <row r="1334" spans="1:13" x14ac:dyDescent="0.2">
      <c r="A1334" s="113"/>
      <c r="B1334" s="58" t="s">
        <v>4330</v>
      </c>
      <c r="C1334" s="58" t="s">
        <v>4126</v>
      </c>
      <c r="D1334" s="58" t="s">
        <v>4331</v>
      </c>
      <c r="E1334" s="60" t="b">
        <v>1</v>
      </c>
      <c r="F1334" s="80" t="s">
        <v>404</v>
      </c>
      <c r="G1334" s="58" t="s">
        <v>4330</v>
      </c>
      <c r="H1334" s="58" t="s">
        <v>2294</v>
      </c>
      <c r="I1334" s="64" t="s">
        <v>4331</v>
      </c>
      <c r="J1334" s="66"/>
      <c r="K1334" s="66"/>
      <c r="L1334" s="68"/>
      <c r="M1334" s="63" t="str">
        <f>HYPERLINK("http://nsgreg.nga.mil/genc/view?v=868918&amp;end_month=12&amp;end_day=31&amp;end_year=2016","Correlation")</f>
        <v>Correlation</v>
      </c>
    </row>
    <row r="1335" spans="1:13" x14ac:dyDescent="0.2">
      <c r="A1335" s="113"/>
      <c r="B1335" s="58" t="s">
        <v>269</v>
      </c>
      <c r="C1335" s="58" t="s">
        <v>12342</v>
      </c>
      <c r="D1335" s="58" t="s">
        <v>270</v>
      </c>
      <c r="E1335" s="67" t="b">
        <v>0</v>
      </c>
      <c r="F1335" s="80" t="s">
        <v>261</v>
      </c>
      <c r="G1335" s="88"/>
      <c r="H1335" s="88"/>
      <c r="I1335" s="66"/>
      <c r="J1335" s="64" t="s">
        <v>262</v>
      </c>
      <c r="K1335" s="64" t="s">
        <v>263</v>
      </c>
      <c r="L1335" s="65" t="s">
        <v>264</v>
      </c>
      <c r="M1335" s="63" t="str">
        <f>HYPERLINK("http://nsgreg.nga.mil/genc/view?v=868942&amp;end_month=12&amp;end_day=31&amp;end_year=2016","Correlation")</f>
        <v>Correlation</v>
      </c>
    </row>
    <row r="1336" spans="1:13" x14ac:dyDescent="0.2">
      <c r="A1336" s="113"/>
      <c r="B1336" s="58" t="s">
        <v>269</v>
      </c>
      <c r="C1336" s="58" t="s">
        <v>12342</v>
      </c>
      <c r="D1336" s="58" t="s">
        <v>270</v>
      </c>
      <c r="E1336" s="67" t="b">
        <v>0</v>
      </c>
      <c r="F1336" s="80" t="s">
        <v>543</v>
      </c>
      <c r="G1336" s="88"/>
      <c r="H1336" s="88"/>
      <c r="I1336" s="66"/>
      <c r="J1336" s="64" t="s">
        <v>544</v>
      </c>
      <c r="K1336" s="64" t="s">
        <v>545</v>
      </c>
      <c r="L1336" s="65" t="s">
        <v>546</v>
      </c>
      <c r="M1336" s="63" t="str">
        <f>HYPERLINK("http://nsgreg.nga.mil/genc/view?v=868943&amp;end_month=12&amp;end_day=31&amp;end_year=2016","Correlation")</f>
        <v>Correlation</v>
      </c>
    </row>
    <row r="1337" spans="1:13" x14ac:dyDescent="0.2">
      <c r="A1337" s="113"/>
      <c r="B1337" s="58" t="s">
        <v>269</v>
      </c>
      <c r="C1337" s="58" t="s">
        <v>12342</v>
      </c>
      <c r="D1337" s="58" t="s">
        <v>270</v>
      </c>
      <c r="E1337" s="67" t="b">
        <v>0</v>
      </c>
      <c r="F1337" s="80" t="s">
        <v>580</v>
      </c>
      <c r="G1337" s="88"/>
      <c r="H1337" s="88"/>
      <c r="I1337" s="66"/>
      <c r="J1337" s="64" t="s">
        <v>266</v>
      </c>
      <c r="K1337" s="64" t="s">
        <v>267</v>
      </c>
      <c r="L1337" s="65" t="s">
        <v>268</v>
      </c>
      <c r="M1337" s="63" t="str">
        <f>HYPERLINK("http://nsgreg.nga.mil/genc/view?v=868944&amp;end_month=12&amp;end_day=31&amp;end_year=2016","Correlation")</f>
        <v>Correlation</v>
      </c>
    </row>
    <row r="1338" spans="1:13" x14ac:dyDescent="0.2">
      <c r="A1338" s="113"/>
      <c r="B1338" s="58" t="s">
        <v>269</v>
      </c>
      <c r="C1338" s="58" t="s">
        <v>12342</v>
      </c>
      <c r="D1338" s="58" t="s">
        <v>270</v>
      </c>
      <c r="E1338" s="67" t="b">
        <v>0</v>
      </c>
      <c r="F1338" s="80" t="s">
        <v>614</v>
      </c>
      <c r="G1338" s="88"/>
      <c r="H1338" s="88"/>
      <c r="I1338" s="66"/>
      <c r="J1338" s="64" t="s">
        <v>615</v>
      </c>
      <c r="K1338" s="64" t="s">
        <v>616</v>
      </c>
      <c r="L1338" s="65" t="s">
        <v>617</v>
      </c>
      <c r="M1338" s="63" t="str">
        <f>HYPERLINK("http://nsgreg.nga.mil/genc/view?v=868945&amp;end_month=12&amp;end_day=31&amp;end_year=2016","Correlation")</f>
        <v>Correlation</v>
      </c>
    </row>
    <row r="1339" spans="1:13" x14ac:dyDescent="0.2">
      <c r="A1339" s="113"/>
      <c r="B1339" s="58" t="s">
        <v>269</v>
      </c>
      <c r="C1339" s="58" t="s">
        <v>12342</v>
      </c>
      <c r="D1339" s="58" t="s">
        <v>270</v>
      </c>
      <c r="E1339" s="67" t="b">
        <v>0</v>
      </c>
      <c r="F1339" s="80" t="s">
        <v>770</v>
      </c>
      <c r="G1339" s="88"/>
      <c r="H1339" s="88"/>
      <c r="I1339" s="66"/>
      <c r="J1339" s="64" t="s">
        <v>771</v>
      </c>
      <c r="K1339" s="64" t="s">
        <v>772</v>
      </c>
      <c r="L1339" s="65" t="s">
        <v>773</v>
      </c>
      <c r="M1339" s="63" t="str">
        <f>HYPERLINK("http://nsgreg.nga.mil/genc/view?v=868946&amp;end_month=12&amp;end_day=31&amp;end_year=2016","Correlation")</f>
        <v>Correlation</v>
      </c>
    </row>
    <row r="1340" spans="1:13" x14ac:dyDescent="0.2">
      <c r="A1340" s="113"/>
      <c r="B1340" s="58" t="s">
        <v>269</v>
      </c>
      <c r="C1340" s="58" t="s">
        <v>12342</v>
      </c>
      <c r="D1340" s="58" t="s">
        <v>270</v>
      </c>
      <c r="E1340" s="67" t="b">
        <v>0</v>
      </c>
      <c r="F1340" s="80" t="s">
        <v>1296</v>
      </c>
      <c r="G1340" s="88"/>
      <c r="H1340" s="88"/>
      <c r="I1340" s="66"/>
      <c r="J1340" s="64" t="s">
        <v>1297</v>
      </c>
      <c r="K1340" s="64" t="s">
        <v>1298</v>
      </c>
      <c r="L1340" s="65" t="s">
        <v>1299</v>
      </c>
      <c r="M1340" s="63" t="str">
        <f>HYPERLINK("http://nsgreg.nga.mil/genc/view?v=868947&amp;end_month=12&amp;end_day=31&amp;end_year=2016","Correlation")</f>
        <v>Correlation</v>
      </c>
    </row>
    <row r="1341" spans="1:13" x14ac:dyDescent="0.2">
      <c r="A1341" s="113"/>
      <c r="B1341" s="58" t="s">
        <v>4154</v>
      </c>
      <c r="C1341" s="58" t="s">
        <v>4126</v>
      </c>
      <c r="D1341" s="58" t="s">
        <v>4153</v>
      </c>
      <c r="E1341" s="60" t="b">
        <v>1</v>
      </c>
      <c r="F1341" s="80" t="s">
        <v>404</v>
      </c>
      <c r="G1341" s="58" t="s">
        <v>4152</v>
      </c>
      <c r="H1341" s="58" t="s">
        <v>2294</v>
      </c>
      <c r="I1341" s="64" t="s">
        <v>4153</v>
      </c>
      <c r="J1341" s="66"/>
      <c r="K1341" s="66"/>
      <c r="L1341" s="68"/>
      <c r="M1341" s="63" t="str">
        <f>HYPERLINK("http://nsgreg.nga.mil/genc/view?v=868926&amp;end_month=12&amp;end_day=31&amp;end_year=2016","Correlation")</f>
        <v>Correlation</v>
      </c>
    </row>
    <row r="1342" spans="1:13" x14ac:dyDescent="0.2">
      <c r="A1342" s="113"/>
      <c r="B1342" s="58" t="s">
        <v>4332</v>
      </c>
      <c r="C1342" s="58" t="s">
        <v>4126</v>
      </c>
      <c r="D1342" s="58" t="s">
        <v>4333</v>
      </c>
      <c r="E1342" s="60" t="b">
        <v>1</v>
      </c>
      <c r="F1342" s="80" t="s">
        <v>404</v>
      </c>
      <c r="G1342" s="58" t="s">
        <v>4332</v>
      </c>
      <c r="H1342" s="58" t="s">
        <v>2294</v>
      </c>
      <c r="I1342" s="64" t="s">
        <v>4333</v>
      </c>
      <c r="J1342" s="66"/>
      <c r="K1342" s="66"/>
      <c r="L1342" s="68"/>
      <c r="M1342" s="63" t="str">
        <f>HYPERLINK("http://nsgreg.nga.mil/genc/view?v=868930&amp;end_month=12&amp;end_day=31&amp;end_year=2016","Correlation")</f>
        <v>Correlation</v>
      </c>
    </row>
    <row r="1343" spans="1:13" x14ac:dyDescent="0.2">
      <c r="A1343" s="113"/>
      <c r="B1343" s="58" t="s">
        <v>4336</v>
      </c>
      <c r="C1343" s="58" t="s">
        <v>4126</v>
      </c>
      <c r="D1343" s="58" t="s">
        <v>4335</v>
      </c>
      <c r="E1343" s="60" t="b">
        <v>1</v>
      </c>
      <c r="F1343" s="80" t="s">
        <v>404</v>
      </c>
      <c r="G1343" s="58" t="s">
        <v>4334</v>
      </c>
      <c r="H1343" s="58" t="s">
        <v>2294</v>
      </c>
      <c r="I1343" s="64" t="s">
        <v>4335</v>
      </c>
      <c r="J1343" s="66"/>
      <c r="K1343" s="66"/>
      <c r="L1343" s="68"/>
      <c r="M1343" s="63" t="str">
        <f>HYPERLINK("http://nsgreg.nga.mil/genc/view?v=868931&amp;end_month=12&amp;end_day=31&amp;end_year=2016","Correlation")</f>
        <v>Correlation</v>
      </c>
    </row>
    <row r="1344" spans="1:13" x14ac:dyDescent="0.2">
      <c r="A1344" s="113"/>
      <c r="B1344" s="58" t="s">
        <v>4337</v>
      </c>
      <c r="C1344" s="58" t="s">
        <v>4126</v>
      </c>
      <c r="D1344" s="58" t="s">
        <v>4338</v>
      </c>
      <c r="E1344" s="60" t="b">
        <v>1</v>
      </c>
      <c r="F1344" s="80" t="s">
        <v>404</v>
      </c>
      <c r="G1344" s="58" t="s">
        <v>4337</v>
      </c>
      <c r="H1344" s="58" t="s">
        <v>2294</v>
      </c>
      <c r="I1344" s="64" t="s">
        <v>4338</v>
      </c>
      <c r="J1344" s="66"/>
      <c r="K1344" s="66"/>
      <c r="L1344" s="68"/>
      <c r="M1344" s="63" t="str">
        <f>HYPERLINK("http://nsgreg.nga.mil/genc/view?v=868919&amp;end_month=12&amp;end_day=31&amp;end_year=2016","Correlation")</f>
        <v>Correlation</v>
      </c>
    </row>
    <row r="1345" spans="1:13" x14ac:dyDescent="0.2">
      <c r="A1345" s="113"/>
      <c r="B1345" s="58" t="s">
        <v>4339</v>
      </c>
      <c r="C1345" s="58" t="s">
        <v>4126</v>
      </c>
      <c r="D1345" s="58" t="s">
        <v>4340</v>
      </c>
      <c r="E1345" s="60" t="b">
        <v>1</v>
      </c>
      <c r="F1345" s="80" t="s">
        <v>404</v>
      </c>
      <c r="G1345" s="58" t="s">
        <v>4339</v>
      </c>
      <c r="H1345" s="58" t="s">
        <v>2294</v>
      </c>
      <c r="I1345" s="64" t="s">
        <v>4340</v>
      </c>
      <c r="J1345" s="66"/>
      <c r="K1345" s="66"/>
      <c r="L1345" s="68"/>
      <c r="M1345" s="63" t="str">
        <f>HYPERLINK("http://nsgreg.nga.mil/genc/view?v=868920&amp;end_month=12&amp;end_day=31&amp;end_year=2016","Correlation")</f>
        <v>Correlation</v>
      </c>
    </row>
    <row r="1346" spans="1:13" x14ac:dyDescent="0.2">
      <c r="A1346" s="113"/>
      <c r="B1346" s="58" t="s">
        <v>4341</v>
      </c>
      <c r="C1346" s="58" t="s">
        <v>4126</v>
      </c>
      <c r="D1346" s="58" t="s">
        <v>4342</v>
      </c>
      <c r="E1346" s="60" t="b">
        <v>1</v>
      </c>
      <c r="F1346" s="80" t="s">
        <v>404</v>
      </c>
      <c r="G1346" s="58" t="s">
        <v>4341</v>
      </c>
      <c r="H1346" s="58" t="s">
        <v>2294</v>
      </c>
      <c r="I1346" s="64" t="s">
        <v>4342</v>
      </c>
      <c r="J1346" s="66"/>
      <c r="K1346" s="66"/>
      <c r="L1346" s="68"/>
      <c r="M1346" s="63" t="str">
        <f>HYPERLINK("http://nsgreg.nga.mil/genc/view?v=868921&amp;end_month=12&amp;end_day=31&amp;end_year=2016","Correlation")</f>
        <v>Correlation</v>
      </c>
    </row>
    <row r="1347" spans="1:13" x14ac:dyDescent="0.2">
      <c r="A1347" s="113"/>
      <c r="B1347" s="58" t="s">
        <v>4343</v>
      </c>
      <c r="C1347" s="58" t="s">
        <v>4126</v>
      </c>
      <c r="D1347" s="58" t="s">
        <v>4344</v>
      </c>
      <c r="E1347" s="60" t="b">
        <v>1</v>
      </c>
      <c r="F1347" s="80" t="s">
        <v>404</v>
      </c>
      <c r="G1347" s="58" t="s">
        <v>4343</v>
      </c>
      <c r="H1347" s="58" t="s">
        <v>2294</v>
      </c>
      <c r="I1347" s="64" t="s">
        <v>4344</v>
      </c>
      <c r="J1347" s="66"/>
      <c r="K1347" s="66"/>
      <c r="L1347" s="68"/>
      <c r="M1347" s="63" t="str">
        <f>HYPERLINK("http://nsgreg.nga.mil/genc/view?v=868922&amp;end_month=12&amp;end_day=31&amp;end_year=2016","Correlation")</f>
        <v>Correlation</v>
      </c>
    </row>
    <row r="1348" spans="1:13" x14ac:dyDescent="0.2">
      <c r="A1348" s="113"/>
      <c r="B1348" s="58" t="s">
        <v>4345</v>
      </c>
      <c r="C1348" s="58" t="s">
        <v>4126</v>
      </c>
      <c r="D1348" s="58" t="s">
        <v>4346</v>
      </c>
      <c r="E1348" s="60" t="b">
        <v>1</v>
      </c>
      <c r="F1348" s="80" t="s">
        <v>404</v>
      </c>
      <c r="G1348" s="58" t="s">
        <v>4345</v>
      </c>
      <c r="H1348" s="58" t="s">
        <v>2294</v>
      </c>
      <c r="I1348" s="64" t="s">
        <v>4346</v>
      </c>
      <c r="J1348" s="66"/>
      <c r="K1348" s="66"/>
      <c r="L1348" s="68"/>
      <c r="M1348" s="63" t="str">
        <f>HYPERLINK("http://nsgreg.nga.mil/genc/view?v=868924&amp;end_month=12&amp;end_day=31&amp;end_year=2016","Correlation")</f>
        <v>Correlation</v>
      </c>
    </row>
    <row r="1349" spans="1:13" x14ac:dyDescent="0.2">
      <c r="A1349" s="113"/>
      <c r="B1349" s="58" t="s">
        <v>1389</v>
      </c>
      <c r="C1349" s="58" t="s">
        <v>12342</v>
      </c>
      <c r="D1349" s="58" t="s">
        <v>1390</v>
      </c>
      <c r="E1349" s="60" t="b">
        <v>1</v>
      </c>
      <c r="F1349" s="80" t="s">
        <v>1385</v>
      </c>
      <c r="G1349" s="88"/>
      <c r="H1349" s="88"/>
      <c r="I1349" s="66"/>
      <c r="J1349" s="64" t="s">
        <v>1386</v>
      </c>
      <c r="K1349" s="64" t="s">
        <v>1387</v>
      </c>
      <c r="L1349" s="65" t="s">
        <v>1388</v>
      </c>
      <c r="M1349" s="63" t="str">
        <f>HYPERLINK("http://nsgreg.nga.mil/genc/view?v=868948&amp;end_month=12&amp;end_day=31&amp;end_year=2016","Correlation")</f>
        <v>Correlation</v>
      </c>
    </row>
    <row r="1350" spans="1:13" x14ac:dyDescent="0.2">
      <c r="A1350" s="113"/>
      <c r="B1350" s="58" t="s">
        <v>4347</v>
      </c>
      <c r="C1350" s="58" t="s">
        <v>4126</v>
      </c>
      <c r="D1350" s="58" t="s">
        <v>4348</v>
      </c>
      <c r="E1350" s="60" t="b">
        <v>1</v>
      </c>
      <c r="F1350" s="80" t="s">
        <v>404</v>
      </c>
      <c r="G1350" s="58" t="s">
        <v>4347</v>
      </c>
      <c r="H1350" s="58" t="s">
        <v>2294</v>
      </c>
      <c r="I1350" s="64" t="s">
        <v>4348</v>
      </c>
      <c r="J1350" s="66"/>
      <c r="K1350" s="66"/>
      <c r="L1350" s="68"/>
      <c r="M1350" s="63" t="str">
        <f>HYPERLINK("http://nsgreg.nga.mil/genc/view?v=868925&amp;end_month=12&amp;end_day=31&amp;end_year=2016","Correlation")</f>
        <v>Correlation</v>
      </c>
    </row>
    <row r="1351" spans="1:13" x14ac:dyDescent="0.2">
      <c r="A1351" s="114"/>
      <c r="B1351" s="71" t="s">
        <v>4349</v>
      </c>
      <c r="C1351" s="71" t="s">
        <v>4126</v>
      </c>
      <c r="D1351" s="71" t="s">
        <v>4350</v>
      </c>
      <c r="E1351" s="73" t="b">
        <v>1</v>
      </c>
      <c r="F1351" s="81" t="s">
        <v>404</v>
      </c>
      <c r="G1351" s="71" t="s">
        <v>4349</v>
      </c>
      <c r="H1351" s="71" t="s">
        <v>2294</v>
      </c>
      <c r="I1351" s="74" t="s">
        <v>4350</v>
      </c>
      <c r="J1351" s="76"/>
      <c r="K1351" s="76"/>
      <c r="L1351" s="82"/>
      <c r="M1351" s="77" t="str">
        <f>HYPERLINK("http://nsgreg.nga.mil/genc/view?v=868914&amp;end_month=12&amp;end_day=31&amp;end_year=2016","Correlation")</f>
        <v>Correlation</v>
      </c>
    </row>
    <row r="1352" spans="1:13" x14ac:dyDescent="0.2">
      <c r="A1352" s="112" t="s">
        <v>581</v>
      </c>
      <c r="B1352" s="50" t="s">
        <v>4362</v>
      </c>
      <c r="C1352" s="50" t="s">
        <v>1413</v>
      </c>
      <c r="D1352" s="50" t="s">
        <v>4363</v>
      </c>
      <c r="E1352" s="52" t="b">
        <v>1</v>
      </c>
      <c r="F1352" s="78" t="s">
        <v>581</v>
      </c>
      <c r="G1352" s="50" t="s">
        <v>4362</v>
      </c>
      <c r="H1352" s="50" t="s">
        <v>1413</v>
      </c>
      <c r="I1352" s="53" t="s">
        <v>4363</v>
      </c>
      <c r="J1352" s="55"/>
      <c r="K1352" s="55"/>
      <c r="L1352" s="79"/>
      <c r="M1352" s="56" t="str">
        <f>HYPERLINK("http://nsgreg.nga.mil/genc/view?v=868966&amp;end_month=12&amp;end_day=31&amp;end_year=2016","Correlation")</f>
        <v>Correlation</v>
      </c>
    </row>
    <row r="1353" spans="1:13" x14ac:dyDescent="0.2">
      <c r="A1353" s="113"/>
      <c r="B1353" s="58" t="s">
        <v>4364</v>
      </c>
      <c r="C1353" s="58" t="s">
        <v>1413</v>
      </c>
      <c r="D1353" s="58" t="s">
        <v>4365</v>
      </c>
      <c r="E1353" s="60" t="b">
        <v>1</v>
      </c>
      <c r="F1353" s="80" t="s">
        <v>581</v>
      </c>
      <c r="G1353" s="58" t="s">
        <v>4364</v>
      </c>
      <c r="H1353" s="58" t="s">
        <v>1413</v>
      </c>
      <c r="I1353" s="64" t="s">
        <v>4365</v>
      </c>
      <c r="J1353" s="66"/>
      <c r="K1353" s="66"/>
      <c r="L1353" s="68"/>
      <c r="M1353" s="63" t="str">
        <f>HYPERLINK("http://nsgreg.nga.mil/genc/view?v=868967&amp;end_month=12&amp;end_day=31&amp;end_year=2016","Correlation")</f>
        <v>Correlation</v>
      </c>
    </row>
    <row r="1354" spans="1:13" x14ac:dyDescent="0.2">
      <c r="A1354" s="113"/>
      <c r="B1354" s="58" t="s">
        <v>4366</v>
      </c>
      <c r="C1354" s="58" t="s">
        <v>1413</v>
      </c>
      <c r="D1354" s="58" t="s">
        <v>4367</v>
      </c>
      <c r="E1354" s="60" t="b">
        <v>1</v>
      </c>
      <c r="F1354" s="80" t="s">
        <v>581</v>
      </c>
      <c r="G1354" s="58" t="s">
        <v>4366</v>
      </c>
      <c r="H1354" s="58" t="s">
        <v>1413</v>
      </c>
      <c r="I1354" s="64" t="s">
        <v>4367</v>
      </c>
      <c r="J1354" s="66"/>
      <c r="K1354" s="66"/>
      <c r="L1354" s="68"/>
      <c r="M1354" s="63" t="str">
        <f>HYPERLINK("http://nsgreg.nga.mil/genc/view?v=868968&amp;end_month=12&amp;end_day=31&amp;end_year=2016","Correlation")</f>
        <v>Correlation</v>
      </c>
    </row>
    <row r="1355" spans="1:13" x14ac:dyDescent="0.2">
      <c r="A1355" s="113"/>
      <c r="B1355" s="58" t="s">
        <v>4368</v>
      </c>
      <c r="C1355" s="58" t="s">
        <v>1413</v>
      </c>
      <c r="D1355" s="58" t="s">
        <v>4369</v>
      </c>
      <c r="E1355" s="60" t="b">
        <v>1</v>
      </c>
      <c r="F1355" s="80" t="s">
        <v>581</v>
      </c>
      <c r="G1355" s="58" t="s">
        <v>4368</v>
      </c>
      <c r="H1355" s="58" t="s">
        <v>1413</v>
      </c>
      <c r="I1355" s="64" t="s">
        <v>4369</v>
      </c>
      <c r="J1355" s="66"/>
      <c r="K1355" s="66"/>
      <c r="L1355" s="68"/>
      <c r="M1355" s="63" t="str">
        <f>HYPERLINK("http://nsgreg.nga.mil/genc/view?v=868969&amp;end_month=12&amp;end_day=31&amp;end_year=2016","Correlation")</f>
        <v>Correlation</v>
      </c>
    </row>
    <row r="1356" spans="1:13" x14ac:dyDescent="0.2">
      <c r="A1356" s="113"/>
      <c r="B1356" s="58" t="s">
        <v>4370</v>
      </c>
      <c r="C1356" s="58" t="s">
        <v>1413</v>
      </c>
      <c r="D1356" s="58" t="s">
        <v>4371</v>
      </c>
      <c r="E1356" s="60" t="b">
        <v>1</v>
      </c>
      <c r="F1356" s="80" t="s">
        <v>581</v>
      </c>
      <c r="G1356" s="58" t="s">
        <v>4370</v>
      </c>
      <c r="H1356" s="58" t="s">
        <v>1413</v>
      </c>
      <c r="I1356" s="64" t="s">
        <v>4371</v>
      </c>
      <c r="J1356" s="66"/>
      <c r="K1356" s="66"/>
      <c r="L1356" s="68"/>
      <c r="M1356" s="63" t="str">
        <f>HYPERLINK("http://nsgreg.nga.mil/genc/view?v=868970&amp;end_month=12&amp;end_day=31&amp;end_year=2016","Correlation")</f>
        <v>Correlation</v>
      </c>
    </row>
    <row r="1357" spans="1:13" x14ac:dyDescent="0.2">
      <c r="A1357" s="113"/>
      <c r="B1357" s="58" t="s">
        <v>4372</v>
      </c>
      <c r="C1357" s="58" t="s">
        <v>1413</v>
      </c>
      <c r="D1357" s="58" t="s">
        <v>4373</v>
      </c>
      <c r="E1357" s="60" t="b">
        <v>1</v>
      </c>
      <c r="F1357" s="80" t="s">
        <v>581</v>
      </c>
      <c r="G1357" s="58" t="s">
        <v>4372</v>
      </c>
      <c r="H1357" s="58" t="s">
        <v>1413</v>
      </c>
      <c r="I1357" s="64" t="s">
        <v>4373</v>
      </c>
      <c r="J1357" s="66"/>
      <c r="K1357" s="66"/>
      <c r="L1357" s="68"/>
      <c r="M1357" s="63" t="str">
        <f>HYPERLINK("http://nsgreg.nga.mil/genc/view?v=868971&amp;end_month=12&amp;end_day=31&amp;end_year=2016","Correlation")</f>
        <v>Correlation</v>
      </c>
    </row>
    <row r="1358" spans="1:13" x14ac:dyDescent="0.2">
      <c r="A1358" s="113"/>
      <c r="B1358" s="58" t="s">
        <v>4374</v>
      </c>
      <c r="C1358" s="58" t="s">
        <v>1413</v>
      </c>
      <c r="D1358" s="58" t="s">
        <v>4375</v>
      </c>
      <c r="E1358" s="60" t="b">
        <v>1</v>
      </c>
      <c r="F1358" s="80" t="s">
        <v>581</v>
      </c>
      <c r="G1358" s="58" t="s">
        <v>4374</v>
      </c>
      <c r="H1358" s="58" t="s">
        <v>1413</v>
      </c>
      <c r="I1358" s="64" t="s">
        <v>4375</v>
      </c>
      <c r="J1358" s="66"/>
      <c r="K1358" s="66"/>
      <c r="L1358" s="68"/>
      <c r="M1358" s="63" t="str">
        <f>HYPERLINK("http://nsgreg.nga.mil/genc/view?v=868972&amp;end_month=12&amp;end_day=31&amp;end_year=2016","Correlation")</f>
        <v>Correlation</v>
      </c>
    </row>
    <row r="1359" spans="1:13" x14ac:dyDescent="0.2">
      <c r="A1359" s="113"/>
      <c r="B1359" s="58" t="s">
        <v>4376</v>
      </c>
      <c r="C1359" s="58" t="s">
        <v>1413</v>
      </c>
      <c r="D1359" s="58" t="s">
        <v>4377</v>
      </c>
      <c r="E1359" s="60" t="b">
        <v>1</v>
      </c>
      <c r="F1359" s="80" t="s">
        <v>581</v>
      </c>
      <c r="G1359" s="58" t="s">
        <v>4376</v>
      </c>
      <c r="H1359" s="58" t="s">
        <v>1413</v>
      </c>
      <c r="I1359" s="64" t="s">
        <v>4377</v>
      </c>
      <c r="J1359" s="66"/>
      <c r="K1359" s="66"/>
      <c r="L1359" s="68"/>
      <c r="M1359" s="63" t="str">
        <f>HYPERLINK("http://nsgreg.nga.mil/genc/view?v=868973&amp;end_month=12&amp;end_day=31&amp;end_year=2016","Correlation")</f>
        <v>Correlation</v>
      </c>
    </row>
    <row r="1360" spans="1:13" x14ac:dyDescent="0.2">
      <c r="A1360" s="114"/>
      <c r="B1360" s="71" t="s">
        <v>4378</v>
      </c>
      <c r="C1360" s="71" t="s">
        <v>1413</v>
      </c>
      <c r="D1360" s="71" t="s">
        <v>4379</v>
      </c>
      <c r="E1360" s="73" t="b">
        <v>1</v>
      </c>
      <c r="F1360" s="81" t="s">
        <v>581</v>
      </c>
      <c r="G1360" s="71" t="s">
        <v>4378</v>
      </c>
      <c r="H1360" s="71" t="s">
        <v>1413</v>
      </c>
      <c r="I1360" s="74" t="s">
        <v>4379</v>
      </c>
      <c r="J1360" s="76"/>
      <c r="K1360" s="76"/>
      <c r="L1360" s="82"/>
      <c r="M1360" s="77" t="str">
        <f>HYPERLINK("http://nsgreg.nga.mil/genc/view?v=868974&amp;end_month=12&amp;end_day=31&amp;end_year=2016","Correlation")</f>
        <v>Correlation</v>
      </c>
    </row>
    <row r="1361" spans="1:13" x14ac:dyDescent="0.2">
      <c r="A1361" s="112" t="s">
        <v>589</v>
      </c>
      <c r="B1361" s="50" t="s">
        <v>4380</v>
      </c>
      <c r="C1361" s="50" t="s">
        <v>1681</v>
      </c>
      <c r="D1361" s="50" t="s">
        <v>4381</v>
      </c>
      <c r="E1361" s="52" t="b">
        <v>1</v>
      </c>
      <c r="F1361" s="78" t="s">
        <v>585</v>
      </c>
      <c r="G1361" s="50" t="s">
        <v>4380</v>
      </c>
      <c r="H1361" s="50" t="s">
        <v>1681</v>
      </c>
      <c r="I1361" s="53" t="s">
        <v>4381</v>
      </c>
      <c r="J1361" s="55"/>
      <c r="K1361" s="55"/>
      <c r="L1361" s="79"/>
      <c r="M1361" s="56" t="str">
        <f>HYPERLINK("http://nsgreg.nga.mil/genc/view?v=869229&amp;end_month=12&amp;end_day=31&amp;end_year=2016","Correlation")</f>
        <v>Correlation</v>
      </c>
    </row>
    <row r="1362" spans="1:13" x14ac:dyDescent="0.2">
      <c r="A1362" s="113"/>
      <c r="B1362" s="58" t="s">
        <v>4382</v>
      </c>
      <c r="C1362" s="58" t="s">
        <v>2048</v>
      </c>
      <c r="D1362" s="58" t="s">
        <v>4383</v>
      </c>
      <c r="E1362" s="60" t="b">
        <v>1</v>
      </c>
      <c r="F1362" s="80" t="s">
        <v>585</v>
      </c>
      <c r="G1362" s="58" t="s">
        <v>4382</v>
      </c>
      <c r="H1362" s="58" t="s">
        <v>1728</v>
      </c>
      <c r="I1362" s="64" t="s">
        <v>4383</v>
      </c>
      <c r="J1362" s="66"/>
      <c r="K1362" s="66"/>
      <c r="L1362" s="68"/>
      <c r="M1362" s="63" t="str">
        <f>HYPERLINK("http://nsgreg.nga.mil/genc/view?v=869231&amp;end_month=12&amp;end_day=31&amp;end_year=2016","Correlation")</f>
        <v>Correlation</v>
      </c>
    </row>
    <row r="1363" spans="1:13" x14ac:dyDescent="0.2">
      <c r="A1363" s="113"/>
      <c r="B1363" s="58" t="s">
        <v>4386</v>
      </c>
      <c r="C1363" s="58" t="s">
        <v>2048</v>
      </c>
      <c r="D1363" s="58" t="s">
        <v>4387</v>
      </c>
      <c r="E1363" s="60" t="b">
        <v>1</v>
      </c>
      <c r="F1363" s="80" t="s">
        <v>585</v>
      </c>
      <c r="G1363" s="58" t="s">
        <v>4386</v>
      </c>
      <c r="H1363" s="58" t="s">
        <v>1728</v>
      </c>
      <c r="I1363" s="64" t="s">
        <v>4387</v>
      </c>
      <c r="J1363" s="66"/>
      <c r="K1363" s="66"/>
      <c r="L1363" s="68"/>
      <c r="M1363" s="63" t="str">
        <f>HYPERLINK("http://nsgreg.nga.mil/genc/view?v=869230&amp;end_month=12&amp;end_day=31&amp;end_year=2016","Correlation")</f>
        <v>Correlation</v>
      </c>
    </row>
    <row r="1364" spans="1:13" x14ac:dyDescent="0.2">
      <c r="A1364" s="113"/>
      <c r="B1364" s="58" t="s">
        <v>4388</v>
      </c>
      <c r="C1364" s="58" t="s">
        <v>2048</v>
      </c>
      <c r="D1364" s="58" t="s">
        <v>4389</v>
      </c>
      <c r="E1364" s="60" t="b">
        <v>1</v>
      </c>
      <c r="F1364" s="80" t="s">
        <v>585</v>
      </c>
      <c r="G1364" s="58" t="s">
        <v>4388</v>
      </c>
      <c r="H1364" s="58" t="s">
        <v>1728</v>
      </c>
      <c r="I1364" s="64" t="s">
        <v>4389</v>
      </c>
      <c r="J1364" s="66"/>
      <c r="K1364" s="66"/>
      <c r="L1364" s="68"/>
      <c r="M1364" s="63" t="str">
        <f>HYPERLINK("http://nsgreg.nga.mil/genc/view?v=869232&amp;end_month=12&amp;end_day=31&amp;end_year=2016","Correlation")</f>
        <v>Correlation</v>
      </c>
    </row>
    <row r="1365" spans="1:13" x14ac:dyDescent="0.2">
      <c r="A1365" s="113"/>
      <c r="B1365" s="58" t="s">
        <v>4390</v>
      </c>
      <c r="C1365" s="58" t="s">
        <v>2048</v>
      </c>
      <c r="D1365" s="58" t="s">
        <v>4391</v>
      </c>
      <c r="E1365" s="60" t="b">
        <v>1</v>
      </c>
      <c r="F1365" s="80" t="s">
        <v>585</v>
      </c>
      <c r="G1365" s="58" t="s">
        <v>4390</v>
      </c>
      <c r="H1365" s="58" t="s">
        <v>1728</v>
      </c>
      <c r="I1365" s="64" t="s">
        <v>4391</v>
      </c>
      <c r="J1365" s="66"/>
      <c r="K1365" s="66"/>
      <c r="L1365" s="68"/>
      <c r="M1365" s="63" t="str">
        <f>HYPERLINK("http://nsgreg.nga.mil/genc/view?v=869233&amp;end_month=12&amp;end_day=31&amp;end_year=2016","Correlation")</f>
        <v>Correlation</v>
      </c>
    </row>
    <row r="1366" spans="1:13" x14ac:dyDescent="0.2">
      <c r="A1366" s="114"/>
      <c r="B1366" s="71" t="s">
        <v>4083</v>
      </c>
      <c r="C1366" s="71" t="s">
        <v>2048</v>
      </c>
      <c r="D1366" s="71" t="s">
        <v>4393</v>
      </c>
      <c r="E1366" s="73" t="b">
        <v>1</v>
      </c>
      <c r="F1366" s="81" t="s">
        <v>585</v>
      </c>
      <c r="G1366" s="71" t="s">
        <v>4392</v>
      </c>
      <c r="H1366" s="71" t="s">
        <v>1728</v>
      </c>
      <c r="I1366" s="74" t="s">
        <v>4393</v>
      </c>
      <c r="J1366" s="76"/>
      <c r="K1366" s="76"/>
      <c r="L1366" s="82"/>
      <c r="M1366" s="77" t="str">
        <f>HYPERLINK("http://nsgreg.nga.mil/genc/view?v=869234&amp;end_month=12&amp;end_day=31&amp;end_year=2016","Correlation")</f>
        <v>Correlation</v>
      </c>
    </row>
    <row r="1367" spans="1:13" x14ac:dyDescent="0.2">
      <c r="A1367" s="112" t="s">
        <v>598</v>
      </c>
      <c r="B1367" s="50" t="s">
        <v>4394</v>
      </c>
      <c r="C1367" s="50" t="s">
        <v>1875</v>
      </c>
      <c r="D1367" s="50" t="s">
        <v>4395</v>
      </c>
      <c r="E1367" s="52" t="b">
        <v>1</v>
      </c>
      <c r="F1367" s="78" t="s">
        <v>598</v>
      </c>
      <c r="G1367" s="50" t="s">
        <v>4394</v>
      </c>
      <c r="H1367" s="50" t="s">
        <v>1875</v>
      </c>
      <c r="I1367" s="53" t="s">
        <v>4395</v>
      </c>
      <c r="J1367" s="55"/>
      <c r="K1367" s="55"/>
      <c r="L1367" s="79"/>
      <c r="M1367" s="56" t="str">
        <f>HYPERLINK("http://nsgreg.nga.mil/genc/view?v=869203&amp;end_month=12&amp;end_day=31&amp;end_year=2016","Correlation")</f>
        <v>Correlation</v>
      </c>
    </row>
    <row r="1368" spans="1:13" x14ac:dyDescent="0.2">
      <c r="A1368" s="113"/>
      <c r="B1368" s="58" t="s">
        <v>4396</v>
      </c>
      <c r="C1368" s="58" t="s">
        <v>1875</v>
      </c>
      <c r="D1368" s="58" t="s">
        <v>4397</v>
      </c>
      <c r="E1368" s="60" t="b">
        <v>1</v>
      </c>
      <c r="F1368" s="80" t="s">
        <v>598</v>
      </c>
      <c r="G1368" s="58" t="s">
        <v>4396</v>
      </c>
      <c r="H1368" s="58" t="s">
        <v>1875</v>
      </c>
      <c r="I1368" s="64" t="s">
        <v>4397</v>
      </c>
      <c r="J1368" s="66"/>
      <c r="K1368" s="66"/>
      <c r="L1368" s="68"/>
      <c r="M1368" s="63" t="str">
        <f>HYPERLINK("http://nsgreg.nga.mil/genc/view?v=869204&amp;end_month=12&amp;end_day=31&amp;end_year=2016","Correlation")</f>
        <v>Correlation</v>
      </c>
    </row>
    <row r="1369" spans="1:13" x14ac:dyDescent="0.2">
      <c r="A1369" s="113"/>
      <c r="B1369" s="58" t="s">
        <v>4398</v>
      </c>
      <c r="C1369" s="58" t="s">
        <v>1728</v>
      </c>
      <c r="D1369" s="58" t="s">
        <v>4399</v>
      </c>
      <c r="E1369" s="60" t="b">
        <v>1</v>
      </c>
      <c r="F1369" s="80" t="s">
        <v>598</v>
      </c>
      <c r="G1369" s="58" t="s">
        <v>4398</v>
      </c>
      <c r="H1369" s="58" t="s">
        <v>1728</v>
      </c>
      <c r="I1369" s="64" t="s">
        <v>4399</v>
      </c>
      <c r="J1369" s="66"/>
      <c r="K1369" s="66"/>
      <c r="L1369" s="68"/>
      <c r="M1369" s="63" t="str">
        <f>HYPERLINK("http://nsgreg.nga.mil/genc/view?v=869205&amp;end_month=12&amp;end_day=31&amp;end_year=2016","Correlation")</f>
        <v>Correlation</v>
      </c>
    </row>
    <row r="1370" spans="1:13" x14ac:dyDescent="0.2">
      <c r="A1370" s="113"/>
      <c r="B1370" s="58" t="s">
        <v>4400</v>
      </c>
      <c r="C1370" s="58" t="s">
        <v>1728</v>
      </c>
      <c r="D1370" s="58" t="s">
        <v>4401</v>
      </c>
      <c r="E1370" s="60" t="b">
        <v>1</v>
      </c>
      <c r="F1370" s="80" t="s">
        <v>598</v>
      </c>
      <c r="G1370" s="58" t="s">
        <v>4400</v>
      </c>
      <c r="H1370" s="58" t="s">
        <v>1728</v>
      </c>
      <c r="I1370" s="64" t="s">
        <v>4401</v>
      </c>
      <c r="J1370" s="66"/>
      <c r="K1370" s="66"/>
      <c r="L1370" s="68"/>
      <c r="M1370" s="63" t="str">
        <f>HYPERLINK("http://nsgreg.nga.mil/genc/view?v=869206&amp;end_month=12&amp;end_day=31&amp;end_year=2016","Correlation")</f>
        <v>Correlation</v>
      </c>
    </row>
    <row r="1371" spans="1:13" x14ac:dyDescent="0.2">
      <c r="A1371" s="113"/>
      <c r="B1371" s="58" t="s">
        <v>4404</v>
      </c>
      <c r="C1371" s="58" t="s">
        <v>1728</v>
      </c>
      <c r="D1371" s="58" t="s">
        <v>4403</v>
      </c>
      <c r="E1371" s="60" t="b">
        <v>1</v>
      </c>
      <c r="F1371" s="80" t="s">
        <v>598</v>
      </c>
      <c r="G1371" s="58" t="s">
        <v>4402</v>
      </c>
      <c r="H1371" s="58" t="s">
        <v>1728</v>
      </c>
      <c r="I1371" s="64" t="s">
        <v>4403</v>
      </c>
      <c r="J1371" s="66"/>
      <c r="K1371" s="66"/>
      <c r="L1371" s="68"/>
      <c r="M1371" s="63" t="str">
        <f>HYPERLINK("http://nsgreg.nga.mil/genc/view?v=869207&amp;end_month=12&amp;end_day=31&amp;end_year=2016","Correlation")</f>
        <v>Correlation</v>
      </c>
    </row>
    <row r="1372" spans="1:13" x14ac:dyDescent="0.2">
      <c r="A1372" s="113"/>
      <c r="B1372" s="58" t="s">
        <v>4405</v>
      </c>
      <c r="C1372" s="58" t="s">
        <v>1728</v>
      </c>
      <c r="D1372" s="58" t="s">
        <v>4406</v>
      </c>
      <c r="E1372" s="60" t="b">
        <v>1</v>
      </c>
      <c r="F1372" s="80" t="s">
        <v>598</v>
      </c>
      <c r="G1372" s="58" t="s">
        <v>4405</v>
      </c>
      <c r="H1372" s="58" t="s">
        <v>1728</v>
      </c>
      <c r="I1372" s="64" t="s">
        <v>4406</v>
      </c>
      <c r="J1372" s="66"/>
      <c r="K1372" s="66"/>
      <c r="L1372" s="68"/>
      <c r="M1372" s="63" t="str">
        <f>HYPERLINK("http://nsgreg.nga.mil/genc/view?v=869208&amp;end_month=12&amp;end_day=31&amp;end_year=2016","Correlation")</f>
        <v>Correlation</v>
      </c>
    </row>
    <row r="1373" spans="1:13" x14ac:dyDescent="0.2">
      <c r="A1373" s="113"/>
      <c r="B1373" s="58" t="s">
        <v>4409</v>
      </c>
      <c r="C1373" s="58" t="s">
        <v>1728</v>
      </c>
      <c r="D1373" s="58" t="s">
        <v>4408</v>
      </c>
      <c r="E1373" s="60" t="b">
        <v>1</v>
      </c>
      <c r="F1373" s="80" t="s">
        <v>598</v>
      </c>
      <c r="G1373" s="58" t="s">
        <v>4407</v>
      </c>
      <c r="H1373" s="58" t="s">
        <v>1728</v>
      </c>
      <c r="I1373" s="64" t="s">
        <v>4408</v>
      </c>
      <c r="J1373" s="66"/>
      <c r="K1373" s="66"/>
      <c r="L1373" s="68"/>
      <c r="M1373" s="63" t="str">
        <f>HYPERLINK("http://nsgreg.nga.mil/genc/view?v=869209&amp;end_month=12&amp;end_day=31&amp;end_year=2016","Correlation")</f>
        <v>Correlation</v>
      </c>
    </row>
    <row r="1374" spans="1:13" x14ac:dyDescent="0.2">
      <c r="A1374" s="113"/>
      <c r="B1374" s="58" t="s">
        <v>4412</v>
      </c>
      <c r="C1374" s="58" t="s">
        <v>1728</v>
      </c>
      <c r="D1374" s="58" t="s">
        <v>4411</v>
      </c>
      <c r="E1374" s="60" t="b">
        <v>1</v>
      </c>
      <c r="F1374" s="80" t="s">
        <v>598</v>
      </c>
      <c r="G1374" s="58" t="s">
        <v>4410</v>
      </c>
      <c r="H1374" s="58" t="s">
        <v>1728</v>
      </c>
      <c r="I1374" s="64" t="s">
        <v>4411</v>
      </c>
      <c r="J1374" s="66"/>
      <c r="K1374" s="66"/>
      <c r="L1374" s="68"/>
      <c r="M1374" s="63" t="str">
        <f>HYPERLINK("http://nsgreg.nga.mil/genc/view?v=869210&amp;end_month=12&amp;end_day=31&amp;end_year=2016","Correlation")</f>
        <v>Correlation</v>
      </c>
    </row>
    <row r="1375" spans="1:13" x14ac:dyDescent="0.2">
      <c r="A1375" s="113"/>
      <c r="B1375" s="58" t="s">
        <v>4413</v>
      </c>
      <c r="C1375" s="58" t="s">
        <v>1728</v>
      </c>
      <c r="D1375" s="58" t="s">
        <v>4414</v>
      </c>
      <c r="E1375" s="60" t="b">
        <v>1</v>
      </c>
      <c r="F1375" s="80" t="s">
        <v>598</v>
      </c>
      <c r="G1375" s="58" t="s">
        <v>4413</v>
      </c>
      <c r="H1375" s="58" t="s">
        <v>1728</v>
      </c>
      <c r="I1375" s="64" t="s">
        <v>4414</v>
      </c>
      <c r="J1375" s="66"/>
      <c r="K1375" s="66"/>
      <c r="L1375" s="68"/>
      <c r="M1375" s="63" t="str">
        <f>HYPERLINK("http://nsgreg.nga.mil/genc/view?v=869213&amp;end_month=12&amp;end_day=31&amp;end_year=2016","Correlation")</f>
        <v>Correlation</v>
      </c>
    </row>
    <row r="1376" spans="1:13" x14ac:dyDescent="0.2">
      <c r="A1376" s="113"/>
      <c r="B1376" s="58" t="s">
        <v>4415</v>
      </c>
      <c r="C1376" s="58" t="s">
        <v>1728</v>
      </c>
      <c r="D1376" s="58" t="s">
        <v>4416</v>
      </c>
      <c r="E1376" s="60" t="b">
        <v>1</v>
      </c>
      <c r="F1376" s="80" t="s">
        <v>598</v>
      </c>
      <c r="G1376" s="58" t="s">
        <v>4415</v>
      </c>
      <c r="H1376" s="58" t="s">
        <v>1728</v>
      </c>
      <c r="I1376" s="64" t="s">
        <v>4416</v>
      </c>
      <c r="J1376" s="66"/>
      <c r="K1376" s="66"/>
      <c r="L1376" s="68"/>
      <c r="M1376" s="63" t="str">
        <f>HYPERLINK("http://nsgreg.nga.mil/genc/view?v=869211&amp;end_month=12&amp;end_day=31&amp;end_year=2016","Correlation")</f>
        <v>Correlation</v>
      </c>
    </row>
    <row r="1377" spans="1:13" x14ac:dyDescent="0.2">
      <c r="A1377" s="113"/>
      <c r="B1377" s="58" t="s">
        <v>4417</v>
      </c>
      <c r="C1377" s="58" t="s">
        <v>1728</v>
      </c>
      <c r="D1377" s="58" t="s">
        <v>4418</v>
      </c>
      <c r="E1377" s="60" t="b">
        <v>1</v>
      </c>
      <c r="F1377" s="80" t="s">
        <v>598</v>
      </c>
      <c r="G1377" s="58" t="s">
        <v>4417</v>
      </c>
      <c r="H1377" s="58" t="s">
        <v>1728</v>
      </c>
      <c r="I1377" s="64" t="s">
        <v>4418</v>
      </c>
      <c r="J1377" s="66"/>
      <c r="K1377" s="66"/>
      <c r="L1377" s="68"/>
      <c r="M1377" s="63" t="str">
        <f>HYPERLINK("http://nsgreg.nga.mil/genc/view?v=869212&amp;end_month=12&amp;end_day=31&amp;end_year=2016","Correlation")</f>
        <v>Correlation</v>
      </c>
    </row>
    <row r="1378" spans="1:13" x14ac:dyDescent="0.2">
      <c r="A1378" s="114"/>
      <c r="B1378" s="71" t="s">
        <v>4421</v>
      </c>
      <c r="C1378" s="71" t="s">
        <v>1681</v>
      </c>
      <c r="D1378" s="71" t="s">
        <v>4420</v>
      </c>
      <c r="E1378" s="73" t="b">
        <v>1</v>
      </c>
      <c r="F1378" s="81" t="s">
        <v>598</v>
      </c>
      <c r="G1378" s="71" t="s">
        <v>4419</v>
      </c>
      <c r="H1378" s="71" t="s">
        <v>1681</v>
      </c>
      <c r="I1378" s="74" t="s">
        <v>4420</v>
      </c>
      <c r="J1378" s="76"/>
      <c r="K1378" s="76"/>
      <c r="L1378" s="82"/>
      <c r="M1378" s="77" t="str">
        <f>HYPERLINK("http://nsgreg.nga.mil/genc/view?v=869214&amp;end_month=12&amp;end_day=31&amp;end_year=2016","Correlation")</f>
        <v>Correlation</v>
      </c>
    </row>
    <row r="1379" spans="1:13" x14ac:dyDescent="0.2">
      <c r="A1379" s="112" t="s">
        <v>602</v>
      </c>
      <c r="B1379" s="50" t="s">
        <v>4422</v>
      </c>
      <c r="C1379" s="50" t="s">
        <v>4424</v>
      </c>
      <c r="D1379" s="50" t="s">
        <v>4423</v>
      </c>
      <c r="E1379" s="52" t="b">
        <v>1</v>
      </c>
      <c r="F1379" s="78" t="s">
        <v>602</v>
      </c>
      <c r="G1379" s="50" t="s">
        <v>4422</v>
      </c>
      <c r="H1379" s="50" t="s">
        <v>1763</v>
      </c>
      <c r="I1379" s="53" t="s">
        <v>4423</v>
      </c>
      <c r="J1379" s="55"/>
      <c r="K1379" s="55"/>
      <c r="L1379" s="79"/>
      <c r="M1379" s="56" t="str">
        <f>HYPERLINK("http://nsgreg.nga.mil/genc/view?v=868517&amp;end_month=12&amp;end_day=31&amp;end_year=2016","Correlation")</f>
        <v>Correlation</v>
      </c>
    </row>
    <row r="1380" spans="1:13" x14ac:dyDescent="0.2">
      <c r="A1380" s="113"/>
      <c r="B1380" s="58" t="s">
        <v>4427</v>
      </c>
      <c r="C1380" s="58" t="s">
        <v>4424</v>
      </c>
      <c r="D1380" s="58" t="s">
        <v>4426</v>
      </c>
      <c r="E1380" s="60" t="b">
        <v>1</v>
      </c>
      <c r="F1380" s="80" t="s">
        <v>602</v>
      </c>
      <c r="G1380" s="58" t="s">
        <v>4425</v>
      </c>
      <c r="H1380" s="58" t="s">
        <v>1763</v>
      </c>
      <c r="I1380" s="64" t="s">
        <v>4426</v>
      </c>
      <c r="J1380" s="66"/>
      <c r="K1380" s="66"/>
      <c r="L1380" s="68"/>
      <c r="M1380" s="63" t="str">
        <f>HYPERLINK("http://nsgreg.nga.mil/genc/view?v=868518&amp;end_month=12&amp;end_day=31&amp;end_year=2016","Correlation")</f>
        <v>Correlation</v>
      </c>
    </row>
    <row r="1381" spans="1:13" x14ac:dyDescent="0.2">
      <c r="A1381" s="113"/>
      <c r="B1381" s="58" t="s">
        <v>4428</v>
      </c>
      <c r="C1381" s="58" t="s">
        <v>4424</v>
      </c>
      <c r="D1381" s="58" t="s">
        <v>4429</v>
      </c>
      <c r="E1381" s="60" t="b">
        <v>1</v>
      </c>
      <c r="F1381" s="80" t="s">
        <v>602</v>
      </c>
      <c r="G1381" s="58" t="s">
        <v>4428</v>
      </c>
      <c r="H1381" s="58" t="s">
        <v>1763</v>
      </c>
      <c r="I1381" s="64" t="s">
        <v>4429</v>
      </c>
      <c r="J1381" s="66"/>
      <c r="K1381" s="66"/>
      <c r="L1381" s="68"/>
      <c r="M1381" s="63" t="str">
        <f>HYPERLINK("http://nsgreg.nga.mil/genc/view?v=868516&amp;end_month=12&amp;end_day=31&amp;end_year=2016","Correlation")</f>
        <v>Correlation</v>
      </c>
    </row>
    <row r="1382" spans="1:13" x14ac:dyDescent="0.2">
      <c r="A1382" s="113"/>
      <c r="B1382" s="58" t="s">
        <v>4430</v>
      </c>
      <c r="C1382" s="58" t="s">
        <v>4424</v>
      </c>
      <c r="D1382" s="58" t="s">
        <v>4431</v>
      </c>
      <c r="E1382" s="60" t="b">
        <v>1</v>
      </c>
      <c r="F1382" s="80" t="s">
        <v>602</v>
      </c>
      <c r="G1382" s="58" t="s">
        <v>4430</v>
      </c>
      <c r="H1382" s="58" t="s">
        <v>1763</v>
      </c>
      <c r="I1382" s="64" t="s">
        <v>4431</v>
      </c>
      <c r="J1382" s="66"/>
      <c r="K1382" s="66"/>
      <c r="L1382" s="68"/>
      <c r="M1382" s="63" t="str">
        <f>HYPERLINK("http://nsgreg.nga.mil/genc/view?v=868515&amp;end_month=12&amp;end_day=31&amp;end_year=2016","Correlation")</f>
        <v>Correlation</v>
      </c>
    </row>
    <row r="1383" spans="1:13" x14ac:dyDescent="0.2">
      <c r="A1383" s="113"/>
      <c r="B1383" s="58" t="s">
        <v>4432</v>
      </c>
      <c r="C1383" s="58" t="s">
        <v>4424</v>
      </c>
      <c r="D1383" s="58" t="s">
        <v>4433</v>
      </c>
      <c r="E1383" s="60" t="b">
        <v>1</v>
      </c>
      <c r="F1383" s="80" t="s">
        <v>602</v>
      </c>
      <c r="G1383" s="58" t="s">
        <v>4432</v>
      </c>
      <c r="H1383" s="58" t="s">
        <v>1763</v>
      </c>
      <c r="I1383" s="64" t="s">
        <v>4433</v>
      </c>
      <c r="J1383" s="66"/>
      <c r="K1383" s="66"/>
      <c r="L1383" s="68"/>
      <c r="M1383" s="63" t="str">
        <f>HYPERLINK("http://nsgreg.nga.mil/genc/view?v=868519&amp;end_month=12&amp;end_day=31&amp;end_year=2016","Correlation")</f>
        <v>Correlation</v>
      </c>
    </row>
    <row r="1384" spans="1:13" x14ac:dyDescent="0.2">
      <c r="A1384" s="113"/>
      <c r="B1384" s="58" t="s">
        <v>4434</v>
      </c>
      <c r="C1384" s="58" t="s">
        <v>4424</v>
      </c>
      <c r="D1384" s="58" t="s">
        <v>4435</v>
      </c>
      <c r="E1384" s="60" t="b">
        <v>1</v>
      </c>
      <c r="F1384" s="80" t="s">
        <v>602</v>
      </c>
      <c r="G1384" s="58" t="s">
        <v>4434</v>
      </c>
      <c r="H1384" s="58" t="s">
        <v>1763</v>
      </c>
      <c r="I1384" s="64" t="s">
        <v>4435</v>
      </c>
      <c r="J1384" s="66"/>
      <c r="K1384" s="66"/>
      <c r="L1384" s="68"/>
      <c r="M1384" s="63" t="str">
        <f>HYPERLINK("http://nsgreg.nga.mil/genc/view?v=868521&amp;end_month=12&amp;end_day=31&amp;end_year=2016","Correlation")</f>
        <v>Correlation</v>
      </c>
    </row>
    <row r="1385" spans="1:13" x14ac:dyDescent="0.2">
      <c r="A1385" s="113"/>
      <c r="B1385" s="58" t="s">
        <v>4438</v>
      </c>
      <c r="C1385" s="58" t="s">
        <v>4424</v>
      </c>
      <c r="D1385" s="58" t="s">
        <v>4437</v>
      </c>
      <c r="E1385" s="60" t="b">
        <v>1</v>
      </c>
      <c r="F1385" s="80" t="s">
        <v>602</v>
      </c>
      <c r="G1385" s="58" t="s">
        <v>4436</v>
      </c>
      <c r="H1385" s="58" t="s">
        <v>1763</v>
      </c>
      <c r="I1385" s="64" t="s">
        <v>4437</v>
      </c>
      <c r="J1385" s="66"/>
      <c r="K1385" s="66"/>
      <c r="L1385" s="68"/>
      <c r="M1385" s="63" t="str">
        <f>HYPERLINK("http://nsgreg.nga.mil/genc/view?v=868520&amp;end_month=12&amp;end_day=31&amp;end_year=2016","Correlation")</f>
        <v>Correlation</v>
      </c>
    </row>
    <row r="1386" spans="1:13" x14ac:dyDescent="0.2">
      <c r="A1386" s="113"/>
      <c r="B1386" s="58" t="s">
        <v>4444</v>
      </c>
      <c r="C1386" s="58" t="s">
        <v>4424</v>
      </c>
      <c r="D1386" s="58" t="s">
        <v>4443</v>
      </c>
      <c r="E1386" s="60" t="b">
        <v>1</v>
      </c>
      <c r="F1386" s="80" t="s">
        <v>602</v>
      </c>
      <c r="G1386" s="58" t="s">
        <v>4442</v>
      </c>
      <c r="H1386" s="58" t="s">
        <v>1763</v>
      </c>
      <c r="I1386" s="64" t="s">
        <v>4443</v>
      </c>
      <c r="J1386" s="66"/>
      <c r="K1386" s="66"/>
      <c r="L1386" s="68"/>
      <c r="M1386" s="63" t="str">
        <f>HYPERLINK("http://nsgreg.nga.mil/genc/view?v=868522&amp;end_month=12&amp;end_day=31&amp;end_year=2016","Correlation")</f>
        <v>Correlation</v>
      </c>
    </row>
    <row r="1387" spans="1:13" x14ac:dyDescent="0.2">
      <c r="A1387" s="113"/>
      <c r="B1387" s="58" t="s">
        <v>4441</v>
      </c>
      <c r="C1387" s="58" t="s">
        <v>4424</v>
      </c>
      <c r="D1387" s="58" t="s">
        <v>4440</v>
      </c>
      <c r="E1387" s="60" t="b">
        <v>1</v>
      </c>
      <c r="F1387" s="80" t="s">
        <v>602</v>
      </c>
      <c r="G1387" s="58" t="s">
        <v>4439</v>
      </c>
      <c r="H1387" s="58" t="s">
        <v>1763</v>
      </c>
      <c r="I1387" s="64" t="s">
        <v>4440</v>
      </c>
      <c r="J1387" s="66"/>
      <c r="K1387" s="66"/>
      <c r="L1387" s="68"/>
      <c r="M1387" s="63" t="str">
        <f>HYPERLINK("http://nsgreg.nga.mil/genc/view?v=868523&amp;end_month=12&amp;end_day=31&amp;end_year=2016","Correlation")</f>
        <v>Correlation</v>
      </c>
    </row>
    <row r="1388" spans="1:13" x14ac:dyDescent="0.2">
      <c r="A1388" s="113"/>
      <c r="B1388" s="58" t="s">
        <v>4447</v>
      </c>
      <c r="C1388" s="58" t="s">
        <v>4424</v>
      </c>
      <c r="D1388" s="58" t="s">
        <v>4446</v>
      </c>
      <c r="E1388" s="60" t="b">
        <v>1</v>
      </c>
      <c r="F1388" s="80" t="s">
        <v>602</v>
      </c>
      <c r="G1388" s="58" t="s">
        <v>4445</v>
      </c>
      <c r="H1388" s="58" t="s">
        <v>1763</v>
      </c>
      <c r="I1388" s="64" t="s">
        <v>4446</v>
      </c>
      <c r="J1388" s="66"/>
      <c r="K1388" s="66"/>
      <c r="L1388" s="68"/>
      <c r="M1388" s="63" t="str">
        <f>HYPERLINK("http://nsgreg.nga.mil/genc/view?v=868524&amp;end_month=12&amp;end_day=31&amp;end_year=2016","Correlation")</f>
        <v>Correlation</v>
      </c>
    </row>
    <row r="1389" spans="1:13" x14ac:dyDescent="0.2">
      <c r="A1389" s="113"/>
      <c r="B1389" s="58" t="s">
        <v>4450</v>
      </c>
      <c r="C1389" s="58" t="s">
        <v>4424</v>
      </c>
      <c r="D1389" s="58" t="s">
        <v>4449</v>
      </c>
      <c r="E1389" s="60" t="b">
        <v>1</v>
      </c>
      <c r="F1389" s="80" t="s">
        <v>602</v>
      </c>
      <c r="G1389" s="58" t="s">
        <v>4448</v>
      </c>
      <c r="H1389" s="58" t="s">
        <v>1763</v>
      </c>
      <c r="I1389" s="64" t="s">
        <v>4449</v>
      </c>
      <c r="J1389" s="66"/>
      <c r="K1389" s="66"/>
      <c r="L1389" s="68"/>
      <c r="M1389" s="63" t="str">
        <f>HYPERLINK("http://nsgreg.nga.mil/genc/view?v=868525&amp;end_month=12&amp;end_day=31&amp;end_year=2016","Correlation")</f>
        <v>Correlation</v>
      </c>
    </row>
    <row r="1390" spans="1:13" x14ac:dyDescent="0.2">
      <c r="A1390" s="113"/>
      <c r="B1390" s="58" t="s">
        <v>4451</v>
      </c>
      <c r="C1390" s="58" t="s">
        <v>4424</v>
      </c>
      <c r="D1390" s="58" t="s">
        <v>4452</v>
      </c>
      <c r="E1390" s="60" t="b">
        <v>1</v>
      </c>
      <c r="F1390" s="80" t="s">
        <v>602</v>
      </c>
      <c r="G1390" s="58" t="s">
        <v>4451</v>
      </c>
      <c r="H1390" s="58" t="s">
        <v>1763</v>
      </c>
      <c r="I1390" s="64" t="s">
        <v>4452</v>
      </c>
      <c r="J1390" s="66"/>
      <c r="K1390" s="66"/>
      <c r="L1390" s="68"/>
      <c r="M1390" s="63" t="str">
        <f>HYPERLINK("http://nsgreg.nga.mil/genc/view?v=868527&amp;end_month=12&amp;end_day=31&amp;end_year=2016","Correlation")</f>
        <v>Correlation</v>
      </c>
    </row>
    <row r="1391" spans="1:13" x14ac:dyDescent="0.2">
      <c r="A1391" s="113"/>
      <c r="B1391" s="58" t="s">
        <v>4455</v>
      </c>
      <c r="C1391" s="58" t="s">
        <v>4424</v>
      </c>
      <c r="D1391" s="58" t="s">
        <v>4454</v>
      </c>
      <c r="E1391" s="60" t="b">
        <v>1</v>
      </c>
      <c r="F1391" s="80" t="s">
        <v>602</v>
      </c>
      <c r="G1391" s="58" t="s">
        <v>4453</v>
      </c>
      <c r="H1391" s="58" t="s">
        <v>1763</v>
      </c>
      <c r="I1391" s="64" t="s">
        <v>4454</v>
      </c>
      <c r="J1391" s="66"/>
      <c r="K1391" s="66"/>
      <c r="L1391" s="68"/>
      <c r="M1391" s="63" t="str">
        <f>HYPERLINK("http://nsgreg.nga.mil/genc/view?v=868528&amp;end_month=12&amp;end_day=31&amp;end_year=2016","Correlation")</f>
        <v>Correlation</v>
      </c>
    </row>
    <row r="1392" spans="1:13" x14ac:dyDescent="0.2">
      <c r="A1392" s="113"/>
      <c r="B1392" s="58" t="s">
        <v>4458</v>
      </c>
      <c r="C1392" s="58" t="s">
        <v>4424</v>
      </c>
      <c r="D1392" s="58" t="s">
        <v>4457</v>
      </c>
      <c r="E1392" s="60" t="b">
        <v>1</v>
      </c>
      <c r="F1392" s="80" t="s">
        <v>602</v>
      </c>
      <c r="G1392" s="58" t="s">
        <v>4456</v>
      </c>
      <c r="H1392" s="58" t="s">
        <v>1763</v>
      </c>
      <c r="I1392" s="64" t="s">
        <v>4457</v>
      </c>
      <c r="J1392" s="66"/>
      <c r="K1392" s="66"/>
      <c r="L1392" s="68"/>
      <c r="M1392" s="63" t="str">
        <f>HYPERLINK("http://nsgreg.nga.mil/genc/view?v=868529&amp;end_month=12&amp;end_day=31&amp;end_year=2016","Correlation")</f>
        <v>Correlation</v>
      </c>
    </row>
    <row r="1393" spans="1:13" x14ac:dyDescent="0.2">
      <c r="A1393" s="113"/>
      <c r="B1393" s="58" t="s">
        <v>4459</v>
      </c>
      <c r="C1393" s="58" t="s">
        <v>4424</v>
      </c>
      <c r="D1393" s="58" t="s">
        <v>4460</v>
      </c>
      <c r="E1393" s="60" t="b">
        <v>1</v>
      </c>
      <c r="F1393" s="80" t="s">
        <v>602</v>
      </c>
      <c r="G1393" s="58" t="s">
        <v>4459</v>
      </c>
      <c r="H1393" s="58" t="s">
        <v>1763</v>
      </c>
      <c r="I1393" s="64" t="s">
        <v>4460</v>
      </c>
      <c r="J1393" s="66"/>
      <c r="K1393" s="66"/>
      <c r="L1393" s="68"/>
      <c r="M1393" s="63" t="str">
        <f>HYPERLINK("http://nsgreg.nga.mil/genc/view?v=868526&amp;end_month=12&amp;end_day=31&amp;end_year=2016","Correlation")</f>
        <v>Correlation</v>
      </c>
    </row>
    <row r="1394" spans="1:13" x14ac:dyDescent="0.2">
      <c r="A1394" s="114"/>
      <c r="B1394" s="71" t="s">
        <v>4463</v>
      </c>
      <c r="C1394" s="71" t="s">
        <v>4424</v>
      </c>
      <c r="D1394" s="71" t="s">
        <v>4462</v>
      </c>
      <c r="E1394" s="73" t="b">
        <v>1</v>
      </c>
      <c r="F1394" s="81" t="s">
        <v>602</v>
      </c>
      <c r="G1394" s="71" t="s">
        <v>4461</v>
      </c>
      <c r="H1394" s="71" t="s">
        <v>1763</v>
      </c>
      <c r="I1394" s="74" t="s">
        <v>4462</v>
      </c>
      <c r="J1394" s="76"/>
      <c r="K1394" s="76"/>
      <c r="L1394" s="82"/>
      <c r="M1394" s="77" t="str">
        <f>HYPERLINK("http://nsgreg.nga.mil/genc/view?v=868530&amp;end_month=12&amp;end_day=31&amp;end_year=2016","Correlation")</f>
        <v>Correlation</v>
      </c>
    </row>
    <row r="1395" spans="1:13" x14ac:dyDescent="0.2">
      <c r="A1395" s="112" t="s">
        <v>606</v>
      </c>
      <c r="B1395" s="50" t="s">
        <v>4464</v>
      </c>
      <c r="C1395" s="50" t="s">
        <v>1728</v>
      </c>
      <c r="D1395" s="50" t="s">
        <v>4465</v>
      </c>
      <c r="E1395" s="52" t="b">
        <v>1</v>
      </c>
      <c r="F1395" s="78" t="s">
        <v>606</v>
      </c>
      <c r="G1395" s="50" t="s">
        <v>4464</v>
      </c>
      <c r="H1395" s="50" t="s">
        <v>1728</v>
      </c>
      <c r="I1395" s="53" t="s">
        <v>4465</v>
      </c>
      <c r="J1395" s="55"/>
      <c r="K1395" s="55"/>
      <c r="L1395" s="79"/>
      <c r="M1395" s="56" t="str">
        <f>HYPERLINK("http://nsgreg.nga.mil/genc/view?v=869216&amp;end_month=12&amp;end_day=31&amp;end_year=2016","Correlation")</f>
        <v>Correlation</v>
      </c>
    </row>
    <row r="1396" spans="1:13" x14ac:dyDescent="0.2">
      <c r="A1396" s="113"/>
      <c r="B1396" s="58" t="s">
        <v>4466</v>
      </c>
      <c r="C1396" s="58" t="s">
        <v>1728</v>
      </c>
      <c r="D1396" s="58" t="s">
        <v>4467</v>
      </c>
      <c r="E1396" s="60" t="b">
        <v>1</v>
      </c>
      <c r="F1396" s="80" t="s">
        <v>606</v>
      </c>
      <c r="G1396" s="58" t="s">
        <v>4466</v>
      </c>
      <c r="H1396" s="58" t="s">
        <v>1728</v>
      </c>
      <c r="I1396" s="64" t="s">
        <v>4467</v>
      </c>
      <c r="J1396" s="66"/>
      <c r="K1396" s="66"/>
      <c r="L1396" s="68"/>
      <c r="M1396" s="63" t="str">
        <f>HYPERLINK("http://nsgreg.nga.mil/genc/view?v=869217&amp;end_month=12&amp;end_day=31&amp;end_year=2016","Correlation")</f>
        <v>Correlation</v>
      </c>
    </row>
    <row r="1397" spans="1:13" x14ac:dyDescent="0.2">
      <c r="A1397" s="113"/>
      <c r="B1397" s="58" t="s">
        <v>2411</v>
      </c>
      <c r="C1397" s="58" t="s">
        <v>1728</v>
      </c>
      <c r="D1397" s="58" t="s">
        <v>4468</v>
      </c>
      <c r="E1397" s="60" t="b">
        <v>1</v>
      </c>
      <c r="F1397" s="80" t="s">
        <v>606</v>
      </c>
      <c r="G1397" s="58" t="s">
        <v>2411</v>
      </c>
      <c r="H1397" s="58" t="s">
        <v>1728</v>
      </c>
      <c r="I1397" s="64" t="s">
        <v>4468</v>
      </c>
      <c r="J1397" s="66"/>
      <c r="K1397" s="66"/>
      <c r="L1397" s="68"/>
      <c r="M1397" s="63" t="str">
        <f>HYPERLINK("http://nsgreg.nga.mil/genc/view?v=869218&amp;end_month=12&amp;end_day=31&amp;end_year=2016","Correlation")</f>
        <v>Correlation</v>
      </c>
    </row>
    <row r="1398" spans="1:13" x14ac:dyDescent="0.2">
      <c r="A1398" s="113"/>
      <c r="B1398" s="58" t="s">
        <v>4055</v>
      </c>
      <c r="C1398" s="58" t="s">
        <v>1728</v>
      </c>
      <c r="D1398" s="58" t="s">
        <v>4469</v>
      </c>
      <c r="E1398" s="60" t="b">
        <v>1</v>
      </c>
      <c r="F1398" s="80" t="s">
        <v>606</v>
      </c>
      <c r="G1398" s="58" t="s">
        <v>4055</v>
      </c>
      <c r="H1398" s="58" t="s">
        <v>1728</v>
      </c>
      <c r="I1398" s="64" t="s">
        <v>4469</v>
      </c>
      <c r="J1398" s="66"/>
      <c r="K1398" s="66"/>
      <c r="L1398" s="68"/>
      <c r="M1398" s="63" t="str">
        <f>HYPERLINK("http://nsgreg.nga.mil/genc/view?v=869219&amp;end_month=12&amp;end_day=31&amp;end_year=2016","Correlation")</f>
        <v>Correlation</v>
      </c>
    </row>
    <row r="1399" spans="1:13" x14ac:dyDescent="0.2">
      <c r="A1399" s="113"/>
      <c r="B1399" s="58" t="s">
        <v>4470</v>
      </c>
      <c r="C1399" s="58" t="s">
        <v>1728</v>
      </c>
      <c r="D1399" s="58" t="s">
        <v>4471</v>
      </c>
      <c r="E1399" s="60" t="b">
        <v>1</v>
      </c>
      <c r="F1399" s="80" t="s">
        <v>606</v>
      </c>
      <c r="G1399" s="58" t="s">
        <v>4470</v>
      </c>
      <c r="H1399" s="58" t="s">
        <v>1728</v>
      </c>
      <c r="I1399" s="64" t="s">
        <v>4471</v>
      </c>
      <c r="J1399" s="66"/>
      <c r="K1399" s="66"/>
      <c r="L1399" s="68"/>
      <c r="M1399" s="63" t="str">
        <f>HYPERLINK("http://nsgreg.nga.mil/genc/view?v=869215&amp;end_month=12&amp;end_day=31&amp;end_year=2016","Correlation")</f>
        <v>Correlation</v>
      </c>
    </row>
    <row r="1400" spans="1:13" x14ac:dyDescent="0.2">
      <c r="A1400" s="113"/>
      <c r="B1400" s="58" t="s">
        <v>4071</v>
      </c>
      <c r="C1400" s="58" t="s">
        <v>1728</v>
      </c>
      <c r="D1400" s="58" t="s">
        <v>4472</v>
      </c>
      <c r="E1400" s="60" t="b">
        <v>1</v>
      </c>
      <c r="F1400" s="80" t="s">
        <v>606</v>
      </c>
      <c r="G1400" s="58" t="s">
        <v>4071</v>
      </c>
      <c r="H1400" s="58" t="s">
        <v>1728</v>
      </c>
      <c r="I1400" s="64" t="s">
        <v>4472</v>
      </c>
      <c r="J1400" s="66"/>
      <c r="K1400" s="66"/>
      <c r="L1400" s="68"/>
      <c r="M1400" s="63" t="str">
        <f>HYPERLINK("http://nsgreg.nga.mil/genc/view?v=869220&amp;end_month=12&amp;end_day=31&amp;end_year=2016","Correlation")</f>
        <v>Correlation</v>
      </c>
    </row>
    <row r="1401" spans="1:13" x14ac:dyDescent="0.2">
      <c r="A1401" s="113"/>
      <c r="B1401" s="58" t="s">
        <v>4473</v>
      </c>
      <c r="C1401" s="58" t="s">
        <v>1728</v>
      </c>
      <c r="D1401" s="58" t="s">
        <v>4474</v>
      </c>
      <c r="E1401" s="60" t="b">
        <v>1</v>
      </c>
      <c r="F1401" s="80" t="s">
        <v>606</v>
      </c>
      <c r="G1401" s="58" t="s">
        <v>4473</v>
      </c>
      <c r="H1401" s="58" t="s">
        <v>1728</v>
      </c>
      <c r="I1401" s="64" t="s">
        <v>4474</v>
      </c>
      <c r="J1401" s="66"/>
      <c r="K1401" s="66"/>
      <c r="L1401" s="68"/>
      <c r="M1401" s="63" t="str">
        <f>HYPERLINK("http://nsgreg.nga.mil/genc/view?v=869222&amp;end_month=12&amp;end_day=31&amp;end_year=2016","Correlation")</f>
        <v>Correlation</v>
      </c>
    </row>
    <row r="1402" spans="1:13" x14ac:dyDescent="0.2">
      <c r="A1402" s="113"/>
      <c r="B1402" s="58" t="s">
        <v>4475</v>
      </c>
      <c r="C1402" s="58" t="s">
        <v>1728</v>
      </c>
      <c r="D1402" s="58" t="s">
        <v>4476</v>
      </c>
      <c r="E1402" s="60" t="b">
        <v>1</v>
      </c>
      <c r="F1402" s="80" t="s">
        <v>606</v>
      </c>
      <c r="G1402" s="58" t="s">
        <v>4475</v>
      </c>
      <c r="H1402" s="58" t="s">
        <v>1728</v>
      </c>
      <c r="I1402" s="64" t="s">
        <v>4476</v>
      </c>
      <c r="J1402" s="66"/>
      <c r="K1402" s="66"/>
      <c r="L1402" s="68"/>
      <c r="M1402" s="63" t="str">
        <f>HYPERLINK("http://nsgreg.nga.mil/genc/view?v=869223&amp;end_month=12&amp;end_day=31&amp;end_year=2016","Correlation")</f>
        <v>Correlation</v>
      </c>
    </row>
    <row r="1403" spans="1:13" x14ac:dyDescent="0.2">
      <c r="A1403" s="113"/>
      <c r="B1403" s="58" t="s">
        <v>4477</v>
      </c>
      <c r="C1403" s="58" t="s">
        <v>1728</v>
      </c>
      <c r="D1403" s="58" t="s">
        <v>4478</v>
      </c>
      <c r="E1403" s="60" t="b">
        <v>1</v>
      </c>
      <c r="F1403" s="80" t="s">
        <v>606</v>
      </c>
      <c r="G1403" s="58" t="s">
        <v>4477</v>
      </c>
      <c r="H1403" s="58" t="s">
        <v>1728</v>
      </c>
      <c r="I1403" s="64" t="s">
        <v>4478</v>
      </c>
      <c r="J1403" s="66"/>
      <c r="K1403" s="66"/>
      <c r="L1403" s="68"/>
      <c r="M1403" s="63" t="str">
        <f>HYPERLINK("http://nsgreg.nga.mil/genc/view?v=869221&amp;end_month=12&amp;end_day=31&amp;end_year=2016","Correlation")</f>
        <v>Correlation</v>
      </c>
    </row>
    <row r="1404" spans="1:13" x14ac:dyDescent="0.2">
      <c r="A1404" s="114"/>
      <c r="B1404" s="71" t="s">
        <v>4083</v>
      </c>
      <c r="C1404" s="71" t="s">
        <v>1728</v>
      </c>
      <c r="D1404" s="71" t="s">
        <v>4479</v>
      </c>
      <c r="E1404" s="73" t="b">
        <v>1</v>
      </c>
      <c r="F1404" s="81" t="s">
        <v>606</v>
      </c>
      <c r="G1404" s="71" t="s">
        <v>4083</v>
      </c>
      <c r="H1404" s="71" t="s">
        <v>1728</v>
      </c>
      <c r="I1404" s="74" t="s">
        <v>4479</v>
      </c>
      <c r="J1404" s="76"/>
      <c r="K1404" s="76"/>
      <c r="L1404" s="82"/>
      <c r="M1404" s="77" t="str">
        <f>HYPERLINK("http://nsgreg.nga.mil/genc/view?v=869224&amp;end_month=12&amp;end_day=31&amp;end_year=2016","Correlation")</f>
        <v>Correlation</v>
      </c>
    </row>
    <row r="1405" spans="1:13" x14ac:dyDescent="0.2">
      <c r="A1405" s="112" t="s">
        <v>618</v>
      </c>
      <c r="B1405" s="50" t="s">
        <v>4480</v>
      </c>
      <c r="C1405" s="50" t="s">
        <v>4483</v>
      </c>
      <c r="D1405" s="50" t="s">
        <v>4482</v>
      </c>
      <c r="E1405" s="52" t="b">
        <v>1</v>
      </c>
      <c r="F1405" s="78" t="s">
        <v>618</v>
      </c>
      <c r="G1405" s="50" t="s">
        <v>4480</v>
      </c>
      <c r="H1405" s="50" t="s">
        <v>4481</v>
      </c>
      <c r="I1405" s="53" t="s">
        <v>4482</v>
      </c>
      <c r="J1405" s="55"/>
      <c r="K1405" s="55"/>
      <c r="L1405" s="79"/>
      <c r="M1405" s="56" t="str">
        <f>HYPERLINK("http://nsgreg.nga.mil/genc/view?v=869285&amp;end_month=12&amp;end_day=31&amp;end_year=2016","Correlation")</f>
        <v>Correlation</v>
      </c>
    </row>
    <row r="1406" spans="1:13" x14ac:dyDescent="0.2">
      <c r="A1406" s="113"/>
      <c r="B1406" s="58" t="s">
        <v>4484</v>
      </c>
      <c r="C1406" s="58" t="s">
        <v>4486</v>
      </c>
      <c r="D1406" s="58" t="s">
        <v>4485</v>
      </c>
      <c r="E1406" s="60" t="b">
        <v>1</v>
      </c>
      <c r="F1406" s="80" t="s">
        <v>618</v>
      </c>
      <c r="G1406" s="58" t="s">
        <v>4484</v>
      </c>
      <c r="H1406" s="58" t="s">
        <v>1728</v>
      </c>
      <c r="I1406" s="64" t="s">
        <v>4485</v>
      </c>
      <c r="J1406" s="66"/>
      <c r="K1406" s="66"/>
      <c r="L1406" s="68"/>
      <c r="M1406" s="63" t="str">
        <f>HYPERLINK("http://nsgreg.nga.mil/genc/view?v=869286&amp;end_month=12&amp;end_day=31&amp;end_year=2016","Correlation")</f>
        <v>Correlation</v>
      </c>
    </row>
    <row r="1407" spans="1:13" x14ac:dyDescent="0.2">
      <c r="A1407" s="113"/>
      <c r="B1407" s="58" t="s">
        <v>4487</v>
      </c>
      <c r="C1407" s="58" t="s">
        <v>4486</v>
      </c>
      <c r="D1407" s="58" t="s">
        <v>4488</v>
      </c>
      <c r="E1407" s="60" t="b">
        <v>1</v>
      </c>
      <c r="F1407" s="80" t="s">
        <v>618</v>
      </c>
      <c r="G1407" s="58" t="s">
        <v>4487</v>
      </c>
      <c r="H1407" s="58" t="s">
        <v>1728</v>
      </c>
      <c r="I1407" s="64" t="s">
        <v>4488</v>
      </c>
      <c r="J1407" s="66"/>
      <c r="K1407" s="66"/>
      <c r="L1407" s="68"/>
      <c r="M1407" s="63" t="str">
        <f>HYPERLINK("http://nsgreg.nga.mil/genc/view?v=869294&amp;end_month=12&amp;end_day=31&amp;end_year=2016","Correlation")</f>
        <v>Correlation</v>
      </c>
    </row>
    <row r="1408" spans="1:13" x14ac:dyDescent="0.2">
      <c r="A1408" s="113"/>
      <c r="B1408" s="58" t="s">
        <v>4489</v>
      </c>
      <c r="C1408" s="58" t="s">
        <v>4486</v>
      </c>
      <c r="D1408" s="58" t="s">
        <v>4490</v>
      </c>
      <c r="E1408" s="60" t="b">
        <v>1</v>
      </c>
      <c r="F1408" s="80" t="s">
        <v>618</v>
      </c>
      <c r="G1408" s="58" t="s">
        <v>4489</v>
      </c>
      <c r="H1408" s="58" t="s">
        <v>1728</v>
      </c>
      <c r="I1408" s="64" t="s">
        <v>4490</v>
      </c>
      <c r="J1408" s="66"/>
      <c r="K1408" s="66"/>
      <c r="L1408" s="68"/>
      <c r="M1408" s="63" t="str">
        <f>HYPERLINK("http://nsgreg.nga.mil/genc/view?v=869292&amp;end_month=12&amp;end_day=31&amp;end_year=2016","Correlation")</f>
        <v>Correlation</v>
      </c>
    </row>
    <row r="1409" spans="1:13" x14ac:dyDescent="0.2">
      <c r="A1409" s="113"/>
      <c r="B1409" s="58" t="s">
        <v>4491</v>
      </c>
      <c r="C1409" s="58" t="s">
        <v>4486</v>
      </c>
      <c r="D1409" s="58" t="s">
        <v>4492</v>
      </c>
      <c r="E1409" s="60" t="b">
        <v>1</v>
      </c>
      <c r="F1409" s="80" t="s">
        <v>618</v>
      </c>
      <c r="G1409" s="58" t="s">
        <v>4491</v>
      </c>
      <c r="H1409" s="58" t="s">
        <v>1728</v>
      </c>
      <c r="I1409" s="64" t="s">
        <v>4492</v>
      </c>
      <c r="J1409" s="66"/>
      <c r="K1409" s="66"/>
      <c r="L1409" s="68"/>
      <c r="M1409" s="63" t="str">
        <f>HYPERLINK("http://nsgreg.nga.mil/genc/view?v=869288&amp;end_month=12&amp;end_day=31&amp;end_year=2016","Correlation")</f>
        <v>Correlation</v>
      </c>
    </row>
    <row r="1410" spans="1:13" x14ac:dyDescent="0.2">
      <c r="A1410" s="113"/>
      <c r="B1410" s="58" t="s">
        <v>4493</v>
      </c>
      <c r="C1410" s="58" t="s">
        <v>4486</v>
      </c>
      <c r="D1410" s="58" t="s">
        <v>4494</v>
      </c>
      <c r="E1410" s="60" t="b">
        <v>1</v>
      </c>
      <c r="F1410" s="80" t="s">
        <v>618</v>
      </c>
      <c r="G1410" s="58" t="s">
        <v>4493</v>
      </c>
      <c r="H1410" s="58" t="s">
        <v>1728</v>
      </c>
      <c r="I1410" s="64" t="s">
        <v>4494</v>
      </c>
      <c r="J1410" s="66"/>
      <c r="K1410" s="66"/>
      <c r="L1410" s="68"/>
      <c r="M1410" s="63" t="str">
        <f>HYPERLINK("http://nsgreg.nga.mil/genc/view?v=869291&amp;end_month=12&amp;end_day=31&amp;end_year=2016","Correlation")</f>
        <v>Correlation</v>
      </c>
    </row>
    <row r="1411" spans="1:13" x14ac:dyDescent="0.2">
      <c r="A1411" s="113"/>
      <c r="B1411" s="58" t="s">
        <v>4495</v>
      </c>
      <c r="C1411" s="58" t="s">
        <v>4486</v>
      </c>
      <c r="D1411" s="58" t="s">
        <v>4496</v>
      </c>
      <c r="E1411" s="60" t="b">
        <v>1</v>
      </c>
      <c r="F1411" s="80" t="s">
        <v>618</v>
      </c>
      <c r="G1411" s="58" t="s">
        <v>4495</v>
      </c>
      <c r="H1411" s="58" t="s">
        <v>1728</v>
      </c>
      <c r="I1411" s="64" t="s">
        <v>4496</v>
      </c>
      <c r="J1411" s="66"/>
      <c r="K1411" s="66"/>
      <c r="L1411" s="68"/>
      <c r="M1411" s="63" t="str">
        <f>HYPERLINK("http://nsgreg.nga.mil/genc/view?v=869289&amp;end_month=12&amp;end_day=31&amp;end_year=2016","Correlation")</f>
        <v>Correlation</v>
      </c>
    </row>
    <row r="1412" spans="1:13" x14ac:dyDescent="0.2">
      <c r="A1412" s="113"/>
      <c r="B1412" s="58" t="s">
        <v>4497</v>
      </c>
      <c r="C1412" s="58" t="s">
        <v>4486</v>
      </c>
      <c r="D1412" s="58" t="s">
        <v>4498</v>
      </c>
      <c r="E1412" s="60" t="b">
        <v>1</v>
      </c>
      <c r="F1412" s="80" t="s">
        <v>618</v>
      </c>
      <c r="G1412" s="58" t="s">
        <v>4497</v>
      </c>
      <c r="H1412" s="58" t="s">
        <v>1728</v>
      </c>
      <c r="I1412" s="64" t="s">
        <v>4498</v>
      </c>
      <c r="J1412" s="66"/>
      <c r="K1412" s="66"/>
      <c r="L1412" s="68"/>
      <c r="M1412" s="63" t="str">
        <f>HYPERLINK("http://nsgreg.nga.mil/genc/view?v=869287&amp;end_month=12&amp;end_day=31&amp;end_year=2016","Correlation")</f>
        <v>Correlation</v>
      </c>
    </row>
    <row r="1413" spans="1:13" x14ac:dyDescent="0.2">
      <c r="A1413" s="113"/>
      <c r="B1413" s="58" t="s">
        <v>4499</v>
      </c>
      <c r="C1413" s="58" t="s">
        <v>4486</v>
      </c>
      <c r="D1413" s="58" t="s">
        <v>4500</v>
      </c>
      <c r="E1413" s="60" t="b">
        <v>1</v>
      </c>
      <c r="F1413" s="80" t="s">
        <v>618</v>
      </c>
      <c r="G1413" s="58" t="s">
        <v>4499</v>
      </c>
      <c r="H1413" s="58" t="s">
        <v>1728</v>
      </c>
      <c r="I1413" s="64" t="s">
        <v>4500</v>
      </c>
      <c r="J1413" s="66"/>
      <c r="K1413" s="66"/>
      <c r="L1413" s="68"/>
      <c r="M1413" s="63" t="str">
        <f>HYPERLINK("http://nsgreg.nga.mil/genc/view?v=869298&amp;end_month=12&amp;end_day=31&amp;end_year=2016","Correlation")</f>
        <v>Correlation</v>
      </c>
    </row>
    <row r="1414" spans="1:13" x14ac:dyDescent="0.2">
      <c r="A1414" s="113"/>
      <c r="B1414" s="58" t="s">
        <v>4501</v>
      </c>
      <c r="C1414" s="58" t="s">
        <v>4486</v>
      </c>
      <c r="D1414" s="58" t="s">
        <v>4502</v>
      </c>
      <c r="E1414" s="60" t="b">
        <v>1</v>
      </c>
      <c r="F1414" s="80" t="s">
        <v>618</v>
      </c>
      <c r="G1414" s="58" t="s">
        <v>4501</v>
      </c>
      <c r="H1414" s="58" t="s">
        <v>1728</v>
      </c>
      <c r="I1414" s="64" t="s">
        <v>4502</v>
      </c>
      <c r="J1414" s="66"/>
      <c r="K1414" s="66"/>
      <c r="L1414" s="68"/>
      <c r="M1414" s="63" t="str">
        <f>HYPERLINK("http://nsgreg.nga.mil/genc/view?v=869297&amp;end_month=12&amp;end_day=31&amp;end_year=2016","Correlation")</f>
        <v>Correlation</v>
      </c>
    </row>
    <row r="1415" spans="1:13" x14ac:dyDescent="0.2">
      <c r="A1415" s="113"/>
      <c r="B1415" s="58" t="s">
        <v>4503</v>
      </c>
      <c r="C1415" s="58" t="s">
        <v>4486</v>
      </c>
      <c r="D1415" s="58" t="s">
        <v>4504</v>
      </c>
      <c r="E1415" s="60" t="b">
        <v>1</v>
      </c>
      <c r="F1415" s="80" t="s">
        <v>618</v>
      </c>
      <c r="G1415" s="58" t="s">
        <v>4503</v>
      </c>
      <c r="H1415" s="58" t="s">
        <v>1728</v>
      </c>
      <c r="I1415" s="64" t="s">
        <v>4504</v>
      </c>
      <c r="J1415" s="66"/>
      <c r="K1415" s="66"/>
      <c r="L1415" s="68"/>
      <c r="M1415" s="63" t="str">
        <f>HYPERLINK("http://nsgreg.nga.mil/genc/view?v=869295&amp;end_month=12&amp;end_day=31&amp;end_year=2016","Correlation")</f>
        <v>Correlation</v>
      </c>
    </row>
    <row r="1416" spans="1:13" x14ac:dyDescent="0.2">
      <c r="A1416" s="113"/>
      <c r="B1416" s="58" t="s">
        <v>4505</v>
      </c>
      <c r="C1416" s="58" t="s">
        <v>4486</v>
      </c>
      <c r="D1416" s="58" t="s">
        <v>4506</v>
      </c>
      <c r="E1416" s="60" t="b">
        <v>1</v>
      </c>
      <c r="F1416" s="80" t="s">
        <v>618</v>
      </c>
      <c r="G1416" s="58" t="s">
        <v>4505</v>
      </c>
      <c r="H1416" s="58" t="s">
        <v>1728</v>
      </c>
      <c r="I1416" s="64" t="s">
        <v>4506</v>
      </c>
      <c r="J1416" s="66"/>
      <c r="K1416" s="66"/>
      <c r="L1416" s="68"/>
      <c r="M1416" s="63" t="str">
        <f>HYPERLINK("http://nsgreg.nga.mil/genc/view?v=869293&amp;end_month=12&amp;end_day=31&amp;end_year=2016","Correlation")</f>
        <v>Correlation</v>
      </c>
    </row>
    <row r="1417" spans="1:13" x14ac:dyDescent="0.2">
      <c r="A1417" s="113"/>
      <c r="B1417" s="58" t="s">
        <v>4507</v>
      </c>
      <c r="C1417" s="58" t="s">
        <v>4486</v>
      </c>
      <c r="D1417" s="58" t="s">
        <v>4508</v>
      </c>
      <c r="E1417" s="60" t="b">
        <v>1</v>
      </c>
      <c r="F1417" s="80" t="s">
        <v>618</v>
      </c>
      <c r="G1417" s="58" t="s">
        <v>4507</v>
      </c>
      <c r="H1417" s="58" t="s">
        <v>1728</v>
      </c>
      <c r="I1417" s="64" t="s">
        <v>4508</v>
      </c>
      <c r="J1417" s="66"/>
      <c r="K1417" s="66"/>
      <c r="L1417" s="68"/>
      <c r="M1417" s="63" t="str">
        <f>HYPERLINK("http://nsgreg.nga.mil/genc/view?v=869290&amp;end_month=12&amp;end_day=31&amp;end_year=2016","Correlation")</f>
        <v>Correlation</v>
      </c>
    </row>
    <row r="1418" spans="1:13" x14ac:dyDescent="0.2">
      <c r="A1418" s="114"/>
      <c r="B1418" s="71" t="s">
        <v>4509</v>
      </c>
      <c r="C1418" s="71" t="s">
        <v>4486</v>
      </c>
      <c r="D1418" s="71" t="s">
        <v>4510</v>
      </c>
      <c r="E1418" s="73" t="b">
        <v>1</v>
      </c>
      <c r="F1418" s="81" t="s">
        <v>618</v>
      </c>
      <c r="G1418" s="71" t="s">
        <v>4509</v>
      </c>
      <c r="H1418" s="71" t="s">
        <v>1728</v>
      </c>
      <c r="I1418" s="74" t="s">
        <v>4510</v>
      </c>
      <c r="J1418" s="76"/>
      <c r="K1418" s="76"/>
      <c r="L1418" s="82"/>
      <c r="M1418" s="77" t="str">
        <f>HYPERLINK("http://nsgreg.nga.mil/genc/view?v=869296&amp;end_month=12&amp;end_day=31&amp;end_year=2016","Correlation")</f>
        <v>Correlation</v>
      </c>
    </row>
    <row r="1419" spans="1:13" x14ac:dyDescent="0.2">
      <c r="A1419" s="112" t="s">
        <v>622</v>
      </c>
      <c r="B1419" s="50" t="s">
        <v>4513</v>
      </c>
      <c r="C1419" s="50" t="s">
        <v>1816</v>
      </c>
      <c r="D1419" s="50" t="s">
        <v>4512</v>
      </c>
      <c r="E1419" s="52" t="b">
        <v>1</v>
      </c>
      <c r="F1419" s="78" t="s">
        <v>622</v>
      </c>
      <c r="G1419" s="50" t="s">
        <v>4511</v>
      </c>
      <c r="H1419" s="50" t="s">
        <v>1816</v>
      </c>
      <c r="I1419" s="53" t="s">
        <v>4512</v>
      </c>
      <c r="J1419" s="55"/>
      <c r="K1419" s="55"/>
      <c r="L1419" s="79"/>
      <c r="M1419" s="56" t="str">
        <f>HYPERLINK("http://nsgreg.nga.mil/genc/view?v=869225&amp;end_month=12&amp;end_day=31&amp;end_year=2016","Correlation")</f>
        <v>Correlation</v>
      </c>
    </row>
    <row r="1420" spans="1:13" x14ac:dyDescent="0.2">
      <c r="A1420" s="113"/>
      <c r="B1420" s="58" t="s">
        <v>4522</v>
      </c>
      <c r="C1420" s="58" t="s">
        <v>1816</v>
      </c>
      <c r="D1420" s="58" t="s">
        <v>4521</v>
      </c>
      <c r="E1420" s="60" t="b">
        <v>1</v>
      </c>
      <c r="F1420" s="80" t="s">
        <v>622</v>
      </c>
      <c r="G1420" s="58" t="s">
        <v>4520</v>
      </c>
      <c r="H1420" s="58" t="s">
        <v>1816</v>
      </c>
      <c r="I1420" s="64" t="s">
        <v>4521</v>
      </c>
      <c r="J1420" s="66"/>
      <c r="K1420" s="66"/>
      <c r="L1420" s="68"/>
      <c r="M1420" s="63" t="str">
        <f>HYPERLINK("http://nsgreg.nga.mil/genc/view?v=869228&amp;end_month=12&amp;end_day=31&amp;end_year=2016","Correlation")</f>
        <v>Correlation</v>
      </c>
    </row>
    <row r="1421" spans="1:13" x14ac:dyDescent="0.2">
      <c r="A1421" s="113"/>
      <c r="B1421" s="58" t="s">
        <v>4516</v>
      </c>
      <c r="C1421" s="58" t="s">
        <v>1816</v>
      </c>
      <c r="D1421" s="58" t="s">
        <v>4515</v>
      </c>
      <c r="E1421" s="60" t="b">
        <v>1</v>
      </c>
      <c r="F1421" s="80" t="s">
        <v>622</v>
      </c>
      <c r="G1421" s="58" t="s">
        <v>4514</v>
      </c>
      <c r="H1421" s="58" t="s">
        <v>1816</v>
      </c>
      <c r="I1421" s="64" t="s">
        <v>4515</v>
      </c>
      <c r="J1421" s="66"/>
      <c r="K1421" s="66"/>
      <c r="L1421" s="68"/>
      <c r="M1421" s="63" t="str">
        <f>HYPERLINK("http://nsgreg.nga.mil/genc/view?v=869226&amp;end_month=12&amp;end_day=31&amp;end_year=2016","Correlation")</f>
        <v>Correlation</v>
      </c>
    </row>
    <row r="1422" spans="1:13" x14ac:dyDescent="0.2">
      <c r="A1422" s="114"/>
      <c r="B1422" s="71" t="s">
        <v>4519</v>
      </c>
      <c r="C1422" s="71" t="s">
        <v>1816</v>
      </c>
      <c r="D1422" s="71" t="s">
        <v>4518</v>
      </c>
      <c r="E1422" s="73" t="b">
        <v>1</v>
      </c>
      <c r="F1422" s="81" t="s">
        <v>622</v>
      </c>
      <c r="G1422" s="71" t="s">
        <v>4517</v>
      </c>
      <c r="H1422" s="71" t="s">
        <v>1816</v>
      </c>
      <c r="I1422" s="74" t="s">
        <v>4518</v>
      </c>
      <c r="J1422" s="76"/>
      <c r="K1422" s="76"/>
      <c r="L1422" s="82"/>
      <c r="M1422" s="77" t="str">
        <f>HYPERLINK("http://nsgreg.nga.mil/genc/view?v=869227&amp;end_month=12&amp;end_day=31&amp;end_year=2016","Correlation")</f>
        <v>Correlation</v>
      </c>
    </row>
    <row r="1423" spans="1:13" x14ac:dyDescent="0.2">
      <c r="A1423" s="112" t="s">
        <v>626</v>
      </c>
      <c r="B1423" s="50" t="s">
        <v>2213</v>
      </c>
      <c r="C1423" s="50" t="s">
        <v>1607</v>
      </c>
      <c r="D1423" s="50" t="s">
        <v>4523</v>
      </c>
      <c r="E1423" s="52" t="b">
        <v>1</v>
      </c>
      <c r="F1423" s="78" t="s">
        <v>626</v>
      </c>
      <c r="G1423" s="50" t="s">
        <v>2213</v>
      </c>
      <c r="H1423" s="50" t="s">
        <v>1607</v>
      </c>
      <c r="I1423" s="53" t="s">
        <v>4523</v>
      </c>
      <c r="J1423" s="55"/>
      <c r="K1423" s="55"/>
      <c r="L1423" s="79"/>
      <c r="M1423" s="56" t="str">
        <f>HYPERLINK("http://nsgreg.nga.mil/genc/view?v=869196&amp;end_month=12&amp;end_day=31&amp;end_year=2016","Correlation")</f>
        <v>Correlation</v>
      </c>
    </row>
    <row r="1424" spans="1:13" x14ac:dyDescent="0.2">
      <c r="A1424" s="113"/>
      <c r="B1424" s="58" t="s">
        <v>3736</v>
      </c>
      <c r="C1424" s="58" t="s">
        <v>1607</v>
      </c>
      <c r="D1424" s="58" t="s">
        <v>4524</v>
      </c>
      <c r="E1424" s="60" t="b">
        <v>1</v>
      </c>
      <c r="F1424" s="80" t="s">
        <v>626</v>
      </c>
      <c r="G1424" s="58" t="s">
        <v>3736</v>
      </c>
      <c r="H1424" s="58" t="s">
        <v>1607</v>
      </c>
      <c r="I1424" s="64" t="s">
        <v>4524</v>
      </c>
      <c r="J1424" s="66"/>
      <c r="K1424" s="66"/>
      <c r="L1424" s="68"/>
      <c r="M1424" s="63" t="str">
        <f>HYPERLINK("http://nsgreg.nga.mil/genc/view?v=869197&amp;end_month=12&amp;end_day=31&amp;end_year=2016","Correlation")</f>
        <v>Correlation</v>
      </c>
    </row>
    <row r="1425" spans="1:13" x14ac:dyDescent="0.2">
      <c r="A1425" s="113"/>
      <c r="B1425" s="58" t="s">
        <v>1663</v>
      </c>
      <c r="C1425" s="58" t="s">
        <v>1607</v>
      </c>
      <c r="D1425" s="58" t="s">
        <v>4525</v>
      </c>
      <c r="E1425" s="60" t="b">
        <v>1</v>
      </c>
      <c r="F1425" s="80" t="s">
        <v>626</v>
      </c>
      <c r="G1425" s="58" t="s">
        <v>1663</v>
      </c>
      <c r="H1425" s="58" t="s">
        <v>1607</v>
      </c>
      <c r="I1425" s="64" t="s">
        <v>4525</v>
      </c>
      <c r="J1425" s="66"/>
      <c r="K1425" s="66"/>
      <c r="L1425" s="68"/>
      <c r="M1425" s="63" t="str">
        <f>HYPERLINK("http://nsgreg.nga.mil/genc/view?v=869198&amp;end_month=12&amp;end_day=31&amp;end_year=2016","Correlation")</f>
        <v>Correlation</v>
      </c>
    </row>
    <row r="1426" spans="1:13" x14ac:dyDescent="0.2">
      <c r="A1426" s="113"/>
      <c r="B1426" s="58" t="s">
        <v>1665</v>
      </c>
      <c r="C1426" s="58" t="s">
        <v>1607</v>
      </c>
      <c r="D1426" s="58" t="s">
        <v>4526</v>
      </c>
      <c r="E1426" s="60" t="b">
        <v>1</v>
      </c>
      <c r="F1426" s="80" t="s">
        <v>626</v>
      </c>
      <c r="G1426" s="58" t="s">
        <v>1665</v>
      </c>
      <c r="H1426" s="58" t="s">
        <v>1607</v>
      </c>
      <c r="I1426" s="64" t="s">
        <v>4526</v>
      </c>
      <c r="J1426" s="66"/>
      <c r="K1426" s="66"/>
      <c r="L1426" s="68"/>
      <c r="M1426" s="63" t="str">
        <f>HYPERLINK("http://nsgreg.nga.mil/genc/view?v=869199&amp;end_month=12&amp;end_day=31&amp;end_year=2016","Correlation")</f>
        <v>Correlation</v>
      </c>
    </row>
    <row r="1427" spans="1:13" x14ac:dyDescent="0.2">
      <c r="A1427" s="113"/>
      <c r="B1427" s="58" t="s">
        <v>3743</v>
      </c>
      <c r="C1427" s="58" t="s">
        <v>1607</v>
      </c>
      <c r="D1427" s="58" t="s">
        <v>4527</v>
      </c>
      <c r="E1427" s="60" t="b">
        <v>1</v>
      </c>
      <c r="F1427" s="80" t="s">
        <v>626</v>
      </c>
      <c r="G1427" s="58" t="s">
        <v>3743</v>
      </c>
      <c r="H1427" s="58" t="s">
        <v>1607</v>
      </c>
      <c r="I1427" s="64" t="s">
        <v>4527</v>
      </c>
      <c r="J1427" s="66"/>
      <c r="K1427" s="66"/>
      <c r="L1427" s="68"/>
      <c r="M1427" s="63" t="str">
        <f>HYPERLINK("http://nsgreg.nga.mil/genc/view?v=869200&amp;end_month=12&amp;end_day=31&amp;end_year=2016","Correlation")</f>
        <v>Correlation</v>
      </c>
    </row>
    <row r="1428" spans="1:13" x14ac:dyDescent="0.2">
      <c r="A1428" s="113"/>
      <c r="B1428" s="58" t="s">
        <v>3745</v>
      </c>
      <c r="C1428" s="58" t="s">
        <v>1607</v>
      </c>
      <c r="D1428" s="58" t="s">
        <v>4528</v>
      </c>
      <c r="E1428" s="60" t="b">
        <v>1</v>
      </c>
      <c r="F1428" s="80" t="s">
        <v>626</v>
      </c>
      <c r="G1428" s="58" t="s">
        <v>3745</v>
      </c>
      <c r="H1428" s="58" t="s">
        <v>1607</v>
      </c>
      <c r="I1428" s="64" t="s">
        <v>4528</v>
      </c>
      <c r="J1428" s="66"/>
      <c r="K1428" s="66"/>
      <c r="L1428" s="68"/>
      <c r="M1428" s="63" t="str">
        <f>HYPERLINK("http://nsgreg.nga.mil/genc/view?v=869201&amp;end_month=12&amp;end_day=31&amp;end_year=2016","Correlation")</f>
        <v>Correlation</v>
      </c>
    </row>
    <row r="1429" spans="1:13" x14ac:dyDescent="0.2">
      <c r="A1429" s="114"/>
      <c r="B1429" s="71" t="s">
        <v>4529</v>
      </c>
      <c r="C1429" s="71" t="s">
        <v>1659</v>
      </c>
      <c r="D1429" s="71" t="s">
        <v>4530</v>
      </c>
      <c r="E1429" s="73" t="b">
        <v>1</v>
      </c>
      <c r="F1429" s="81" t="s">
        <v>626</v>
      </c>
      <c r="G1429" s="71" t="s">
        <v>4529</v>
      </c>
      <c r="H1429" s="71" t="s">
        <v>1659</v>
      </c>
      <c r="I1429" s="74" t="s">
        <v>4530</v>
      </c>
      <c r="J1429" s="76"/>
      <c r="K1429" s="76"/>
      <c r="L1429" s="82"/>
      <c r="M1429" s="77" t="str">
        <f>HYPERLINK("http://nsgreg.nga.mil/genc/view?v=869202&amp;end_month=12&amp;end_day=31&amp;end_year=2016","Correlation")</f>
        <v>Correlation</v>
      </c>
    </row>
    <row r="1430" spans="1:13" x14ac:dyDescent="0.2">
      <c r="A1430" s="112" t="s">
        <v>647</v>
      </c>
      <c r="B1430" s="50" t="s">
        <v>4531</v>
      </c>
      <c r="C1430" s="50" t="s">
        <v>2294</v>
      </c>
      <c r="D1430" s="50" t="s">
        <v>4532</v>
      </c>
      <c r="E1430" s="52" t="b">
        <v>1</v>
      </c>
      <c r="F1430" s="78" t="s">
        <v>647</v>
      </c>
      <c r="G1430" s="50" t="s">
        <v>4531</v>
      </c>
      <c r="H1430" s="50" t="s">
        <v>2294</v>
      </c>
      <c r="I1430" s="53" t="s">
        <v>4532</v>
      </c>
      <c r="J1430" s="55"/>
      <c r="K1430" s="55"/>
      <c r="L1430" s="79"/>
      <c r="M1430" s="56" t="str">
        <f>HYPERLINK("http://nsgreg.nga.mil/genc/view?v=869299&amp;end_month=12&amp;end_day=31&amp;end_year=2016","Correlation")</f>
        <v>Correlation</v>
      </c>
    </row>
    <row r="1431" spans="1:13" x14ac:dyDescent="0.2">
      <c r="A1431" s="113"/>
      <c r="B1431" s="58" t="s">
        <v>4533</v>
      </c>
      <c r="C1431" s="58" t="s">
        <v>2294</v>
      </c>
      <c r="D1431" s="58" t="s">
        <v>4534</v>
      </c>
      <c r="E1431" s="60" t="b">
        <v>1</v>
      </c>
      <c r="F1431" s="80" t="s">
        <v>647</v>
      </c>
      <c r="G1431" s="58" t="s">
        <v>4533</v>
      </c>
      <c r="H1431" s="58" t="s">
        <v>2294</v>
      </c>
      <c r="I1431" s="64" t="s">
        <v>4534</v>
      </c>
      <c r="J1431" s="66"/>
      <c r="K1431" s="66"/>
      <c r="L1431" s="68"/>
      <c r="M1431" s="63" t="str">
        <f>HYPERLINK("http://nsgreg.nga.mil/genc/view?v=869300&amp;end_month=12&amp;end_day=31&amp;end_year=2016","Correlation")</f>
        <v>Correlation</v>
      </c>
    </row>
    <row r="1432" spans="1:13" x14ac:dyDescent="0.2">
      <c r="A1432" s="113"/>
      <c r="B1432" s="58" t="s">
        <v>4535</v>
      </c>
      <c r="C1432" s="58" t="s">
        <v>2294</v>
      </c>
      <c r="D1432" s="58" t="s">
        <v>4536</v>
      </c>
      <c r="E1432" s="60" t="b">
        <v>1</v>
      </c>
      <c r="F1432" s="80" t="s">
        <v>647</v>
      </c>
      <c r="G1432" s="58" t="s">
        <v>4535</v>
      </c>
      <c r="H1432" s="58" t="s">
        <v>2294</v>
      </c>
      <c r="I1432" s="64" t="s">
        <v>4536</v>
      </c>
      <c r="J1432" s="66"/>
      <c r="K1432" s="66"/>
      <c r="L1432" s="68"/>
      <c r="M1432" s="63" t="str">
        <f>HYPERLINK("http://nsgreg.nga.mil/genc/view?v=869301&amp;end_month=12&amp;end_day=31&amp;end_year=2016","Correlation")</f>
        <v>Correlation</v>
      </c>
    </row>
    <row r="1433" spans="1:13" x14ac:dyDescent="0.2">
      <c r="A1433" s="113"/>
      <c r="B1433" s="58" t="s">
        <v>4537</v>
      </c>
      <c r="C1433" s="58" t="s">
        <v>2294</v>
      </c>
      <c r="D1433" s="58" t="s">
        <v>4538</v>
      </c>
      <c r="E1433" s="60" t="b">
        <v>1</v>
      </c>
      <c r="F1433" s="80" t="s">
        <v>647</v>
      </c>
      <c r="G1433" s="58" t="s">
        <v>4537</v>
      </c>
      <c r="H1433" s="58" t="s">
        <v>2294</v>
      </c>
      <c r="I1433" s="64" t="s">
        <v>4538</v>
      </c>
      <c r="J1433" s="66"/>
      <c r="K1433" s="66"/>
      <c r="L1433" s="68"/>
      <c r="M1433" s="63" t="str">
        <f>HYPERLINK("http://nsgreg.nga.mil/genc/view?v=869302&amp;end_month=12&amp;end_day=31&amp;end_year=2016","Correlation")</f>
        <v>Correlation</v>
      </c>
    </row>
    <row r="1434" spans="1:13" x14ac:dyDescent="0.2">
      <c r="A1434" s="113"/>
      <c r="B1434" s="58" t="s">
        <v>4539</v>
      </c>
      <c r="C1434" s="58" t="s">
        <v>2294</v>
      </c>
      <c r="D1434" s="58" t="s">
        <v>4540</v>
      </c>
      <c r="E1434" s="60" t="b">
        <v>1</v>
      </c>
      <c r="F1434" s="80" t="s">
        <v>647</v>
      </c>
      <c r="G1434" s="58" t="s">
        <v>4539</v>
      </c>
      <c r="H1434" s="58" t="s">
        <v>2294</v>
      </c>
      <c r="I1434" s="64" t="s">
        <v>4540</v>
      </c>
      <c r="J1434" s="66"/>
      <c r="K1434" s="66"/>
      <c r="L1434" s="68"/>
      <c r="M1434" s="63" t="str">
        <f>HYPERLINK("http://nsgreg.nga.mil/genc/view?v=869310&amp;end_month=12&amp;end_day=31&amp;end_year=2016","Correlation")</f>
        <v>Correlation</v>
      </c>
    </row>
    <row r="1435" spans="1:13" x14ac:dyDescent="0.2">
      <c r="A1435" s="113"/>
      <c r="B1435" s="58" t="s">
        <v>4541</v>
      </c>
      <c r="C1435" s="58" t="s">
        <v>2294</v>
      </c>
      <c r="D1435" s="58" t="s">
        <v>4542</v>
      </c>
      <c r="E1435" s="60" t="b">
        <v>1</v>
      </c>
      <c r="F1435" s="80" t="s">
        <v>647</v>
      </c>
      <c r="G1435" s="58" t="s">
        <v>4541</v>
      </c>
      <c r="H1435" s="58" t="s">
        <v>2294</v>
      </c>
      <c r="I1435" s="64" t="s">
        <v>4542</v>
      </c>
      <c r="J1435" s="66"/>
      <c r="K1435" s="66"/>
      <c r="L1435" s="68"/>
      <c r="M1435" s="63" t="str">
        <f>HYPERLINK("http://nsgreg.nga.mil/genc/view?v=869303&amp;end_month=12&amp;end_day=31&amp;end_year=2016","Correlation")</f>
        <v>Correlation</v>
      </c>
    </row>
    <row r="1436" spans="1:13" x14ac:dyDescent="0.2">
      <c r="A1436" s="113"/>
      <c r="B1436" s="58" t="s">
        <v>4543</v>
      </c>
      <c r="C1436" s="58" t="s">
        <v>2294</v>
      </c>
      <c r="D1436" s="58" t="s">
        <v>4544</v>
      </c>
      <c r="E1436" s="60" t="b">
        <v>1</v>
      </c>
      <c r="F1436" s="80" t="s">
        <v>647</v>
      </c>
      <c r="G1436" s="58" t="s">
        <v>4543</v>
      </c>
      <c r="H1436" s="58" t="s">
        <v>2294</v>
      </c>
      <c r="I1436" s="64" t="s">
        <v>4544</v>
      </c>
      <c r="J1436" s="66"/>
      <c r="K1436" s="66"/>
      <c r="L1436" s="68"/>
      <c r="M1436" s="63" t="str">
        <f>HYPERLINK("http://nsgreg.nga.mil/genc/view?v=869304&amp;end_month=12&amp;end_day=31&amp;end_year=2016","Correlation")</f>
        <v>Correlation</v>
      </c>
    </row>
    <row r="1437" spans="1:13" x14ac:dyDescent="0.2">
      <c r="A1437" s="113"/>
      <c r="B1437" s="58" t="s">
        <v>4545</v>
      </c>
      <c r="C1437" s="58" t="s">
        <v>2294</v>
      </c>
      <c r="D1437" s="58" t="s">
        <v>4546</v>
      </c>
      <c r="E1437" s="60" t="b">
        <v>1</v>
      </c>
      <c r="F1437" s="80" t="s">
        <v>647</v>
      </c>
      <c r="G1437" s="58" t="s">
        <v>4545</v>
      </c>
      <c r="H1437" s="58" t="s">
        <v>2294</v>
      </c>
      <c r="I1437" s="64" t="s">
        <v>4546</v>
      </c>
      <c r="J1437" s="66"/>
      <c r="K1437" s="66"/>
      <c r="L1437" s="68"/>
      <c r="M1437" s="63" t="str">
        <f>HYPERLINK("http://nsgreg.nga.mil/genc/view?v=869305&amp;end_month=12&amp;end_day=31&amp;end_year=2016","Correlation")</f>
        <v>Correlation</v>
      </c>
    </row>
    <row r="1438" spans="1:13" x14ac:dyDescent="0.2">
      <c r="A1438" s="113"/>
      <c r="B1438" s="58" t="s">
        <v>4547</v>
      </c>
      <c r="C1438" s="58" t="s">
        <v>2294</v>
      </c>
      <c r="D1438" s="58" t="s">
        <v>4548</v>
      </c>
      <c r="E1438" s="60" t="b">
        <v>1</v>
      </c>
      <c r="F1438" s="80" t="s">
        <v>647</v>
      </c>
      <c r="G1438" s="58" t="s">
        <v>4547</v>
      </c>
      <c r="H1438" s="58" t="s">
        <v>2294</v>
      </c>
      <c r="I1438" s="64" t="s">
        <v>4548</v>
      </c>
      <c r="J1438" s="66"/>
      <c r="K1438" s="66"/>
      <c r="L1438" s="68"/>
      <c r="M1438" s="63" t="str">
        <f>HYPERLINK("http://nsgreg.nga.mil/genc/view?v=869306&amp;end_month=12&amp;end_day=31&amp;end_year=2016","Correlation")</f>
        <v>Correlation</v>
      </c>
    </row>
    <row r="1439" spans="1:13" x14ac:dyDescent="0.2">
      <c r="A1439" s="113"/>
      <c r="B1439" s="58" t="s">
        <v>4549</v>
      </c>
      <c r="C1439" s="58" t="s">
        <v>2294</v>
      </c>
      <c r="D1439" s="58" t="s">
        <v>4550</v>
      </c>
      <c r="E1439" s="60" t="b">
        <v>1</v>
      </c>
      <c r="F1439" s="80" t="s">
        <v>647</v>
      </c>
      <c r="G1439" s="58" t="s">
        <v>4549</v>
      </c>
      <c r="H1439" s="58" t="s">
        <v>2294</v>
      </c>
      <c r="I1439" s="64" t="s">
        <v>4550</v>
      </c>
      <c r="J1439" s="66"/>
      <c r="K1439" s="66"/>
      <c r="L1439" s="68"/>
      <c r="M1439" s="63" t="str">
        <f>HYPERLINK("http://nsgreg.nga.mil/genc/view?v=869307&amp;end_month=12&amp;end_day=31&amp;end_year=2016","Correlation")</f>
        <v>Correlation</v>
      </c>
    </row>
    <row r="1440" spans="1:13" x14ac:dyDescent="0.2">
      <c r="A1440" s="113"/>
      <c r="B1440" s="58" t="s">
        <v>4551</v>
      </c>
      <c r="C1440" s="58" t="s">
        <v>2294</v>
      </c>
      <c r="D1440" s="58" t="s">
        <v>4552</v>
      </c>
      <c r="E1440" s="60" t="b">
        <v>1</v>
      </c>
      <c r="F1440" s="80" t="s">
        <v>647</v>
      </c>
      <c r="G1440" s="58" t="s">
        <v>4551</v>
      </c>
      <c r="H1440" s="58" t="s">
        <v>2294</v>
      </c>
      <c r="I1440" s="64" t="s">
        <v>4552</v>
      </c>
      <c r="J1440" s="66"/>
      <c r="K1440" s="66"/>
      <c r="L1440" s="68"/>
      <c r="M1440" s="63" t="str">
        <f>HYPERLINK("http://nsgreg.nga.mil/genc/view?v=869308&amp;end_month=12&amp;end_day=31&amp;end_year=2016","Correlation")</f>
        <v>Correlation</v>
      </c>
    </row>
    <row r="1441" spans="1:13" x14ac:dyDescent="0.2">
      <c r="A1441" s="113"/>
      <c r="B1441" s="58" t="s">
        <v>4553</v>
      </c>
      <c r="C1441" s="58" t="s">
        <v>2294</v>
      </c>
      <c r="D1441" s="58" t="s">
        <v>4554</v>
      </c>
      <c r="E1441" s="60" t="b">
        <v>1</v>
      </c>
      <c r="F1441" s="80" t="s">
        <v>647</v>
      </c>
      <c r="G1441" s="58" t="s">
        <v>4553</v>
      </c>
      <c r="H1441" s="58" t="s">
        <v>2294</v>
      </c>
      <c r="I1441" s="64" t="s">
        <v>4554</v>
      </c>
      <c r="J1441" s="66"/>
      <c r="K1441" s="66"/>
      <c r="L1441" s="68"/>
      <c r="M1441" s="63" t="str">
        <f>HYPERLINK("http://nsgreg.nga.mil/genc/view?v=869309&amp;end_month=12&amp;end_day=31&amp;end_year=2016","Correlation")</f>
        <v>Correlation</v>
      </c>
    </row>
    <row r="1442" spans="1:13" x14ac:dyDescent="0.2">
      <c r="A1442" s="113"/>
      <c r="B1442" s="58" t="s">
        <v>4555</v>
      </c>
      <c r="C1442" s="58" t="s">
        <v>2294</v>
      </c>
      <c r="D1442" s="58" t="s">
        <v>4556</v>
      </c>
      <c r="E1442" s="60" t="b">
        <v>1</v>
      </c>
      <c r="F1442" s="80" t="s">
        <v>647</v>
      </c>
      <c r="G1442" s="58" t="s">
        <v>4555</v>
      </c>
      <c r="H1442" s="58" t="s">
        <v>2294</v>
      </c>
      <c r="I1442" s="64" t="s">
        <v>4556</v>
      </c>
      <c r="J1442" s="66"/>
      <c r="K1442" s="66"/>
      <c r="L1442" s="68"/>
      <c r="M1442" s="63" t="str">
        <f>HYPERLINK("http://nsgreg.nga.mil/genc/view?v=869312&amp;end_month=12&amp;end_day=31&amp;end_year=2016","Correlation")</f>
        <v>Correlation</v>
      </c>
    </row>
    <row r="1443" spans="1:13" x14ac:dyDescent="0.2">
      <c r="A1443" s="113"/>
      <c r="B1443" s="58" t="s">
        <v>4557</v>
      </c>
      <c r="C1443" s="58" t="s">
        <v>2294</v>
      </c>
      <c r="D1443" s="58" t="s">
        <v>4558</v>
      </c>
      <c r="E1443" s="60" t="b">
        <v>1</v>
      </c>
      <c r="F1443" s="80" t="s">
        <v>647</v>
      </c>
      <c r="G1443" s="58" t="s">
        <v>4557</v>
      </c>
      <c r="H1443" s="58" t="s">
        <v>2294</v>
      </c>
      <c r="I1443" s="64" t="s">
        <v>4558</v>
      </c>
      <c r="J1443" s="66"/>
      <c r="K1443" s="66"/>
      <c r="L1443" s="68"/>
      <c r="M1443" s="63" t="str">
        <f>HYPERLINK("http://nsgreg.nga.mil/genc/view?v=869311&amp;end_month=12&amp;end_day=31&amp;end_year=2016","Correlation")</f>
        <v>Correlation</v>
      </c>
    </row>
    <row r="1444" spans="1:13" x14ac:dyDescent="0.2">
      <c r="A1444" s="113"/>
      <c r="B1444" s="58" t="s">
        <v>4559</v>
      </c>
      <c r="C1444" s="58" t="s">
        <v>2294</v>
      </c>
      <c r="D1444" s="58" t="s">
        <v>4560</v>
      </c>
      <c r="E1444" s="60" t="b">
        <v>1</v>
      </c>
      <c r="F1444" s="80" t="s">
        <v>647</v>
      </c>
      <c r="G1444" s="58" t="s">
        <v>4559</v>
      </c>
      <c r="H1444" s="58" t="s">
        <v>2294</v>
      </c>
      <c r="I1444" s="64" t="s">
        <v>4560</v>
      </c>
      <c r="J1444" s="66"/>
      <c r="K1444" s="66"/>
      <c r="L1444" s="68"/>
      <c r="M1444" s="63" t="str">
        <f>HYPERLINK("http://nsgreg.nga.mil/genc/view?v=869313&amp;end_month=12&amp;end_day=31&amp;end_year=2016","Correlation")</f>
        <v>Correlation</v>
      </c>
    </row>
    <row r="1445" spans="1:13" x14ac:dyDescent="0.2">
      <c r="A1445" s="113"/>
      <c r="B1445" s="58" t="s">
        <v>4561</v>
      </c>
      <c r="C1445" s="58" t="s">
        <v>2294</v>
      </c>
      <c r="D1445" s="58" t="s">
        <v>4562</v>
      </c>
      <c r="E1445" s="60" t="b">
        <v>1</v>
      </c>
      <c r="F1445" s="80" t="s">
        <v>647</v>
      </c>
      <c r="G1445" s="58" t="s">
        <v>4561</v>
      </c>
      <c r="H1445" s="58" t="s">
        <v>2294</v>
      </c>
      <c r="I1445" s="64" t="s">
        <v>4562</v>
      </c>
      <c r="J1445" s="66"/>
      <c r="K1445" s="66"/>
      <c r="L1445" s="68"/>
      <c r="M1445" s="63" t="str">
        <f>HYPERLINK("http://nsgreg.nga.mil/genc/view?v=869314&amp;end_month=12&amp;end_day=31&amp;end_year=2016","Correlation")</f>
        <v>Correlation</v>
      </c>
    </row>
    <row r="1446" spans="1:13" x14ac:dyDescent="0.2">
      <c r="A1446" s="113"/>
      <c r="B1446" s="58" t="s">
        <v>4563</v>
      </c>
      <c r="C1446" s="58" t="s">
        <v>2294</v>
      </c>
      <c r="D1446" s="58" t="s">
        <v>4564</v>
      </c>
      <c r="E1446" s="60" t="b">
        <v>1</v>
      </c>
      <c r="F1446" s="80" t="s">
        <v>647</v>
      </c>
      <c r="G1446" s="58" t="s">
        <v>4563</v>
      </c>
      <c r="H1446" s="58" t="s">
        <v>2294</v>
      </c>
      <c r="I1446" s="64" t="s">
        <v>4564</v>
      </c>
      <c r="J1446" s="66"/>
      <c r="K1446" s="66"/>
      <c r="L1446" s="68"/>
      <c r="M1446" s="63" t="str">
        <f>HYPERLINK("http://nsgreg.nga.mil/genc/view?v=869315&amp;end_month=12&amp;end_day=31&amp;end_year=2016","Correlation")</f>
        <v>Correlation</v>
      </c>
    </row>
    <row r="1447" spans="1:13" x14ac:dyDescent="0.2">
      <c r="A1447" s="113"/>
      <c r="B1447" s="58" t="s">
        <v>4565</v>
      </c>
      <c r="C1447" s="58" t="s">
        <v>2294</v>
      </c>
      <c r="D1447" s="58" t="s">
        <v>4566</v>
      </c>
      <c r="E1447" s="60" t="b">
        <v>1</v>
      </c>
      <c r="F1447" s="80" t="s">
        <v>647</v>
      </c>
      <c r="G1447" s="58" t="s">
        <v>4565</v>
      </c>
      <c r="H1447" s="58" t="s">
        <v>2294</v>
      </c>
      <c r="I1447" s="64" t="s">
        <v>4566</v>
      </c>
      <c r="J1447" s="66"/>
      <c r="K1447" s="66"/>
      <c r="L1447" s="68"/>
      <c r="M1447" s="63" t="str">
        <f>HYPERLINK("http://nsgreg.nga.mil/genc/view?v=869317&amp;end_month=12&amp;end_day=31&amp;end_year=2016","Correlation")</f>
        <v>Correlation</v>
      </c>
    </row>
    <row r="1448" spans="1:13" x14ac:dyDescent="0.2">
      <c r="A1448" s="113"/>
      <c r="B1448" s="58" t="s">
        <v>4567</v>
      </c>
      <c r="C1448" s="58" t="s">
        <v>2294</v>
      </c>
      <c r="D1448" s="58" t="s">
        <v>4568</v>
      </c>
      <c r="E1448" s="60" t="b">
        <v>1</v>
      </c>
      <c r="F1448" s="80" t="s">
        <v>647</v>
      </c>
      <c r="G1448" s="58" t="s">
        <v>4567</v>
      </c>
      <c r="H1448" s="58" t="s">
        <v>2294</v>
      </c>
      <c r="I1448" s="64" t="s">
        <v>4568</v>
      </c>
      <c r="J1448" s="66"/>
      <c r="K1448" s="66"/>
      <c r="L1448" s="68"/>
      <c r="M1448" s="63" t="str">
        <f>HYPERLINK("http://nsgreg.nga.mil/genc/view?v=869316&amp;end_month=12&amp;end_day=31&amp;end_year=2016","Correlation")</f>
        <v>Correlation</v>
      </c>
    </row>
    <row r="1449" spans="1:13" x14ac:dyDescent="0.2">
      <c r="A1449" s="113"/>
      <c r="B1449" s="58" t="s">
        <v>4569</v>
      </c>
      <c r="C1449" s="58" t="s">
        <v>2294</v>
      </c>
      <c r="D1449" s="58" t="s">
        <v>4570</v>
      </c>
      <c r="E1449" s="60" t="b">
        <v>1</v>
      </c>
      <c r="F1449" s="80" t="s">
        <v>647</v>
      </c>
      <c r="G1449" s="58" t="s">
        <v>4569</v>
      </c>
      <c r="H1449" s="58" t="s">
        <v>2294</v>
      </c>
      <c r="I1449" s="64" t="s">
        <v>4570</v>
      </c>
      <c r="J1449" s="66"/>
      <c r="K1449" s="66"/>
      <c r="L1449" s="68"/>
      <c r="M1449" s="63" t="str">
        <f>HYPERLINK("http://nsgreg.nga.mil/genc/view?v=869318&amp;end_month=12&amp;end_day=31&amp;end_year=2016","Correlation")</f>
        <v>Correlation</v>
      </c>
    </row>
    <row r="1450" spans="1:13" x14ac:dyDescent="0.2">
      <c r="A1450" s="113"/>
      <c r="B1450" s="58" t="s">
        <v>4571</v>
      </c>
      <c r="C1450" s="58" t="s">
        <v>2294</v>
      </c>
      <c r="D1450" s="58" t="s">
        <v>4572</v>
      </c>
      <c r="E1450" s="60" t="b">
        <v>1</v>
      </c>
      <c r="F1450" s="80" t="s">
        <v>647</v>
      </c>
      <c r="G1450" s="58" t="s">
        <v>4571</v>
      </c>
      <c r="H1450" s="58" t="s">
        <v>2294</v>
      </c>
      <c r="I1450" s="64" t="s">
        <v>4572</v>
      </c>
      <c r="J1450" s="66"/>
      <c r="K1450" s="66"/>
      <c r="L1450" s="68"/>
      <c r="M1450" s="63" t="str">
        <f>HYPERLINK("http://nsgreg.nga.mil/genc/view?v=869319&amp;end_month=12&amp;end_day=31&amp;end_year=2016","Correlation")</f>
        <v>Correlation</v>
      </c>
    </row>
    <row r="1451" spans="1:13" x14ac:dyDescent="0.2">
      <c r="A1451" s="114"/>
      <c r="B1451" s="71" t="s">
        <v>4573</v>
      </c>
      <c r="C1451" s="71" t="s">
        <v>2294</v>
      </c>
      <c r="D1451" s="71" t="s">
        <v>4574</v>
      </c>
      <c r="E1451" s="73" t="b">
        <v>1</v>
      </c>
      <c r="F1451" s="81" t="s">
        <v>647</v>
      </c>
      <c r="G1451" s="71" t="s">
        <v>4573</v>
      </c>
      <c r="H1451" s="71" t="s">
        <v>2294</v>
      </c>
      <c r="I1451" s="74" t="s">
        <v>4574</v>
      </c>
      <c r="J1451" s="76"/>
      <c r="K1451" s="76"/>
      <c r="L1451" s="82"/>
      <c r="M1451" s="77" t="str">
        <f>HYPERLINK("http://nsgreg.nga.mil/genc/view?v=869320&amp;end_month=12&amp;end_day=31&amp;end_year=2016","Correlation")</f>
        <v>Correlation</v>
      </c>
    </row>
    <row r="1452" spans="1:13" x14ac:dyDescent="0.2">
      <c r="A1452" s="112" t="s">
        <v>655</v>
      </c>
      <c r="B1452" s="50" t="s">
        <v>4575</v>
      </c>
      <c r="C1452" s="50" t="s">
        <v>2925</v>
      </c>
      <c r="D1452" s="50" t="s">
        <v>4576</v>
      </c>
      <c r="E1452" s="52" t="b">
        <v>1</v>
      </c>
      <c r="F1452" s="78" t="s">
        <v>655</v>
      </c>
      <c r="G1452" s="50" t="s">
        <v>4575</v>
      </c>
      <c r="H1452" s="50" t="s">
        <v>2925</v>
      </c>
      <c r="I1452" s="53" t="s">
        <v>4576</v>
      </c>
      <c r="J1452" s="55"/>
      <c r="K1452" s="55"/>
      <c r="L1452" s="79"/>
      <c r="M1452" s="56" t="str">
        <f>HYPERLINK("http://nsgreg.nga.mil/genc/view?v=869236&amp;end_month=12&amp;end_day=31&amp;end_year=2016","Correlation")</f>
        <v>Correlation</v>
      </c>
    </row>
    <row r="1453" spans="1:13" x14ac:dyDescent="0.2">
      <c r="A1453" s="113"/>
      <c r="B1453" s="58" t="s">
        <v>4577</v>
      </c>
      <c r="C1453" s="58" t="s">
        <v>2925</v>
      </c>
      <c r="D1453" s="58" t="s">
        <v>4578</v>
      </c>
      <c r="E1453" s="60" t="b">
        <v>1</v>
      </c>
      <c r="F1453" s="80" t="s">
        <v>655</v>
      </c>
      <c r="G1453" s="58" t="s">
        <v>4577</v>
      </c>
      <c r="H1453" s="58" t="s">
        <v>2925</v>
      </c>
      <c r="I1453" s="64" t="s">
        <v>4578</v>
      </c>
      <c r="J1453" s="66"/>
      <c r="K1453" s="66"/>
      <c r="L1453" s="68"/>
      <c r="M1453" s="63" t="str">
        <f>HYPERLINK("http://nsgreg.nga.mil/genc/view?v=869237&amp;end_month=12&amp;end_day=31&amp;end_year=2016","Correlation")</f>
        <v>Correlation</v>
      </c>
    </row>
    <row r="1454" spans="1:13" x14ac:dyDescent="0.2">
      <c r="A1454" s="113"/>
      <c r="B1454" s="58" t="s">
        <v>4579</v>
      </c>
      <c r="C1454" s="58" t="s">
        <v>4486</v>
      </c>
      <c r="D1454" s="58" t="s">
        <v>4580</v>
      </c>
      <c r="E1454" s="60" t="b">
        <v>1</v>
      </c>
      <c r="F1454" s="80" t="s">
        <v>655</v>
      </c>
      <c r="G1454" s="58" t="s">
        <v>4579</v>
      </c>
      <c r="H1454" s="58" t="s">
        <v>4486</v>
      </c>
      <c r="I1454" s="64" t="s">
        <v>4580</v>
      </c>
      <c r="J1454" s="66"/>
      <c r="K1454" s="66"/>
      <c r="L1454" s="68"/>
      <c r="M1454" s="63" t="str">
        <f>HYPERLINK("http://nsgreg.nga.mil/genc/view?v=869235&amp;end_month=12&amp;end_day=31&amp;end_year=2016","Correlation")</f>
        <v>Correlation</v>
      </c>
    </row>
    <row r="1455" spans="1:13" x14ac:dyDescent="0.2">
      <c r="A1455" s="113"/>
      <c r="B1455" s="58" t="s">
        <v>4579</v>
      </c>
      <c r="C1455" s="58" t="s">
        <v>2925</v>
      </c>
      <c r="D1455" s="58" t="s">
        <v>4581</v>
      </c>
      <c r="E1455" s="60" t="b">
        <v>1</v>
      </c>
      <c r="F1455" s="80" t="s">
        <v>655</v>
      </c>
      <c r="G1455" s="58" t="s">
        <v>4579</v>
      </c>
      <c r="H1455" s="58" t="s">
        <v>2925</v>
      </c>
      <c r="I1455" s="64" t="s">
        <v>4581</v>
      </c>
      <c r="J1455" s="66"/>
      <c r="K1455" s="66"/>
      <c r="L1455" s="68"/>
      <c r="M1455" s="63" t="str">
        <f>HYPERLINK("http://nsgreg.nga.mil/genc/view?v=869238&amp;end_month=12&amp;end_day=31&amp;end_year=2016","Correlation")</f>
        <v>Correlation</v>
      </c>
    </row>
    <row r="1456" spans="1:13" x14ac:dyDescent="0.2">
      <c r="A1456" s="113"/>
      <c r="B1456" s="58" t="s">
        <v>4582</v>
      </c>
      <c r="C1456" s="58" t="s">
        <v>2030</v>
      </c>
      <c r="D1456" s="58" t="s">
        <v>4583</v>
      </c>
      <c r="E1456" s="60" t="b">
        <v>1</v>
      </c>
      <c r="F1456" s="80" t="s">
        <v>655</v>
      </c>
      <c r="G1456" s="58" t="s">
        <v>4582</v>
      </c>
      <c r="H1456" s="58" t="s">
        <v>2030</v>
      </c>
      <c r="I1456" s="64" t="s">
        <v>4583</v>
      </c>
      <c r="J1456" s="66"/>
      <c r="K1456" s="66"/>
      <c r="L1456" s="68"/>
      <c r="M1456" s="63" t="str">
        <f>HYPERLINK("http://nsgreg.nga.mil/genc/view?v=869239&amp;end_month=12&amp;end_day=31&amp;end_year=2016","Correlation")</f>
        <v>Correlation</v>
      </c>
    </row>
    <row r="1457" spans="1:13" x14ac:dyDescent="0.2">
      <c r="A1457" s="113"/>
      <c r="B1457" s="58" t="s">
        <v>4584</v>
      </c>
      <c r="C1457" s="58" t="s">
        <v>2925</v>
      </c>
      <c r="D1457" s="58" t="s">
        <v>4585</v>
      </c>
      <c r="E1457" s="60" t="b">
        <v>1</v>
      </c>
      <c r="F1457" s="80" t="s">
        <v>655</v>
      </c>
      <c r="G1457" s="58" t="s">
        <v>4584</v>
      </c>
      <c r="H1457" s="58" t="s">
        <v>2925</v>
      </c>
      <c r="I1457" s="64" t="s">
        <v>4585</v>
      </c>
      <c r="J1457" s="66"/>
      <c r="K1457" s="66"/>
      <c r="L1457" s="68"/>
      <c r="M1457" s="63" t="str">
        <f>HYPERLINK("http://nsgreg.nga.mil/genc/view?v=869240&amp;end_month=12&amp;end_day=31&amp;end_year=2016","Correlation")</f>
        <v>Correlation</v>
      </c>
    </row>
    <row r="1458" spans="1:13" x14ac:dyDescent="0.2">
      <c r="A1458" s="113"/>
      <c r="B1458" s="58" t="s">
        <v>4586</v>
      </c>
      <c r="C1458" s="58" t="s">
        <v>2925</v>
      </c>
      <c r="D1458" s="58" t="s">
        <v>4587</v>
      </c>
      <c r="E1458" s="60" t="b">
        <v>1</v>
      </c>
      <c r="F1458" s="80" t="s">
        <v>655</v>
      </c>
      <c r="G1458" s="58" t="s">
        <v>4586</v>
      </c>
      <c r="H1458" s="58" t="s">
        <v>2925</v>
      </c>
      <c r="I1458" s="64" t="s">
        <v>4587</v>
      </c>
      <c r="J1458" s="66"/>
      <c r="K1458" s="66"/>
      <c r="L1458" s="68"/>
      <c r="M1458" s="63" t="str">
        <f>HYPERLINK("http://nsgreg.nga.mil/genc/view?v=869242&amp;end_month=12&amp;end_day=31&amp;end_year=2016","Correlation")</f>
        <v>Correlation</v>
      </c>
    </row>
    <row r="1459" spans="1:13" x14ac:dyDescent="0.2">
      <c r="A1459" s="113"/>
      <c r="B1459" s="58" t="s">
        <v>4588</v>
      </c>
      <c r="C1459" s="58" t="s">
        <v>2925</v>
      </c>
      <c r="D1459" s="58" t="s">
        <v>4589</v>
      </c>
      <c r="E1459" s="60" t="b">
        <v>1</v>
      </c>
      <c r="F1459" s="80" t="s">
        <v>655</v>
      </c>
      <c r="G1459" s="58" t="s">
        <v>4588</v>
      </c>
      <c r="H1459" s="58" t="s">
        <v>2925</v>
      </c>
      <c r="I1459" s="64" t="s">
        <v>4589</v>
      </c>
      <c r="J1459" s="66"/>
      <c r="K1459" s="66"/>
      <c r="L1459" s="68"/>
      <c r="M1459" s="63" t="str">
        <f>HYPERLINK("http://nsgreg.nga.mil/genc/view?v=869244&amp;end_month=12&amp;end_day=31&amp;end_year=2016","Correlation")</f>
        <v>Correlation</v>
      </c>
    </row>
    <row r="1460" spans="1:13" x14ac:dyDescent="0.2">
      <c r="A1460" s="113"/>
      <c r="B1460" s="58" t="s">
        <v>4590</v>
      </c>
      <c r="C1460" s="58" t="s">
        <v>2925</v>
      </c>
      <c r="D1460" s="58" t="s">
        <v>4591</v>
      </c>
      <c r="E1460" s="60" t="b">
        <v>1</v>
      </c>
      <c r="F1460" s="80" t="s">
        <v>655</v>
      </c>
      <c r="G1460" s="58" t="s">
        <v>4590</v>
      </c>
      <c r="H1460" s="58" t="s">
        <v>2925</v>
      </c>
      <c r="I1460" s="64" t="s">
        <v>4591</v>
      </c>
      <c r="J1460" s="66"/>
      <c r="K1460" s="66"/>
      <c r="L1460" s="68"/>
      <c r="M1460" s="63" t="str">
        <f>HYPERLINK("http://nsgreg.nga.mil/genc/view?v=869243&amp;end_month=12&amp;end_day=31&amp;end_year=2016","Correlation")</f>
        <v>Correlation</v>
      </c>
    </row>
    <row r="1461" spans="1:13" x14ac:dyDescent="0.2">
      <c r="A1461" s="113"/>
      <c r="B1461" s="58" t="s">
        <v>4592</v>
      </c>
      <c r="C1461" s="58" t="s">
        <v>2925</v>
      </c>
      <c r="D1461" s="58" t="s">
        <v>4593</v>
      </c>
      <c r="E1461" s="60" t="b">
        <v>1</v>
      </c>
      <c r="F1461" s="80" t="s">
        <v>655</v>
      </c>
      <c r="G1461" s="58" t="s">
        <v>4592</v>
      </c>
      <c r="H1461" s="58" t="s">
        <v>2925</v>
      </c>
      <c r="I1461" s="64" t="s">
        <v>4593</v>
      </c>
      <c r="J1461" s="66"/>
      <c r="K1461" s="66"/>
      <c r="L1461" s="68"/>
      <c r="M1461" s="63" t="str">
        <f>HYPERLINK("http://nsgreg.nga.mil/genc/view?v=869245&amp;end_month=12&amp;end_day=31&amp;end_year=2016","Correlation")</f>
        <v>Correlation</v>
      </c>
    </row>
    <row r="1462" spans="1:13" x14ac:dyDescent="0.2">
      <c r="A1462" s="113"/>
      <c r="B1462" s="58" t="s">
        <v>4594</v>
      </c>
      <c r="C1462" s="58" t="s">
        <v>4486</v>
      </c>
      <c r="D1462" s="58" t="s">
        <v>4595</v>
      </c>
      <c r="E1462" s="60" t="b">
        <v>1</v>
      </c>
      <c r="F1462" s="80" t="s">
        <v>655</v>
      </c>
      <c r="G1462" s="58" t="s">
        <v>4594</v>
      </c>
      <c r="H1462" s="58" t="s">
        <v>4486</v>
      </c>
      <c r="I1462" s="64" t="s">
        <v>4595</v>
      </c>
      <c r="J1462" s="66"/>
      <c r="K1462" s="66"/>
      <c r="L1462" s="68"/>
      <c r="M1462" s="63" t="str">
        <f>HYPERLINK("http://nsgreg.nga.mil/genc/view?v=869246&amp;end_month=12&amp;end_day=31&amp;end_year=2016","Correlation")</f>
        <v>Correlation</v>
      </c>
    </row>
    <row r="1463" spans="1:13" x14ac:dyDescent="0.2">
      <c r="A1463" s="113"/>
      <c r="B1463" s="58" t="s">
        <v>4594</v>
      </c>
      <c r="C1463" s="58" t="s">
        <v>2925</v>
      </c>
      <c r="D1463" s="58" t="s">
        <v>4596</v>
      </c>
      <c r="E1463" s="60" t="b">
        <v>1</v>
      </c>
      <c r="F1463" s="80" t="s">
        <v>655</v>
      </c>
      <c r="G1463" s="58" t="s">
        <v>4594</v>
      </c>
      <c r="H1463" s="58" t="s">
        <v>2925</v>
      </c>
      <c r="I1463" s="64" t="s">
        <v>4596</v>
      </c>
      <c r="J1463" s="66"/>
      <c r="K1463" s="66"/>
      <c r="L1463" s="68"/>
      <c r="M1463" s="63" t="str">
        <f>HYPERLINK("http://nsgreg.nga.mil/genc/view?v=869247&amp;end_month=12&amp;end_day=31&amp;end_year=2016","Correlation")</f>
        <v>Correlation</v>
      </c>
    </row>
    <row r="1464" spans="1:13" x14ac:dyDescent="0.2">
      <c r="A1464" s="113"/>
      <c r="B1464" s="58" t="s">
        <v>4597</v>
      </c>
      <c r="C1464" s="58" t="s">
        <v>2925</v>
      </c>
      <c r="D1464" s="58" t="s">
        <v>4598</v>
      </c>
      <c r="E1464" s="60" t="b">
        <v>1</v>
      </c>
      <c r="F1464" s="80" t="s">
        <v>655</v>
      </c>
      <c r="G1464" s="58" t="s">
        <v>4597</v>
      </c>
      <c r="H1464" s="58" t="s">
        <v>2925</v>
      </c>
      <c r="I1464" s="64" t="s">
        <v>4598</v>
      </c>
      <c r="J1464" s="66"/>
      <c r="K1464" s="66"/>
      <c r="L1464" s="68"/>
      <c r="M1464" s="63" t="str">
        <f>HYPERLINK("http://nsgreg.nga.mil/genc/view?v=869248&amp;end_month=12&amp;end_day=31&amp;end_year=2016","Correlation")</f>
        <v>Correlation</v>
      </c>
    </row>
    <row r="1465" spans="1:13" x14ac:dyDescent="0.2">
      <c r="A1465" s="113"/>
      <c r="B1465" s="58" t="s">
        <v>4599</v>
      </c>
      <c r="C1465" s="58" t="s">
        <v>2925</v>
      </c>
      <c r="D1465" s="58" t="s">
        <v>4600</v>
      </c>
      <c r="E1465" s="60" t="b">
        <v>1</v>
      </c>
      <c r="F1465" s="80" t="s">
        <v>655</v>
      </c>
      <c r="G1465" s="58" t="s">
        <v>4599</v>
      </c>
      <c r="H1465" s="58" t="s">
        <v>2925</v>
      </c>
      <c r="I1465" s="64" t="s">
        <v>4600</v>
      </c>
      <c r="J1465" s="66"/>
      <c r="K1465" s="66"/>
      <c r="L1465" s="68"/>
      <c r="M1465" s="63" t="str">
        <f>HYPERLINK("http://nsgreg.nga.mil/genc/view?v=869249&amp;end_month=12&amp;end_day=31&amp;end_year=2016","Correlation")</f>
        <v>Correlation</v>
      </c>
    </row>
    <row r="1466" spans="1:13" x14ac:dyDescent="0.2">
      <c r="A1466" s="113"/>
      <c r="B1466" s="58" t="s">
        <v>4601</v>
      </c>
      <c r="C1466" s="58" t="s">
        <v>2925</v>
      </c>
      <c r="D1466" s="58" t="s">
        <v>4602</v>
      </c>
      <c r="E1466" s="60" t="b">
        <v>1</v>
      </c>
      <c r="F1466" s="80" t="s">
        <v>655</v>
      </c>
      <c r="G1466" s="58" t="s">
        <v>4601</v>
      </c>
      <c r="H1466" s="58" t="s">
        <v>2925</v>
      </c>
      <c r="I1466" s="64" t="s">
        <v>4602</v>
      </c>
      <c r="J1466" s="66"/>
      <c r="K1466" s="66"/>
      <c r="L1466" s="68"/>
      <c r="M1466" s="63" t="str">
        <f>HYPERLINK("http://nsgreg.nga.mil/genc/view?v=869250&amp;end_month=12&amp;end_day=31&amp;end_year=2016","Correlation")</f>
        <v>Correlation</v>
      </c>
    </row>
    <row r="1467" spans="1:13" x14ac:dyDescent="0.2">
      <c r="A1467" s="113"/>
      <c r="B1467" s="58" t="s">
        <v>4603</v>
      </c>
      <c r="C1467" s="58" t="s">
        <v>2925</v>
      </c>
      <c r="D1467" s="58" t="s">
        <v>4604</v>
      </c>
      <c r="E1467" s="60" t="b">
        <v>1</v>
      </c>
      <c r="F1467" s="80" t="s">
        <v>655</v>
      </c>
      <c r="G1467" s="58" t="s">
        <v>4603</v>
      </c>
      <c r="H1467" s="58" t="s">
        <v>2925</v>
      </c>
      <c r="I1467" s="64" t="s">
        <v>4604</v>
      </c>
      <c r="J1467" s="66"/>
      <c r="K1467" s="66"/>
      <c r="L1467" s="68"/>
      <c r="M1467" s="63" t="str">
        <f>HYPERLINK("http://nsgreg.nga.mil/genc/view?v=869251&amp;end_month=12&amp;end_day=31&amp;end_year=2016","Correlation")</f>
        <v>Correlation</v>
      </c>
    </row>
    <row r="1468" spans="1:13" x14ac:dyDescent="0.2">
      <c r="A1468" s="113"/>
      <c r="B1468" s="58" t="s">
        <v>4605</v>
      </c>
      <c r="C1468" s="58" t="s">
        <v>4486</v>
      </c>
      <c r="D1468" s="58" t="s">
        <v>4606</v>
      </c>
      <c r="E1468" s="60" t="b">
        <v>1</v>
      </c>
      <c r="F1468" s="80" t="s">
        <v>655</v>
      </c>
      <c r="G1468" s="58" t="s">
        <v>4605</v>
      </c>
      <c r="H1468" s="58" t="s">
        <v>4486</v>
      </c>
      <c r="I1468" s="64" t="s">
        <v>4606</v>
      </c>
      <c r="J1468" s="66"/>
      <c r="K1468" s="66"/>
      <c r="L1468" s="68"/>
      <c r="M1468" s="63" t="str">
        <f>HYPERLINK("http://nsgreg.nga.mil/genc/view?v=869252&amp;end_month=12&amp;end_day=31&amp;end_year=2016","Correlation")</f>
        <v>Correlation</v>
      </c>
    </row>
    <row r="1469" spans="1:13" x14ac:dyDescent="0.2">
      <c r="A1469" s="113"/>
      <c r="B1469" s="58" t="s">
        <v>4605</v>
      </c>
      <c r="C1469" s="58" t="s">
        <v>2925</v>
      </c>
      <c r="D1469" s="58" t="s">
        <v>4607</v>
      </c>
      <c r="E1469" s="60" t="b">
        <v>1</v>
      </c>
      <c r="F1469" s="80" t="s">
        <v>655</v>
      </c>
      <c r="G1469" s="58" t="s">
        <v>4605</v>
      </c>
      <c r="H1469" s="58" t="s">
        <v>2925</v>
      </c>
      <c r="I1469" s="64" t="s">
        <v>4607</v>
      </c>
      <c r="J1469" s="66"/>
      <c r="K1469" s="66"/>
      <c r="L1469" s="68"/>
      <c r="M1469" s="63" t="str">
        <f>HYPERLINK("http://nsgreg.nga.mil/genc/view?v=869253&amp;end_month=12&amp;end_day=31&amp;end_year=2016","Correlation")</f>
        <v>Correlation</v>
      </c>
    </row>
    <row r="1470" spans="1:13" x14ac:dyDescent="0.2">
      <c r="A1470" s="113"/>
      <c r="B1470" s="58" t="s">
        <v>4608</v>
      </c>
      <c r="C1470" s="58" t="s">
        <v>2925</v>
      </c>
      <c r="D1470" s="58" t="s">
        <v>4609</v>
      </c>
      <c r="E1470" s="60" t="b">
        <v>1</v>
      </c>
      <c r="F1470" s="80" t="s">
        <v>655</v>
      </c>
      <c r="G1470" s="58" t="s">
        <v>4608</v>
      </c>
      <c r="H1470" s="58" t="s">
        <v>2925</v>
      </c>
      <c r="I1470" s="64" t="s">
        <v>4609</v>
      </c>
      <c r="J1470" s="66"/>
      <c r="K1470" s="66"/>
      <c r="L1470" s="68"/>
      <c r="M1470" s="63" t="str">
        <f>HYPERLINK("http://nsgreg.nga.mil/genc/view?v=869256&amp;end_month=12&amp;end_day=31&amp;end_year=2016","Correlation")</f>
        <v>Correlation</v>
      </c>
    </row>
    <row r="1471" spans="1:13" x14ac:dyDescent="0.2">
      <c r="A1471" s="113"/>
      <c r="B1471" s="58" t="s">
        <v>4610</v>
      </c>
      <c r="C1471" s="58" t="s">
        <v>4486</v>
      </c>
      <c r="D1471" s="58" t="s">
        <v>4611</v>
      </c>
      <c r="E1471" s="60" t="b">
        <v>1</v>
      </c>
      <c r="F1471" s="80" t="s">
        <v>655</v>
      </c>
      <c r="G1471" s="58" t="s">
        <v>4610</v>
      </c>
      <c r="H1471" s="58" t="s">
        <v>4486</v>
      </c>
      <c r="I1471" s="64" t="s">
        <v>4611</v>
      </c>
      <c r="J1471" s="66"/>
      <c r="K1471" s="66"/>
      <c r="L1471" s="68"/>
      <c r="M1471" s="63" t="str">
        <f>HYPERLINK("http://nsgreg.nga.mil/genc/view?v=869241&amp;end_month=12&amp;end_day=31&amp;end_year=2016","Correlation")</f>
        <v>Correlation</v>
      </c>
    </row>
    <row r="1472" spans="1:13" x14ac:dyDescent="0.2">
      <c r="A1472" s="113"/>
      <c r="B1472" s="58" t="s">
        <v>4610</v>
      </c>
      <c r="C1472" s="58" t="s">
        <v>2925</v>
      </c>
      <c r="D1472" s="58" t="s">
        <v>4612</v>
      </c>
      <c r="E1472" s="60" t="b">
        <v>1</v>
      </c>
      <c r="F1472" s="80" t="s">
        <v>655</v>
      </c>
      <c r="G1472" s="58" t="s">
        <v>4610</v>
      </c>
      <c r="H1472" s="58" t="s">
        <v>2925</v>
      </c>
      <c r="I1472" s="64" t="s">
        <v>4612</v>
      </c>
      <c r="J1472" s="66"/>
      <c r="K1472" s="66"/>
      <c r="L1472" s="68"/>
      <c r="M1472" s="63" t="str">
        <f>HYPERLINK("http://nsgreg.nga.mil/genc/view?v=869255&amp;end_month=12&amp;end_day=31&amp;end_year=2016","Correlation")</f>
        <v>Correlation</v>
      </c>
    </row>
    <row r="1473" spans="1:13" x14ac:dyDescent="0.2">
      <c r="A1473" s="113"/>
      <c r="B1473" s="58" t="s">
        <v>4613</v>
      </c>
      <c r="C1473" s="58" t="s">
        <v>2925</v>
      </c>
      <c r="D1473" s="58" t="s">
        <v>4614</v>
      </c>
      <c r="E1473" s="60" t="b">
        <v>1</v>
      </c>
      <c r="F1473" s="80" t="s">
        <v>655</v>
      </c>
      <c r="G1473" s="58" t="s">
        <v>4613</v>
      </c>
      <c r="H1473" s="58" t="s">
        <v>2925</v>
      </c>
      <c r="I1473" s="64" t="s">
        <v>4614</v>
      </c>
      <c r="J1473" s="66"/>
      <c r="K1473" s="66"/>
      <c r="L1473" s="68"/>
      <c r="M1473" s="63" t="str">
        <f>HYPERLINK("http://nsgreg.nga.mil/genc/view?v=869259&amp;end_month=12&amp;end_day=31&amp;end_year=2016","Correlation")</f>
        <v>Correlation</v>
      </c>
    </row>
    <row r="1474" spans="1:13" x14ac:dyDescent="0.2">
      <c r="A1474" s="113"/>
      <c r="B1474" s="58" t="s">
        <v>4615</v>
      </c>
      <c r="C1474" s="58" t="s">
        <v>2925</v>
      </c>
      <c r="D1474" s="58" t="s">
        <v>4616</v>
      </c>
      <c r="E1474" s="60" t="b">
        <v>1</v>
      </c>
      <c r="F1474" s="80" t="s">
        <v>655</v>
      </c>
      <c r="G1474" s="58" t="s">
        <v>4615</v>
      </c>
      <c r="H1474" s="58" t="s">
        <v>2925</v>
      </c>
      <c r="I1474" s="64" t="s">
        <v>4616</v>
      </c>
      <c r="J1474" s="66"/>
      <c r="K1474" s="66"/>
      <c r="L1474" s="68"/>
      <c r="M1474" s="63" t="str">
        <f>HYPERLINK("http://nsgreg.nga.mil/genc/view?v=869254&amp;end_month=12&amp;end_day=31&amp;end_year=2016","Correlation")</f>
        <v>Correlation</v>
      </c>
    </row>
    <row r="1475" spans="1:13" x14ac:dyDescent="0.2">
      <c r="A1475" s="113"/>
      <c r="B1475" s="58" t="s">
        <v>4617</v>
      </c>
      <c r="C1475" s="58" t="s">
        <v>2925</v>
      </c>
      <c r="D1475" s="58" t="s">
        <v>4618</v>
      </c>
      <c r="E1475" s="60" t="b">
        <v>1</v>
      </c>
      <c r="F1475" s="80" t="s">
        <v>655</v>
      </c>
      <c r="G1475" s="58" t="s">
        <v>4617</v>
      </c>
      <c r="H1475" s="58" t="s">
        <v>2925</v>
      </c>
      <c r="I1475" s="64" t="s">
        <v>4618</v>
      </c>
      <c r="J1475" s="66"/>
      <c r="K1475" s="66"/>
      <c r="L1475" s="68"/>
      <c r="M1475" s="63" t="str">
        <f>HYPERLINK("http://nsgreg.nga.mil/genc/view?v=869257&amp;end_month=12&amp;end_day=31&amp;end_year=2016","Correlation")</f>
        <v>Correlation</v>
      </c>
    </row>
    <row r="1476" spans="1:13" x14ac:dyDescent="0.2">
      <c r="A1476" s="113"/>
      <c r="B1476" s="58" t="s">
        <v>4619</v>
      </c>
      <c r="C1476" s="58" t="s">
        <v>2925</v>
      </c>
      <c r="D1476" s="58" t="s">
        <v>4620</v>
      </c>
      <c r="E1476" s="60" t="b">
        <v>1</v>
      </c>
      <c r="F1476" s="80" t="s">
        <v>655</v>
      </c>
      <c r="G1476" s="58" t="s">
        <v>4619</v>
      </c>
      <c r="H1476" s="58" t="s">
        <v>2925</v>
      </c>
      <c r="I1476" s="64" t="s">
        <v>4620</v>
      </c>
      <c r="J1476" s="66"/>
      <c r="K1476" s="66"/>
      <c r="L1476" s="68"/>
      <c r="M1476" s="63" t="str">
        <f>HYPERLINK("http://nsgreg.nga.mil/genc/view?v=869258&amp;end_month=12&amp;end_day=31&amp;end_year=2016","Correlation")</f>
        <v>Correlation</v>
      </c>
    </row>
    <row r="1477" spans="1:13" x14ac:dyDescent="0.2">
      <c r="A1477" s="113"/>
      <c r="B1477" s="58" t="s">
        <v>4621</v>
      </c>
      <c r="C1477" s="58" t="s">
        <v>4486</v>
      </c>
      <c r="D1477" s="58" t="s">
        <v>4622</v>
      </c>
      <c r="E1477" s="60" t="b">
        <v>1</v>
      </c>
      <c r="F1477" s="80" t="s">
        <v>655</v>
      </c>
      <c r="G1477" s="58" t="s">
        <v>4621</v>
      </c>
      <c r="H1477" s="58" t="s">
        <v>4486</v>
      </c>
      <c r="I1477" s="64" t="s">
        <v>4622</v>
      </c>
      <c r="J1477" s="66"/>
      <c r="K1477" s="66"/>
      <c r="L1477" s="68"/>
      <c r="M1477" s="63" t="str">
        <f>HYPERLINK("http://nsgreg.nga.mil/genc/view?v=869260&amp;end_month=12&amp;end_day=31&amp;end_year=2016","Correlation")</f>
        <v>Correlation</v>
      </c>
    </row>
    <row r="1478" spans="1:13" x14ac:dyDescent="0.2">
      <c r="A1478" s="113"/>
      <c r="B1478" s="58" t="s">
        <v>4621</v>
      </c>
      <c r="C1478" s="58" t="s">
        <v>2925</v>
      </c>
      <c r="D1478" s="58" t="s">
        <v>4623</v>
      </c>
      <c r="E1478" s="60" t="b">
        <v>1</v>
      </c>
      <c r="F1478" s="80" t="s">
        <v>655</v>
      </c>
      <c r="G1478" s="58" t="s">
        <v>4621</v>
      </c>
      <c r="H1478" s="58" t="s">
        <v>2925</v>
      </c>
      <c r="I1478" s="64" t="s">
        <v>4623</v>
      </c>
      <c r="J1478" s="66"/>
      <c r="K1478" s="66"/>
      <c r="L1478" s="68"/>
      <c r="M1478" s="63" t="str">
        <f>HYPERLINK("http://nsgreg.nga.mil/genc/view?v=869261&amp;end_month=12&amp;end_day=31&amp;end_year=2016","Correlation")</f>
        <v>Correlation</v>
      </c>
    </row>
    <row r="1479" spans="1:13" x14ac:dyDescent="0.2">
      <c r="A1479" s="113"/>
      <c r="B1479" s="58" t="s">
        <v>4624</v>
      </c>
      <c r="C1479" s="58" t="s">
        <v>2925</v>
      </c>
      <c r="D1479" s="58" t="s">
        <v>4625</v>
      </c>
      <c r="E1479" s="60" t="b">
        <v>1</v>
      </c>
      <c r="F1479" s="80" t="s">
        <v>655</v>
      </c>
      <c r="G1479" s="58" t="s">
        <v>4624</v>
      </c>
      <c r="H1479" s="58" t="s">
        <v>2925</v>
      </c>
      <c r="I1479" s="64" t="s">
        <v>4625</v>
      </c>
      <c r="J1479" s="66"/>
      <c r="K1479" s="66"/>
      <c r="L1479" s="68"/>
      <c r="M1479" s="63" t="str">
        <f>HYPERLINK("http://nsgreg.nga.mil/genc/view?v=869262&amp;end_month=12&amp;end_day=31&amp;end_year=2016","Correlation")</f>
        <v>Correlation</v>
      </c>
    </row>
    <row r="1480" spans="1:13" x14ac:dyDescent="0.2">
      <c r="A1480" s="113"/>
      <c r="B1480" s="58" t="s">
        <v>4626</v>
      </c>
      <c r="C1480" s="58" t="s">
        <v>2925</v>
      </c>
      <c r="D1480" s="58" t="s">
        <v>4627</v>
      </c>
      <c r="E1480" s="60" t="b">
        <v>1</v>
      </c>
      <c r="F1480" s="80" t="s">
        <v>655</v>
      </c>
      <c r="G1480" s="58" t="s">
        <v>4626</v>
      </c>
      <c r="H1480" s="58" t="s">
        <v>2925</v>
      </c>
      <c r="I1480" s="64" t="s">
        <v>4627</v>
      </c>
      <c r="J1480" s="66"/>
      <c r="K1480" s="66"/>
      <c r="L1480" s="68"/>
      <c r="M1480" s="63" t="str">
        <f>HYPERLINK("http://nsgreg.nga.mil/genc/view?v=869263&amp;end_month=12&amp;end_day=31&amp;end_year=2016","Correlation")</f>
        <v>Correlation</v>
      </c>
    </row>
    <row r="1481" spans="1:13" x14ac:dyDescent="0.2">
      <c r="A1481" s="113"/>
      <c r="B1481" s="58" t="s">
        <v>4628</v>
      </c>
      <c r="C1481" s="58" t="s">
        <v>2925</v>
      </c>
      <c r="D1481" s="58" t="s">
        <v>4629</v>
      </c>
      <c r="E1481" s="60" t="b">
        <v>1</v>
      </c>
      <c r="F1481" s="80" t="s">
        <v>655</v>
      </c>
      <c r="G1481" s="58" t="s">
        <v>4628</v>
      </c>
      <c r="H1481" s="58" t="s">
        <v>2925</v>
      </c>
      <c r="I1481" s="64" t="s">
        <v>4629</v>
      </c>
      <c r="J1481" s="66"/>
      <c r="K1481" s="66"/>
      <c r="L1481" s="68"/>
      <c r="M1481" s="63" t="str">
        <f>HYPERLINK("http://nsgreg.nga.mil/genc/view?v=869265&amp;end_month=12&amp;end_day=31&amp;end_year=2016","Correlation")</f>
        <v>Correlation</v>
      </c>
    </row>
    <row r="1482" spans="1:13" x14ac:dyDescent="0.2">
      <c r="A1482" s="113"/>
      <c r="B1482" s="58" t="s">
        <v>4630</v>
      </c>
      <c r="C1482" s="58" t="s">
        <v>2925</v>
      </c>
      <c r="D1482" s="58" t="s">
        <v>4631</v>
      </c>
      <c r="E1482" s="60" t="b">
        <v>1</v>
      </c>
      <c r="F1482" s="80" t="s">
        <v>655</v>
      </c>
      <c r="G1482" s="58" t="s">
        <v>4630</v>
      </c>
      <c r="H1482" s="58" t="s">
        <v>2925</v>
      </c>
      <c r="I1482" s="64" t="s">
        <v>4631</v>
      </c>
      <c r="J1482" s="66"/>
      <c r="K1482" s="66"/>
      <c r="L1482" s="68"/>
      <c r="M1482" s="63" t="str">
        <f>HYPERLINK("http://nsgreg.nga.mil/genc/view?v=869267&amp;end_month=12&amp;end_day=31&amp;end_year=2016","Correlation")</f>
        <v>Correlation</v>
      </c>
    </row>
    <row r="1483" spans="1:13" x14ac:dyDescent="0.2">
      <c r="A1483" s="113"/>
      <c r="B1483" s="58" t="s">
        <v>4632</v>
      </c>
      <c r="C1483" s="58" t="s">
        <v>4486</v>
      </c>
      <c r="D1483" s="58" t="s">
        <v>4633</v>
      </c>
      <c r="E1483" s="60" t="b">
        <v>1</v>
      </c>
      <c r="F1483" s="80" t="s">
        <v>655</v>
      </c>
      <c r="G1483" s="58" t="s">
        <v>4632</v>
      </c>
      <c r="H1483" s="58" t="s">
        <v>4486</v>
      </c>
      <c r="I1483" s="64" t="s">
        <v>4633</v>
      </c>
      <c r="J1483" s="66"/>
      <c r="K1483" s="66"/>
      <c r="L1483" s="68"/>
      <c r="M1483" s="63" t="str">
        <f>HYPERLINK("http://nsgreg.nga.mil/genc/view?v=869264&amp;end_month=12&amp;end_day=31&amp;end_year=2016","Correlation")</f>
        <v>Correlation</v>
      </c>
    </row>
    <row r="1484" spans="1:13" x14ac:dyDescent="0.2">
      <c r="A1484" s="113"/>
      <c r="B1484" s="58" t="s">
        <v>4632</v>
      </c>
      <c r="C1484" s="58" t="s">
        <v>2925</v>
      </c>
      <c r="D1484" s="58" t="s">
        <v>4634</v>
      </c>
      <c r="E1484" s="60" t="b">
        <v>1</v>
      </c>
      <c r="F1484" s="80" t="s">
        <v>655</v>
      </c>
      <c r="G1484" s="58" t="s">
        <v>4632</v>
      </c>
      <c r="H1484" s="58" t="s">
        <v>2925</v>
      </c>
      <c r="I1484" s="64" t="s">
        <v>4634</v>
      </c>
      <c r="J1484" s="66"/>
      <c r="K1484" s="66"/>
      <c r="L1484" s="68"/>
      <c r="M1484" s="63" t="str">
        <f>HYPERLINK("http://nsgreg.nga.mil/genc/view?v=869268&amp;end_month=12&amp;end_day=31&amp;end_year=2016","Correlation")</f>
        <v>Correlation</v>
      </c>
    </row>
    <row r="1485" spans="1:13" x14ac:dyDescent="0.2">
      <c r="A1485" s="113"/>
      <c r="B1485" s="58" t="s">
        <v>4635</v>
      </c>
      <c r="C1485" s="58" t="s">
        <v>2925</v>
      </c>
      <c r="D1485" s="58" t="s">
        <v>4636</v>
      </c>
      <c r="E1485" s="60" t="b">
        <v>1</v>
      </c>
      <c r="F1485" s="80" t="s">
        <v>655</v>
      </c>
      <c r="G1485" s="58" t="s">
        <v>4635</v>
      </c>
      <c r="H1485" s="58" t="s">
        <v>2925</v>
      </c>
      <c r="I1485" s="64" t="s">
        <v>4636</v>
      </c>
      <c r="J1485" s="66"/>
      <c r="K1485" s="66"/>
      <c r="L1485" s="68"/>
      <c r="M1485" s="63" t="str">
        <f>HYPERLINK("http://nsgreg.nga.mil/genc/view?v=869266&amp;end_month=12&amp;end_day=31&amp;end_year=2016","Correlation")</f>
        <v>Correlation</v>
      </c>
    </row>
    <row r="1486" spans="1:13" x14ac:dyDescent="0.2">
      <c r="A1486" s="113"/>
      <c r="B1486" s="58" t="s">
        <v>4639</v>
      </c>
      <c r="C1486" s="58" t="s">
        <v>4486</v>
      </c>
      <c r="D1486" s="58" t="s">
        <v>4638</v>
      </c>
      <c r="E1486" s="60" t="b">
        <v>1</v>
      </c>
      <c r="F1486" s="80" t="s">
        <v>655</v>
      </c>
      <c r="G1486" s="58" t="s">
        <v>4637</v>
      </c>
      <c r="H1486" s="58" t="s">
        <v>4486</v>
      </c>
      <c r="I1486" s="64" t="s">
        <v>4638</v>
      </c>
      <c r="J1486" s="66"/>
      <c r="K1486" s="66"/>
      <c r="L1486" s="68"/>
      <c r="M1486" s="63" t="str">
        <f>HYPERLINK("http://nsgreg.nga.mil/genc/view?v=869269&amp;end_month=12&amp;end_day=31&amp;end_year=2016","Correlation")</f>
        <v>Correlation</v>
      </c>
    </row>
    <row r="1487" spans="1:13" x14ac:dyDescent="0.2">
      <c r="A1487" s="113"/>
      <c r="B1487" s="58" t="s">
        <v>4639</v>
      </c>
      <c r="C1487" s="58" t="s">
        <v>2925</v>
      </c>
      <c r="D1487" s="58" t="s">
        <v>4640</v>
      </c>
      <c r="E1487" s="60" t="b">
        <v>1</v>
      </c>
      <c r="F1487" s="80" t="s">
        <v>655</v>
      </c>
      <c r="G1487" s="58" t="s">
        <v>4637</v>
      </c>
      <c r="H1487" s="58" t="s">
        <v>2925</v>
      </c>
      <c r="I1487" s="64" t="s">
        <v>4640</v>
      </c>
      <c r="J1487" s="66"/>
      <c r="K1487" s="66"/>
      <c r="L1487" s="68"/>
      <c r="M1487" s="63" t="str">
        <f>HYPERLINK("http://nsgreg.nga.mil/genc/view?v=869270&amp;end_month=12&amp;end_day=31&amp;end_year=2016","Correlation")</f>
        <v>Correlation</v>
      </c>
    </row>
    <row r="1488" spans="1:13" x14ac:dyDescent="0.2">
      <c r="A1488" s="113"/>
      <c r="B1488" s="58" t="s">
        <v>4641</v>
      </c>
      <c r="C1488" s="58" t="s">
        <v>2925</v>
      </c>
      <c r="D1488" s="58" t="s">
        <v>4642</v>
      </c>
      <c r="E1488" s="60" t="b">
        <v>1</v>
      </c>
      <c r="F1488" s="80" t="s">
        <v>655</v>
      </c>
      <c r="G1488" s="58" t="s">
        <v>4641</v>
      </c>
      <c r="H1488" s="58" t="s">
        <v>2925</v>
      </c>
      <c r="I1488" s="64" t="s">
        <v>4642</v>
      </c>
      <c r="J1488" s="66"/>
      <c r="K1488" s="66"/>
      <c r="L1488" s="68"/>
      <c r="M1488" s="63" t="str">
        <f>HYPERLINK("http://nsgreg.nga.mil/genc/view?v=869271&amp;end_month=12&amp;end_day=31&amp;end_year=2016","Correlation")</f>
        <v>Correlation</v>
      </c>
    </row>
    <row r="1489" spans="1:13" x14ac:dyDescent="0.2">
      <c r="A1489" s="113"/>
      <c r="B1489" s="58" t="s">
        <v>4643</v>
      </c>
      <c r="C1489" s="58" t="s">
        <v>2925</v>
      </c>
      <c r="D1489" s="58" t="s">
        <v>4644</v>
      </c>
      <c r="E1489" s="60" t="b">
        <v>1</v>
      </c>
      <c r="F1489" s="80" t="s">
        <v>655</v>
      </c>
      <c r="G1489" s="58" t="s">
        <v>4643</v>
      </c>
      <c r="H1489" s="58" t="s">
        <v>2925</v>
      </c>
      <c r="I1489" s="64" t="s">
        <v>4644</v>
      </c>
      <c r="J1489" s="66"/>
      <c r="K1489" s="66"/>
      <c r="L1489" s="68"/>
      <c r="M1489" s="63" t="str">
        <f>HYPERLINK("http://nsgreg.nga.mil/genc/view?v=869272&amp;end_month=12&amp;end_day=31&amp;end_year=2016","Correlation")</f>
        <v>Correlation</v>
      </c>
    </row>
    <row r="1490" spans="1:13" x14ac:dyDescent="0.2">
      <c r="A1490" s="113"/>
      <c r="B1490" s="58" t="s">
        <v>4645</v>
      </c>
      <c r="C1490" s="58" t="s">
        <v>2925</v>
      </c>
      <c r="D1490" s="58" t="s">
        <v>4646</v>
      </c>
      <c r="E1490" s="60" t="b">
        <v>1</v>
      </c>
      <c r="F1490" s="80" t="s">
        <v>655</v>
      </c>
      <c r="G1490" s="58" t="s">
        <v>4645</v>
      </c>
      <c r="H1490" s="58" t="s">
        <v>2925</v>
      </c>
      <c r="I1490" s="64" t="s">
        <v>4646</v>
      </c>
      <c r="J1490" s="66"/>
      <c r="K1490" s="66"/>
      <c r="L1490" s="68"/>
      <c r="M1490" s="63" t="str">
        <f>HYPERLINK("http://nsgreg.nga.mil/genc/view?v=869273&amp;end_month=12&amp;end_day=31&amp;end_year=2016","Correlation")</f>
        <v>Correlation</v>
      </c>
    </row>
    <row r="1491" spans="1:13" x14ac:dyDescent="0.2">
      <c r="A1491" s="113"/>
      <c r="B1491" s="58" t="s">
        <v>4647</v>
      </c>
      <c r="C1491" s="58" t="s">
        <v>2925</v>
      </c>
      <c r="D1491" s="58" t="s">
        <v>4648</v>
      </c>
      <c r="E1491" s="60" t="b">
        <v>1</v>
      </c>
      <c r="F1491" s="80" t="s">
        <v>655</v>
      </c>
      <c r="G1491" s="58" t="s">
        <v>4647</v>
      </c>
      <c r="H1491" s="58" t="s">
        <v>2925</v>
      </c>
      <c r="I1491" s="64" t="s">
        <v>4648</v>
      </c>
      <c r="J1491" s="66"/>
      <c r="K1491" s="66"/>
      <c r="L1491" s="68"/>
      <c r="M1491" s="63" t="str">
        <f>HYPERLINK("http://nsgreg.nga.mil/genc/view?v=869274&amp;end_month=12&amp;end_day=31&amp;end_year=2016","Correlation")</f>
        <v>Correlation</v>
      </c>
    </row>
    <row r="1492" spans="1:13" x14ac:dyDescent="0.2">
      <c r="A1492" s="114"/>
      <c r="B1492" s="71" t="s">
        <v>4649</v>
      </c>
      <c r="C1492" s="71" t="s">
        <v>2925</v>
      </c>
      <c r="D1492" s="71" t="s">
        <v>4650</v>
      </c>
      <c r="E1492" s="73" t="b">
        <v>1</v>
      </c>
      <c r="F1492" s="81" t="s">
        <v>655</v>
      </c>
      <c r="G1492" s="71" t="s">
        <v>4649</v>
      </c>
      <c r="H1492" s="71" t="s">
        <v>2925</v>
      </c>
      <c r="I1492" s="74" t="s">
        <v>4650</v>
      </c>
      <c r="J1492" s="76"/>
      <c r="K1492" s="76"/>
      <c r="L1492" s="82"/>
      <c r="M1492" s="77" t="str">
        <f>HYPERLINK("http://nsgreg.nga.mil/genc/view?v=869275&amp;end_month=12&amp;end_day=31&amp;end_year=2016","Correlation")</f>
        <v>Correlation</v>
      </c>
    </row>
    <row r="1493" spans="1:13" x14ac:dyDescent="0.2">
      <c r="A1493" s="112" t="s">
        <v>659</v>
      </c>
      <c r="B1493" s="50" t="s">
        <v>4651</v>
      </c>
      <c r="C1493" s="50" t="s">
        <v>1728</v>
      </c>
      <c r="D1493" s="50" t="s">
        <v>4652</v>
      </c>
      <c r="E1493" s="52" t="b">
        <v>1</v>
      </c>
      <c r="F1493" s="78" t="s">
        <v>659</v>
      </c>
      <c r="G1493" s="50" t="s">
        <v>4651</v>
      </c>
      <c r="H1493" s="50" t="s">
        <v>1728</v>
      </c>
      <c r="I1493" s="53" t="s">
        <v>4652</v>
      </c>
      <c r="J1493" s="55"/>
      <c r="K1493" s="55"/>
      <c r="L1493" s="79"/>
      <c r="M1493" s="56" t="str">
        <f>HYPERLINK("http://nsgreg.nga.mil/genc/view?v=869321&amp;end_month=12&amp;end_day=31&amp;end_year=2016","Correlation")</f>
        <v>Correlation</v>
      </c>
    </row>
    <row r="1494" spans="1:13" x14ac:dyDescent="0.2">
      <c r="A1494" s="113"/>
      <c r="B1494" s="58" t="s">
        <v>4653</v>
      </c>
      <c r="C1494" s="58" t="s">
        <v>1728</v>
      </c>
      <c r="D1494" s="58" t="s">
        <v>4654</v>
      </c>
      <c r="E1494" s="60" t="b">
        <v>1</v>
      </c>
      <c r="F1494" s="80" t="s">
        <v>659</v>
      </c>
      <c r="G1494" s="58" t="s">
        <v>4653</v>
      </c>
      <c r="H1494" s="58" t="s">
        <v>1728</v>
      </c>
      <c r="I1494" s="64" t="s">
        <v>4654</v>
      </c>
      <c r="J1494" s="66"/>
      <c r="K1494" s="66"/>
      <c r="L1494" s="68"/>
      <c r="M1494" s="63" t="str">
        <f>HYPERLINK("http://nsgreg.nga.mil/genc/view?v=869323&amp;end_month=12&amp;end_day=31&amp;end_year=2016","Correlation")</f>
        <v>Correlation</v>
      </c>
    </row>
    <row r="1495" spans="1:13" x14ac:dyDescent="0.2">
      <c r="A1495" s="113"/>
      <c r="B1495" s="58" t="s">
        <v>4655</v>
      </c>
      <c r="C1495" s="58" t="s">
        <v>4656</v>
      </c>
      <c r="D1495" s="58" t="s">
        <v>4657</v>
      </c>
      <c r="E1495" s="60" t="b">
        <v>1</v>
      </c>
      <c r="F1495" s="80" t="s">
        <v>659</v>
      </c>
      <c r="G1495" s="58" t="s">
        <v>4655</v>
      </c>
      <c r="H1495" s="58" t="s">
        <v>4656</v>
      </c>
      <c r="I1495" s="64" t="s">
        <v>4657</v>
      </c>
      <c r="J1495" s="66"/>
      <c r="K1495" s="66"/>
      <c r="L1495" s="68"/>
      <c r="M1495" s="63" t="str">
        <f>HYPERLINK("http://nsgreg.nga.mil/genc/view?v=869324&amp;end_month=12&amp;end_day=31&amp;end_year=2016","Correlation")</f>
        <v>Correlation</v>
      </c>
    </row>
    <row r="1496" spans="1:13" x14ac:dyDescent="0.2">
      <c r="A1496" s="113"/>
      <c r="B1496" s="58" t="s">
        <v>4660</v>
      </c>
      <c r="C1496" s="58" t="s">
        <v>1728</v>
      </c>
      <c r="D1496" s="58" t="s">
        <v>4659</v>
      </c>
      <c r="E1496" s="60" t="b">
        <v>1</v>
      </c>
      <c r="F1496" s="80" t="s">
        <v>659</v>
      </c>
      <c r="G1496" s="58" t="s">
        <v>4658</v>
      </c>
      <c r="H1496" s="58" t="s">
        <v>1728</v>
      </c>
      <c r="I1496" s="64" t="s">
        <v>4659</v>
      </c>
      <c r="J1496" s="66"/>
      <c r="K1496" s="66"/>
      <c r="L1496" s="68"/>
      <c r="M1496" s="63" t="str">
        <f>HYPERLINK("http://nsgreg.nga.mil/genc/view?v=869322&amp;end_month=12&amp;end_day=31&amp;end_year=2016","Correlation")</f>
        <v>Correlation</v>
      </c>
    </row>
    <row r="1497" spans="1:13" x14ac:dyDescent="0.2">
      <c r="A1497" s="113"/>
      <c r="B1497" s="58" t="s">
        <v>4661</v>
      </c>
      <c r="C1497" s="58" t="s">
        <v>1728</v>
      </c>
      <c r="D1497" s="58" t="s">
        <v>4662</v>
      </c>
      <c r="E1497" s="60" t="b">
        <v>1</v>
      </c>
      <c r="F1497" s="80" t="s">
        <v>659</v>
      </c>
      <c r="G1497" s="58" t="s">
        <v>4661</v>
      </c>
      <c r="H1497" s="58" t="s">
        <v>1728</v>
      </c>
      <c r="I1497" s="64" t="s">
        <v>4662</v>
      </c>
      <c r="J1497" s="66"/>
      <c r="K1497" s="66"/>
      <c r="L1497" s="68"/>
      <c r="M1497" s="63" t="str">
        <f>HYPERLINK("http://nsgreg.nga.mil/genc/view?v=869325&amp;end_month=12&amp;end_day=31&amp;end_year=2016","Correlation")</f>
        <v>Correlation</v>
      </c>
    </row>
    <row r="1498" spans="1:13" x14ac:dyDescent="0.2">
      <c r="A1498" s="113"/>
      <c r="B1498" s="58" t="s">
        <v>4663</v>
      </c>
      <c r="C1498" s="58" t="s">
        <v>1728</v>
      </c>
      <c r="D1498" s="58" t="s">
        <v>4664</v>
      </c>
      <c r="E1498" s="60" t="b">
        <v>1</v>
      </c>
      <c r="F1498" s="80" t="s">
        <v>659</v>
      </c>
      <c r="G1498" s="58" t="s">
        <v>4663</v>
      </c>
      <c r="H1498" s="58" t="s">
        <v>1728</v>
      </c>
      <c r="I1498" s="64" t="s">
        <v>4664</v>
      </c>
      <c r="J1498" s="66"/>
      <c r="K1498" s="66"/>
      <c r="L1498" s="68"/>
      <c r="M1498" s="63" t="str">
        <f>HYPERLINK("http://nsgreg.nga.mil/genc/view?v=869326&amp;end_month=12&amp;end_day=31&amp;end_year=2016","Correlation")</f>
        <v>Correlation</v>
      </c>
    </row>
    <row r="1499" spans="1:13" x14ac:dyDescent="0.2">
      <c r="A1499" s="113"/>
      <c r="B1499" s="58" t="s">
        <v>4665</v>
      </c>
      <c r="C1499" s="58" t="s">
        <v>1413</v>
      </c>
      <c r="D1499" s="58" t="s">
        <v>4666</v>
      </c>
      <c r="E1499" s="60" t="b">
        <v>1</v>
      </c>
      <c r="F1499" s="80" t="s">
        <v>659</v>
      </c>
      <c r="G1499" s="58" t="s">
        <v>4665</v>
      </c>
      <c r="H1499" s="58" t="s">
        <v>1413</v>
      </c>
      <c r="I1499" s="64" t="s">
        <v>4666</v>
      </c>
      <c r="J1499" s="66"/>
      <c r="K1499" s="66"/>
      <c r="L1499" s="68"/>
      <c r="M1499" s="63" t="str">
        <f>HYPERLINK("http://nsgreg.nga.mil/genc/view?v=869327&amp;end_month=12&amp;end_day=31&amp;end_year=2016","Correlation")</f>
        <v>Correlation</v>
      </c>
    </row>
    <row r="1500" spans="1:13" x14ac:dyDescent="0.2">
      <c r="A1500" s="113"/>
      <c r="B1500" s="58" t="s">
        <v>4667</v>
      </c>
      <c r="C1500" s="58" t="s">
        <v>1413</v>
      </c>
      <c r="D1500" s="58" t="s">
        <v>4668</v>
      </c>
      <c r="E1500" s="60" t="b">
        <v>1</v>
      </c>
      <c r="F1500" s="80" t="s">
        <v>659</v>
      </c>
      <c r="G1500" s="58" t="s">
        <v>4667</v>
      </c>
      <c r="H1500" s="58" t="s">
        <v>1413</v>
      </c>
      <c r="I1500" s="64" t="s">
        <v>4668</v>
      </c>
      <c r="J1500" s="66"/>
      <c r="K1500" s="66"/>
      <c r="L1500" s="68"/>
      <c r="M1500" s="63" t="str">
        <f>HYPERLINK("http://nsgreg.nga.mil/genc/view?v=869328&amp;end_month=12&amp;end_day=31&amp;end_year=2016","Correlation")</f>
        <v>Correlation</v>
      </c>
    </row>
    <row r="1501" spans="1:13" x14ac:dyDescent="0.2">
      <c r="A1501" s="113"/>
      <c r="B1501" s="58" t="s">
        <v>4669</v>
      </c>
      <c r="C1501" s="58" t="s">
        <v>1728</v>
      </c>
      <c r="D1501" s="58" t="s">
        <v>4670</v>
      </c>
      <c r="E1501" s="60" t="b">
        <v>1</v>
      </c>
      <c r="F1501" s="80" t="s">
        <v>659</v>
      </c>
      <c r="G1501" s="58" t="s">
        <v>4669</v>
      </c>
      <c r="H1501" s="58" t="s">
        <v>1728</v>
      </c>
      <c r="I1501" s="64" t="s">
        <v>4670</v>
      </c>
      <c r="J1501" s="66"/>
      <c r="K1501" s="66"/>
      <c r="L1501" s="68"/>
      <c r="M1501" s="63" t="str">
        <f>HYPERLINK("http://nsgreg.nga.mil/genc/view?v=869329&amp;end_month=12&amp;end_day=31&amp;end_year=2016","Correlation")</f>
        <v>Correlation</v>
      </c>
    </row>
    <row r="1502" spans="1:13" x14ac:dyDescent="0.2">
      <c r="A1502" s="113"/>
      <c r="B1502" s="58" t="s">
        <v>4671</v>
      </c>
      <c r="C1502" s="58" t="s">
        <v>1728</v>
      </c>
      <c r="D1502" s="58" t="s">
        <v>4672</v>
      </c>
      <c r="E1502" s="60" t="b">
        <v>1</v>
      </c>
      <c r="F1502" s="80" t="s">
        <v>659</v>
      </c>
      <c r="G1502" s="58" t="s">
        <v>4671</v>
      </c>
      <c r="H1502" s="58" t="s">
        <v>1728</v>
      </c>
      <c r="I1502" s="64" t="s">
        <v>4672</v>
      </c>
      <c r="J1502" s="66"/>
      <c r="K1502" s="66"/>
      <c r="L1502" s="68"/>
      <c r="M1502" s="63" t="str">
        <f>HYPERLINK("http://nsgreg.nga.mil/genc/view?v=869330&amp;end_month=12&amp;end_day=31&amp;end_year=2016","Correlation")</f>
        <v>Correlation</v>
      </c>
    </row>
    <row r="1503" spans="1:13" x14ac:dyDescent="0.2">
      <c r="A1503" s="113"/>
      <c r="B1503" s="58" t="s">
        <v>4673</v>
      </c>
      <c r="C1503" s="58" t="s">
        <v>1413</v>
      </c>
      <c r="D1503" s="58" t="s">
        <v>4674</v>
      </c>
      <c r="E1503" s="60" t="b">
        <v>1</v>
      </c>
      <c r="F1503" s="80" t="s">
        <v>659</v>
      </c>
      <c r="G1503" s="58" t="s">
        <v>4673</v>
      </c>
      <c r="H1503" s="58" t="s">
        <v>1413</v>
      </c>
      <c r="I1503" s="64" t="s">
        <v>4674</v>
      </c>
      <c r="J1503" s="66"/>
      <c r="K1503" s="66"/>
      <c r="L1503" s="68"/>
      <c r="M1503" s="63" t="str">
        <f>HYPERLINK("http://nsgreg.nga.mil/genc/view?v=869331&amp;end_month=12&amp;end_day=31&amp;end_year=2016","Correlation")</f>
        <v>Correlation</v>
      </c>
    </row>
    <row r="1504" spans="1:13" x14ac:dyDescent="0.2">
      <c r="A1504" s="114"/>
      <c r="B1504" s="71" t="s">
        <v>4675</v>
      </c>
      <c r="C1504" s="71" t="s">
        <v>1728</v>
      </c>
      <c r="D1504" s="71" t="s">
        <v>4676</v>
      </c>
      <c r="E1504" s="73" t="b">
        <v>1</v>
      </c>
      <c r="F1504" s="81" t="s">
        <v>659</v>
      </c>
      <c r="G1504" s="71" t="s">
        <v>4675</v>
      </c>
      <c r="H1504" s="71" t="s">
        <v>1728</v>
      </c>
      <c r="I1504" s="74" t="s">
        <v>4676</v>
      </c>
      <c r="J1504" s="76"/>
      <c r="K1504" s="76"/>
      <c r="L1504" s="82"/>
      <c r="M1504" s="77" t="str">
        <f>HYPERLINK("http://nsgreg.nga.mil/genc/view?v=869332&amp;end_month=12&amp;end_day=31&amp;end_year=2016","Correlation")</f>
        <v>Correlation</v>
      </c>
    </row>
    <row r="1505" spans="1:13" x14ac:dyDescent="0.2">
      <c r="A1505" s="112" t="s">
        <v>663</v>
      </c>
      <c r="B1505" s="50" t="s">
        <v>4677</v>
      </c>
      <c r="C1505" s="50" t="s">
        <v>1728</v>
      </c>
      <c r="D1505" s="50" t="s">
        <v>4678</v>
      </c>
      <c r="E1505" s="52" t="b">
        <v>1</v>
      </c>
      <c r="F1505" s="78" t="s">
        <v>663</v>
      </c>
      <c r="G1505" s="50" t="s">
        <v>4677</v>
      </c>
      <c r="H1505" s="50" t="s">
        <v>1728</v>
      </c>
      <c r="I1505" s="53" t="s">
        <v>4678</v>
      </c>
      <c r="J1505" s="55"/>
      <c r="K1505" s="55"/>
      <c r="L1505" s="79"/>
      <c r="M1505" s="56" t="str">
        <f>HYPERLINK("http://nsgreg.nga.mil/genc/view?v=869333&amp;end_month=12&amp;end_day=31&amp;end_year=2016","Correlation")</f>
        <v>Correlation</v>
      </c>
    </row>
    <row r="1506" spans="1:13" x14ac:dyDescent="0.2">
      <c r="A1506" s="113"/>
      <c r="B1506" s="58" t="s">
        <v>4679</v>
      </c>
      <c r="C1506" s="58" t="s">
        <v>1728</v>
      </c>
      <c r="D1506" s="58" t="s">
        <v>4680</v>
      </c>
      <c r="E1506" s="60" t="b">
        <v>1</v>
      </c>
      <c r="F1506" s="80" t="s">
        <v>663</v>
      </c>
      <c r="G1506" s="58" t="s">
        <v>4679</v>
      </c>
      <c r="H1506" s="58" t="s">
        <v>1728</v>
      </c>
      <c r="I1506" s="64" t="s">
        <v>4680</v>
      </c>
      <c r="J1506" s="66"/>
      <c r="K1506" s="66"/>
      <c r="L1506" s="68"/>
      <c r="M1506" s="63" t="str">
        <f>HYPERLINK("http://nsgreg.nga.mil/genc/view?v=869334&amp;end_month=12&amp;end_day=31&amp;end_year=2016","Correlation")</f>
        <v>Correlation</v>
      </c>
    </row>
    <row r="1507" spans="1:13" x14ac:dyDescent="0.2">
      <c r="A1507" s="113"/>
      <c r="B1507" s="58" t="s">
        <v>4681</v>
      </c>
      <c r="C1507" s="58" t="s">
        <v>1728</v>
      </c>
      <c r="D1507" s="58" t="s">
        <v>4682</v>
      </c>
      <c r="E1507" s="60" t="b">
        <v>1</v>
      </c>
      <c r="F1507" s="80" t="s">
        <v>663</v>
      </c>
      <c r="G1507" s="58" t="s">
        <v>4681</v>
      </c>
      <c r="H1507" s="58" t="s">
        <v>1728</v>
      </c>
      <c r="I1507" s="64" t="s">
        <v>4682</v>
      </c>
      <c r="J1507" s="66"/>
      <c r="K1507" s="66"/>
      <c r="L1507" s="68"/>
      <c r="M1507" s="63" t="str">
        <f>HYPERLINK("http://nsgreg.nga.mil/genc/view?v=869335&amp;end_month=12&amp;end_day=31&amp;end_year=2016","Correlation")</f>
        <v>Correlation</v>
      </c>
    </row>
    <row r="1508" spans="1:13" x14ac:dyDescent="0.2">
      <c r="A1508" s="113"/>
      <c r="B1508" s="58" t="s">
        <v>4683</v>
      </c>
      <c r="C1508" s="58" t="s">
        <v>1728</v>
      </c>
      <c r="D1508" s="58" t="s">
        <v>4684</v>
      </c>
      <c r="E1508" s="60" t="b">
        <v>1</v>
      </c>
      <c r="F1508" s="80" t="s">
        <v>663</v>
      </c>
      <c r="G1508" s="58" t="s">
        <v>4683</v>
      </c>
      <c r="H1508" s="58" t="s">
        <v>1728</v>
      </c>
      <c r="I1508" s="64" t="s">
        <v>4684</v>
      </c>
      <c r="J1508" s="66"/>
      <c r="K1508" s="66"/>
      <c r="L1508" s="68"/>
      <c r="M1508" s="63" t="str">
        <f>HYPERLINK("http://nsgreg.nga.mil/genc/view?v=869336&amp;end_month=12&amp;end_day=31&amp;end_year=2016","Correlation")</f>
        <v>Correlation</v>
      </c>
    </row>
    <row r="1509" spans="1:13" x14ac:dyDescent="0.2">
      <c r="A1509" s="113"/>
      <c r="B1509" s="58" t="s">
        <v>4685</v>
      </c>
      <c r="C1509" s="58" t="s">
        <v>1728</v>
      </c>
      <c r="D1509" s="58" t="s">
        <v>4686</v>
      </c>
      <c r="E1509" s="60" t="b">
        <v>1</v>
      </c>
      <c r="F1509" s="80" t="s">
        <v>663</v>
      </c>
      <c r="G1509" s="58" t="s">
        <v>4685</v>
      </c>
      <c r="H1509" s="58" t="s">
        <v>1728</v>
      </c>
      <c r="I1509" s="64" t="s">
        <v>4686</v>
      </c>
      <c r="J1509" s="66"/>
      <c r="K1509" s="66"/>
      <c r="L1509" s="68"/>
      <c r="M1509" s="63" t="str">
        <f>HYPERLINK("http://nsgreg.nga.mil/genc/view?v=869337&amp;end_month=12&amp;end_day=31&amp;end_year=2016","Correlation")</f>
        <v>Correlation</v>
      </c>
    </row>
    <row r="1510" spans="1:13" x14ac:dyDescent="0.2">
      <c r="A1510" s="113"/>
      <c r="B1510" s="58" t="s">
        <v>4687</v>
      </c>
      <c r="C1510" s="58" t="s">
        <v>1728</v>
      </c>
      <c r="D1510" s="58" t="s">
        <v>4688</v>
      </c>
      <c r="E1510" s="60" t="b">
        <v>1</v>
      </c>
      <c r="F1510" s="80" t="s">
        <v>663</v>
      </c>
      <c r="G1510" s="58" t="s">
        <v>4687</v>
      </c>
      <c r="H1510" s="58" t="s">
        <v>1728</v>
      </c>
      <c r="I1510" s="64" t="s">
        <v>4688</v>
      </c>
      <c r="J1510" s="66"/>
      <c r="K1510" s="66"/>
      <c r="L1510" s="68"/>
      <c r="M1510" s="63" t="str">
        <f>HYPERLINK("http://nsgreg.nga.mil/genc/view?v=869338&amp;end_month=12&amp;end_day=31&amp;end_year=2016","Correlation")</f>
        <v>Correlation</v>
      </c>
    </row>
    <row r="1511" spans="1:13" x14ac:dyDescent="0.2">
      <c r="A1511" s="113"/>
      <c r="B1511" s="58" t="s">
        <v>4689</v>
      </c>
      <c r="C1511" s="58" t="s">
        <v>1728</v>
      </c>
      <c r="D1511" s="58" t="s">
        <v>4690</v>
      </c>
      <c r="E1511" s="60" t="b">
        <v>1</v>
      </c>
      <c r="F1511" s="80" t="s">
        <v>663</v>
      </c>
      <c r="G1511" s="58" t="s">
        <v>4689</v>
      </c>
      <c r="H1511" s="58" t="s">
        <v>1728</v>
      </c>
      <c r="I1511" s="64" t="s">
        <v>4690</v>
      </c>
      <c r="J1511" s="66"/>
      <c r="K1511" s="66"/>
      <c r="L1511" s="68"/>
      <c r="M1511" s="63" t="str">
        <f>HYPERLINK("http://nsgreg.nga.mil/genc/view?v=869339&amp;end_month=12&amp;end_day=31&amp;end_year=2016","Correlation")</f>
        <v>Correlation</v>
      </c>
    </row>
    <row r="1512" spans="1:13" x14ac:dyDescent="0.2">
      <c r="A1512" s="113"/>
      <c r="B1512" s="58" t="s">
        <v>4691</v>
      </c>
      <c r="C1512" s="58" t="s">
        <v>1728</v>
      </c>
      <c r="D1512" s="58" t="s">
        <v>4692</v>
      </c>
      <c r="E1512" s="60" t="b">
        <v>1</v>
      </c>
      <c r="F1512" s="80" t="s">
        <v>663</v>
      </c>
      <c r="G1512" s="58" t="s">
        <v>4691</v>
      </c>
      <c r="H1512" s="58" t="s">
        <v>1728</v>
      </c>
      <c r="I1512" s="64" t="s">
        <v>4692</v>
      </c>
      <c r="J1512" s="66"/>
      <c r="K1512" s="66"/>
      <c r="L1512" s="68"/>
      <c r="M1512" s="63" t="str">
        <f>HYPERLINK("http://nsgreg.nga.mil/genc/view?v=869340&amp;end_month=12&amp;end_day=31&amp;end_year=2016","Correlation")</f>
        <v>Correlation</v>
      </c>
    </row>
    <row r="1513" spans="1:13" x14ac:dyDescent="0.2">
      <c r="A1513" s="113"/>
      <c r="B1513" s="58" t="s">
        <v>4693</v>
      </c>
      <c r="C1513" s="58" t="s">
        <v>1728</v>
      </c>
      <c r="D1513" s="58" t="s">
        <v>4694</v>
      </c>
      <c r="E1513" s="60" t="b">
        <v>1</v>
      </c>
      <c r="F1513" s="80" t="s">
        <v>663</v>
      </c>
      <c r="G1513" s="58" t="s">
        <v>4693</v>
      </c>
      <c r="H1513" s="58" t="s">
        <v>1728</v>
      </c>
      <c r="I1513" s="64" t="s">
        <v>4694</v>
      </c>
      <c r="J1513" s="66"/>
      <c r="K1513" s="66"/>
      <c r="L1513" s="68"/>
      <c r="M1513" s="63" t="str">
        <f>HYPERLINK("http://nsgreg.nga.mil/genc/view?v=869341&amp;end_month=12&amp;end_day=31&amp;end_year=2016","Correlation")</f>
        <v>Correlation</v>
      </c>
    </row>
    <row r="1514" spans="1:13" x14ac:dyDescent="0.2">
      <c r="A1514" s="114"/>
      <c r="B1514" s="71" t="s">
        <v>4695</v>
      </c>
      <c r="C1514" s="71" t="s">
        <v>1728</v>
      </c>
      <c r="D1514" s="71" t="s">
        <v>4696</v>
      </c>
      <c r="E1514" s="73" t="b">
        <v>1</v>
      </c>
      <c r="F1514" s="81" t="s">
        <v>663</v>
      </c>
      <c r="G1514" s="71" t="s">
        <v>4695</v>
      </c>
      <c r="H1514" s="71" t="s">
        <v>1728</v>
      </c>
      <c r="I1514" s="74" t="s">
        <v>4696</v>
      </c>
      <c r="J1514" s="76"/>
      <c r="K1514" s="76"/>
      <c r="L1514" s="82"/>
      <c r="M1514" s="77" t="str">
        <f>HYPERLINK("http://nsgreg.nga.mil/genc/view?v=869342&amp;end_month=12&amp;end_day=31&amp;end_year=2016","Correlation")</f>
        <v>Correlation</v>
      </c>
    </row>
    <row r="1515" spans="1:13" x14ac:dyDescent="0.2">
      <c r="A1515" s="112" t="s">
        <v>667</v>
      </c>
      <c r="B1515" s="50" t="s">
        <v>4697</v>
      </c>
      <c r="C1515" s="50" t="s">
        <v>2294</v>
      </c>
      <c r="D1515" s="50" t="s">
        <v>4698</v>
      </c>
      <c r="E1515" s="52" t="b">
        <v>1</v>
      </c>
      <c r="F1515" s="78" t="s">
        <v>667</v>
      </c>
      <c r="G1515" s="50" t="s">
        <v>4697</v>
      </c>
      <c r="H1515" s="50" t="s">
        <v>2294</v>
      </c>
      <c r="I1515" s="53" t="s">
        <v>4698</v>
      </c>
      <c r="J1515" s="55"/>
      <c r="K1515" s="55"/>
      <c r="L1515" s="79"/>
      <c r="M1515" s="56" t="str">
        <f>HYPERLINK("http://nsgreg.nga.mil/genc/view?v=869382&amp;end_month=12&amp;end_day=31&amp;end_year=2016","Correlation")</f>
        <v>Correlation</v>
      </c>
    </row>
    <row r="1516" spans="1:13" x14ac:dyDescent="0.2">
      <c r="A1516" s="113"/>
      <c r="B1516" s="58" t="s">
        <v>2583</v>
      </c>
      <c r="C1516" s="58" t="s">
        <v>2294</v>
      </c>
      <c r="D1516" s="58" t="s">
        <v>4699</v>
      </c>
      <c r="E1516" s="60" t="b">
        <v>1</v>
      </c>
      <c r="F1516" s="80" t="s">
        <v>667</v>
      </c>
      <c r="G1516" s="58" t="s">
        <v>2583</v>
      </c>
      <c r="H1516" s="58" t="s">
        <v>2294</v>
      </c>
      <c r="I1516" s="64" t="s">
        <v>4699</v>
      </c>
      <c r="J1516" s="66"/>
      <c r="K1516" s="66"/>
      <c r="L1516" s="68"/>
      <c r="M1516" s="63" t="str">
        <f>HYPERLINK("http://nsgreg.nga.mil/genc/view?v=869383&amp;end_month=12&amp;end_day=31&amp;end_year=2016","Correlation")</f>
        <v>Correlation</v>
      </c>
    </row>
    <row r="1517" spans="1:13" x14ac:dyDescent="0.2">
      <c r="A1517" s="113"/>
      <c r="B1517" s="58" t="s">
        <v>4702</v>
      </c>
      <c r="C1517" s="58" t="s">
        <v>2294</v>
      </c>
      <c r="D1517" s="58" t="s">
        <v>4701</v>
      </c>
      <c r="E1517" s="60" t="b">
        <v>1</v>
      </c>
      <c r="F1517" s="80" t="s">
        <v>667</v>
      </c>
      <c r="G1517" s="58" t="s">
        <v>4700</v>
      </c>
      <c r="H1517" s="58" t="s">
        <v>2294</v>
      </c>
      <c r="I1517" s="64" t="s">
        <v>4701</v>
      </c>
      <c r="J1517" s="66"/>
      <c r="K1517" s="66"/>
      <c r="L1517" s="68"/>
      <c r="M1517" s="63" t="str">
        <f>HYPERLINK("http://nsgreg.nga.mil/genc/view?v=869384&amp;end_month=12&amp;end_day=31&amp;end_year=2016","Correlation")</f>
        <v>Correlation</v>
      </c>
    </row>
    <row r="1518" spans="1:13" x14ac:dyDescent="0.2">
      <c r="A1518" s="113"/>
      <c r="B1518" s="58" t="s">
        <v>4703</v>
      </c>
      <c r="C1518" s="58" t="s">
        <v>2294</v>
      </c>
      <c r="D1518" s="58" t="s">
        <v>4704</v>
      </c>
      <c r="E1518" s="60" t="b">
        <v>1</v>
      </c>
      <c r="F1518" s="80" t="s">
        <v>667</v>
      </c>
      <c r="G1518" s="58" t="s">
        <v>4703</v>
      </c>
      <c r="H1518" s="58" t="s">
        <v>2294</v>
      </c>
      <c r="I1518" s="64" t="s">
        <v>4704</v>
      </c>
      <c r="J1518" s="66"/>
      <c r="K1518" s="66"/>
      <c r="L1518" s="68"/>
      <c r="M1518" s="63" t="str">
        <f>HYPERLINK("http://nsgreg.nga.mil/genc/view?v=869387&amp;end_month=12&amp;end_day=31&amp;end_year=2016","Correlation")</f>
        <v>Correlation</v>
      </c>
    </row>
    <row r="1519" spans="1:13" x14ac:dyDescent="0.2">
      <c r="A1519" s="113"/>
      <c r="B1519" s="58" t="s">
        <v>2637</v>
      </c>
      <c r="C1519" s="58" t="s">
        <v>2294</v>
      </c>
      <c r="D1519" s="58" t="s">
        <v>4705</v>
      </c>
      <c r="E1519" s="60" t="b">
        <v>1</v>
      </c>
      <c r="F1519" s="80" t="s">
        <v>667</v>
      </c>
      <c r="G1519" s="58" t="s">
        <v>2637</v>
      </c>
      <c r="H1519" s="58" t="s">
        <v>2294</v>
      </c>
      <c r="I1519" s="64" t="s">
        <v>4705</v>
      </c>
      <c r="J1519" s="66"/>
      <c r="K1519" s="66"/>
      <c r="L1519" s="68"/>
      <c r="M1519" s="63" t="str">
        <f>HYPERLINK("http://nsgreg.nga.mil/genc/view?v=869385&amp;end_month=12&amp;end_day=31&amp;end_year=2016","Correlation")</f>
        <v>Correlation</v>
      </c>
    </row>
    <row r="1520" spans="1:13" x14ac:dyDescent="0.2">
      <c r="A1520" s="113"/>
      <c r="B1520" s="58" t="s">
        <v>4706</v>
      </c>
      <c r="C1520" s="58" t="s">
        <v>2294</v>
      </c>
      <c r="D1520" s="58" t="s">
        <v>4707</v>
      </c>
      <c r="E1520" s="60" t="b">
        <v>1</v>
      </c>
      <c r="F1520" s="80" t="s">
        <v>667</v>
      </c>
      <c r="G1520" s="58" t="s">
        <v>4706</v>
      </c>
      <c r="H1520" s="58" t="s">
        <v>2294</v>
      </c>
      <c r="I1520" s="64" t="s">
        <v>4707</v>
      </c>
      <c r="J1520" s="66"/>
      <c r="K1520" s="66"/>
      <c r="L1520" s="68"/>
      <c r="M1520" s="63" t="str">
        <f>HYPERLINK("http://nsgreg.nga.mil/genc/view?v=869386&amp;end_month=12&amp;end_day=31&amp;end_year=2016","Correlation")</f>
        <v>Correlation</v>
      </c>
    </row>
    <row r="1521" spans="1:13" x14ac:dyDescent="0.2">
      <c r="A1521" s="113"/>
      <c r="B1521" s="58" t="s">
        <v>4708</v>
      </c>
      <c r="C1521" s="58" t="s">
        <v>2294</v>
      </c>
      <c r="D1521" s="58" t="s">
        <v>4709</v>
      </c>
      <c r="E1521" s="60" t="b">
        <v>1</v>
      </c>
      <c r="F1521" s="80" t="s">
        <v>667</v>
      </c>
      <c r="G1521" s="58" t="s">
        <v>4708</v>
      </c>
      <c r="H1521" s="58" t="s">
        <v>2294</v>
      </c>
      <c r="I1521" s="64" t="s">
        <v>4709</v>
      </c>
      <c r="J1521" s="66"/>
      <c r="K1521" s="66"/>
      <c r="L1521" s="68"/>
      <c r="M1521" s="63" t="str">
        <f>HYPERLINK("http://nsgreg.nga.mil/genc/view?v=869388&amp;end_month=12&amp;end_day=31&amp;end_year=2016","Correlation")</f>
        <v>Correlation</v>
      </c>
    </row>
    <row r="1522" spans="1:13" x14ac:dyDescent="0.2">
      <c r="A1522" s="113"/>
      <c r="B1522" s="58" t="s">
        <v>2889</v>
      </c>
      <c r="C1522" s="58" t="s">
        <v>2294</v>
      </c>
      <c r="D1522" s="58" t="s">
        <v>4710</v>
      </c>
      <c r="E1522" s="60" t="b">
        <v>1</v>
      </c>
      <c r="F1522" s="80" t="s">
        <v>667</v>
      </c>
      <c r="G1522" s="58" t="s">
        <v>2889</v>
      </c>
      <c r="H1522" s="58" t="s">
        <v>2294</v>
      </c>
      <c r="I1522" s="64" t="s">
        <v>4710</v>
      </c>
      <c r="J1522" s="66"/>
      <c r="K1522" s="66"/>
      <c r="L1522" s="68"/>
      <c r="M1522" s="63" t="str">
        <f>HYPERLINK("http://nsgreg.nga.mil/genc/view?v=869389&amp;end_month=12&amp;end_day=31&amp;end_year=2016","Correlation")</f>
        <v>Correlation</v>
      </c>
    </row>
    <row r="1523" spans="1:13" x14ac:dyDescent="0.2">
      <c r="A1523" s="113"/>
      <c r="B1523" s="58" t="s">
        <v>2894</v>
      </c>
      <c r="C1523" s="58" t="s">
        <v>2294</v>
      </c>
      <c r="D1523" s="58" t="s">
        <v>4711</v>
      </c>
      <c r="E1523" s="60" t="b">
        <v>1</v>
      </c>
      <c r="F1523" s="80" t="s">
        <v>667</v>
      </c>
      <c r="G1523" s="58" t="s">
        <v>2894</v>
      </c>
      <c r="H1523" s="58" t="s">
        <v>2294</v>
      </c>
      <c r="I1523" s="64" t="s">
        <v>4711</v>
      </c>
      <c r="J1523" s="66"/>
      <c r="K1523" s="66"/>
      <c r="L1523" s="68"/>
      <c r="M1523" s="63" t="str">
        <f>HYPERLINK("http://nsgreg.nga.mil/genc/view?v=869390&amp;end_month=12&amp;end_day=31&amp;end_year=2016","Correlation")</f>
        <v>Correlation</v>
      </c>
    </row>
    <row r="1524" spans="1:13" x14ac:dyDescent="0.2">
      <c r="A1524" s="114"/>
      <c r="B1524" s="71" t="s">
        <v>4712</v>
      </c>
      <c r="C1524" s="71" t="s">
        <v>2294</v>
      </c>
      <c r="D1524" s="71" t="s">
        <v>4713</v>
      </c>
      <c r="E1524" s="73" t="b">
        <v>1</v>
      </c>
      <c r="F1524" s="81" t="s">
        <v>667</v>
      </c>
      <c r="G1524" s="71" t="s">
        <v>4712</v>
      </c>
      <c r="H1524" s="71" t="s">
        <v>2294</v>
      </c>
      <c r="I1524" s="74" t="s">
        <v>4713</v>
      </c>
      <c r="J1524" s="76"/>
      <c r="K1524" s="76"/>
      <c r="L1524" s="82"/>
      <c r="M1524" s="77" t="str">
        <f>HYPERLINK("http://nsgreg.nga.mil/genc/view?v=869391&amp;end_month=12&amp;end_day=31&amp;end_year=2016","Correlation")</f>
        <v>Correlation</v>
      </c>
    </row>
    <row r="1525" spans="1:13" x14ac:dyDescent="0.2">
      <c r="A1525" s="112" t="s">
        <v>675</v>
      </c>
      <c r="B1525" s="50" t="s">
        <v>4714</v>
      </c>
      <c r="C1525" s="50" t="s">
        <v>2294</v>
      </c>
      <c r="D1525" s="50" t="s">
        <v>4715</v>
      </c>
      <c r="E1525" s="52" t="b">
        <v>1</v>
      </c>
      <c r="F1525" s="78" t="s">
        <v>675</v>
      </c>
      <c r="G1525" s="50" t="s">
        <v>4714</v>
      </c>
      <c r="H1525" s="50" t="s">
        <v>2294</v>
      </c>
      <c r="I1525" s="53" t="s">
        <v>4715</v>
      </c>
      <c r="J1525" s="55"/>
      <c r="K1525" s="55"/>
      <c r="L1525" s="79"/>
      <c r="M1525" s="56" t="str">
        <f>HYPERLINK("http://nsgreg.nga.mil/genc/view?v=869343&amp;end_month=12&amp;end_day=31&amp;end_year=2016","Correlation")</f>
        <v>Correlation</v>
      </c>
    </row>
    <row r="1526" spans="1:13" x14ac:dyDescent="0.2">
      <c r="A1526" s="113"/>
      <c r="B1526" s="58" t="s">
        <v>4716</v>
      </c>
      <c r="C1526" s="58" t="s">
        <v>2294</v>
      </c>
      <c r="D1526" s="58" t="s">
        <v>4717</v>
      </c>
      <c r="E1526" s="60" t="b">
        <v>1</v>
      </c>
      <c r="F1526" s="80" t="s">
        <v>675</v>
      </c>
      <c r="G1526" s="58" t="s">
        <v>4716</v>
      </c>
      <c r="H1526" s="58" t="s">
        <v>2294</v>
      </c>
      <c r="I1526" s="64" t="s">
        <v>4717</v>
      </c>
      <c r="J1526" s="66"/>
      <c r="K1526" s="66"/>
      <c r="L1526" s="68"/>
      <c r="M1526" s="63" t="str">
        <f>HYPERLINK("http://nsgreg.nga.mil/genc/view?v=869344&amp;end_month=12&amp;end_day=31&amp;end_year=2016","Correlation")</f>
        <v>Correlation</v>
      </c>
    </row>
    <row r="1527" spans="1:13" x14ac:dyDescent="0.2">
      <c r="A1527" s="113"/>
      <c r="B1527" s="58" t="s">
        <v>4718</v>
      </c>
      <c r="C1527" s="58" t="s">
        <v>2294</v>
      </c>
      <c r="D1527" s="58" t="s">
        <v>4719</v>
      </c>
      <c r="E1527" s="60" t="b">
        <v>1</v>
      </c>
      <c r="F1527" s="80" t="s">
        <v>675</v>
      </c>
      <c r="G1527" s="58" t="s">
        <v>4718</v>
      </c>
      <c r="H1527" s="58" t="s">
        <v>2294</v>
      </c>
      <c r="I1527" s="64" t="s">
        <v>4719</v>
      </c>
      <c r="J1527" s="66"/>
      <c r="K1527" s="66"/>
      <c r="L1527" s="68"/>
      <c r="M1527" s="63" t="str">
        <f>HYPERLINK("http://nsgreg.nga.mil/genc/view?v=869345&amp;end_month=12&amp;end_day=31&amp;end_year=2016","Correlation")</f>
        <v>Correlation</v>
      </c>
    </row>
    <row r="1528" spans="1:13" x14ac:dyDescent="0.2">
      <c r="A1528" s="113"/>
      <c r="B1528" s="58" t="s">
        <v>4720</v>
      </c>
      <c r="C1528" s="58" t="s">
        <v>2294</v>
      </c>
      <c r="D1528" s="58" t="s">
        <v>4721</v>
      </c>
      <c r="E1528" s="60" t="b">
        <v>1</v>
      </c>
      <c r="F1528" s="80" t="s">
        <v>675</v>
      </c>
      <c r="G1528" s="58" t="s">
        <v>4720</v>
      </c>
      <c r="H1528" s="58" t="s">
        <v>2294</v>
      </c>
      <c r="I1528" s="64" t="s">
        <v>4721</v>
      </c>
      <c r="J1528" s="66"/>
      <c r="K1528" s="66"/>
      <c r="L1528" s="68"/>
      <c r="M1528" s="63" t="str">
        <f>HYPERLINK("http://nsgreg.nga.mil/genc/view?v=869346&amp;end_month=12&amp;end_day=31&amp;end_year=2016","Correlation")</f>
        <v>Correlation</v>
      </c>
    </row>
    <row r="1529" spans="1:13" x14ac:dyDescent="0.2">
      <c r="A1529" s="113"/>
      <c r="B1529" s="58" t="s">
        <v>4722</v>
      </c>
      <c r="C1529" s="58" t="s">
        <v>2294</v>
      </c>
      <c r="D1529" s="58" t="s">
        <v>4723</v>
      </c>
      <c r="E1529" s="60" t="b">
        <v>1</v>
      </c>
      <c r="F1529" s="80" t="s">
        <v>675</v>
      </c>
      <c r="G1529" s="58" t="s">
        <v>4722</v>
      </c>
      <c r="H1529" s="58" t="s">
        <v>2294</v>
      </c>
      <c r="I1529" s="64" t="s">
        <v>4723</v>
      </c>
      <c r="J1529" s="66"/>
      <c r="K1529" s="66"/>
      <c r="L1529" s="68"/>
      <c r="M1529" s="63" t="str">
        <f>HYPERLINK("http://nsgreg.nga.mil/genc/view?v=869347&amp;end_month=12&amp;end_day=31&amp;end_year=2016","Correlation")</f>
        <v>Correlation</v>
      </c>
    </row>
    <row r="1530" spans="1:13" x14ac:dyDescent="0.2">
      <c r="A1530" s="113"/>
      <c r="B1530" s="58" t="s">
        <v>4724</v>
      </c>
      <c r="C1530" s="58" t="s">
        <v>2294</v>
      </c>
      <c r="D1530" s="58" t="s">
        <v>4725</v>
      </c>
      <c r="E1530" s="60" t="b">
        <v>1</v>
      </c>
      <c r="F1530" s="80" t="s">
        <v>675</v>
      </c>
      <c r="G1530" s="58" t="s">
        <v>4724</v>
      </c>
      <c r="H1530" s="58" t="s">
        <v>2294</v>
      </c>
      <c r="I1530" s="64" t="s">
        <v>4725</v>
      </c>
      <c r="J1530" s="66"/>
      <c r="K1530" s="66"/>
      <c r="L1530" s="68"/>
      <c r="M1530" s="63" t="str">
        <f>HYPERLINK("http://nsgreg.nga.mil/genc/view?v=869348&amp;end_month=12&amp;end_day=31&amp;end_year=2016","Correlation")</f>
        <v>Correlation</v>
      </c>
    </row>
    <row r="1531" spans="1:13" x14ac:dyDescent="0.2">
      <c r="A1531" s="113"/>
      <c r="B1531" s="58" t="s">
        <v>4726</v>
      </c>
      <c r="C1531" s="58" t="s">
        <v>2294</v>
      </c>
      <c r="D1531" s="58" t="s">
        <v>4727</v>
      </c>
      <c r="E1531" s="60" t="b">
        <v>1</v>
      </c>
      <c r="F1531" s="80" t="s">
        <v>675</v>
      </c>
      <c r="G1531" s="58" t="s">
        <v>4726</v>
      </c>
      <c r="H1531" s="58" t="s">
        <v>2294</v>
      </c>
      <c r="I1531" s="64" t="s">
        <v>4727</v>
      </c>
      <c r="J1531" s="66"/>
      <c r="K1531" s="66"/>
      <c r="L1531" s="68"/>
      <c r="M1531" s="63" t="str">
        <f>HYPERLINK("http://nsgreg.nga.mil/genc/view?v=869349&amp;end_month=12&amp;end_day=31&amp;end_year=2016","Correlation")</f>
        <v>Correlation</v>
      </c>
    </row>
    <row r="1532" spans="1:13" x14ac:dyDescent="0.2">
      <c r="A1532" s="113"/>
      <c r="B1532" s="58" t="s">
        <v>4728</v>
      </c>
      <c r="C1532" s="58" t="s">
        <v>2294</v>
      </c>
      <c r="D1532" s="58" t="s">
        <v>4729</v>
      </c>
      <c r="E1532" s="60" t="b">
        <v>1</v>
      </c>
      <c r="F1532" s="80" t="s">
        <v>675</v>
      </c>
      <c r="G1532" s="58" t="s">
        <v>4728</v>
      </c>
      <c r="H1532" s="58" t="s">
        <v>2294</v>
      </c>
      <c r="I1532" s="64" t="s">
        <v>4729</v>
      </c>
      <c r="J1532" s="66"/>
      <c r="K1532" s="66"/>
      <c r="L1532" s="68"/>
      <c r="M1532" s="63" t="str">
        <f>HYPERLINK("http://nsgreg.nga.mil/genc/view?v=869350&amp;end_month=12&amp;end_day=31&amp;end_year=2016","Correlation")</f>
        <v>Correlation</v>
      </c>
    </row>
    <row r="1533" spans="1:13" x14ac:dyDescent="0.2">
      <c r="A1533" s="113"/>
      <c r="B1533" s="58" t="s">
        <v>4730</v>
      </c>
      <c r="C1533" s="58" t="s">
        <v>2294</v>
      </c>
      <c r="D1533" s="58" t="s">
        <v>4731</v>
      </c>
      <c r="E1533" s="60" t="b">
        <v>1</v>
      </c>
      <c r="F1533" s="80" t="s">
        <v>675</v>
      </c>
      <c r="G1533" s="58" t="s">
        <v>4730</v>
      </c>
      <c r="H1533" s="58" t="s">
        <v>2294</v>
      </c>
      <c r="I1533" s="64" t="s">
        <v>4731</v>
      </c>
      <c r="J1533" s="66"/>
      <c r="K1533" s="66"/>
      <c r="L1533" s="68"/>
      <c r="M1533" s="63" t="str">
        <f>HYPERLINK("http://nsgreg.nga.mil/genc/view?v=869351&amp;end_month=12&amp;end_day=31&amp;end_year=2016","Correlation")</f>
        <v>Correlation</v>
      </c>
    </row>
    <row r="1534" spans="1:13" x14ac:dyDescent="0.2">
      <c r="A1534" s="113"/>
      <c r="B1534" s="58" t="s">
        <v>4732</v>
      </c>
      <c r="C1534" s="58" t="s">
        <v>2294</v>
      </c>
      <c r="D1534" s="58" t="s">
        <v>4733</v>
      </c>
      <c r="E1534" s="60" t="b">
        <v>1</v>
      </c>
      <c r="F1534" s="80" t="s">
        <v>675</v>
      </c>
      <c r="G1534" s="58" t="s">
        <v>4732</v>
      </c>
      <c r="H1534" s="58" t="s">
        <v>2294</v>
      </c>
      <c r="I1534" s="64" t="s">
        <v>4733</v>
      </c>
      <c r="J1534" s="66"/>
      <c r="K1534" s="66"/>
      <c r="L1534" s="68"/>
      <c r="M1534" s="63" t="str">
        <f>HYPERLINK("http://nsgreg.nga.mil/genc/view?v=869353&amp;end_month=12&amp;end_day=31&amp;end_year=2016","Correlation")</f>
        <v>Correlation</v>
      </c>
    </row>
    <row r="1535" spans="1:13" x14ac:dyDescent="0.2">
      <c r="A1535" s="113"/>
      <c r="B1535" s="58" t="s">
        <v>4734</v>
      </c>
      <c r="C1535" s="58" t="s">
        <v>2294</v>
      </c>
      <c r="D1535" s="58" t="s">
        <v>4735</v>
      </c>
      <c r="E1535" s="60" t="b">
        <v>1</v>
      </c>
      <c r="F1535" s="80" t="s">
        <v>675</v>
      </c>
      <c r="G1535" s="58" t="s">
        <v>4734</v>
      </c>
      <c r="H1535" s="58" t="s">
        <v>2294</v>
      </c>
      <c r="I1535" s="64" t="s">
        <v>4735</v>
      </c>
      <c r="J1535" s="66"/>
      <c r="K1535" s="66"/>
      <c r="L1535" s="68"/>
      <c r="M1535" s="63" t="str">
        <f>HYPERLINK("http://nsgreg.nga.mil/genc/view?v=869352&amp;end_month=12&amp;end_day=31&amp;end_year=2016","Correlation")</f>
        <v>Correlation</v>
      </c>
    </row>
    <row r="1536" spans="1:13" x14ac:dyDescent="0.2">
      <c r="A1536" s="113"/>
      <c r="B1536" s="58" t="s">
        <v>2385</v>
      </c>
      <c r="C1536" s="58" t="s">
        <v>2294</v>
      </c>
      <c r="D1536" s="58" t="s">
        <v>4736</v>
      </c>
      <c r="E1536" s="60" t="b">
        <v>1</v>
      </c>
      <c r="F1536" s="80" t="s">
        <v>675</v>
      </c>
      <c r="G1536" s="58" t="s">
        <v>2385</v>
      </c>
      <c r="H1536" s="58" t="s">
        <v>2294</v>
      </c>
      <c r="I1536" s="64" t="s">
        <v>4736</v>
      </c>
      <c r="J1536" s="66"/>
      <c r="K1536" s="66"/>
      <c r="L1536" s="68"/>
      <c r="M1536" s="63" t="str">
        <f>HYPERLINK("http://nsgreg.nga.mil/genc/view?v=869355&amp;end_month=12&amp;end_day=31&amp;end_year=2016","Correlation")</f>
        <v>Correlation</v>
      </c>
    </row>
    <row r="1537" spans="1:13" x14ac:dyDescent="0.2">
      <c r="A1537" s="113"/>
      <c r="B1537" s="58" t="s">
        <v>4737</v>
      </c>
      <c r="C1537" s="58" t="s">
        <v>2294</v>
      </c>
      <c r="D1537" s="58" t="s">
        <v>4738</v>
      </c>
      <c r="E1537" s="60" t="b">
        <v>1</v>
      </c>
      <c r="F1537" s="80" t="s">
        <v>675</v>
      </c>
      <c r="G1537" s="58" t="s">
        <v>4737</v>
      </c>
      <c r="H1537" s="58" t="s">
        <v>2294</v>
      </c>
      <c r="I1537" s="64" t="s">
        <v>4738</v>
      </c>
      <c r="J1537" s="66"/>
      <c r="K1537" s="66"/>
      <c r="L1537" s="68"/>
      <c r="M1537" s="63" t="str">
        <f>HYPERLINK("http://nsgreg.nga.mil/genc/view?v=869354&amp;end_month=12&amp;end_day=31&amp;end_year=2016","Correlation")</f>
        <v>Correlation</v>
      </c>
    </row>
    <row r="1538" spans="1:13" x14ac:dyDescent="0.2">
      <c r="A1538" s="113"/>
      <c r="B1538" s="58" t="s">
        <v>4739</v>
      </c>
      <c r="C1538" s="58" t="s">
        <v>2294</v>
      </c>
      <c r="D1538" s="58" t="s">
        <v>4740</v>
      </c>
      <c r="E1538" s="60" t="b">
        <v>1</v>
      </c>
      <c r="F1538" s="80" t="s">
        <v>675</v>
      </c>
      <c r="G1538" s="58" t="s">
        <v>4739</v>
      </c>
      <c r="H1538" s="58" t="s">
        <v>2294</v>
      </c>
      <c r="I1538" s="64" t="s">
        <v>4740</v>
      </c>
      <c r="J1538" s="66"/>
      <c r="K1538" s="66"/>
      <c r="L1538" s="68"/>
      <c r="M1538" s="63" t="str">
        <f>HYPERLINK("http://nsgreg.nga.mil/genc/view?v=869356&amp;end_month=12&amp;end_day=31&amp;end_year=2016","Correlation")</f>
        <v>Correlation</v>
      </c>
    </row>
    <row r="1539" spans="1:13" x14ac:dyDescent="0.2">
      <c r="A1539" s="113"/>
      <c r="B1539" s="58" t="s">
        <v>4741</v>
      </c>
      <c r="C1539" s="58" t="s">
        <v>2294</v>
      </c>
      <c r="D1539" s="58" t="s">
        <v>4742</v>
      </c>
      <c r="E1539" s="60" t="b">
        <v>1</v>
      </c>
      <c r="F1539" s="80" t="s">
        <v>675</v>
      </c>
      <c r="G1539" s="58" t="s">
        <v>4741</v>
      </c>
      <c r="H1539" s="58" t="s">
        <v>2294</v>
      </c>
      <c r="I1539" s="64" t="s">
        <v>4742</v>
      </c>
      <c r="J1539" s="66"/>
      <c r="K1539" s="66"/>
      <c r="L1539" s="68"/>
      <c r="M1539" s="63" t="str">
        <f>HYPERLINK("http://nsgreg.nga.mil/genc/view?v=869357&amp;end_month=12&amp;end_day=31&amp;end_year=2016","Correlation")</f>
        <v>Correlation</v>
      </c>
    </row>
    <row r="1540" spans="1:13" x14ac:dyDescent="0.2">
      <c r="A1540" s="113"/>
      <c r="B1540" s="58" t="s">
        <v>4743</v>
      </c>
      <c r="C1540" s="58" t="s">
        <v>2294</v>
      </c>
      <c r="D1540" s="58" t="s">
        <v>4744</v>
      </c>
      <c r="E1540" s="60" t="b">
        <v>1</v>
      </c>
      <c r="F1540" s="80" t="s">
        <v>675</v>
      </c>
      <c r="G1540" s="58" t="s">
        <v>4743</v>
      </c>
      <c r="H1540" s="58" t="s">
        <v>2294</v>
      </c>
      <c r="I1540" s="64" t="s">
        <v>4744</v>
      </c>
      <c r="J1540" s="66"/>
      <c r="K1540" s="66"/>
      <c r="L1540" s="68"/>
      <c r="M1540" s="63" t="str">
        <f>HYPERLINK("http://nsgreg.nga.mil/genc/view?v=869358&amp;end_month=12&amp;end_day=31&amp;end_year=2016","Correlation")</f>
        <v>Correlation</v>
      </c>
    </row>
    <row r="1541" spans="1:13" x14ac:dyDescent="0.2">
      <c r="A1541" s="113"/>
      <c r="B1541" s="58" t="s">
        <v>4745</v>
      </c>
      <c r="C1541" s="58" t="s">
        <v>2294</v>
      </c>
      <c r="D1541" s="58" t="s">
        <v>4746</v>
      </c>
      <c r="E1541" s="60" t="b">
        <v>1</v>
      </c>
      <c r="F1541" s="80" t="s">
        <v>675</v>
      </c>
      <c r="G1541" s="58" t="s">
        <v>4745</v>
      </c>
      <c r="H1541" s="58" t="s">
        <v>2294</v>
      </c>
      <c r="I1541" s="64" t="s">
        <v>4746</v>
      </c>
      <c r="J1541" s="66"/>
      <c r="K1541" s="66"/>
      <c r="L1541" s="68"/>
      <c r="M1541" s="63" t="str">
        <f>HYPERLINK("http://nsgreg.nga.mil/genc/view?v=869359&amp;end_month=12&amp;end_day=31&amp;end_year=2016","Correlation")</f>
        <v>Correlation</v>
      </c>
    </row>
    <row r="1542" spans="1:13" x14ac:dyDescent="0.2">
      <c r="A1542" s="114"/>
      <c r="B1542" s="71" t="s">
        <v>4747</v>
      </c>
      <c r="C1542" s="71" t="s">
        <v>2294</v>
      </c>
      <c r="D1542" s="71" t="s">
        <v>4748</v>
      </c>
      <c r="E1542" s="73" t="b">
        <v>1</v>
      </c>
      <c r="F1542" s="81" t="s">
        <v>675</v>
      </c>
      <c r="G1542" s="71" t="s">
        <v>4747</v>
      </c>
      <c r="H1542" s="71" t="s">
        <v>2294</v>
      </c>
      <c r="I1542" s="74" t="s">
        <v>4748</v>
      </c>
      <c r="J1542" s="76"/>
      <c r="K1542" s="76"/>
      <c r="L1542" s="82"/>
      <c r="M1542" s="77" t="str">
        <f>HYPERLINK("http://nsgreg.nga.mil/genc/view?v=869360&amp;end_month=12&amp;end_day=31&amp;end_year=2016","Correlation")</f>
        <v>Correlation</v>
      </c>
    </row>
    <row r="1543" spans="1:13" x14ac:dyDescent="0.2">
      <c r="A1543" s="112" t="s">
        <v>691</v>
      </c>
      <c r="B1543" s="50" t="s">
        <v>4749</v>
      </c>
      <c r="C1543" s="50" t="s">
        <v>1483</v>
      </c>
      <c r="D1543" s="50" t="s">
        <v>4750</v>
      </c>
      <c r="E1543" s="52" t="b">
        <v>1</v>
      </c>
      <c r="F1543" s="78" t="s">
        <v>691</v>
      </c>
      <c r="G1543" s="50" t="s">
        <v>4749</v>
      </c>
      <c r="H1543" s="50" t="s">
        <v>1483</v>
      </c>
      <c r="I1543" s="53" t="s">
        <v>4750</v>
      </c>
      <c r="J1543" s="55"/>
      <c r="K1543" s="55"/>
      <c r="L1543" s="79"/>
      <c r="M1543" s="56" t="str">
        <f>HYPERLINK("http://nsgreg.nga.mil/genc/view?v=869395&amp;end_month=12&amp;end_day=31&amp;end_year=2016","Correlation")</f>
        <v>Correlation</v>
      </c>
    </row>
    <row r="1544" spans="1:13" x14ac:dyDescent="0.2">
      <c r="A1544" s="113"/>
      <c r="B1544" s="58" t="s">
        <v>4751</v>
      </c>
      <c r="C1544" s="58" t="s">
        <v>1483</v>
      </c>
      <c r="D1544" s="58" t="s">
        <v>4752</v>
      </c>
      <c r="E1544" s="60" t="b">
        <v>1</v>
      </c>
      <c r="F1544" s="80" t="s">
        <v>691</v>
      </c>
      <c r="G1544" s="58" t="s">
        <v>4751</v>
      </c>
      <c r="H1544" s="58" t="s">
        <v>1483</v>
      </c>
      <c r="I1544" s="64" t="s">
        <v>4752</v>
      </c>
      <c r="J1544" s="66"/>
      <c r="K1544" s="66"/>
      <c r="L1544" s="68"/>
      <c r="M1544" s="63" t="str">
        <f>HYPERLINK("http://nsgreg.nga.mil/genc/view?v=869392&amp;end_month=12&amp;end_day=31&amp;end_year=2016","Correlation")</f>
        <v>Correlation</v>
      </c>
    </row>
    <row r="1545" spans="1:13" x14ac:dyDescent="0.2">
      <c r="A1545" s="113"/>
      <c r="B1545" s="58" t="s">
        <v>4753</v>
      </c>
      <c r="C1545" s="58" t="s">
        <v>1483</v>
      </c>
      <c r="D1545" s="58" t="s">
        <v>4754</v>
      </c>
      <c r="E1545" s="60" t="b">
        <v>1</v>
      </c>
      <c r="F1545" s="80" t="s">
        <v>691</v>
      </c>
      <c r="G1545" s="58" t="s">
        <v>4753</v>
      </c>
      <c r="H1545" s="58" t="s">
        <v>1483</v>
      </c>
      <c r="I1545" s="64" t="s">
        <v>4754</v>
      </c>
      <c r="J1545" s="66"/>
      <c r="K1545" s="66"/>
      <c r="L1545" s="68"/>
      <c r="M1545" s="63" t="str">
        <f>HYPERLINK("http://nsgreg.nga.mil/genc/view?v=869394&amp;end_month=12&amp;end_day=31&amp;end_year=2016","Correlation")</f>
        <v>Correlation</v>
      </c>
    </row>
    <row r="1546" spans="1:13" x14ac:dyDescent="0.2">
      <c r="A1546" s="113"/>
      <c r="B1546" s="58" t="s">
        <v>4755</v>
      </c>
      <c r="C1546" s="58" t="s">
        <v>4758</v>
      </c>
      <c r="D1546" s="58" t="s">
        <v>4757</v>
      </c>
      <c r="E1546" s="60" t="b">
        <v>1</v>
      </c>
      <c r="F1546" s="80" t="s">
        <v>691</v>
      </c>
      <c r="G1546" s="58" t="s">
        <v>4755</v>
      </c>
      <c r="H1546" s="58" t="s">
        <v>4756</v>
      </c>
      <c r="I1546" s="64" t="s">
        <v>4757</v>
      </c>
      <c r="J1546" s="66"/>
      <c r="K1546" s="66"/>
      <c r="L1546" s="68"/>
      <c r="M1546" s="63" t="str">
        <f>HYPERLINK("http://nsgreg.nga.mil/genc/view?v=869393&amp;end_month=12&amp;end_day=31&amp;end_year=2016","Correlation")</f>
        <v>Correlation</v>
      </c>
    </row>
    <row r="1547" spans="1:13" x14ac:dyDescent="0.2">
      <c r="A1547" s="113"/>
      <c r="B1547" s="58" t="s">
        <v>4759</v>
      </c>
      <c r="C1547" s="58" t="s">
        <v>1483</v>
      </c>
      <c r="D1547" s="58" t="s">
        <v>4760</v>
      </c>
      <c r="E1547" s="60" t="b">
        <v>1</v>
      </c>
      <c r="F1547" s="80" t="s">
        <v>691</v>
      </c>
      <c r="G1547" s="58" t="s">
        <v>4759</v>
      </c>
      <c r="H1547" s="58" t="s">
        <v>1483</v>
      </c>
      <c r="I1547" s="64" t="s">
        <v>4760</v>
      </c>
      <c r="J1547" s="66"/>
      <c r="K1547" s="66"/>
      <c r="L1547" s="68"/>
      <c r="M1547" s="63" t="str">
        <f>HYPERLINK("http://nsgreg.nga.mil/genc/view?v=869397&amp;end_month=12&amp;end_day=31&amp;end_year=2016","Correlation")</f>
        <v>Correlation</v>
      </c>
    </row>
    <row r="1548" spans="1:13" x14ac:dyDescent="0.2">
      <c r="A1548" s="113"/>
      <c r="B1548" s="58" t="s">
        <v>4761</v>
      </c>
      <c r="C1548" s="58" t="s">
        <v>3577</v>
      </c>
      <c r="D1548" s="58" t="s">
        <v>4762</v>
      </c>
      <c r="E1548" s="60" t="b">
        <v>1</v>
      </c>
      <c r="F1548" s="80" t="s">
        <v>691</v>
      </c>
      <c r="G1548" s="58" t="s">
        <v>4761</v>
      </c>
      <c r="H1548" s="58" t="s">
        <v>3577</v>
      </c>
      <c r="I1548" s="64" t="s">
        <v>4762</v>
      </c>
      <c r="J1548" s="66"/>
      <c r="K1548" s="66"/>
      <c r="L1548" s="68"/>
      <c r="M1548" s="63" t="str">
        <f>HYPERLINK("http://nsgreg.nga.mil/genc/view?v=869396&amp;end_month=12&amp;end_day=31&amp;end_year=2016","Correlation")</f>
        <v>Correlation</v>
      </c>
    </row>
    <row r="1549" spans="1:13" x14ac:dyDescent="0.2">
      <c r="A1549" s="113"/>
      <c r="B1549" s="58" t="s">
        <v>4763</v>
      </c>
      <c r="C1549" s="58" t="s">
        <v>1483</v>
      </c>
      <c r="D1549" s="58" t="s">
        <v>4764</v>
      </c>
      <c r="E1549" s="60" t="b">
        <v>1</v>
      </c>
      <c r="F1549" s="80" t="s">
        <v>691</v>
      </c>
      <c r="G1549" s="58" t="s">
        <v>4763</v>
      </c>
      <c r="H1549" s="58" t="s">
        <v>1483</v>
      </c>
      <c r="I1549" s="64" t="s">
        <v>4764</v>
      </c>
      <c r="J1549" s="66"/>
      <c r="K1549" s="66"/>
      <c r="L1549" s="68"/>
      <c r="M1549" s="63" t="str">
        <f>HYPERLINK("http://nsgreg.nga.mil/genc/view?v=869398&amp;end_month=12&amp;end_day=31&amp;end_year=2016","Correlation")</f>
        <v>Correlation</v>
      </c>
    </row>
    <row r="1550" spans="1:13" x14ac:dyDescent="0.2">
      <c r="A1550" s="113"/>
      <c r="B1550" s="58" t="s">
        <v>4765</v>
      </c>
      <c r="C1550" s="58" t="s">
        <v>4758</v>
      </c>
      <c r="D1550" s="58" t="s">
        <v>4766</v>
      </c>
      <c r="E1550" s="60" t="b">
        <v>1</v>
      </c>
      <c r="F1550" s="80" t="s">
        <v>691</v>
      </c>
      <c r="G1550" s="58" t="s">
        <v>4765</v>
      </c>
      <c r="H1550" s="58" t="s">
        <v>4756</v>
      </c>
      <c r="I1550" s="64" t="s">
        <v>4766</v>
      </c>
      <c r="J1550" s="66"/>
      <c r="K1550" s="66"/>
      <c r="L1550" s="68"/>
      <c r="M1550" s="63" t="str">
        <f>HYPERLINK("http://nsgreg.nga.mil/genc/view?v=869399&amp;end_month=12&amp;end_day=31&amp;end_year=2016","Correlation")</f>
        <v>Correlation</v>
      </c>
    </row>
    <row r="1551" spans="1:13" x14ac:dyDescent="0.2">
      <c r="A1551" s="113"/>
      <c r="B1551" s="58" t="s">
        <v>4767</v>
      </c>
      <c r="C1551" s="58" t="s">
        <v>4758</v>
      </c>
      <c r="D1551" s="58" t="s">
        <v>4768</v>
      </c>
      <c r="E1551" s="60" t="b">
        <v>1</v>
      </c>
      <c r="F1551" s="80" t="s">
        <v>691</v>
      </c>
      <c r="G1551" s="58" t="s">
        <v>4767</v>
      </c>
      <c r="H1551" s="58" t="s">
        <v>4756</v>
      </c>
      <c r="I1551" s="64" t="s">
        <v>4768</v>
      </c>
      <c r="J1551" s="66"/>
      <c r="K1551" s="66"/>
      <c r="L1551" s="68"/>
      <c r="M1551" s="63" t="str">
        <f>HYPERLINK("http://nsgreg.nga.mil/genc/view?v=869400&amp;end_month=12&amp;end_day=31&amp;end_year=2016","Correlation")</f>
        <v>Correlation</v>
      </c>
    </row>
    <row r="1552" spans="1:13" x14ac:dyDescent="0.2">
      <c r="A1552" s="113"/>
      <c r="B1552" s="58" t="s">
        <v>4769</v>
      </c>
      <c r="C1552" s="58" t="s">
        <v>4758</v>
      </c>
      <c r="D1552" s="58" t="s">
        <v>4770</v>
      </c>
      <c r="E1552" s="60" t="b">
        <v>1</v>
      </c>
      <c r="F1552" s="80" t="s">
        <v>691</v>
      </c>
      <c r="G1552" s="58" t="s">
        <v>4769</v>
      </c>
      <c r="H1552" s="58" t="s">
        <v>4756</v>
      </c>
      <c r="I1552" s="64" t="s">
        <v>4770</v>
      </c>
      <c r="J1552" s="66"/>
      <c r="K1552" s="66"/>
      <c r="L1552" s="68"/>
      <c r="M1552" s="63" t="str">
        <f>HYPERLINK("http://nsgreg.nga.mil/genc/view?v=869401&amp;end_month=12&amp;end_day=31&amp;end_year=2016","Correlation")</f>
        <v>Correlation</v>
      </c>
    </row>
    <row r="1553" spans="1:13" x14ac:dyDescent="0.2">
      <c r="A1553" s="113"/>
      <c r="B1553" s="58" t="s">
        <v>4771</v>
      </c>
      <c r="C1553" s="58" t="s">
        <v>4758</v>
      </c>
      <c r="D1553" s="58" t="s">
        <v>4772</v>
      </c>
      <c r="E1553" s="60" t="b">
        <v>1</v>
      </c>
      <c r="F1553" s="80" t="s">
        <v>691</v>
      </c>
      <c r="G1553" s="58" t="s">
        <v>4771</v>
      </c>
      <c r="H1553" s="58" t="s">
        <v>4756</v>
      </c>
      <c r="I1553" s="64" t="s">
        <v>4772</v>
      </c>
      <c r="J1553" s="66"/>
      <c r="K1553" s="66"/>
      <c r="L1553" s="68"/>
      <c r="M1553" s="63" t="str">
        <f>HYPERLINK("http://nsgreg.nga.mil/genc/view?v=869402&amp;end_month=12&amp;end_day=31&amp;end_year=2016","Correlation")</f>
        <v>Correlation</v>
      </c>
    </row>
    <row r="1554" spans="1:13" x14ac:dyDescent="0.2">
      <c r="A1554" s="113"/>
      <c r="B1554" s="58" t="s">
        <v>4773</v>
      </c>
      <c r="C1554" s="58" t="s">
        <v>1483</v>
      </c>
      <c r="D1554" s="58" t="s">
        <v>4774</v>
      </c>
      <c r="E1554" s="60" t="b">
        <v>1</v>
      </c>
      <c r="F1554" s="80" t="s">
        <v>691</v>
      </c>
      <c r="G1554" s="58" t="s">
        <v>4773</v>
      </c>
      <c r="H1554" s="58" t="s">
        <v>1483</v>
      </c>
      <c r="I1554" s="64" t="s">
        <v>4774</v>
      </c>
      <c r="J1554" s="66"/>
      <c r="K1554" s="66"/>
      <c r="L1554" s="68"/>
      <c r="M1554" s="63" t="str">
        <f>HYPERLINK("http://nsgreg.nga.mil/genc/view?v=869403&amp;end_month=12&amp;end_day=31&amp;end_year=2016","Correlation")</f>
        <v>Correlation</v>
      </c>
    </row>
    <row r="1555" spans="1:13" x14ac:dyDescent="0.2">
      <c r="A1555" s="113"/>
      <c r="B1555" s="58" t="s">
        <v>4775</v>
      </c>
      <c r="C1555" s="58" t="s">
        <v>4758</v>
      </c>
      <c r="D1555" s="58" t="s">
        <v>4776</v>
      </c>
      <c r="E1555" s="60" t="b">
        <v>1</v>
      </c>
      <c r="F1555" s="80" t="s">
        <v>691</v>
      </c>
      <c r="G1555" s="58" t="s">
        <v>4775</v>
      </c>
      <c r="H1555" s="58" t="s">
        <v>4756</v>
      </c>
      <c r="I1555" s="64" t="s">
        <v>4776</v>
      </c>
      <c r="J1555" s="66"/>
      <c r="K1555" s="66"/>
      <c r="L1555" s="68"/>
      <c r="M1555" s="63" t="str">
        <f>HYPERLINK("http://nsgreg.nga.mil/genc/view?v=869405&amp;end_month=12&amp;end_day=31&amp;end_year=2016","Correlation")</f>
        <v>Correlation</v>
      </c>
    </row>
    <row r="1556" spans="1:13" x14ac:dyDescent="0.2">
      <c r="A1556" s="113"/>
      <c r="B1556" s="58" t="s">
        <v>4777</v>
      </c>
      <c r="C1556" s="58" t="s">
        <v>1483</v>
      </c>
      <c r="D1556" s="58" t="s">
        <v>4778</v>
      </c>
      <c r="E1556" s="60" t="b">
        <v>1</v>
      </c>
      <c r="F1556" s="80" t="s">
        <v>691</v>
      </c>
      <c r="G1556" s="58" t="s">
        <v>4777</v>
      </c>
      <c r="H1556" s="58" t="s">
        <v>1483</v>
      </c>
      <c r="I1556" s="64" t="s">
        <v>4778</v>
      </c>
      <c r="J1556" s="66"/>
      <c r="K1556" s="66"/>
      <c r="L1556" s="68"/>
      <c r="M1556" s="63" t="str">
        <f>HYPERLINK("http://nsgreg.nga.mil/genc/view?v=869404&amp;end_month=12&amp;end_day=31&amp;end_year=2016","Correlation")</f>
        <v>Correlation</v>
      </c>
    </row>
    <row r="1557" spans="1:13" x14ac:dyDescent="0.2">
      <c r="A1557" s="113"/>
      <c r="B1557" s="58" t="s">
        <v>4779</v>
      </c>
      <c r="C1557" s="58" t="s">
        <v>1483</v>
      </c>
      <c r="D1557" s="58" t="s">
        <v>4780</v>
      </c>
      <c r="E1557" s="60" t="b">
        <v>1</v>
      </c>
      <c r="F1557" s="80" t="s">
        <v>691</v>
      </c>
      <c r="G1557" s="58" t="s">
        <v>4779</v>
      </c>
      <c r="H1557" s="58" t="s">
        <v>1483</v>
      </c>
      <c r="I1557" s="64" t="s">
        <v>4780</v>
      </c>
      <c r="J1557" s="66"/>
      <c r="K1557" s="66"/>
      <c r="L1557" s="68"/>
      <c r="M1557" s="63" t="str">
        <f>HYPERLINK("http://nsgreg.nga.mil/genc/view?v=869406&amp;end_month=12&amp;end_day=31&amp;end_year=2016","Correlation")</f>
        <v>Correlation</v>
      </c>
    </row>
    <row r="1558" spans="1:13" x14ac:dyDescent="0.2">
      <c r="A1558" s="113"/>
      <c r="B1558" s="58" t="s">
        <v>4781</v>
      </c>
      <c r="C1558" s="58" t="s">
        <v>1483</v>
      </c>
      <c r="D1558" s="58" t="s">
        <v>4782</v>
      </c>
      <c r="E1558" s="60" t="b">
        <v>1</v>
      </c>
      <c r="F1558" s="80" t="s">
        <v>691</v>
      </c>
      <c r="G1558" s="58" t="s">
        <v>4781</v>
      </c>
      <c r="H1558" s="58" t="s">
        <v>1483</v>
      </c>
      <c r="I1558" s="64" t="s">
        <v>4782</v>
      </c>
      <c r="J1558" s="66"/>
      <c r="K1558" s="66"/>
      <c r="L1558" s="68"/>
      <c r="M1558" s="63" t="str">
        <f>HYPERLINK("http://nsgreg.nga.mil/genc/view?v=869407&amp;end_month=12&amp;end_day=31&amp;end_year=2016","Correlation")</f>
        <v>Correlation</v>
      </c>
    </row>
    <row r="1559" spans="1:13" x14ac:dyDescent="0.2">
      <c r="A1559" s="113"/>
      <c r="B1559" s="58" t="s">
        <v>4783</v>
      </c>
      <c r="C1559" s="58" t="s">
        <v>4758</v>
      </c>
      <c r="D1559" s="58" t="s">
        <v>4784</v>
      </c>
      <c r="E1559" s="60" t="b">
        <v>1</v>
      </c>
      <c r="F1559" s="80" t="s">
        <v>691</v>
      </c>
      <c r="G1559" s="58" t="s">
        <v>4783</v>
      </c>
      <c r="H1559" s="58" t="s">
        <v>4756</v>
      </c>
      <c r="I1559" s="64" t="s">
        <v>4784</v>
      </c>
      <c r="J1559" s="66"/>
      <c r="K1559" s="66"/>
      <c r="L1559" s="68"/>
      <c r="M1559" s="63" t="str">
        <f>HYPERLINK("http://nsgreg.nga.mil/genc/view?v=869408&amp;end_month=12&amp;end_day=31&amp;end_year=2016","Correlation")</f>
        <v>Correlation</v>
      </c>
    </row>
    <row r="1560" spans="1:13" x14ac:dyDescent="0.2">
      <c r="A1560" s="113"/>
      <c r="B1560" s="58" t="s">
        <v>4785</v>
      </c>
      <c r="C1560" s="58" t="s">
        <v>1483</v>
      </c>
      <c r="D1560" s="58" t="s">
        <v>4786</v>
      </c>
      <c r="E1560" s="60" t="b">
        <v>1</v>
      </c>
      <c r="F1560" s="80" t="s">
        <v>691</v>
      </c>
      <c r="G1560" s="58" t="s">
        <v>4785</v>
      </c>
      <c r="H1560" s="58" t="s">
        <v>1483</v>
      </c>
      <c r="I1560" s="64" t="s">
        <v>4786</v>
      </c>
      <c r="J1560" s="66"/>
      <c r="K1560" s="66"/>
      <c r="L1560" s="68"/>
      <c r="M1560" s="63" t="str">
        <f>HYPERLINK("http://nsgreg.nga.mil/genc/view?v=869409&amp;end_month=12&amp;end_day=31&amp;end_year=2016","Correlation")</f>
        <v>Correlation</v>
      </c>
    </row>
    <row r="1561" spans="1:13" x14ac:dyDescent="0.2">
      <c r="A1561" s="113"/>
      <c r="B1561" s="58" t="s">
        <v>4787</v>
      </c>
      <c r="C1561" s="58" t="s">
        <v>4758</v>
      </c>
      <c r="D1561" s="58" t="s">
        <v>4788</v>
      </c>
      <c r="E1561" s="60" t="b">
        <v>1</v>
      </c>
      <c r="F1561" s="80" t="s">
        <v>691</v>
      </c>
      <c r="G1561" s="58" t="s">
        <v>4787</v>
      </c>
      <c r="H1561" s="58" t="s">
        <v>4756</v>
      </c>
      <c r="I1561" s="64" t="s">
        <v>4788</v>
      </c>
      <c r="J1561" s="66"/>
      <c r="K1561" s="66"/>
      <c r="L1561" s="68"/>
      <c r="M1561" s="63" t="str">
        <f>HYPERLINK("http://nsgreg.nga.mil/genc/view?v=869412&amp;end_month=12&amp;end_day=31&amp;end_year=2016","Correlation")</f>
        <v>Correlation</v>
      </c>
    </row>
    <row r="1562" spans="1:13" x14ac:dyDescent="0.2">
      <c r="A1562" s="113"/>
      <c r="B1562" s="58" t="s">
        <v>4789</v>
      </c>
      <c r="C1562" s="58" t="s">
        <v>4758</v>
      </c>
      <c r="D1562" s="58" t="s">
        <v>4790</v>
      </c>
      <c r="E1562" s="60" t="b">
        <v>1</v>
      </c>
      <c r="F1562" s="80" t="s">
        <v>691</v>
      </c>
      <c r="G1562" s="58" t="s">
        <v>4789</v>
      </c>
      <c r="H1562" s="58" t="s">
        <v>4756</v>
      </c>
      <c r="I1562" s="64" t="s">
        <v>4790</v>
      </c>
      <c r="J1562" s="66"/>
      <c r="K1562" s="66"/>
      <c r="L1562" s="68"/>
      <c r="M1562" s="63" t="str">
        <f>HYPERLINK("http://nsgreg.nga.mil/genc/view?v=869411&amp;end_month=12&amp;end_day=31&amp;end_year=2016","Correlation")</f>
        <v>Correlation</v>
      </c>
    </row>
    <row r="1563" spans="1:13" x14ac:dyDescent="0.2">
      <c r="A1563" s="113"/>
      <c r="B1563" s="58" t="s">
        <v>4791</v>
      </c>
      <c r="C1563" s="58" t="s">
        <v>1483</v>
      </c>
      <c r="D1563" s="58" t="s">
        <v>4792</v>
      </c>
      <c r="E1563" s="60" t="b">
        <v>1</v>
      </c>
      <c r="F1563" s="80" t="s">
        <v>691</v>
      </c>
      <c r="G1563" s="58" t="s">
        <v>4791</v>
      </c>
      <c r="H1563" s="58" t="s">
        <v>1483</v>
      </c>
      <c r="I1563" s="64" t="s">
        <v>4792</v>
      </c>
      <c r="J1563" s="66"/>
      <c r="K1563" s="66"/>
      <c r="L1563" s="68"/>
      <c r="M1563" s="63" t="str">
        <f>HYPERLINK("http://nsgreg.nga.mil/genc/view?v=869410&amp;end_month=12&amp;end_day=31&amp;end_year=2016","Correlation")</f>
        <v>Correlation</v>
      </c>
    </row>
    <row r="1564" spans="1:13" x14ac:dyDescent="0.2">
      <c r="A1564" s="113"/>
      <c r="B1564" s="58" t="s">
        <v>4793</v>
      </c>
      <c r="C1564" s="58" t="s">
        <v>4758</v>
      </c>
      <c r="D1564" s="58" t="s">
        <v>4794</v>
      </c>
      <c r="E1564" s="60" t="b">
        <v>1</v>
      </c>
      <c r="F1564" s="80" t="s">
        <v>691</v>
      </c>
      <c r="G1564" s="58" t="s">
        <v>4793</v>
      </c>
      <c r="H1564" s="58" t="s">
        <v>4756</v>
      </c>
      <c r="I1564" s="64" t="s">
        <v>4794</v>
      </c>
      <c r="J1564" s="66"/>
      <c r="K1564" s="66"/>
      <c r="L1564" s="68"/>
      <c r="M1564" s="63" t="str">
        <f>HYPERLINK("http://nsgreg.nga.mil/genc/view?v=869413&amp;end_month=12&amp;end_day=31&amp;end_year=2016","Correlation")</f>
        <v>Correlation</v>
      </c>
    </row>
    <row r="1565" spans="1:13" x14ac:dyDescent="0.2">
      <c r="A1565" s="113"/>
      <c r="B1565" s="58" t="s">
        <v>4795</v>
      </c>
      <c r="C1565" s="58" t="s">
        <v>4758</v>
      </c>
      <c r="D1565" s="58" t="s">
        <v>4796</v>
      </c>
      <c r="E1565" s="60" t="b">
        <v>1</v>
      </c>
      <c r="F1565" s="80" t="s">
        <v>691</v>
      </c>
      <c r="G1565" s="58" t="s">
        <v>4795</v>
      </c>
      <c r="H1565" s="58" t="s">
        <v>4756</v>
      </c>
      <c r="I1565" s="64" t="s">
        <v>4796</v>
      </c>
      <c r="J1565" s="66"/>
      <c r="K1565" s="66"/>
      <c r="L1565" s="68"/>
      <c r="M1565" s="63" t="str">
        <f>HYPERLINK("http://nsgreg.nga.mil/genc/view?v=869414&amp;end_month=12&amp;end_day=31&amp;end_year=2016","Correlation")</f>
        <v>Correlation</v>
      </c>
    </row>
    <row r="1566" spans="1:13" x14ac:dyDescent="0.2">
      <c r="A1566" s="113"/>
      <c r="B1566" s="58" t="s">
        <v>4797</v>
      </c>
      <c r="C1566" s="58" t="s">
        <v>1483</v>
      </c>
      <c r="D1566" s="58" t="s">
        <v>4798</v>
      </c>
      <c r="E1566" s="60" t="b">
        <v>1</v>
      </c>
      <c r="F1566" s="80" t="s">
        <v>691</v>
      </c>
      <c r="G1566" s="58" t="s">
        <v>4797</v>
      </c>
      <c r="H1566" s="58" t="s">
        <v>1483</v>
      </c>
      <c r="I1566" s="64" t="s">
        <v>4798</v>
      </c>
      <c r="J1566" s="66"/>
      <c r="K1566" s="66"/>
      <c r="L1566" s="68"/>
      <c r="M1566" s="63" t="str">
        <f>HYPERLINK("http://nsgreg.nga.mil/genc/view?v=869415&amp;end_month=12&amp;end_day=31&amp;end_year=2016","Correlation")</f>
        <v>Correlation</v>
      </c>
    </row>
    <row r="1567" spans="1:13" x14ac:dyDescent="0.2">
      <c r="A1567" s="113"/>
      <c r="B1567" s="58" t="s">
        <v>4799</v>
      </c>
      <c r="C1567" s="58" t="s">
        <v>4758</v>
      </c>
      <c r="D1567" s="58" t="s">
        <v>4800</v>
      </c>
      <c r="E1567" s="60" t="b">
        <v>1</v>
      </c>
      <c r="F1567" s="80" t="s">
        <v>691</v>
      </c>
      <c r="G1567" s="58" t="s">
        <v>4799</v>
      </c>
      <c r="H1567" s="58" t="s">
        <v>4756</v>
      </c>
      <c r="I1567" s="64" t="s">
        <v>4800</v>
      </c>
      <c r="J1567" s="66"/>
      <c r="K1567" s="66"/>
      <c r="L1567" s="68"/>
      <c r="M1567" s="63" t="str">
        <f>HYPERLINK("http://nsgreg.nga.mil/genc/view?v=869416&amp;end_month=12&amp;end_day=31&amp;end_year=2016","Correlation")</f>
        <v>Correlation</v>
      </c>
    </row>
    <row r="1568" spans="1:13" x14ac:dyDescent="0.2">
      <c r="A1568" s="113"/>
      <c r="B1568" s="58" t="s">
        <v>4801</v>
      </c>
      <c r="C1568" s="58" t="s">
        <v>4758</v>
      </c>
      <c r="D1568" s="58" t="s">
        <v>4802</v>
      </c>
      <c r="E1568" s="60" t="b">
        <v>1</v>
      </c>
      <c r="F1568" s="80" t="s">
        <v>691</v>
      </c>
      <c r="G1568" s="58" t="s">
        <v>4801</v>
      </c>
      <c r="H1568" s="58" t="s">
        <v>4756</v>
      </c>
      <c r="I1568" s="64" t="s">
        <v>4802</v>
      </c>
      <c r="J1568" s="66"/>
      <c r="K1568" s="66"/>
      <c r="L1568" s="68"/>
      <c r="M1568" s="63" t="str">
        <f>HYPERLINK("http://nsgreg.nga.mil/genc/view?v=869418&amp;end_month=12&amp;end_day=31&amp;end_year=2016","Correlation")</f>
        <v>Correlation</v>
      </c>
    </row>
    <row r="1569" spans="1:13" x14ac:dyDescent="0.2">
      <c r="A1569" s="113"/>
      <c r="B1569" s="58" t="s">
        <v>4803</v>
      </c>
      <c r="C1569" s="58" t="s">
        <v>1483</v>
      </c>
      <c r="D1569" s="58" t="s">
        <v>4804</v>
      </c>
      <c r="E1569" s="60" t="b">
        <v>1</v>
      </c>
      <c r="F1569" s="80" t="s">
        <v>691</v>
      </c>
      <c r="G1569" s="58" t="s">
        <v>4803</v>
      </c>
      <c r="H1569" s="58" t="s">
        <v>1483</v>
      </c>
      <c r="I1569" s="64" t="s">
        <v>4804</v>
      </c>
      <c r="J1569" s="66"/>
      <c r="K1569" s="66"/>
      <c r="L1569" s="68"/>
      <c r="M1569" s="63" t="str">
        <f>HYPERLINK("http://nsgreg.nga.mil/genc/view?v=869417&amp;end_month=12&amp;end_day=31&amp;end_year=2016","Correlation")</f>
        <v>Correlation</v>
      </c>
    </row>
    <row r="1570" spans="1:13" x14ac:dyDescent="0.2">
      <c r="A1570" s="113"/>
      <c r="B1570" s="58" t="s">
        <v>4805</v>
      </c>
      <c r="C1570" s="58" t="s">
        <v>4758</v>
      </c>
      <c r="D1570" s="58" t="s">
        <v>4806</v>
      </c>
      <c r="E1570" s="60" t="b">
        <v>1</v>
      </c>
      <c r="F1570" s="80" t="s">
        <v>691</v>
      </c>
      <c r="G1570" s="58" t="s">
        <v>4805</v>
      </c>
      <c r="H1570" s="58" t="s">
        <v>4756</v>
      </c>
      <c r="I1570" s="64" t="s">
        <v>4806</v>
      </c>
      <c r="J1570" s="66"/>
      <c r="K1570" s="66"/>
      <c r="L1570" s="68"/>
      <c r="M1570" s="63" t="str">
        <f>HYPERLINK("http://nsgreg.nga.mil/genc/view?v=869426&amp;end_month=12&amp;end_day=31&amp;end_year=2016","Correlation")</f>
        <v>Correlation</v>
      </c>
    </row>
    <row r="1571" spans="1:13" x14ac:dyDescent="0.2">
      <c r="A1571" s="113"/>
      <c r="B1571" s="58" t="s">
        <v>4807</v>
      </c>
      <c r="C1571" s="58" t="s">
        <v>1483</v>
      </c>
      <c r="D1571" s="58" t="s">
        <v>4808</v>
      </c>
      <c r="E1571" s="60" t="b">
        <v>1</v>
      </c>
      <c r="F1571" s="80" t="s">
        <v>691</v>
      </c>
      <c r="G1571" s="58" t="s">
        <v>4807</v>
      </c>
      <c r="H1571" s="58" t="s">
        <v>1483</v>
      </c>
      <c r="I1571" s="64" t="s">
        <v>4808</v>
      </c>
      <c r="J1571" s="66"/>
      <c r="K1571" s="66"/>
      <c r="L1571" s="68"/>
      <c r="M1571" s="63" t="str">
        <f>HYPERLINK("http://nsgreg.nga.mil/genc/view?v=869424&amp;end_month=12&amp;end_day=31&amp;end_year=2016","Correlation")</f>
        <v>Correlation</v>
      </c>
    </row>
    <row r="1572" spans="1:13" x14ac:dyDescent="0.2">
      <c r="A1572" s="113"/>
      <c r="B1572" s="58" t="s">
        <v>4809</v>
      </c>
      <c r="C1572" s="58" t="s">
        <v>4758</v>
      </c>
      <c r="D1572" s="58" t="s">
        <v>4810</v>
      </c>
      <c r="E1572" s="60" t="b">
        <v>1</v>
      </c>
      <c r="F1572" s="80" t="s">
        <v>691</v>
      </c>
      <c r="G1572" s="58" t="s">
        <v>4809</v>
      </c>
      <c r="H1572" s="58" t="s">
        <v>4756</v>
      </c>
      <c r="I1572" s="64" t="s">
        <v>4810</v>
      </c>
      <c r="J1572" s="66"/>
      <c r="K1572" s="66"/>
      <c r="L1572" s="68"/>
      <c r="M1572" s="63" t="str">
        <f>HYPERLINK("http://nsgreg.nga.mil/genc/view?v=869423&amp;end_month=12&amp;end_day=31&amp;end_year=2016","Correlation")</f>
        <v>Correlation</v>
      </c>
    </row>
    <row r="1573" spans="1:13" x14ac:dyDescent="0.2">
      <c r="A1573" s="113"/>
      <c r="B1573" s="58" t="s">
        <v>4811</v>
      </c>
      <c r="C1573" s="58" t="s">
        <v>1483</v>
      </c>
      <c r="D1573" s="58" t="s">
        <v>4812</v>
      </c>
      <c r="E1573" s="60" t="b">
        <v>1</v>
      </c>
      <c r="F1573" s="80" t="s">
        <v>691</v>
      </c>
      <c r="G1573" s="58" t="s">
        <v>4811</v>
      </c>
      <c r="H1573" s="58" t="s">
        <v>1483</v>
      </c>
      <c r="I1573" s="64" t="s">
        <v>4812</v>
      </c>
      <c r="J1573" s="66"/>
      <c r="K1573" s="66"/>
      <c r="L1573" s="68"/>
      <c r="M1573" s="63" t="str">
        <f>HYPERLINK("http://nsgreg.nga.mil/genc/view?v=869427&amp;end_month=12&amp;end_day=31&amp;end_year=2016","Correlation")</f>
        <v>Correlation</v>
      </c>
    </row>
    <row r="1574" spans="1:13" x14ac:dyDescent="0.2">
      <c r="A1574" s="113"/>
      <c r="B1574" s="58" t="s">
        <v>4813</v>
      </c>
      <c r="C1574" s="58" t="s">
        <v>4758</v>
      </c>
      <c r="D1574" s="58" t="s">
        <v>4814</v>
      </c>
      <c r="E1574" s="60" t="b">
        <v>1</v>
      </c>
      <c r="F1574" s="80" t="s">
        <v>691</v>
      </c>
      <c r="G1574" s="58" t="s">
        <v>4813</v>
      </c>
      <c r="H1574" s="58" t="s">
        <v>4756</v>
      </c>
      <c r="I1574" s="64" t="s">
        <v>4814</v>
      </c>
      <c r="J1574" s="66"/>
      <c r="K1574" s="66"/>
      <c r="L1574" s="68"/>
      <c r="M1574" s="63" t="str">
        <f>HYPERLINK("http://nsgreg.nga.mil/genc/view?v=869419&amp;end_month=12&amp;end_day=31&amp;end_year=2016","Correlation")</f>
        <v>Correlation</v>
      </c>
    </row>
    <row r="1575" spans="1:13" x14ac:dyDescent="0.2">
      <c r="A1575" s="113"/>
      <c r="B1575" s="58" t="s">
        <v>4815</v>
      </c>
      <c r="C1575" s="58" t="s">
        <v>4758</v>
      </c>
      <c r="D1575" s="58" t="s">
        <v>4816</v>
      </c>
      <c r="E1575" s="60" t="b">
        <v>1</v>
      </c>
      <c r="F1575" s="80" t="s">
        <v>691</v>
      </c>
      <c r="G1575" s="58" t="s">
        <v>4815</v>
      </c>
      <c r="H1575" s="58" t="s">
        <v>4756</v>
      </c>
      <c r="I1575" s="64" t="s">
        <v>4816</v>
      </c>
      <c r="J1575" s="66"/>
      <c r="K1575" s="66"/>
      <c r="L1575" s="68"/>
      <c r="M1575" s="63" t="str">
        <f>HYPERLINK("http://nsgreg.nga.mil/genc/view?v=869420&amp;end_month=12&amp;end_day=31&amp;end_year=2016","Correlation")</f>
        <v>Correlation</v>
      </c>
    </row>
    <row r="1576" spans="1:13" x14ac:dyDescent="0.2">
      <c r="A1576" s="113"/>
      <c r="B1576" s="58" t="s">
        <v>4817</v>
      </c>
      <c r="C1576" s="58" t="s">
        <v>4758</v>
      </c>
      <c r="D1576" s="58" t="s">
        <v>4818</v>
      </c>
      <c r="E1576" s="60" t="b">
        <v>1</v>
      </c>
      <c r="F1576" s="80" t="s">
        <v>691</v>
      </c>
      <c r="G1576" s="58" t="s">
        <v>4817</v>
      </c>
      <c r="H1576" s="58" t="s">
        <v>4756</v>
      </c>
      <c r="I1576" s="64" t="s">
        <v>4818</v>
      </c>
      <c r="J1576" s="66"/>
      <c r="K1576" s="66"/>
      <c r="L1576" s="68"/>
      <c r="M1576" s="63" t="str">
        <f>HYPERLINK("http://nsgreg.nga.mil/genc/view?v=869425&amp;end_month=12&amp;end_day=31&amp;end_year=2016","Correlation")</f>
        <v>Correlation</v>
      </c>
    </row>
    <row r="1577" spans="1:13" x14ac:dyDescent="0.2">
      <c r="A1577" s="113"/>
      <c r="B1577" s="58" t="s">
        <v>4819</v>
      </c>
      <c r="C1577" s="58" t="s">
        <v>4758</v>
      </c>
      <c r="D1577" s="58" t="s">
        <v>4820</v>
      </c>
      <c r="E1577" s="60" t="b">
        <v>1</v>
      </c>
      <c r="F1577" s="80" t="s">
        <v>691</v>
      </c>
      <c r="G1577" s="58" t="s">
        <v>4819</v>
      </c>
      <c r="H1577" s="58" t="s">
        <v>4756</v>
      </c>
      <c r="I1577" s="64" t="s">
        <v>4820</v>
      </c>
      <c r="J1577" s="66"/>
      <c r="K1577" s="66"/>
      <c r="L1577" s="68"/>
      <c r="M1577" s="63" t="str">
        <f>HYPERLINK("http://nsgreg.nga.mil/genc/view?v=869422&amp;end_month=12&amp;end_day=31&amp;end_year=2016","Correlation")</f>
        <v>Correlation</v>
      </c>
    </row>
    <row r="1578" spans="1:13" x14ac:dyDescent="0.2">
      <c r="A1578" s="113"/>
      <c r="B1578" s="58" t="s">
        <v>4821</v>
      </c>
      <c r="C1578" s="58" t="s">
        <v>4758</v>
      </c>
      <c r="D1578" s="58" t="s">
        <v>4822</v>
      </c>
      <c r="E1578" s="60" t="b">
        <v>1</v>
      </c>
      <c r="F1578" s="80" t="s">
        <v>691</v>
      </c>
      <c r="G1578" s="58" t="s">
        <v>4821</v>
      </c>
      <c r="H1578" s="58" t="s">
        <v>4756</v>
      </c>
      <c r="I1578" s="64" t="s">
        <v>4822</v>
      </c>
      <c r="J1578" s="66"/>
      <c r="K1578" s="66"/>
      <c r="L1578" s="68"/>
      <c r="M1578" s="63" t="str">
        <f>HYPERLINK("http://nsgreg.nga.mil/genc/view?v=869421&amp;end_month=12&amp;end_day=31&amp;end_year=2016","Correlation")</f>
        <v>Correlation</v>
      </c>
    </row>
    <row r="1579" spans="1:13" x14ac:dyDescent="0.2">
      <c r="A1579" s="113"/>
      <c r="B1579" s="58" t="s">
        <v>4823</v>
      </c>
      <c r="C1579" s="58" t="s">
        <v>4758</v>
      </c>
      <c r="D1579" s="58" t="s">
        <v>4824</v>
      </c>
      <c r="E1579" s="60" t="b">
        <v>1</v>
      </c>
      <c r="F1579" s="80" t="s">
        <v>691</v>
      </c>
      <c r="G1579" s="58" t="s">
        <v>4823</v>
      </c>
      <c r="H1579" s="58" t="s">
        <v>4756</v>
      </c>
      <c r="I1579" s="64" t="s">
        <v>4824</v>
      </c>
      <c r="J1579" s="66"/>
      <c r="K1579" s="66"/>
      <c r="L1579" s="68"/>
      <c r="M1579" s="63" t="str">
        <f>HYPERLINK("http://nsgreg.nga.mil/genc/view?v=869428&amp;end_month=12&amp;end_day=31&amp;end_year=2016","Correlation")</f>
        <v>Correlation</v>
      </c>
    </row>
    <row r="1580" spans="1:13" x14ac:dyDescent="0.2">
      <c r="A1580" s="113"/>
      <c r="B1580" s="58" t="s">
        <v>4825</v>
      </c>
      <c r="C1580" s="58" t="s">
        <v>1483</v>
      </c>
      <c r="D1580" s="58" t="s">
        <v>4826</v>
      </c>
      <c r="E1580" s="60" t="b">
        <v>1</v>
      </c>
      <c r="F1580" s="80" t="s">
        <v>691</v>
      </c>
      <c r="G1580" s="58" t="s">
        <v>4825</v>
      </c>
      <c r="H1580" s="58" t="s">
        <v>1483</v>
      </c>
      <c r="I1580" s="64" t="s">
        <v>4826</v>
      </c>
      <c r="J1580" s="66"/>
      <c r="K1580" s="66"/>
      <c r="L1580" s="68"/>
      <c r="M1580" s="63" t="str">
        <f>HYPERLINK("http://nsgreg.nga.mil/genc/view?v=869429&amp;end_month=12&amp;end_day=31&amp;end_year=2016","Correlation")</f>
        <v>Correlation</v>
      </c>
    </row>
    <row r="1581" spans="1:13" x14ac:dyDescent="0.2">
      <c r="A1581" s="113"/>
      <c r="B1581" s="58" t="s">
        <v>4827</v>
      </c>
      <c r="C1581" s="58" t="s">
        <v>1483</v>
      </c>
      <c r="D1581" s="58" t="s">
        <v>4828</v>
      </c>
      <c r="E1581" s="60" t="b">
        <v>1</v>
      </c>
      <c r="F1581" s="80" t="s">
        <v>691</v>
      </c>
      <c r="G1581" s="58" t="s">
        <v>4827</v>
      </c>
      <c r="H1581" s="58" t="s">
        <v>1483</v>
      </c>
      <c r="I1581" s="64" t="s">
        <v>4828</v>
      </c>
      <c r="J1581" s="66"/>
      <c r="K1581" s="66"/>
      <c r="L1581" s="68"/>
      <c r="M1581" s="63" t="str">
        <f>HYPERLINK("http://nsgreg.nga.mil/genc/view?v=869430&amp;end_month=12&amp;end_day=31&amp;end_year=2016","Correlation")</f>
        <v>Correlation</v>
      </c>
    </row>
    <row r="1582" spans="1:13" x14ac:dyDescent="0.2">
      <c r="A1582" s="113"/>
      <c r="B1582" s="58" t="s">
        <v>4829</v>
      </c>
      <c r="C1582" s="58" t="s">
        <v>4758</v>
      </c>
      <c r="D1582" s="58" t="s">
        <v>4831</v>
      </c>
      <c r="E1582" s="60" t="b">
        <v>1</v>
      </c>
      <c r="F1582" s="80" t="s">
        <v>691</v>
      </c>
      <c r="G1582" s="58" t="s">
        <v>4829</v>
      </c>
      <c r="H1582" s="58" t="s">
        <v>4756</v>
      </c>
      <c r="I1582" s="64" t="s">
        <v>4831</v>
      </c>
      <c r="J1582" s="66"/>
      <c r="K1582" s="66"/>
      <c r="L1582" s="68"/>
      <c r="M1582" s="63" t="str">
        <f>HYPERLINK("http://nsgreg.nga.mil/genc/view?v=869432&amp;end_month=12&amp;end_day=31&amp;end_year=2016","Correlation")</f>
        <v>Correlation</v>
      </c>
    </row>
    <row r="1583" spans="1:13" x14ac:dyDescent="0.2">
      <c r="A1583" s="113"/>
      <c r="B1583" s="58" t="s">
        <v>4829</v>
      </c>
      <c r="C1583" s="58" t="s">
        <v>1483</v>
      </c>
      <c r="D1583" s="58" t="s">
        <v>4830</v>
      </c>
      <c r="E1583" s="60" t="b">
        <v>1</v>
      </c>
      <c r="F1583" s="80" t="s">
        <v>691</v>
      </c>
      <c r="G1583" s="58" t="s">
        <v>4829</v>
      </c>
      <c r="H1583" s="58" t="s">
        <v>1483</v>
      </c>
      <c r="I1583" s="64" t="s">
        <v>4830</v>
      </c>
      <c r="J1583" s="66"/>
      <c r="K1583" s="66"/>
      <c r="L1583" s="68"/>
      <c r="M1583" s="63" t="str">
        <f>HYPERLINK("http://nsgreg.nga.mil/genc/view?v=869431&amp;end_month=12&amp;end_day=31&amp;end_year=2016","Correlation")</f>
        <v>Correlation</v>
      </c>
    </row>
    <row r="1584" spans="1:13" x14ac:dyDescent="0.2">
      <c r="A1584" s="113"/>
      <c r="B1584" s="58" t="s">
        <v>4832</v>
      </c>
      <c r="C1584" s="58" t="s">
        <v>1483</v>
      </c>
      <c r="D1584" s="58" t="s">
        <v>4833</v>
      </c>
      <c r="E1584" s="60" t="b">
        <v>1</v>
      </c>
      <c r="F1584" s="80" t="s">
        <v>691</v>
      </c>
      <c r="G1584" s="58" t="s">
        <v>4832</v>
      </c>
      <c r="H1584" s="58" t="s">
        <v>1483</v>
      </c>
      <c r="I1584" s="64" t="s">
        <v>4833</v>
      </c>
      <c r="J1584" s="66"/>
      <c r="K1584" s="66"/>
      <c r="L1584" s="68"/>
      <c r="M1584" s="63" t="str">
        <f>HYPERLINK("http://nsgreg.nga.mil/genc/view?v=869433&amp;end_month=12&amp;end_day=31&amp;end_year=2016","Correlation")</f>
        <v>Correlation</v>
      </c>
    </row>
    <row r="1585" spans="1:13" x14ac:dyDescent="0.2">
      <c r="A1585" s="114"/>
      <c r="B1585" s="71" t="s">
        <v>4834</v>
      </c>
      <c r="C1585" s="71" t="s">
        <v>4758</v>
      </c>
      <c r="D1585" s="71" t="s">
        <v>4835</v>
      </c>
      <c r="E1585" s="73" t="b">
        <v>1</v>
      </c>
      <c r="F1585" s="81" t="s">
        <v>691</v>
      </c>
      <c r="G1585" s="71" t="s">
        <v>4834</v>
      </c>
      <c r="H1585" s="71" t="s">
        <v>4756</v>
      </c>
      <c r="I1585" s="74" t="s">
        <v>4835</v>
      </c>
      <c r="J1585" s="76"/>
      <c r="K1585" s="76"/>
      <c r="L1585" s="82"/>
      <c r="M1585" s="77" t="str">
        <f>HYPERLINK("http://nsgreg.nga.mil/genc/view?v=869434&amp;end_month=12&amp;end_day=31&amp;end_year=2016","Correlation")</f>
        <v>Correlation</v>
      </c>
    </row>
    <row r="1586" spans="1:13" x14ac:dyDescent="0.2">
      <c r="A1586" s="112" t="s">
        <v>695</v>
      </c>
      <c r="B1586" s="50" t="s">
        <v>4836</v>
      </c>
      <c r="C1586" s="50" t="s">
        <v>1728</v>
      </c>
      <c r="D1586" s="50" t="s">
        <v>4837</v>
      </c>
      <c r="E1586" s="52" t="b">
        <v>1</v>
      </c>
      <c r="F1586" s="78" t="s">
        <v>695</v>
      </c>
      <c r="G1586" s="50" t="s">
        <v>4836</v>
      </c>
      <c r="H1586" s="50" t="s">
        <v>1728</v>
      </c>
      <c r="I1586" s="53" t="s">
        <v>4837</v>
      </c>
      <c r="J1586" s="55"/>
      <c r="K1586" s="55"/>
      <c r="L1586" s="79"/>
      <c r="M1586" s="56" t="str">
        <f>HYPERLINK("http://nsgreg.nga.mil/genc/view?v=869603&amp;end_month=12&amp;end_day=31&amp;end_year=2016","Correlation")</f>
        <v>Correlation</v>
      </c>
    </row>
    <row r="1587" spans="1:13" x14ac:dyDescent="0.2">
      <c r="A1587" s="113"/>
      <c r="B1587" s="58" t="s">
        <v>4840</v>
      </c>
      <c r="C1587" s="58" t="s">
        <v>1728</v>
      </c>
      <c r="D1587" s="58" t="s">
        <v>4839</v>
      </c>
      <c r="E1587" s="60" t="b">
        <v>1</v>
      </c>
      <c r="F1587" s="80" t="s">
        <v>695</v>
      </c>
      <c r="G1587" s="58" t="s">
        <v>4838</v>
      </c>
      <c r="H1587" s="58" t="s">
        <v>1728</v>
      </c>
      <c r="I1587" s="64" t="s">
        <v>4839</v>
      </c>
      <c r="J1587" s="66"/>
      <c r="K1587" s="66"/>
      <c r="L1587" s="68"/>
      <c r="M1587" s="63" t="str">
        <f>HYPERLINK("http://nsgreg.nga.mil/genc/view?v=869597&amp;end_month=12&amp;end_day=31&amp;end_year=2016","Correlation")</f>
        <v>Correlation</v>
      </c>
    </row>
    <row r="1588" spans="1:13" x14ac:dyDescent="0.2">
      <c r="A1588" s="113"/>
      <c r="B1588" s="58" t="s">
        <v>4843</v>
      </c>
      <c r="C1588" s="58" t="s">
        <v>1728</v>
      </c>
      <c r="D1588" s="58" t="s">
        <v>4842</v>
      </c>
      <c r="E1588" s="60" t="b">
        <v>1</v>
      </c>
      <c r="F1588" s="80" t="s">
        <v>695</v>
      </c>
      <c r="G1588" s="58" t="s">
        <v>4841</v>
      </c>
      <c r="H1588" s="58" t="s">
        <v>1728</v>
      </c>
      <c r="I1588" s="64" t="s">
        <v>4842</v>
      </c>
      <c r="J1588" s="66"/>
      <c r="K1588" s="66"/>
      <c r="L1588" s="68"/>
      <c r="M1588" s="63" t="str">
        <f>HYPERLINK("http://nsgreg.nga.mil/genc/view?v=869602&amp;end_month=12&amp;end_day=31&amp;end_year=2016","Correlation")</f>
        <v>Correlation</v>
      </c>
    </row>
    <row r="1589" spans="1:13" x14ac:dyDescent="0.2">
      <c r="A1589" s="113"/>
      <c r="B1589" s="58" t="s">
        <v>4846</v>
      </c>
      <c r="C1589" s="58" t="s">
        <v>1728</v>
      </c>
      <c r="D1589" s="58" t="s">
        <v>4845</v>
      </c>
      <c r="E1589" s="60" t="b">
        <v>1</v>
      </c>
      <c r="F1589" s="80" t="s">
        <v>695</v>
      </c>
      <c r="G1589" s="58" t="s">
        <v>4844</v>
      </c>
      <c r="H1589" s="58" t="s">
        <v>1728</v>
      </c>
      <c r="I1589" s="64" t="s">
        <v>4845</v>
      </c>
      <c r="J1589" s="66"/>
      <c r="K1589" s="66"/>
      <c r="L1589" s="68"/>
      <c r="M1589" s="63" t="str">
        <f>HYPERLINK("http://nsgreg.nga.mil/genc/view?v=869601&amp;end_month=12&amp;end_day=31&amp;end_year=2016","Correlation")</f>
        <v>Correlation</v>
      </c>
    </row>
    <row r="1590" spans="1:13" x14ac:dyDescent="0.2">
      <c r="A1590" s="113"/>
      <c r="B1590" s="58" t="s">
        <v>4847</v>
      </c>
      <c r="C1590" s="58" t="s">
        <v>1728</v>
      </c>
      <c r="D1590" s="58" t="s">
        <v>4848</v>
      </c>
      <c r="E1590" s="60" t="b">
        <v>1</v>
      </c>
      <c r="F1590" s="80" t="s">
        <v>695</v>
      </c>
      <c r="G1590" s="58" t="s">
        <v>4847</v>
      </c>
      <c r="H1590" s="58" t="s">
        <v>1728</v>
      </c>
      <c r="I1590" s="64" t="s">
        <v>4848</v>
      </c>
      <c r="J1590" s="66"/>
      <c r="K1590" s="66"/>
      <c r="L1590" s="68"/>
      <c r="M1590" s="63" t="str">
        <f>HYPERLINK("http://nsgreg.nga.mil/genc/view?v=869604&amp;end_month=12&amp;end_day=31&amp;end_year=2016","Correlation")</f>
        <v>Correlation</v>
      </c>
    </row>
    <row r="1591" spans="1:13" x14ac:dyDescent="0.2">
      <c r="A1591" s="113"/>
      <c r="B1591" s="58" t="s">
        <v>4849</v>
      </c>
      <c r="C1591" s="58" t="s">
        <v>1728</v>
      </c>
      <c r="D1591" s="58" t="s">
        <v>4850</v>
      </c>
      <c r="E1591" s="60" t="b">
        <v>1</v>
      </c>
      <c r="F1591" s="80" t="s">
        <v>695</v>
      </c>
      <c r="G1591" s="58" t="s">
        <v>4849</v>
      </c>
      <c r="H1591" s="58" t="s">
        <v>1728</v>
      </c>
      <c r="I1591" s="64" t="s">
        <v>4850</v>
      </c>
      <c r="J1591" s="66"/>
      <c r="K1591" s="66"/>
      <c r="L1591" s="68"/>
      <c r="M1591" s="63" t="str">
        <f>HYPERLINK("http://nsgreg.nga.mil/genc/view?v=869598&amp;end_month=12&amp;end_day=31&amp;end_year=2016","Correlation")</f>
        <v>Correlation</v>
      </c>
    </row>
    <row r="1592" spans="1:13" x14ac:dyDescent="0.2">
      <c r="A1592" s="113"/>
      <c r="B1592" s="58" t="s">
        <v>4851</v>
      </c>
      <c r="C1592" s="58" t="s">
        <v>1728</v>
      </c>
      <c r="D1592" s="58" t="s">
        <v>4852</v>
      </c>
      <c r="E1592" s="60" t="b">
        <v>1</v>
      </c>
      <c r="F1592" s="80" t="s">
        <v>695</v>
      </c>
      <c r="G1592" s="58" t="s">
        <v>4851</v>
      </c>
      <c r="H1592" s="58" t="s">
        <v>1728</v>
      </c>
      <c r="I1592" s="64" t="s">
        <v>4852</v>
      </c>
      <c r="J1592" s="66"/>
      <c r="K1592" s="66"/>
      <c r="L1592" s="68"/>
      <c r="M1592" s="63" t="str">
        <f>HYPERLINK("http://nsgreg.nga.mil/genc/view?v=869600&amp;end_month=12&amp;end_day=31&amp;end_year=2016","Correlation")</f>
        <v>Correlation</v>
      </c>
    </row>
    <row r="1593" spans="1:13" x14ac:dyDescent="0.2">
      <c r="A1593" s="114"/>
      <c r="B1593" s="71" t="s">
        <v>4853</v>
      </c>
      <c r="C1593" s="71" t="s">
        <v>1728</v>
      </c>
      <c r="D1593" s="71" t="s">
        <v>4854</v>
      </c>
      <c r="E1593" s="73" t="b">
        <v>1</v>
      </c>
      <c r="F1593" s="81" t="s">
        <v>695</v>
      </c>
      <c r="G1593" s="71" t="s">
        <v>4853</v>
      </c>
      <c r="H1593" s="71" t="s">
        <v>1728</v>
      </c>
      <c r="I1593" s="74" t="s">
        <v>4854</v>
      </c>
      <c r="J1593" s="76"/>
      <c r="K1593" s="76"/>
      <c r="L1593" s="82"/>
      <c r="M1593" s="77" t="str">
        <f>HYPERLINK("http://nsgreg.nga.mil/genc/view?v=869599&amp;end_month=12&amp;end_day=31&amp;end_year=2016","Correlation")</f>
        <v>Correlation</v>
      </c>
    </row>
    <row r="1594" spans="1:13" x14ac:dyDescent="0.2">
      <c r="A1594" s="112" t="s">
        <v>699</v>
      </c>
      <c r="B1594" s="50" t="s">
        <v>4855</v>
      </c>
      <c r="C1594" s="50" t="s">
        <v>2706</v>
      </c>
      <c r="D1594" s="50" t="s">
        <v>4856</v>
      </c>
      <c r="E1594" s="52" t="b">
        <v>1</v>
      </c>
      <c r="F1594" s="78" t="s">
        <v>699</v>
      </c>
      <c r="G1594" s="50" t="s">
        <v>4855</v>
      </c>
      <c r="H1594" s="50" t="s">
        <v>2706</v>
      </c>
      <c r="I1594" s="53" t="s">
        <v>4856</v>
      </c>
      <c r="J1594" s="55"/>
      <c r="K1594" s="55"/>
      <c r="L1594" s="79"/>
      <c r="M1594" s="56" t="str">
        <f>HYPERLINK("http://nsgreg.nga.mil/genc/view?v=869512&amp;end_month=12&amp;end_day=31&amp;end_year=2016","Correlation")</f>
        <v>Correlation</v>
      </c>
    </row>
    <row r="1595" spans="1:13" x14ac:dyDescent="0.2">
      <c r="A1595" s="113"/>
      <c r="B1595" s="58" t="s">
        <v>4857</v>
      </c>
      <c r="C1595" s="58" t="s">
        <v>1763</v>
      </c>
      <c r="D1595" s="58" t="s">
        <v>4858</v>
      </c>
      <c r="E1595" s="60" t="b">
        <v>1</v>
      </c>
      <c r="F1595" s="80" t="s">
        <v>699</v>
      </c>
      <c r="G1595" s="58" t="s">
        <v>4857</v>
      </c>
      <c r="H1595" s="58" t="s">
        <v>1763</v>
      </c>
      <c r="I1595" s="64" t="s">
        <v>4858</v>
      </c>
      <c r="J1595" s="66"/>
      <c r="K1595" s="66"/>
      <c r="L1595" s="68"/>
      <c r="M1595" s="63" t="str">
        <f>HYPERLINK("http://nsgreg.nga.mil/genc/view?v=869513&amp;end_month=12&amp;end_day=31&amp;end_year=2016","Correlation")</f>
        <v>Correlation</v>
      </c>
    </row>
    <row r="1596" spans="1:13" x14ac:dyDescent="0.2">
      <c r="A1596" s="113"/>
      <c r="B1596" s="58" t="s">
        <v>4861</v>
      </c>
      <c r="C1596" s="58" t="s">
        <v>1763</v>
      </c>
      <c r="D1596" s="58" t="s">
        <v>4860</v>
      </c>
      <c r="E1596" s="60" t="b">
        <v>1</v>
      </c>
      <c r="F1596" s="80" t="s">
        <v>699</v>
      </c>
      <c r="G1596" s="58" t="s">
        <v>4859</v>
      </c>
      <c r="H1596" s="58" t="s">
        <v>1763</v>
      </c>
      <c r="I1596" s="64" t="s">
        <v>4860</v>
      </c>
      <c r="J1596" s="66"/>
      <c r="K1596" s="66"/>
      <c r="L1596" s="68"/>
      <c r="M1596" s="63" t="str">
        <f>HYPERLINK("http://nsgreg.nga.mil/genc/view?v=869514&amp;end_month=12&amp;end_day=31&amp;end_year=2016","Correlation")</f>
        <v>Correlation</v>
      </c>
    </row>
    <row r="1597" spans="1:13" x14ac:dyDescent="0.2">
      <c r="A1597" s="113"/>
      <c r="B1597" s="58" t="s">
        <v>4862</v>
      </c>
      <c r="C1597" s="58" t="s">
        <v>1763</v>
      </c>
      <c r="D1597" s="58" t="s">
        <v>4863</v>
      </c>
      <c r="E1597" s="60" t="b">
        <v>1</v>
      </c>
      <c r="F1597" s="80" t="s">
        <v>699</v>
      </c>
      <c r="G1597" s="58" t="s">
        <v>4862</v>
      </c>
      <c r="H1597" s="58" t="s">
        <v>1763</v>
      </c>
      <c r="I1597" s="64" t="s">
        <v>4863</v>
      </c>
      <c r="J1597" s="66"/>
      <c r="K1597" s="66"/>
      <c r="L1597" s="68"/>
      <c r="M1597" s="63" t="str">
        <f>HYPERLINK("http://nsgreg.nga.mil/genc/view?v=869515&amp;end_month=12&amp;end_day=31&amp;end_year=2016","Correlation")</f>
        <v>Correlation</v>
      </c>
    </row>
    <row r="1598" spans="1:13" x14ac:dyDescent="0.2">
      <c r="A1598" s="113"/>
      <c r="B1598" s="58" t="s">
        <v>4866</v>
      </c>
      <c r="C1598" s="58" t="s">
        <v>1763</v>
      </c>
      <c r="D1598" s="58" t="s">
        <v>4865</v>
      </c>
      <c r="E1598" s="60" t="b">
        <v>1</v>
      </c>
      <c r="F1598" s="80" t="s">
        <v>699</v>
      </c>
      <c r="G1598" s="58" t="s">
        <v>4864</v>
      </c>
      <c r="H1598" s="58" t="s">
        <v>1763</v>
      </c>
      <c r="I1598" s="64" t="s">
        <v>4865</v>
      </c>
      <c r="J1598" s="66"/>
      <c r="K1598" s="66"/>
      <c r="L1598" s="68"/>
      <c r="M1598" s="63" t="str">
        <f>HYPERLINK("http://nsgreg.nga.mil/genc/view?v=869516&amp;end_month=12&amp;end_day=31&amp;end_year=2016","Correlation")</f>
        <v>Correlation</v>
      </c>
    </row>
    <row r="1599" spans="1:13" x14ac:dyDescent="0.2">
      <c r="A1599" s="113"/>
      <c r="B1599" s="58" t="s">
        <v>4869</v>
      </c>
      <c r="C1599" s="58" t="s">
        <v>2706</v>
      </c>
      <c r="D1599" s="58" t="s">
        <v>4868</v>
      </c>
      <c r="E1599" s="60" t="b">
        <v>1</v>
      </c>
      <c r="F1599" s="80" t="s">
        <v>699</v>
      </c>
      <c r="G1599" s="58" t="s">
        <v>4867</v>
      </c>
      <c r="H1599" s="58" t="s">
        <v>2706</v>
      </c>
      <c r="I1599" s="64" t="s">
        <v>4868</v>
      </c>
      <c r="J1599" s="66"/>
      <c r="K1599" s="66"/>
      <c r="L1599" s="68"/>
      <c r="M1599" s="63" t="str">
        <f>HYPERLINK("http://nsgreg.nga.mil/genc/view?v=869517&amp;end_month=12&amp;end_day=31&amp;end_year=2016","Correlation")</f>
        <v>Correlation</v>
      </c>
    </row>
    <row r="1600" spans="1:13" x14ac:dyDescent="0.2">
      <c r="A1600" s="113"/>
      <c r="B1600" s="58" t="s">
        <v>4872</v>
      </c>
      <c r="C1600" s="58" t="s">
        <v>1763</v>
      </c>
      <c r="D1600" s="58" t="s">
        <v>4871</v>
      </c>
      <c r="E1600" s="60" t="b">
        <v>1</v>
      </c>
      <c r="F1600" s="80" t="s">
        <v>699</v>
      </c>
      <c r="G1600" s="58" t="s">
        <v>4870</v>
      </c>
      <c r="H1600" s="58" t="s">
        <v>1763</v>
      </c>
      <c r="I1600" s="64" t="s">
        <v>4871</v>
      </c>
      <c r="J1600" s="66"/>
      <c r="K1600" s="66"/>
      <c r="L1600" s="68"/>
      <c r="M1600" s="63" t="str">
        <f>HYPERLINK("http://nsgreg.nga.mil/genc/view?v=869518&amp;end_month=12&amp;end_day=31&amp;end_year=2016","Correlation")</f>
        <v>Correlation</v>
      </c>
    </row>
    <row r="1601" spans="1:13" x14ac:dyDescent="0.2">
      <c r="A1601" s="113"/>
      <c r="B1601" s="58" t="s">
        <v>4875</v>
      </c>
      <c r="C1601" s="58" t="s">
        <v>2706</v>
      </c>
      <c r="D1601" s="58" t="s">
        <v>4874</v>
      </c>
      <c r="E1601" s="60" t="b">
        <v>1</v>
      </c>
      <c r="F1601" s="80" t="s">
        <v>699</v>
      </c>
      <c r="G1601" s="58" t="s">
        <v>4873</v>
      </c>
      <c r="H1601" s="58" t="s">
        <v>2706</v>
      </c>
      <c r="I1601" s="64" t="s">
        <v>4874</v>
      </c>
      <c r="J1601" s="66"/>
      <c r="K1601" s="66"/>
      <c r="L1601" s="68"/>
      <c r="M1601" s="63" t="str">
        <f>HYPERLINK("http://nsgreg.nga.mil/genc/view?v=869521&amp;end_month=12&amp;end_day=31&amp;end_year=2016","Correlation")</f>
        <v>Correlation</v>
      </c>
    </row>
    <row r="1602" spans="1:13" x14ac:dyDescent="0.2">
      <c r="A1602" s="113"/>
      <c r="B1602" s="58" t="s">
        <v>4878</v>
      </c>
      <c r="C1602" s="58" t="s">
        <v>2706</v>
      </c>
      <c r="D1602" s="58" t="s">
        <v>4877</v>
      </c>
      <c r="E1602" s="60" t="b">
        <v>1</v>
      </c>
      <c r="F1602" s="80" t="s">
        <v>699</v>
      </c>
      <c r="G1602" s="58" t="s">
        <v>4876</v>
      </c>
      <c r="H1602" s="58" t="s">
        <v>2706</v>
      </c>
      <c r="I1602" s="64" t="s">
        <v>4877</v>
      </c>
      <c r="J1602" s="66"/>
      <c r="K1602" s="66"/>
      <c r="L1602" s="68"/>
      <c r="M1602" s="63" t="str">
        <f>HYPERLINK("http://nsgreg.nga.mil/genc/view?v=869519&amp;end_month=12&amp;end_day=31&amp;end_year=2016","Correlation")</f>
        <v>Correlation</v>
      </c>
    </row>
    <row r="1603" spans="1:13" x14ac:dyDescent="0.2">
      <c r="A1603" s="113"/>
      <c r="B1603" s="58" t="s">
        <v>4879</v>
      </c>
      <c r="C1603" s="58" t="s">
        <v>2706</v>
      </c>
      <c r="D1603" s="58" t="s">
        <v>4881</v>
      </c>
      <c r="E1603" s="60" t="b">
        <v>1</v>
      </c>
      <c r="F1603" s="80" t="s">
        <v>699</v>
      </c>
      <c r="G1603" s="58" t="s">
        <v>4879</v>
      </c>
      <c r="H1603" s="58" t="s">
        <v>4880</v>
      </c>
      <c r="I1603" s="64" t="s">
        <v>4881</v>
      </c>
      <c r="J1603" s="66"/>
      <c r="K1603" s="66"/>
      <c r="L1603" s="68"/>
      <c r="M1603" s="63" t="str">
        <f>HYPERLINK("http://nsgreg.nga.mil/genc/view?v=869520&amp;end_month=12&amp;end_day=31&amp;end_year=2016","Correlation")</f>
        <v>Correlation</v>
      </c>
    </row>
    <row r="1604" spans="1:13" x14ac:dyDescent="0.2">
      <c r="A1604" s="113"/>
      <c r="B1604" s="58" t="s">
        <v>4882</v>
      </c>
      <c r="C1604" s="58" t="s">
        <v>1763</v>
      </c>
      <c r="D1604" s="58" t="s">
        <v>4883</v>
      </c>
      <c r="E1604" s="60" t="b">
        <v>1</v>
      </c>
      <c r="F1604" s="80" t="s">
        <v>699</v>
      </c>
      <c r="G1604" s="58" t="s">
        <v>4882</v>
      </c>
      <c r="H1604" s="58" t="s">
        <v>1763</v>
      </c>
      <c r="I1604" s="64" t="s">
        <v>4883</v>
      </c>
      <c r="J1604" s="66"/>
      <c r="K1604" s="66"/>
      <c r="L1604" s="68"/>
      <c r="M1604" s="63" t="str">
        <f>HYPERLINK("http://nsgreg.nga.mil/genc/view?v=869522&amp;end_month=12&amp;end_day=31&amp;end_year=2016","Correlation")</f>
        <v>Correlation</v>
      </c>
    </row>
    <row r="1605" spans="1:13" x14ac:dyDescent="0.2">
      <c r="A1605" s="113"/>
      <c r="B1605" s="58" t="s">
        <v>4886</v>
      </c>
      <c r="C1605" s="58" t="s">
        <v>1763</v>
      </c>
      <c r="D1605" s="58" t="s">
        <v>4885</v>
      </c>
      <c r="E1605" s="60" t="b">
        <v>1</v>
      </c>
      <c r="F1605" s="80" t="s">
        <v>699</v>
      </c>
      <c r="G1605" s="58" t="s">
        <v>4884</v>
      </c>
      <c r="H1605" s="58" t="s">
        <v>1763</v>
      </c>
      <c r="I1605" s="64" t="s">
        <v>4885</v>
      </c>
      <c r="J1605" s="66"/>
      <c r="K1605" s="66"/>
      <c r="L1605" s="68"/>
      <c r="M1605" s="63" t="str">
        <f>HYPERLINK("http://nsgreg.nga.mil/genc/view?v=869523&amp;end_month=12&amp;end_day=31&amp;end_year=2016","Correlation")</f>
        <v>Correlation</v>
      </c>
    </row>
    <row r="1606" spans="1:13" x14ac:dyDescent="0.2">
      <c r="A1606" s="113"/>
      <c r="B1606" s="58" t="s">
        <v>4889</v>
      </c>
      <c r="C1606" s="58" t="s">
        <v>1763</v>
      </c>
      <c r="D1606" s="58" t="s">
        <v>4888</v>
      </c>
      <c r="E1606" s="60" t="b">
        <v>1</v>
      </c>
      <c r="F1606" s="80" t="s">
        <v>699</v>
      </c>
      <c r="G1606" s="58" t="s">
        <v>4887</v>
      </c>
      <c r="H1606" s="58" t="s">
        <v>1763</v>
      </c>
      <c r="I1606" s="64" t="s">
        <v>4888</v>
      </c>
      <c r="J1606" s="66"/>
      <c r="K1606" s="66"/>
      <c r="L1606" s="68"/>
      <c r="M1606" s="63" t="str">
        <f>HYPERLINK("http://nsgreg.nga.mil/genc/view?v=869525&amp;end_month=12&amp;end_day=31&amp;end_year=2016","Correlation")</f>
        <v>Correlation</v>
      </c>
    </row>
    <row r="1607" spans="1:13" x14ac:dyDescent="0.2">
      <c r="A1607" s="113"/>
      <c r="B1607" s="58" t="s">
        <v>4892</v>
      </c>
      <c r="C1607" s="58" t="s">
        <v>1763</v>
      </c>
      <c r="D1607" s="58" t="s">
        <v>4891</v>
      </c>
      <c r="E1607" s="60" t="b">
        <v>1</v>
      </c>
      <c r="F1607" s="80" t="s">
        <v>699</v>
      </c>
      <c r="G1607" s="58" t="s">
        <v>4890</v>
      </c>
      <c r="H1607" s="58" t="s">
        <v>1763</v>
      </c>
      <c r="I1607" s="64" t="s">
        <v>4891</v>
      </c>
      <c r="J1607" s="66"/>
      <c r="K1607" s="66"/>
      <c r="L1607" s="68"/>
      <c r="M1607" s="63" t="str">
        <f>HYPERLINK("http://nsgreg.nga.mil/genc/view?v=869524&amp;end_month=12&amp;end_day=31&amp;end_year=2016","Correlation")</f>
        <v>Correlation</v>
      </c>
    </row>
    <row r="1608" spans="1:13" x14ac:dyDescent="0.2">
      <c r="A1608" s="113"/>
      <c r="B1608" s="58" t="s">
        <v>4895</v>
      </c>
      <c r="C1608" s="58" t="s">
        <v>1763</v>
      </c>
      <c r="D1608" s="58" t="s">
        <v>4894</v>
      </c>
      <c r="E1608" s="60" t="b">
        <v>1</v>
      </c>
      <c r="F1608" s="80" t="s">
        <v>699</v>
      </c>
      <c r="G1608" s="58" t="s">
        <v>4893</v>
      </c>
      <c r="H1608" s="58" t="s">
        <v>1763</v>
      </c>
      <c r="I1608" s="64" t="s">
        <v>4894</v>
      </c>
      <c r="J1608" s="66"/>
      <c r="K1608" s="66"/>
      <c r="L1608" s="68"/>
      <c r="M1608" s="63" t="str">
        <f>HYPERLINK("http://nsgreg.nga.mil/genc/view?v=869527&amp;end_month=12&amp;end_day=31&amp;end_year=2016","Correlation")</f>
        <v>Correlation</v>
      </c>
    </row>
    <row r="1609" spans="1:13" x14ac:dyDescent="0.2">
      <c r="A1609" s="113"/>
      <c r="B1609" s="58" t="s">
        <v>4896</v>
      </c>
      <c r="C1609" s="58" t="s">
        <v>1763</v>
      </c>
      <c r="D1609" s="58" t="s">
        <v>4897</v>
      </c>
      <c r="E1609" s="60" t="b">
        <v>1</v>
      </c>
      <c r="F1609" s="80" t="s">
        <v>699</v>
      </c>
      <c r="G1609" s="58" t="s">
        <v>4896</v>
      </c>
      <c r="H1609" s="58" t="s">
        <v>1763</v>
      </c>
      <c r="I1609" s="64" t="s">
        <v>4897</v>
      </c>
      <c r="J1609" s="66"/>
      <c r="K1609" s="66"/>
      <c r="L1609" s="68"/>
      <c r="M1609" s="63" t="str">
        <f>HYPERLINK("http://nsgreg.nga.mil/genc/view?v=869526&amp;end_month=12&amp;end_day=31&amp;end_year=2016","Correlation")</f>
        <v>Correlation</v>
      </c>
    </row>
    <row r="1610" spans="1:13" x14ac:dyDescent="0.2">
      <c r="A1610" s="113"/>
      <c r="B1610" s="58" t="s">
        <v>4900</v>
      </c>
      <c r="C1610" s="58" t="s">
        <v>1763</v>
      </c>
      <c r="D1610" s="58" t="s">
        <v>4899</v>
      </c>
      <c r="E1610" s="60" t="b">
        <v>1</v>
      </c>
      <c r="F1610" s="80" t="s">
        <v>699</v>
      </c>
      <c r="G1610" s="58" t="s">
        <v>4898</v>
      </c>
      <c r="H1610" s="58" t="s">
        <v>1763</v>
      </c>
      <c r="I1610" s="64" t="s">
        <v>4899</v>
      </c>
      <c r="J1610" s="66"/>
      <c r="K1610" s="66"/>
      <c r="L1610" s="68"/>
      <c r="M1610" s="63" t="str">
        <f>HYPERLINK("http://nsgreg.nga.mil/genc/view?v=869528&amp;end_month=12&amp;end_day=31&amp;end_year=2016","Correlation")</f>
        <v>Correlation</v>
      </c>
    </row>
    <row r="1611" spans="1:13" x14ac:dyDescent="0.2">
      <c r="A1611" s="113"/>
      <c r="B1611" s="58" t="s">
        <v>4901</v>
      </c>
      <c r="C1611" s="58" t="s">
        <v>1763</v>
      </c>
      <c r="D1611" s="58" t="s">
        <v>4902</v>
      </c>
      <c r="E1611" s="60" t="b">
        <v>1</v>
      </c>
      <c r="F1611" s="80" t="s">
        <v>699</v>
      </c>
      <c r="G1611" s="58" t="s">
        <v>4901</v>
      </c>
      <c r="H1611" s="58" t="s">
        <v>1763</v>
      </c>
      <c r="I1611" s="64" t="s">
        <v>4902</v>
      </c>
      <c r="J1611" s="66"/>
      <c r="K1611" s="66"/>
      <c r="L1611" s="68"/>
      <c r="M1611" s="63" t="str">
        <f>HYPERLINK("http://nsgreg.nga.mil/genc/view?v=869529&amp;end_month=12&amp;end_day=31&amp;end_year=2016","Correlation")</f>
        <v>Correlation</v>
      </c>
    </row>
    <row r="1612" spans="1:13" x14ac:dyDescent="0.2">
      <c r="A1612" s="113"/>
      <c r="B1612" s="58" t="s">
        <v>4903</v>
      </c>
      <c r="C1612" s="58" t="s">
        <v>2706</v>
      </c>
      <c r="D1612" s="58" t="s">
        <v>4904</v>
      </c>
      <c r="E1612" s="60" t="b">
        <v>1</v>
      </c>
      <c r="F1612" s="80" t="s">
        <v>699</v>
      </c>
      <c r="G1612" s="58" t="s">
        <v>4903</v>
      </c>
      <c r="H1612" s="58" t="s">
        <v>2706</v>
      </c>
      <c r="I1612" s="64" t="s">
        <v>4904</v>
      </c>
      <c r="J1612" s="66"/>
      <c r="K1612" s="66"/>
      <c r="L1612" s="68"/>
      <c r="M1612" s="63" t="str">
        <f>HYPERLINK("http://nsgreg.nga.mil/genc/view?v=869530&amp;end_month=12&amp;end_day=31&amp;end_year=2016","Correlation")</f>
        <v>Correlation</v>
      </c>
    </row>
    <row r="1613" spans="1:13" x14ac:dyDescent="0.2">
      <c r="A1613" s="113"/>
      <c r="B1613" s="58" t="s">
        <v>4905</v>
      </c>
      <c r="C1613" s="58" t="s">
        <v>1763</v>
      </c>
      <c r="D1613" s="58" t="s">
        <v>4906</v>
      </c>
      <c r="E1613" s="60" t="b">
        <v>1</v>
      </c>
      <c r="F1613" s="80" t="s">
        <v>699</v>
      </c>
      <c r="G1613" s="58" t="s">
        <v>4905</v>
      </c>
      <c r="H1613" s="58" t="s">
        <v>1763</v>
      </c>
      <c r="I1613" s="64" t="s">
        <v>4906</v>
      </c>
      <c r="J1613" s="66"/>
      <c r="K1613" s="66"/>
      <c r="L1613" s="68"/>
      <c r="M1613" s="63" t="str">
        <f>HYPERLINK("http://nsgreg.nga.mil/genc/view?v=869534&amp;end_month=12&amp;end_day=31&amp;end_year=2016","Correlation")</f>
        <v>Correlation</v>
      </c>
    </row>
    <row r="1614" spans="1:13" x14ac:dyDescent="0.2">
      <c r="A1614" s="113"/>
      <c r="B1614" s="58" t="s">
        <v>4909</v>
      </c>
      <c r="C1614" s="58" t="s">
        <v>1763</v>
      </c>
      <c r="D1614" s="58" t="s">
        <v>4908</v>
      </c>
      <c r="E1614" s="60" t="b">
        <v>1</v>
      </c>
      <c r="F1614" s="80" t="s">
        <v>699</v>
      </c>
      <c r="G1614" s="58" t="s">
        <v>4907</v>
      </c>
      <c r="H1614" s="58" t="s">
        <v>1763</v>
      </c>
      <c r="I1614" s="64" t="s">
        <v>4908</v>
      </c>
      <c r="J1614" s="66"/>
      <c r="K1614" s="66"/>
      <c r="L1614" s="68"/>
      <c r="M1614" s="63" t="str">
        <f>HYPERLINK("http://nsgreg.nga.mil/genc/view?v=869531&amp;end_month=12&amp;end_day=31&amp;end_year=2016","Correlation")</f>
        <v>Correlation</v>
      </c>
    </row>
    <row r="1615" spans="1:13" x14ac:dyDescent="0.2">
      <c r="A1615" s="113"/>
      <c r="B1615" s="58" t="s">
        <v>4910</v>
      </c>
      <c r="C1615" s="58" t="s">
        <v>1763</v>
      </c>
      <c r="D1615" s="58" t="s">
        <v>4911</v>
      </c>
      <c r="E1615" s="60" t="b">
        <v>1</v>
      </c>
      <c r="F1615" s="80" t="s">
        <v>699</v>
      </c>
      <c r="G1615" s="58" t="s">
        <v>4910</v>
      </c>
      <c r="H1615" s="58" t="s">
        <v>1763</v>
      </c>
      <c r="I1615" s="64" t="s">
        <v>4911</v>
      </c>
      <c r="J1615" s="66"/>
      <c r="K1615" s="66"/>
      <c r="L1615" s="68"/>
      <c r="M1615" s="63" t="str">
        <f>HYPERLINK("http://nsgreg.nga.mil/genc/view?v=869533&amp;end_month=12&amp;end_day=31&amp;end_year=2016","Correlation")</f>
        <v>Correlation</v>
      </c>
    </row>
    <row r="1616" spans="1:13" x14ac:dyDescent="0.2">
      <c r="A1616" s="113"/>
      <c r="B1616" s="58" t="s">
        <v>4914</v>
      </c>
      <c r="C1616" s="58" t="s">
        <v>1763</v>
      </c>
      <c r="D1616" s="58" t="s">
        <v>4913</v>
      </c>
      <c r="E1616" s="60" t="b">
        <v>1</v>
      </c>
      <c r="F1616" s="80" t="s">
        <v>699</v>
      </c>
      <c r="G1616" s="58" t="s">
        <v>4912</v>
      </c>
      <c r="H1616" s="58" t="s">
        <v>1763</v>
      </c>
      <c r="I1616" s="64" t="s">
        <v>4913</v>
      </c>
      <c r="J1616" s="66"/>
      <c r="K1616" s="66"/>
      <c r="L1616" s="68"/>
      <c r="M1616" s="63" t="str">
        <f>HYPERLINK("http://nsgreg.nga.mil/genc/view?v=869532&amp;end_month=12&amp;end_day=31&amp;end_year=2016","Correlation")</f>
        <v>Correlation</v>
      </c>
    </row>
    <row r="1617" spans="1:13" x14ac:dyDescent="0.2">
      <c r="A1617" s="113"/>
      <c r="B1617" s="58" t="s">
        <v>4915</v>
      </c>
      <c r="C1617" s="58" t="s">
        <v>1763</v>
      </c>
      <c r="D1617" s="58" t="s">
        <v>4916</v>
      </c>
      <c r="E1617" s="60" t="b">
        <v>1</v>
      </c>
      <c r="F1617" s="80" t="s">
        <v>699</v>
      </c>
      <c r="G1617" s="58" t="s">
        <v>4915</v>
      </c>
      <c r="H1617" s="58" t="s">
        <v>2706</v>
      </c>
      <c r="I1617" s="64" t="s">
        <v>4916</v>
      </c>
      <c r="J1617" s="66"/>
      <c r="K1617" s="66"/>
      <c r="L1617" s="68"/>
      <c r="M1617" s="63" t="str">
        <f>HYPERLINK("http://nsgreg.nga.mil/genc/view?v=869535&amp;end_month=12&amp;end_day=31&amp;end_year=2016","Correlation")</f>
        <v>Correlation</v>
      </c>
    </row>
    <row r="1618" spans="1:13" x14ac:dyDescent="0.2">
      <c r="A1618" s="113"/>
      <c r="B1618" s="58" t="s">
        <v>4919</v>
      </c>
      <c r="C1618" s="58" t="s">
        <v>1763</v>
      </c>
      <c r="D1618" s="58" t="s">
        <v>4918</v>
      </c>
      <c r="E1618" s="60" t="b">
        <v>1</v>
      </c>
      <c r="F1618" s="80" t="s">
        <v>699</v>
      </c>
      <c r="G1618" s="58" t="s">
        <v>4917</v>
      </c>
      <c r="H1618" s="58" t="s">
        <v>1763</v>
      </c>
      <c r="I1618" s="64" t="s">
        <v>4918</v>
      </c>
      <c r="J1618" s="66"/>
      <c r="K1618" s="66"/>
      <c r="L1618" s="68"/>
      <c r="M1618" s="63" t="str">
        <f>HYPERLINK("http://nsgreg.nga.mil/genc/view?v=869536&amp;end_month=12&amp;end_day=31&amp;end_year=2016","Correlation")</f>
        <v>Correlation</v>
      </c>
    </row>
    <row r="1619" spans="1:13" x14ac:dyDescent="0.2">
      <c r="A1619" s="113"/>
      <c r="B1619" s="58" t="s">
        <v>4920</v>
      </c>
      <c r="C1619" s="58" t="s">
        <v>1763</v>
      </c>
      <c r="D1619" s="58" t="s">
        <v>4921</v>
      </c>
      <c r="E1619" s="60" t="b">
        <v>1</v>
      </c>
      <c r="F1619" s="80" t="s">
        <v>699</v>
      </c>
      <c r="G1619" s="58" t="s">
        <v>4920</v>
      </c>
      <c r="H1619" s="58" t="s">
        <v>1763</v>
      </c>
      <c r="I1619" s="64" t="s">
        <v>4921</v>
      </c>
      <c r="J1619" s="66"/>
      <c r="K1619" s="66"/>
      <c r="L1619" s="68"/>
      <c r="M1619" s="63" t="str">
        <f>HYPERLINK("http://nsgreg.nga.mil/genc/view?v=869537&amp;end_month=12&amp;end_day=31&amp;end_year=2016","Correlation")</f>
        <v>Correlation</v>
      </c>
    </row>
    <row r="1620" spans="1:13" x14ac:dyDescent="0.2">
      <c r="A1620" s="113"/>
      <c r="B1620" s="58" t="s">
        <v>4922</v>
      </c>
      <c r="C1620" s="58" t="s">
        <v>2706</v>
      </c>
      <c r="D1620" s="58" t="s">
        <v>4923</v>
      </c>
      <c r="E1620" s="60" t="b">
        <v>1</v>
      </c>
      <c r="F1620" s="80" t="s">
        <v>699</v>
      </c>
      <c r="G1620" s="58" t="s">
        <v>4922</v>
      </c>
      <c r="H1620" s="58" t="s">
        <v>2706</v>
      </c>
      <c r="I1620" s="64" t="s">
        <v>4923</v>
      </c>
      <c r="J1620" s="66"/>
      <c r="K1620" s="66"/>
      <c r="L1620" s="68"/>
      <c r="M1620" s="63" t="str">
        <f>HYPERLINK("http://nsgreg.nga.mil/genc/view?v=869539&amp;end_month=12&amp;end_day=31&amp;end_year=2016","Correlation")</f>
        <v>Correlation</v>
      </c>
    </row>
    <row r="1621" spans="1:13" x14ac:dyDescent="0.2">
      <c r="A1621" s="113"/>
      <c r="B1621" s="58" t="s">
        <v>4924</v>
      </c>
      <c r="C1621" s="58" t="s">
        <v>1763</v>
      </c>
      <c r="D1621" s="58" t="s">
        <v>4925</v>
      </c>
      <c r="E1621" s="60" t="b">
        <v>1</v>
      </c>
      <c r="F1621" s="80" t="s">
        <v>699</v>
      </c>
      <c r="G1621" s="58" t="s">
        <v>4924</v>
      </c>
      <c r="H1621" s="58" t="s">
        <v>1763</v>
      </c>
      <c r="I1621" s="64" t="s">
        <v>4925</v>
      </c>
      <c r="J1621" s="66"/>
      <c r="K1621" s="66"/>
      <c r="L1621" s="68"/>
      <c r="M1621" s="63" t="str">
        <f>HYPERLINK("http://nsgreg.nga.mil/genc/view?v=869538&amp;end_month=12&amp;end_day=31&amp;end_year=2016","Correlation")</f>
        <v>Correlation</v>
      </c>
    </row>
    <row r="1622" spans="1:13" x14ac:dyDescent="0.2">
      <c r="A1622" s="113"/>
      <c r="B1622" s="58" t="s">
        <v>4928</v>
      </c>
      <c r="C1622" s="58" t="s">
        <v>1763</v>
      </c>
      <c r="D1622" s="58" t="s">
        <v>4927</v>
      </c>
      <c r="E1622" s="60" t="b">
        <v>1</v>
      </c>
      <c r="F1622" s="80" t="s">
        <v>699</v>
      </c>
      <c r="G1622" s="58" t="s">
        <v>4926</v>
      </c>
      <c r="H1622" s="58" t="s">
        <v>1763</v>
      </c>
      <c r="I1622" s="64" t="s">
        <v>4927</v>
      </c>
      <c r="J1622" s="66"/>
      <c r="K1622" s="66"/>
      <c r="L1622" s="68"/>
      <c r="M1622" s="63" t="str">
        <f>HYPERLINK("http://nsgreg.nga.mil/genc/view?v=869540&amp;end_month=12&amp;end_day=31&amp;end_year=2016","Correlation")</f>
        <v>Correlation</v>
      </c>
    </row>
    <row r="1623" spans="1:13" x14ac:dyDescent="0.2">
      <c r="A1623" s="113"/>
      <c r="B1623" s="58" t="s">
        <v>4929</v>
      </c>
      <c r="C1623" s="58" t="s">
        <v>1763</v>
      </c>
      <c r="D1623" s="58" t="s">
        <v>4930</v>
      </c>
      <c r="E1623" s="60" t="b">
        <v>1</v>
      </c>
      <c r="F1623" s="80" t="s">
        <v>699</v>
      </c>
      <c r="G1623" s="58" t="s">
        <v>4929</v>
      </c>
      <c r="H1623" s="58" t="s">
        <v>1763</v>
      </c>
      <c r="I1623" s="64" t="s">
        <v>4930</v>
      </c>
      <c r="J1623" s="66"/>
      <c r="K1623" s="66"/>
      <c r="L1623" s="68"/>
      <c r="M1623" s="63" t="str">
        <f>HYPERLINK("http://nsgreg.nga.mil/genc/view?v=869541&amp;end_month=12&amp;end_day=31&amp;end_year=2016","Correlation")</f>
        <v>Correlation</v>
      </c>
    </row>
    <row r="1624" spans="1:13" x14ac:dyDescent="0.2">
      <c r="A1624" s="113"/>
      <c r="B1624" s="58" t="s">
        <v>4933</v>
      </c>
      <c r="C1624" s="58" t="s">
        <v>1763</v>
      </c>
      <c r="D1624" s="58" t="s">
        <v>4932</v>
      </c>
      <c r="E1624" s="60" t="b">
        <v>1</v>
      </c>
      <c r="F1624" s="80" t="s">
        <v>699</v>
      </c>
      <c r="G1624" s="58" t="s">
        <v>4931</v>
      </c>
      <c r="H1624" s="58" t="s">
        <v>1763</v>
      </c>
      <c r="I1624" s="64" t="s">
        <v>4932</v>
      </c>
      <c r="J1624" s="66"/>
      <c r="K1624" s="66"/>
      <c r="L1624" s="68"/>
      <c r="M1624" s="63" t="str">
        <f>HYPERLINK("http://nsgreg.nga.mil/genc/view?v=869543&amp;end_month=12&amp;end_day=31&amp;end_year=2016","Correlation")</f>
        <v>Correlation</v>
      </c>
    </row>
    <row r="1625" spans="1:13" x14ac:dyDescent="0.2">
      <c r="A1625" s="113"/>
      <c r="B1625" s="58" t="s">
        <v>4934</v>
      </c>
      <c r="C1625" s="58" t="s">
        <v>1763</v>
      </c>
      <c r="D1625" s="58" t="s">
        <v>4935</v>
      </c>
      <c r="E1625" s="60" t="b">
        <v>1</v>
      </c>
      <c r="F1625" s="80" t="s">
        <v>699</v>
      </c>
      <c r="G1625" s="58" t="s">
        <v>4934</v>
      </c>
      <c r="H1625" s="58" t="s">
        <v>1763</v>
      </c>
      <c r="I1625" s="64" t="s">
        <v>4935</v>
      </c>
      <c r="J1625" s="66"/>
      <c r="K1625" s="66"/>
      <c r="L1625" s="68"/>
      <c r="M1625" s="63" t="str">
        <f>HYPERLINK("http://nsgreg.nga.mil/genc/view?v=869542&amp;end_month=12&amp;end_day=31&amp;end_year=2016","Correlation")</f>
        <v>Correlation</v>
      </c>
    </row>
    <row r="1626" spans="1:13" x14ac:dyDescent="0.2">
      <c r="A1626" s="113"/>
      <c r="B1626" s="58" t="s">
        <v>4936</v>
      </c>
      <c r="C1626" s="58" t="s">
        <v>1763</v>
      </c>
      <c r="D1626" s="58" t="s">
        <v>4937</v>
      </c>
      <c r="E1626" s="60" t="b">
        <v>1</v>
      </c>
      <c r="F1626" s="80" t="s">
        <v>699</v>
      </c>
      <c r="G1626" s="58" t="s">
        <v>4936</v>
      </c>
      <c r="H1626" s="58" t="s">
        <v>1763</v>
      </c>
      <c r="I1626" s="64" t="s">
        <v>4937</v>
      </c>
      <c r="J1626" s="66"/>
      <c r="K1626" s="66"/>
      <c r="L1626" s="68"/>
      <c r="M1626" s="63" t="str">
        <f>HYPERLINK("http://nsgreg.nga.mil/genc/view?v=869544&amp;end_month=12&amp;end_day=31&amp;end_year=2016","Correlation")</f>
        <v>Correlation</v>
      </c>
    </row>
    <row r="1627" spans="1:13" x14ac:dyDescent="0.2">
      <c r="A1627" s="113"/>
      <c r="B1627" s="58" t="s">
        <v>4938</v>
      </c>
      <c r="C1627" s="58" t="s">
        <v>1763</v>
      </c>
      <c r="D1627" s="58" t="s">
        <v>4939</v>
      </c>
      <c r="E1627" s="60" t="b">
        <v>1</v>
      </c>
      <c r="F1627" s="80" t="s">
        <v>699</v>
      </c>
      <c r="G1627" s="58" t="s">
        <v>4938</v>
      </c>
      <c r="H1627" s="58" t="s">
        <v>1763</v>
      </c>
      <c r="I1627" s="64" t="s">
        <v>4939</v>
      </c>
      <c r="J1627" s="66"/>
      <c r="K1627" s="66"/>
      <c r="L1627" s="68"/>
      <c r="M1627" s="63" t="str">
        <f>HYPERLINK("http://nsgreg.nga.mil/genc/view?v=869546&amp;end_month=12&amp;end_day=31&amp;end_year=2016","Correlation")</f>
        <v>Correlation</v>
      </c>
    </row>
    <row r="1628" spans="1:13" x14ac:dyDescent="0.2">
      <c r="A1628" s="113"/>
      <c r="B1628" s="58" t="s">
        <v>4940</v>
      </c>
      <c r="C1628" s="58" t="s">
        <v>1763</v>
      </c>
      <c r="D1628" s="58" t="s">
        <v>4941</v>
      </c>
      <c r="E1628" s="60" t="b">
        <v>1</v>
      </c>
      <c r="F1628" s="80" t="s">
        <v>699</v>
      </c>
      <c r="G1628" s="58" t="s">
        <v>4940</v>
      </c>
      <c r="H1628" s="58" t="s">
        <v>1763</v>
      </c>
      <c r="I1628" s="64" t="s">
        <v>4941</v>
      </c>
      <c r="J1628" s="66"/>
      <c r="K1628" s="66"/>
      <c r="L1628" s="68"/>
      <c r="M1628" s="63" t="str">
        <f>HYPERLINK("http://nsgreg.nga.mil/genc/view?v=869545&amp;end_month=12&amp;end_day=31&amp;end_year=2016","Correlation")</f>
        <v>Correlation</v>
      </c>
    </row>
    <row r="1629" spans="1:13" x14ac:dyDescent="0.2">
      <c r="A1629" s="114"/>
      <c r="B1629" s="71" t="s">
        <v>4942</v>
      </c>
      <c r="C1629" s="71" t="s">
        <v>1763</v>
      </c>
      <c r="D1629" s="71" t="s">
        <v>4943</v>
      </c>
      <c r="E1629" s="73" t="b">
        <v>1</v>
      </c>
      <c r="F1629" s="81" t="s">
        <v>699</v>
      </c>
      <c r="G1629" s="71" t="s">
        <v>4942</v>
      </c>
      <c r="H1629" s="71" t="s">
        <v>1763</v>
      </c>
      <c r="I1629" s="74" t="s">
        <v>4943</v>
      </c>
      <c r="J1629" s="76"/>
      <c r="K1629" s="76"/>
      <c r="L1629" s="82"/>
      <c r="M1629" s="77" t="str">
        <f>HYPERLINK("http://nsgreg.nga.mil/genc/view?v=869547&amp;end_month=12&amp;end_day=31&amp;end_year=2016","Correlation")</f>
        <v>Correlation</v>
      </c>
    </row>
    <row r="1630" spans="1:13" x14ac:dyDescent="0.2">
      <c r="A1630" s="112" t="s">
        <v>703</v>
      </c>
      <c r="B1630" s="50" t="s">
        <v>4944</v>
      </c>
      <c r="C1630" s="50" t="s">
        <v>4947</v>
      </c>
      <c r="D1630" s="50" t="s">
        <v>4946</v>
      </c>
      <c r="E1630" s="52" t="b">
        <v>1</v>
      </c>
      <c r="F1630" s="78" t="s">
        <v>703</v>
      </c>
      <c r="G1630" s="50" t="s">
        <v>4944</v>
      </c>
      <c r="H1630" s="50" t="s">
        <v>4945</v>
      </c>
      <c r="I1630" s="53" t="s">
        <v>4946</v>
      </c>
      <c r="J1630" s="55"/>
      <c r="K1630" s="55"/>
      <c r="L1630" s="79"/>
      <c r="M1630" s="56" t="str">
        <f>HYPERLINK("http://nsgreg.nga.mil/genc/view?v=869435&amp;end_month=12&amp;end_day=31&amp;end_year=2016","Correlation")</f>
        <v>Correlation</v>
      </c>
    </row>
    <row r="1631" spans="1:13" x14ac:dyDescent="0.2">
      <c r="A1631" s="113"/>
      <c r="B1631" s="58" t="s">
        <v>4948</v>
      </c>
      <c r="C1631" s="58" t="s">
        <v>1413</v>
      </c>
      <c r="D1631" s="58" t="s">
        <v>4949</v>
      </c>
      <c r="E1631" s="60" t="b">
        <v>1</v>
      </c>
      <c r="F1631" s="80" t="s">
        <v>703</v>
      </c>
      <c r="G1631" s="58" t="s">
        <v>4948</v>
      </c>
      <c r="H1631" s="58" t="s">
        <v>1413</v>
      </c>
      <c r="I1631" s="64" t="s">
        <v>4949</v>
      </c>
      <c r="J1631" s="66"/>
      <c r="K1631" s="66"/>
      <c r="L1631" s="68"/>
      <c r="M1631" s="63" t="str">
        <f>HYPERLINK("http://nsgreg.nga.mil/genc/view?v=869436&amp;end_month=12&amp;end_day=31&amp;end_year=2016","Correlation")</f>
        <v>Correlation</v>
      </c>
    </row>
    <row r="1632" spans="1:13" x14ac:dyDescent="0.2">
      <c r="A1632" s="113"/>
      <c r="B1632" s="58" t="s">
        <v>4950</v>
      </c>
      <c r="C1632" s="58" t="s">
        <v>1413</v>
      </c>
      <c r="D1632" s="58" t="s">
        <v>4951</v>
      </c>
      <c r="E1632" s="60" t="b">
        <v>1</v>
      </c>
      <c r="F1632" s="80" t="s">
        <v>703</v>
      </c>
      <c r="G1632" s="58" t="s">
        <v>4950</v>
      </c>
      <c r="H1632" s="58" t="s">
        <v>1413</v>
      </c>
      <c r="I1632" s="64" t="s">
        <v>4951</v>
      </c>
      <c r="J1632" s="66"/>
      <c r="K1632" s="66"/>
      <c r="L1632" s="68"/>
      <c r="M1632" s="63" t="str">
        <f>HYPERLINK("http://nsgreg.nga.mil/genc/view?v=869439&amp;end_month=12&amp;end_day=31&amp;end_year=2016","Correlation")</f>
        <v>Correlation</v>
      </c>
    </row>
    <row r="1633" spans="1:13" x14ac:dyDescent="0.2">
      <c r="A1633" s="113"/>
      <c r="B1633" s="58" t="s">
        <v>4952</v>
      </c>
      <c r="C1633" s="58" t="s">
        <v>1413</v>
      </c>
      <c r="D1633" s="58" t="s">
        <v>4953</v>
      </c>
      <c r="E1633" s="60" t="b">
        <v>1</v>
      </c>
      <c r="F1633" s="80" t="s">
        <v>703</v>
      </c>
      <c r="G1633" s="58" t="s">
        <v>4952</v>
      </c>
      <c r="H1633" s="58" t="s">
        <v>1413</v>
      </c>
      <c r="I1633" s="64" t="s">
        <v>4953</v>
      </c>
      <c r="J1633" s="66"/>
      <c r="K1633" s="66"/>
      <c r="L1633" s="68"/>
      <c r="M1633" s="63" t="str">
        <f>HYPERLINK("http://nsgreg.nga.mil/genc/view?v=869438&amp;end_month=12&amp;end_day=31&amp;end_year=2016","Correlation")</f>
        <v>Correlation</v>
      </c>
    </row>
    <row r="1634" spans="1:13" x14ac:dyDescent="0.2">
      <c r="A1634" s="113"/>
      <c r="B1634" s="58" t="s">
        <v>4954</v>
      </c>
      <c r="C1634" s="58" t="s">
        <v>1413</v>
      </c>
      <c r="D1634" s="58" t="s">
        <v>4955</v>
      </c>
      <c r="E1634" s="60" t="b">
        <v>1</v>
      </c>
      <c r="F1634" s="80" t="s">
        <v>703</v>
      </c>
      <c r="G1634" s="58" t="s">
        <v>4954</v>
      </c>
      <c r="H1634" s="58" t="s">
        <v>1413</v>
      </c>
      <c r="I1634" s="64" t="s">
        <v>4955</v>
      </c>
      <c r="J1634" s="66"/>
      <c r="K1634" s="66"/>
      <c r="L1634" s="68"/>
      <c r="M1634" s="63" t="str">
        <f>HYPERLINK("http://nsgreg.nga.mil/genc/view?v=869440&amp;end_month=12&amp;end_day=31&amp;end_year=2016","Correlation")</f>
        <v>Correlation</v>
      </c>
    </row>
    <row r="1635" spans="1:13" x14ac:dyDescent="0.2">
      <c r="A1635" s="113"/>
      <c r="B1635" s="58" t="s">
        <v>4959</v>
      </c>
      <c r="C1635" s="58" t="s">
        <v>4957</v>
      </c>
      <c r="D1635" s="58" t="s">
        <v>4958</v>
      </c>
      <c r="E1635" s="60" t="b">
        <v>1</v>
      </c>
      <c r="F1635" s="80" t="s">
        <v>703</v>
      </c>
      <c r="G1635" s="58" t="s">
        <v>4956</v>
      </c>
      <c r="H1635" s="58" t="s">
        <v>4957</v>
      </c>
      <c r="I1635" s="64" t="s">
        <v>4958</v>
      </c>
      <c r="J1635" s="66"/>
      <c r="K1635" s="66"/>
      <c r="L1635" s="68"/>
      <c r="M1635" s="63" t="str">
        <f>HYPERLINK("http://nsgreg.nga.mil/genc/view?v=869444&amp;end_month=12&amp;end_day=31&amp;end_year=2016","Correlation")</f>
        <v>Correlation</v>
      </c>
    </row>
    <row r="1636" spans="1:13" x14ac:dyDescent="0.2">
      <c r="A1636" s="113"/>
      <c r="B1636" s="58" t="s">
        <v>4960</v>
      </c>
      <c r="C1636" s="58" t="s">
        <v>1413</v>
      </c>
      <c r="D1636" s="58" t="s">
        <v>4961</v>
      </c>
      <c r="E1636" s="60" t="b">
        <v>1</v>
      </c>
      <c r="F1636" s="80" t="s">
        <v>703</v>
      </c>
      <c r="G1636" s="58" t="s">
        <v>4960</v>
      </c>
      <c r="H1636" s="58" t="s">
        <v>1413</v>
      </c>
      <c r="I1636" s="64" t="s">
        <v>4961</v>
      </c>
      <c r="J1636" s="66"/>
      <c r="K1636" s="66"/>
      <c r="L1636" s="68"/>
      <c r="M1636" s="63" t="str">
        <f>HYPERLINK("http://nsgreg.nga.mil/genc/view?v=869441&amp;end_month=12&amp;end_day=31&amp;end_year=2016","Correlation")</f>
        <v>Correlation</v>
      </c>
    </row>
    <row r="1637" spans="1:13" x14ac:dyDescent="0.2">
      <c r="A1637" s="113"/>
      <c r="B1637" s="58" t="s">
        <v>4962</v>
      </c>
      <c r="C1637" s="58" t="s">
        <v>4963</v>
      </c>
      <c r="D1637" s="58" t="s">
        <v>4964</v>
      </c>
      <c r="E1637" s="60" t="b">
        <v>1</v>
      </c>
      <c r="F1637" s="80" t="s">
        <v>703</v>
      </c>
      <c r="G1637" s="58" t="s">
        <v>4962</v>
      </c>
      <c r="H1637" s="58" t="s">
        <v>4963</v>
      </c>
      <c r="I1637" s="64" t="s">
        <v>4964</v>
      </c>
      <c r="J1637" s="66"/>
      <c r="K1637" s="66"/>
      <c r="L1637" s="68"/>
      <c r="M1637" s="63" t="str">
        <f>HYPERLINK("http://nsgreg.nga.mil/genc/view?v=869446&amp;end_month=12&amp;end_day=31&amp;end_year=2016","Correlation")</f>
        <v>Correlation</v>
      </c>
    </row>
    <row r="1638" spans="1:13" x14ac:dyDescent="0.2">
      <c r="A1638" s="113"/>
      <c r="B1638" s="58" t="s">
        <v>4965</v>
      </c>
      <c r="C1638" s="58" t="s">
        <v>1413</v>
      </c>
      <c r="D1638" s="58" t="s">
        <v>4966</v>
      </c>
      <c r="E1638" s="60" t="b">
        <v>1</v>
      </c>
      <c r="F1638" s="80" t="s">
        <v>703</v>
      </c>
      <c r="G1638" s="58" t="s">
        <v>4965</v>
      </c>
      <c r="H1638" s="58" t="s">
        <v>1413</v>
      </c>
      <c r="I1638" s="64" t="s">
        <v>4966</v>
      </c>
      <c r="J1638" s="66"/>
      <c r="K1638" s="66"/>
      <c r="L1638" s="68"/>
      <c r="M1638" s="63" t="str">
        <f>HYPERLINK("http://nsgreg.nga.mil/genc/view?v=869442&amp;end_month=12&amp;end_day=31&amp;end_year=2016","Correlation")</f>
        <v>Correlation</v>
      </c>
    </row>
    <row r="1639" spans="1:13" x14ac:dyDescent="0.2">
      <c r="A1639" s="113"/>
      <c r="B1639" s="58" t="s">
        <v>4967</v>
      </c>
      <c r="C1639" s="58" t="s">
        <v>1413</v>
      </c>
      <c r="D1639" s="58" t="s">
        <v>4968</v>
      </c>
      <c r="E1639" s="60" t="b">
        <v>1</v>
      </c>
      <c r="F1639" s="80" t="s">
        <v>703</v>
      </c>
      <c r="G1639" s="58" t="s">
        <v>4967</v>
      </c>
      <c r="H1639" s="58" t="s">
        <v>1413</v>
      </c>
      <c r="I1639" s="64" t="s">
        <v>4968</v>
      </c>
      <c r="J1639" s="66"/>
      <c r="K1639" s="66"/>
      <c r="L1639" s="68"/>
      <c r="M1639" s="63" t="str">
        <f>HYPERLINK("http://nsgreg.nga.mil/genc/view?v=869445&amp;end_month=12&amp;end_day=31&amp;end_year=2016","Correlation")</f>
        <v>Correlation</v>
      </c>
    </row>
    <row r="1640" spans="1:13" x14ac:dyDescent="0.2">
      <c r="A1640" s="113"/>
      <c r="B1640" s="58" t="s">
        <v>4969</v>
      </c>
      <c r="C1640" s="58" t="s">
        <v>1413</v>
      </c>
      <c r="D1640" s="58" t="s">
        <v>4970</v>
      </c>
      <c r="E1640" s="60" t="b">
        <v>1</v>
      </c>
      <c r="F1640" s="80" t="s">
        <v>703</v>
      </c>
      <c r="G1640" s="58" t="s">
        <v>4969</v>
      </c>
      <c r="H1640" s="58" t="s">
        <v>1413</v>
      </c>
      <c r="I1640" s="64" t="s">
        <v>4970</v>
      </c>
      <c r="J1640" s="66"/>
      <c r="K1640" s="66"/>
      <c r="L1640" s="68"/>
      <c r="M1640" s="63" t="str">
        <f>HYPERLINK("http://nsgreg.nga.mil/genc/view?v=869443&amp;end_month=12&amp;end_day=31&amp;end_year=2016","Correlation")</f>
        <v>Correlation</v>
      </c>
    </row>
    <row r="1641" spans="1:13" x14ac:dyDescent="0.2">
      <c r="A1641" s="113"/>
      <c r="B1641" s="58" t="s">
        <v>4971</v>
      </c>
      <c r="C1641" s="58" t="s">
        <v>4963</v>
      </c>
      <c r="D1641" s="58" t="s">
        <v>4972</v>
      </c>
      <c r="E1641" s="60" t="b">
        <v>1</v>
      </c>
      <c r="F1641" s="80" t="s">
        <v>703</v>
      </c>
      <c r="G1641" s="58" t="s">
        <v>4971</v>
      </c>
      <c r="H1641" s="58" t="s">
        <v>4963</v>
      </c>
      <c r="I1641" s="64" t="s">
        <v>4972</v>
      </c>
      <c r="J1641" s="66"/>
      <c r="K1641" s="66"/>
      <c r="L1641" s="68"/>
      <c r="M1641" s="63" t="str">
        <f>HYPERLINK("http://nsgreg.nga.mil/genc/view?v=869447&amp;end_month=12&amp;end_day=31&amp;end_year=2016","Correlation")</f>
        <v>Correlation</v>
      </c>
    </row>
    <row r="1642" spans="1:13" x14ac:dyDescent="0.2">
      <c r="A1642" s="113"/>
      <c r="B1642" s="58" t="s">
        <v>4973</v>
      </c>
      <c r="C1642" s="58" t="s">
        <v>1413</v>
      </c>
      <c r="D1642" s="58" t="s">
        <v>4974</v>
      </c>
      <c r="E1642" s="60" t="b">
        <v>1</v>
      </c>
      <c r="F1642" s="80" t="s">
        <v>703</v>
      </c>
      <c r="G1642" s="58" t="s">
        <v>4973</v>
      </c>
      <c r="H1642" s="58" t="s">
        <v>1413</v>
      </c>
      <c r="I1642" s="64" t="s">
        <v>4974</v>
      </c>
      <c r="J1642" s="66"/>
      <c r="K1642" s="66"/>
      <c r="L1642" s="68"/>
      <c r="M1642" s="63" t="str">
        <f>HYPERLINK("http://nsgreg.nga.mil/genc/view?v=869448&amp;end_month=12&amp;end_day=31&amp;end_year=2016","Correlation")</f>
        <v>Correlation</v>
      </c>
    </row>
    <row r="1643" spans="1:13" x14ac:dyDescent="0.2">
      <c r="A1643" s="113"/>
      <c r="B1643" s="58" t="s">
        <v>4975</v>
      </c>
      <c r="C1643" s="58" t="s">
        <v>1413</v>
      </c>
      <c r="D1643" s="58" t="s">
        <v>4976</v>
      </c>
      <c r="E1643" s="60" t="b">
        <v>1</v>
      </c>
      <c r="F1643" s="80" t="s">
        <v>703</v>
      </c>
      <c r="G1643" s="58" t="s">
        <v>4975</v>
      </c>
      <c r="H1643" s="58" t="s">
        <v>1413</v>
      </c>
      <c r="I1643" s="64" t="s">
        <v>4976</v>
      </c>
      <c r="J1643" s="66"/>
      <c r="K1643" s="66"/>
      <c r="L1643" s="68"/>
      <c r="M1643" s="63" t="str">
        <f>HYPERLINK("http://nsgreg.nga.mil/genc/view?v=869451&amp;end_month=12&amp;end_day=31&amp;end_year=2016","Correlation")</f>
        <v>Correlation</v>
      </c>
    </row>
    <row r="1644" spans="1:13" x14ac:dyDescent="0.2">
      <c r="A1644" s="113"/>
      <c r="B1644" s="58" t="s">
        <v>4977</v>
      </c>
      <c r="C1644" s="58" t="s">
        <v>1413</v>
      </c>
      <c r="D1644" s="58" t="s">
        <v>4978</v>
      </c>
      <c r="E1644" s="60" t="b">
        <v>1</v>
      </c>
      <c r="F1644" s="80" t="s">
        <v>703</v>
      </c>
      <c r="G1644" s="58" t="s">
        <v>4977</v>
      </c>
      <c r="H1644" s="58" t="s">
        <v>1413</v>
      </c>
      <c r="I1644" s="64" t="s">
        <v>4978</v>
      </c>
      <c r="J1644" s="66"/>
      <c r="K1644" s="66"/>
      <c r="L1644" s="68"/>
      <c r="M1644" s="63" t="str">
        <f>HYPERLINK("http://nsgreg.nga.mil/genc/view?v=869452&amp;end_month=12&amp;end_day=31&amp;end_year=2016","Correlation")</f>
        <v>Correlation</v>
      </c>
    </row>
    <row r="1645" spans="1:13" x14ac:dyDescent="0.2">
      <c r="A1645" s="113"/>
      <c r="B1645" s="58" t="s">
        <v>4979</v>
      </c>
      <c r="C1645" s="58" t="s">
        <v>1413</v>
      </c>
      <c r="D1645" s="58" t="s">
        <v>4980</v>
      </c>
      <c r="E1645" s="60" t="b">
        <v>1</v>
      </c>
      <c r="F1645" s="80" t="s">
        <v>703</v>
      </c>
      <c r="G1645" s="58" t="s">
        <v>4979</v>
      </c>
      <c r="H1645" s="58" t="s">
        <v>1413</v>
      </c>
      <c r="I1645" s="64" t="s">
        <v>4980</v>
      </c>
      <c r="J1645" s="66"/>
      <c r="K1645" s="66"/>
      <c r="L1645" s="68"/>
      <c r="M1645" s="63" t="str">
        <f>HYPERLINK("http://nsgreg.nga.mil/genc/view?v=869449&amp;end_month=12&amp;end_day=31&amp;end_year=2016","Correlation")</f>
        <v>Correlation</v>
      </c>
    </row>
    <row r="1646" spans="1:13" x14ac:dyDescent="0.2">
      <c r="A1646" s="113"/>
      <c r="B1646" s="58" t="s">
        <v>4981</v>
      </c>
      <c r="C1646" s="58" t="s">
        <v>1413</v>
      </c>
      <c r="D1646" s="58" t="s">
        <v>4982</v>
      </c>
      <c r="E1646" s="60" t="b">
        <v>1</v>
      </c>
      <c r="F1646" s="80" t="s">
        <v>703</v>
      </c>
      <c r="G1646" s="58" t="s">
        <v>4981</v>
      </c>
      <c r="H1646" s="58" t="s">
        <v>1413</v>
      </c>
      <c r="I1646" s="64" t="s">
        <v>4982</v>
      </c>
      <c r="J1646" s="66"/>
      <c r="K1646" s="66"/>
      <c r="L1646" s="68"/>
      <c r="M1646" s="63" t="str">
        <f>HYPERLINK("http://nsgreg.nga.mil/genc/view?v=869453&amp;end_month=12&amp;end_day=31&amp;end_year=2016","Correlation")</f>
        <v>Correlation</v>
      </c>
    </row>
    <row r="1647" spans="1:13" x14ac:dyDescent="0.2">
      <c r="A1647" s="113"/>
      <c r="B1647" s="58" t="s">
        <v>4983</v>
      </c>
      <c r="C1647" s="58" t="s">
        <v>1413</v>
      </c>
      <c r="D1647" s="58" t="s">
        <v>4984</v>
      </c>
      <c r="E1647" s="60" t="b">
        <v>1</v>
      </c>
      <c r="F1647" s="80" t="s">
        <v>703</v>
      </c>
      <c r="G1647" s="58" t="s">
        <v>4983</v>
      </c>
      <c r="H1647" s="58" t="s">
        <v>1413</v>
      </c>
      <c r="I1647" s="64" t="s">
        <v>4984</v>
      </c>
      <c r="J1647" s="66"/>
      <c r="K1647" s="66"/>
      <c r="L1647" s="68"/>
      <c r="M1647" s="63" t="str">
        <f>HYPERLINK("http://nsgreg.nga.mil/genc/view?v=869437&amp;end_month=12&amp;end_day=31&amp;end_year=2016","Correlation")</f>
        <v>Correlation</v>
      </c>
    </row>
    <row r="1648" spans="1:13" x14ac:dyDescent="0.2">
      <c r="A1648" s="113"/>
      <c r="B1648" s="58" t="s">
        <v>4985</v>
      </c>
      <c r="C1648" s="58" t="s">
        <v>1413</v>
      </c>
      <c r="D1648" s="58" t="s">
        <v>4986</v>
      </c>
      <c r="E1648" s="60" t="b">
        <v>1</v>
      </c>
      <c r="F1648" s="80" t="s">
        <v>703</v>
      </c>
      <c r="G1648" s="58" t="s">
        <v>4985</v>
      </c>
      <c r="H1648" s="58" t="s">
        <v>1413</v>
      </c>
      <c r="I1648" s="64" t="s">
        <v>4986</v>
      </c>
      <c r="J1648" s="66"/>
      <c r="K1648" s="66"/>
      <c r="L1648" s="68"/>
      <c r="M1648" s="63" t="str">
        <f>HYPERLINK("http://nsgreg.nga.mil/genc/view?v=869450&amp;end_month=12&amp;end_day=31&amp;end_year=2016","Correlation")</f>
        <v>Correlation</v>
      </c>
    </row>
    <row r="1649" spans="1:13" x14ac:dyDescent="0.2">
      <c r="A1649" s="113"/>
      <c r="B1649" s="58" t="s">
        <v>4987</v>
      </c>
      <c r="C1649" s="58" t="s">
        <v>1413</v>
      </c>
      <c r="D1649" s="58" t="s">
        <v>4988</v>
      </c>
      <c r="E1649" s="60" t="b">
        <v>1</v>
      </c>
      <c r="F1649" s="80" t="s">
        <v>703</v>
      </c>
      <c r="G1649" s="58" t="s">
        <v>4987</v>
      </c>
      <c r="H1649" s="58" t="s">
        <v>1413</v>
      </c>
      <c r="I1649" s="64" t="s">
        <v>4988</v>
      </c>
      <c r="J1649" s="66"/>
      <c r="K1649" s="66"/>
      <c r="L1649" s="68"/>
      <c r="M1649" s="63" t="str">
        <f>HYPERLINK("http://nsgreg.nga.mil/genc/view?v=869454&amp;end_month=12&amp;end_day=31&amp;end_year=2016","Correlation")</f>
        <v>Correlation</v>
      </c>
    </row>
    <row r="1650" spans="1:13" x14ac:dyDescent="0.2">
      <c r="A1650" s="113"/>
      <c r="B1650" s="58" t="s">
        <v>4989</v>
      </c>
      <c r="C1650" s="58" t="s">
        <v>4963</v>
      </c>
      <c r="D1650" s="58" t="s">
        <v>4990</v>
      </c>
      <c r="E1650" s="60" t="b">
        <v>1</v>
      </c>
      <c r="F1650" s="80" t="s">
        <v>703</v>
      </c>
      <c r="G1650" s="58" t="s">
        <v>4989</v>
      </c>
      <c r="H1650" s="58" t="s">
        <v>4963</v>
      </c>
      <c r="I1650" s="64" t="s">
        <v>4990</v>
      </c>
      <c r="J1650" s="66"/>
      <c r="K1650" s="66"/>
      <c r="L1650" s="68"/>
      <c r="M1650" s="63" t="str">
        <f>HYPERLINK("http://nsgreg.nga.mil/genc/view?v=869456&amp;end_month=12&amp;end_day=31&amp;end_year=2016","Correlation")</f>
        <v>Correlation</v>
      </c>
    </row>
    <row r="1651" spans="1:13" x14ac:dyDescent="0.2">
      <c r="A1651" s="113"/>
      <c r="B1651" s="58" t="s">
        <v>4989</v>
      </c>
      <c r="C1651" s="58" t="s">
        <v>1413</v>
      </c>
      <c r="D1651" s="58" t="s">
        <v>4991</v>
      </c>
      <c r="E1651" s="60" t="b">
        <v>1</v>
      </c>
      <c r="F1651" s="80" t="s">
        <v>703</v>
      </c>
      <c r="G1651" s="58" t="s">
        <v>4989</v>
      </c>
      <c r="H1651" s="58" t="s">
        <v>1413</v>
      </c>
      <c r="I1651" s="64" t="s">
        <v>4991</v>
      </c>
      <c r="J1651" s="66"/>
      <c r="K1651" s="66"/>
      <c r="L1651" s="68"/>
      <c r="M1651" s="63" t="str">
        <f>HYPERLINK("http://nsgreg.nga.mil/genc/view?v=869455&amp;end_month=12&amp;end_day=31&amp;end_year=2016","Correlation")</f>
        <v>Correlation</v>
      </c>
    </row>
    <row r="1652" spans="1:13" x14ac:dyDescent="0.2">
      <c r="A1652" s="113"/>
      <c r="B1652" s="58" t="s">
        <v>4992</v>
      </c>
      <c r="C1652" s="58" t="s">
        <v>1413</v>
      </c>
      <c r="D1652" s="58" t="s">
        <v>4993</v>
      </c>
      <c r="E1652" s="60" t="b">
        <v>1</v>
      </c>
      <c r="F1652" s="80" t="s">
        <v>703</v>
      </c>
      <c r="G1652" s="58" t="s">
        <v>4992</v>
      </c>
      <c r="H1652" s="58" t="s">
        <v>1413</v>
      </c>
      <c r="I1652" s="64" t="s">
        <v>4993</v>
      </c>
      <c r="J1652" s="66"/>
      <c r="K1652" s="66"/>
      <c r="L1652" s="68"/>
      <c r="M1652" s="63" t="str">
        <f>HYPERLINK("http://nsgreg.nga.mil/genc/view?v=869457&amp;end_month=12&amp;end_day=31&amp;end_year=2016","Correlation")</f>
        <v>Correlation</v>
      </c>
    </row>
    <row r="1653" spans="1:13" x14ac:dyDescent="0.2">
      <c r="A1653" s="113"/>
      <c r="B1653" s="58" t="s">
        <v>4994</v>
      </c>
      <c r="C1653" s="58" t="s">
        <v>4963</v>
      </c>
      <c r="D1653" s="58" t="s">
        <v>4995</v>
      </c>
      <c r="E1653" s="60" t="b">
        <v>1</v>
      </c>
      <c r="F1653" s="80" t="s">
        <v>703</v>
      </c>
      <c r="G1653" s="58" t="s">
        <v>4994</v>
      </c>
      <c r="H1653" s="58" t="s">
        <v>4963</v>
      </c>
      <c r="I1653" s="64" t="s">
        <v>4995</v>
      </c>
      <c r="J1653" s="66"/>
      <c r="K1653" s="66"/>
      <c r="L1653" s="68"/>
      <c r="M1653" s="63" t="str">
        <f>HYPERLINK("http://nsgreg.nga.mil/genc/view?v=869460&amp;end_month=12&amp;end_day=31&amp;end_year=2016","Correlation")</f>
        <v>Correlation</v>
      </c>
    </row>
    <row r="1654" spans="1:13" x14ac:dyDescent="0.2">
      <c r="A1654" s="113"/>
      <c r="B1654" s="58" t="s">
        <v>4996</v>
      </c>
      <c r="C1654" s="58" t="s">
        <v>1413</v>
      </c>
      <c r="D1654" s="58" t="s">
        <v>4997</v>
      </c>
      <c r="E1654" s="60" t="b">
        <v>1</v>
      </c>
      <c r="F1654" s="80" t="s">
        <v>703</v>
      </c>
      <c r="G1654" s="58" t="s">
        <v>4996</v>
      </c>
      <c r="H1654" s="58" t="s">
        <v>1413</v>
      </c>
      <c r="I1654" s="64" t="s">
        <v>4997</v>
      </c>
      <c r="J1654" s="66"/>
      <c r="K1654" s="66"/>
      <c r="L1654" s="68"/>
      <c r="M1654" s="63" t="str">
        <f>HYPERLINK("http://nsgreg.nga.mil/genc/view?v=869458&amp;end_month=12&amp;end_day=31&amp;end_year=2016","Correlation")</f>
        <v>Correlation</v>
      </c>
    </row>
    <row r="1655" spans="1:13" x14ac:dyDescent="0.2">
      <c r="A1655" s="113"/>
      <c r="B1655" s="58" t="s">
        <v>4998</v>
      </c>
      <c r="C1655" s="58" t="s">
        <v>1413</v>
      </c>
      <c r="D1655" s="58" t="s">
        <v>4999</v>
      </c>
      <c r="E1655" s="60" t="b">
        <v>1</v>
      </c>
      <c r="F1655" s="80" t="s">
        <v>703</v>
      </c>
      <c r="G1655" s="58" t="s">
        <v>4998</v>
      </c>
      <c r="H1655" s="58" t="s">
        <v>1413</v>
      </c>
      <c r="I1655" s="64" t="s">
        <v>4999</v>
      </c>
      <c r="J1655" s="66"/>
      <c r="K1655" s="66"/>
      <c r="L1655" s="68"/>
      <c r="M1655" s="63" t="str">
        <f>HYPERLINK("http://nsgreg.nga.mil/genc/view?v=869459&amp;end_month=12&amp;end_day=31&amp;end_year=2016","Correlation")</f>
        <v>Correlation</v>
      </c>
    </row>
    <row r="1656" spans="1:13" x14ac:dyDescent="0.2">
      <c r="A1656" s="113"/>
      <c r="B1656" s="58" t="s">
        <v>5000</v>
      </c>
      <c r="C1656" s="58" t="s">
        <v>4963</v>
      </c>
      <c r="D1656" s="58" t="s">
        <v>5001</v>
      </c>
      <c r="E1656" s="60" t="b">
        <v>1</v>
      </c>
      <c r="F1656" s="80" t="s">
        <v>703</v>
      </c>
      <c r="G1656" s="58" t="s">
        <v>5000</v>
      </c>
      <c r="H1656" s="58" t="s">
        <v>4963</v>
      </c>
      <c r="I1656" s="64" t="s">
        <v>5001</v>
      </c>
      <c r="J1656" s="66"/>
      <c r="K1656" s="66"/>
      <c r="L1656" s="68"/>
      <c r="M1656" s="63" t="str">
        <f>HYPERLINK("http://nsgreg.nga.mil/genc/view?v=869463&amp;end_month=12&amp;end_day=31&amp;end_year=2016","Correlation")</f>
        <v>Correlation</v>
      </c>
    </row>
    <row r="1657" spans="1:13" x14ac:dyDescent="0.2">
      <c r="A1657" s="113"/>
      <c r="B1657" s="58" t="s">
        <v>5000</v>
      </c>
      <c r="C1657" s="58" t="s">
        <v>1413</v>
      </c>
      <c r="D1657" s="58" t="s">
        <v>5002</v>
      </c>
      <c r="E1657" s="60" t="b">
        <v>1</v>
      </c>
      <c r="F1657" s="80" t="s">
        <v>703</v>
      </c>
      <c r="G1657" s="58" t="s">
        <v>5000</v>
      </c>
      <c r="H1657" s="58" t="s">
        <v>1413</v>
      </c>
      <c r="I1657" s="64" t="s">
        <v>5002</v>
      </c>
      <c r="J1657" s="66"/>
      <c r="K1657" s="66"/>
      <c r="L1657" s="68"/>
      <c r="M1657" s="63" t="str">
        <f>HYPERLINK("http://nsgreg.nga.mil/genc/view?v=869461&amp;end_month=12&amp;end_day=31&amp;end_year=2016","Correlation")</f>
        <v>Correlation</v>
      </c>
    </row>
    <row r="1658" spans="1:13" x14ac:dyDescent="0.2">
      <c r="A1658" s="113"/>
      <c r="B1658" s="58" t="s">
        <v>5003</v>
      </c>
      <c r="C1658" s="58" t="s">
        <v>1413</v>
      </c>
      <c r="D1658" s="58" t="s">
        <v>5004</v>
      </c>
      <c r="E1658" s="60" t="b">
        <v>1</v>
      </c>
      <c r="F1658" s="80" t="s">
        <v>703</v>
      </c>
      <c r="G1658" s="58" t="s">
        <v>5003</v>
      </c>
      <c r="H1658" s="58" t="s">
        <v>1413</v>
      </c>
      <c r="I1658" s="64" t="s">
        <v>5004</v>
      </c>
      <c r="J1658" s="66"/>
      <c r="K1658" s="66"/>
      <c r="L1658" s="68"/>
      <c r="M1658" s="63" t="str">
        <f>HYPERLINK("http://nsgreg.nga.mil/genc/view?v=869462&amp;end_month=12&amp;end_day=31&amp;end_year=2016","Correlation")</f>
        <v>Correlation</v>
      </c>
    </row>
    <row r="1659" spans="1:13" x14ac:dyDescent="0.2">
      <c r="A1659" s="113"/>
      <c r="B1659" s="58" t="s">
        <v>5005</v>
      </c>
      <c r="C1659" s="58" t="s">
        <v>1413</v>
      </c>
      <c r="D1659" s="58" t="s">
        <v>5006</v>
      </c>
      <c r="E1659" s="60" t="b">
        <v>1</v>
      </c>
      <c r="F1659" s="80" t="s">
        <v>703</v>
      </c>
      <c r="G1659" s="58" t="s">
        <v>5005</v>
      </c>
      <c r="H1659" s="58" t="s">
        <v>1413</v>
      </c>
      <c r="I1659" s="64" t="s">
        <v>5006</v>
      </c>
      <c r="J1659" s="66"/>
      <c r="K1659" s="66"/>
      <c r="L1659" s="68"/>
      <c r="M1659" s="63" t="str">
        <f>HYPERLINK("http://nsgreg.nga.mil/genc/view?v=869464&amp;end_month=12&amp;end_day=31&amp;end_year=2016","Correlation")</f>
        <v>Correlation</v>
      </c>
    </row>
    <row r="1660" spans="1:13" x14ac:dyDescent="0.2">
      <c r="A1660" s="113"/>
      <c r="B1660" s="58" t="s">
        <v>5007</v>
      </c>
      <c r="C1660" s="58" t="s">
        <v>4963</v>
      </c>
      <c r="D1660" s="58" t="s">
        <v>5008</v>
      </c>
      <c r="E1660" s="60" t="b">
        <v>1</v>
      </c>
      <c r="F1660" s="80" t="s">
        <v>703</v>
      </c>
      <c r="G1660" s="58" t="s">
        <v>5007</v>
      </c>
      <c r="H1660" s="58" t="s">
        <v>4963</v>
      </c>
      <c r="I1660" s="64" t="s">
        <v>5008</v>
      </c>
      <c r="J1660" s="66"/>
      <c r="K1660" s="66"/>
      <c r="L1660" s="68"/>
      <c r="M1660" s="63" t="str">
        <f>HYPERLINK("http://nsgreg.nga.mil/genc/view?v=869468&amp;end_month=12&amp;end_day=31&amp;end_year=2016","Correlation")</f>
        <v>Correlation</v>
      </c>
    </row>
    <row r="1661" spans="1:13" x14ac:dyDescent="0.2">
      <c r="A1661" s="113"/>
      <c r="B1661" s="58" t="s">
        <v>5009</v>
      </c>
      <c r="C1661" s="58" t="s">
        <v>1413</v>
      </c>
      <c r="D1661" s="58" t="s">
        <v>5010</v>
      </c>
      <c r="E1661" s="60" t="b">
        <v>1</v>
      </c>
      <c r="F1661" s="80" t="s">
        <v>703</v>
      </c>
      <c r="G1661" s="58" t="s">
        <v>5009</v>
      </c>
      <c r="H1661" s="58" t="s">
        <v>1413</v>
      </c>
      <c r="I1661" s="64" t="s">
        <v>5010</v>
      </c>
      <c r="J1661" s="66"/>
      <c r="K1661" s="66"/>
      <c r="L1661" s="68"/>
      <c r="M1661" s="63" t="str">
        <f>HYPERLINK("http://nsgreg.nga.mil/genc/view?v=869471&amp;end_month=12&amp;end_day=31&amp;end_year=2016","Correlation")</f>
        <v>Correlation</v>
      </c>
    </row>
    <row r="1662" spans="1:13" x14ac:dyDescent="0.2">
      <c r="A1662" s="113"/>
      <c r="B1662" s="58" t="s">
        <v>5011</v>
      </c>
      <c r="C1662" s="58" t="s">
        <v>1413</v>
      </c>
      <c r="D1662" s="58" t="s">
        <v>5012</v>
      </c>
      <c r="E1662" s="60" t="b">
        <v>1</v>
      </c>
      <c r="F1662" s="80" t="s">
        <v>703</v>
      </c>
      <c r="G1662" s="58" t="s">
        <v>5011</v>
      </c>
      <c r="H1662" s="58" t="s">
        <v>1413</v>
      </c>
      <c r="I1662" s="64" t="s">
        <v>5012</v>
      </c>
      <c r="J1662" s="66"/>
      <c r="K1662" s="66"/>
      <c r="L1662" s="68"/>
      <c r="M1662" s="63" t="str">
        <f>HYPERLINK("http://nsgreg.nga.mil/genc/view?v=869470&amp;end_month=12&amp;end_day=31&amp;end_year=2016","Correlation")</f>
        <v>Correlation</v>
      </c>
    </row>
    <row r="1663" spans="1:13" x14ac:dyDescent="0.2">
      <c r="A1663" s="113"/>
      <c r="B1663" s="58" t="s">
        <v>5013</v>
      </c>
      <c r="C1663" s="58" t="s">
        <v>1413</v>
      </c>
      <c r="D1663" s="58" t="s">
        <v>5014</v>
      </c>
      <c r="E1663" s="60" t="b">
        <v>1</v>
      </c>
      <c r="F1663" s="80" t="s">
        <v>703</v>
      </c>
      <c r="G1663" s="58" t="s">
        <v>5013</v>
      </c>
      <c r="H1663" s="58" t="s">
        <v>1413</v>
      </c>
      <c r="I1663" s="64" t="s">
        <v>5014</v>
      </c>
      <c r="J1663" s="66"/>
      <c r="K1663" s="66"/>
      <c r="L1663" s="68"/>
      <c r="M1663" s="63" t="str">
        <f>HYPERLINK("http://nsgreg.nga.mil/genc/view?v=869473&amp;end_month=12&amp;end_day=31&amp;end_year=2016","Correlation")</f>
        <v>Correlation</v>
      </c>
    </row>
    <row r="1664" spans="1:13" x14ac:dyDescent="0.2">
      <c r="A1664" s="113"/>
      <c r="B1664" s="58" t="s">
        <v>5015</v>
      </c>
      <c r="C1664" s="58" t="s">
        <v>1413</v>
      </c>
      <c r="D1664" s="58" t="s">
        <v>5016</v>
      </c>
      <c r="E1664" s="60" t="b">
        <v>1</v>
      </c>
      <c r="F1664" s="80" t="s">
        <v>703</v>
      </c>
      <c r="G1664" s="58" t="s">
        <v>5015</v>
      </c>
      <c r="H1664" s="58" t="s">
        <v>1413</v>
      </c>
      <c r="I1664" s="64" t="s">
        <v>5016</v>
      </c>
      <c r="J1664" s="66"/>
      <c r="K1664" s="66"/>
      <c r="L1664" s="68"/>
      <c r="M1664" s="63" t="str">
        <f>HYPERLINK("http://nsgreg.nga.mil/genc/view?v=869467&amp;end_month=12&amp;end_day=31&amp;end_year=2016","Correlation")</f>
        <v>Correlation</v>
      </c>
    </row>
    <row r="1665" spans="1:13" x14ac:dyDescent="0.2">
      <c r="A1665" s="113"/>
      <c r="B1665" s="58" t="s">
        <v>5017</v>
      </c>
      <c r="C1665" s="58" t="s">
        <v>1413</v>
      </c>
      <c r="D1665" s="58" t="s">
        <v>5018</v>
      </c>
      <c r="E1665" s="60" t="b">
        <v>1</v>
      </c>
      <c r="F1665" s="80" t="s">
        <v>703</v>
      </c>
      <c r="G1665" s="58" t="s">
        <v>5017</v>
      </c>
      <c r="H1665" s="58" t="s">
        <v>1413</v>
      </c>
      <c r="I1665" s="64" t="s">
        <v>5018</v>
      </c>
      <c r="J1665" s="66"/>
      <c r="K1665" s="66"/>
      <c r="L1665" s="68"/>
      <c r="M1665" s="63" t="str">
        <f>HYPERLINK("http://nsgreg.nga.mil/genc/view?v=869465&amp;end_month=12&amp;end_day=31&amp;end_year=2016","Correlation")</f>
        <v>Correlation</v>
      </c>
    </row>
    <row r="1666" spans="1:13" x14ac:dyDescent="0.2">
      <c r="A1666" s="113"/>
      <c r="B1666" s="58" t="s">
        <v>5019</v>
      </c>
      <c r="C1666" s="58" t="s">
        <v>4963</v>
      </c>
      <c r="D1666" s="58" t="s">
        <v>5020</v>
      </c>
      <c r="E1666" s="60" t="b">
        <v>1</v>
      </c>
      <c r="F1666" s="80" t="s">
        <v>703</v>
      </c>
      <c r="G1666" s="58" t="s">
        <v>5019</v>
      </c>
      <c r="H1666" s="58" t="s">
        <v>4963</v>
      </c>
      <c r="I1666" s="64" t="s">
        <v>5020</v>
      </c>
      <c r="J1666" s="66"/>
      <c r="K1666" s="66"/>
      <c r="L1666" s="68"/>
      <c r="M1666" s="63" t="str">
        <f>HYPERLINK("http://nsgreg.nga.mil/genc/view?v=869469&amp;end_month=12&amp;end_day=31&amp;end_year=2016","Correlation")</f>
        <v>Correlation</v>
      </c>
    </row>
    <row r="1667" spans="1:13" x14ac:dyDescent="0.2">
      <c r="A1667" s="113"/>
      <c r="B1667" s="58" t="s">
        <v>5021</v>
      </c>
      <c r="C1667" s="58" t="s">
        <v>1413</v>
      </c>
      <c r="D1667" s="58" t="s">
        <v>5022</v>
      </c>
      <c r="E1667" s="60" t="b">
        <v>1</v>
      </c>
      <c r="F1667" s="80" t="s">
        <v>703</v>
      </c>
      <c r="G1667" s="58" t="s">
        <v>5021</v>
      </c>
      <c r="H1667" s="58" t="s">
        <v>1413</v>
      </c>
      <c r="I1667" s="64" t="s">
        <v>5022</v>
      </c>
      <c r="J1667" s="66"/>
      <c r="K1667" s="66"/>
      <c r="L1667" s="68"/>
      <c r="M1667" s="63" t="str">
        <f>HYPERLINK("http://nsgreg.nga.mil/genc/view?v=869466&amp;end_month=12&amp;end_day=31&amp;end_year=2016","Correlation")</f>
        <v>Correlation</v>
      </c>
    </row>
    <row r="1668" spans="1:13" x14ac:dyDescent="0.2">
      <c r="A1668" s="113"/>
      <c r="B1668" s="58" t="s">
        <v>5023</v>
      </c>
      <c r="C1668" s="58" t="s">
        <v>1413</v>
      </c>
      <c r="D1668" s="58" t="s">
        <v>5024</v>
      </c>
      <c r="E1668" s="60" t="b">
        <v>1</v>
      </c>
      <c r="F1668" s="80" t="s">
        <v>703</v>
      </c>
      <c r="G1668" s="58" t="s">
        <v>5023</v>
      </c>
      <c r="H1668" s="58" t="s">
        <v>1413</v>
      </c>
      <c r="I1668" s="64" t="s">
        <v>5024</v>
      </c>
      <c r="J1668" s="66"/>
      <c r="K1668" s="66"/>
      <c r="L1668" s="68"/>
      <c r="M1668" s="63" t="str">
        <f>HYPERLINK("http://nsgreg.nga.mil/genc/view?v=869472&amp;end_month=12&amp;end_day=31&amp;end_year=2016","Correlation")</f>
        <v>Correlation</v>
      </c>
    </row>
    <row r="1669" spans="1:13" x14ac:dyDescent="0.2">
      <c r="A1669" s="113"/>
      <c r="B1669" s="58" t="s">
        <v>5025</v>
      </c>
      <c r="C1669" s="58" t="s">
        <v>1413</v>
      </c>
      <c r="D1669" s="58" t="s">
        <v>5026</v>
      </c>
      <c r="E1669" s="60" t="b">
        <v>1</v>
      </c>
      <c r="F1669" s="80" t="s">
        <v>703</v>
      </c>
      <c r="G1669" s="58" t="s">
        <v>5025</v>
      </c>
      <c r="H1669" s="58" t="s">
        <v>1413</v>
      </c>
      <c r="I1669" s="64" t="s">
        <v>5026</v>
      </c>
      <c r="J1669" s="66"/>
      <c r="K1669" s="66"/>
      <c r="L1669" s="68"/>
      <c r="M1669" s="63" t="str">
        <f>HYPERLINK("http://nsgreg.nga.mil/genc/view?v=869474&amp;end_month=12&amp;end_day=31&amp;end_year=2016","Correlation")</f>
        <v>Correlation</v>
      </c>
    </row>
    <row r="1670" spans="1:13" x14ac:dyDescent="0.2">
      <c r="A1670" s="114"/>
      <c r="B1670" s="71" t="s">
        <v>5027</v>
      </c>
      <c r="C1670" s="71" t="s">
        <v>4945</v>
      </c>
      <c r="D1670" s="71" t="s">
        <v>5028</v>
      </c>
      <c r="E1670" s="73" t="b">
        <v>1</v>
      </c>
      <c r="F1670" s="81" t="s">
        <v>703</v>
      </c>
      <c r="G1670" s="71" t="s">
        <v>5027</v>
      </c>
      <c r="H1670" s="71" t="s">
        <v>4945</v>
      </c>
      <c r="I1670" s="74" t="s">
        <v>5028</v>
      </c>
      <c r="J1670" s="76"/>
      <c r="K1670" s="76"/>
      <c r="L1670" s="82"/>
      <c r="M1670" s="77" t="str">
        <f>HYPERLINK("http://nsgreg.nga.mil/genc/view?v=869475&amp;end_month=12&amp;end_day=31&amp;end_year=2016","Correlation")</f>
        <v>Correlation</v>
      </c>
    </row>
    <row r="1671" spans="1:13" x14ac:dyDescent="0.2">
      <c r="A1671" s="112" t="s">
        <v>711</v>
      </c>
      <c r="B1671" s="50" t="s">
        <v>5029</v>
      </c>
      <c r="C1671" s="50" t="s">
        <v>1413</v>
      </c>
      <c r="D1671" s="50" t="s">
        <v>5030</v>
      </c>
      <c r="E1671" s="52" t="b">
        <v>1</v>
      </c>
      <c r="F1671" s="78" t="s">
        <v>707</v>
      </c>
      <c r="G1671" s="50" t="s">
        <v>5029</v>
      </c>
      <c r="H1671" s="50" t="s">
        <v>1413</v>
      </c>
      <c r="I1671" s="53" t="s">
        <v>5030</v>
      </c>
      <c r="J1671" s="55"/>
      <c r="K1671" s="55"/>
      <c r="L1671" s="79"/>
      <c r="M1671" s="56" t="str">
        <f>HYPERLINK("http://nsgreg.nga.mil/genc/view?v=869596&amp;end_month=12&amp;end_day=31&amp;end_year=2016","Correlation")</f>
        <v>Correlation</v>
      </c>
    </row>
    <row r="1672" spans="1:13" x14ac:dyDescent="0.2">
      <c r="A1672" s="113"/>
      <c r="B1672" s="58" t="s">
        <v>5032</v>
      </c>
      <c r="C1672" s="58" t="s">
        <v>1413</v>
      </c>
      <c r="D1672" s="58" t="s">
        <v>5033</v>
      </c>
      <c r="E1672" s="60" t="b">
        <v>1</v>
      </c>
      <c r="F1672" s="80" t="s">
        <v>707</v>
      </c>
      <c r="G1672" s="58" t="s">
        <v>5032</v>
      </c>
      <c r="H1672" s="58" t="s">
        <v>1413</v>
      </c>
      <c r="I1672" s="64" t="s">
        <v>5033</v>
      </c>
      <c r="J1672" s="66"/>
      <c r="K1672" s="66"/>
      <c r="L1672" s="68"/>
      <c r="M1672" s="63" t="str">
        <f>HYPERLINK("http://nsgreg.nga.mil/genc/view?v=869568&amp;end_month=12&amp;end_day=31&amp;end_year=2016","Correlation")</f>
        <v>Correlation</v>
      </c>
    </row>
    <row r="1673" spans="1:13" x14ac:dyDescent="0.2">
      <c r="A1673" s="113"/>
      <c r="B1673" s="58" t="s">
        <v>5034</v>
      </c>
      <c r="C1673" s="58" t="s">
        <v>1413</v>
      </c>
      <c r="D1673" s="58" t="s">
        <v>5035</v>
      </c>
      <c r="E1673" s="60" t="b">
        <v>1</v>
      </c>
      <c r="F1673" s="80" t="s">
        <v>707</v>
      </c>
      <c r="G1673" s="58" t="s">
        <v>5034</v>
      </c>
      <c r="H1673" s="58" t="s">
        <v>1413</v>
      </c>
      <c r="I1673" s="64" t="s">
        <v>5035</v>
      </c>
      <c r="J1673" s="66"/>
      <c r="K1673" s="66"/>
      <c r="L1673" s="68"/>
      <c r="M1673" s="63" t="str">
        <f>HYPERLINK("http://nsgreg.nga.mil/genc/view?v=869567&amp;end_month=12&amp;end_day=31&amp;end_year=2016","Correlation")</f>
        <v>Correlation</v>
      </c>
    </row>
    <row r="1674" spans="1:13" x14ac:dyDescent="0.2">
      <c r="A1674" s="113"/>
      <c r="B1674" s="58" t="s">
        <v>5036</v>
      </c>
      <c r="C1674" s="58" t="s">
        <v>1413</v>
      </c>
      <c r="D1674" s="58" t="s">
        <v>5037</v>
      </c>
      <c r="E1674" s="60" t="b">
        <v>1</v>
      </c>
      <c r="F1674" s="80" t="s">
        <v>707</v>
      </c>
      <c r="G1674" s="58" t="s">
        <v>5036</v>
      </c>
      <c r="H1674" s="58" t="s">
        <v>1413</v>
      </c>
      <c r="I1674" s="64" t="s">
        <v>5037</v>
      </c>
      <c r="J1674" s="66"/>
      <c r="K1674" s="66"/>
      <c r="L1674" s="68"/>
      <c r="M1674" s="63" t="str">
        <f>HYPERLINK("http://nsgreg.nga.mil/genc/view?v=869566&amp;end_month=12&amp;end_day=31&amp;end_year=2016","Correlation")</f>
        <v>Correlation</v>
      </c>
    </row>
    <row r="1675" spans="1:13" x14ac:dyDescent="0.2">
      <c r="A1675" s="113"/>
      <c r="B1675" s="58" t="s">
        <v>5038</v>
      </c>
      <c r="C1675" s="58" t="s">
        <v>1413</v>
      </c>
      <c r="D1675" s="58" t="s">
        <v>5039</v>
      </c>
      <c r="E1675" s="60" t="b">
        <v>1</v>
      </c>
      <c r="F1675" s="80" t="s">
        <v>707</v>
      </c>
      <c r="G1675" s="58" t="s">
        <v>5038</v>
      </c>
      <c r="H1675" s="58" t="s">
        <v>1413</v>
      </c>
      <c r="I1675" s="64" t="s">
        <v>5039</v>
      </c>
      <c r="J1675" s="66"/>
      <c r="K1675" s="66"/>
      <c r="L1675" s="68"/>
      <c r="M1675" s="63" t="str">
        <f>HYPERLINK("http://nsgreg.nga.mil/genc/view?v=869571&amp;end_month=12&amp;end_day=31&amp;end_year=2016","Correlation")</f>
        <v>Correlation</v>
      </c>
    </row>
    <row r="1676" spans="1:13" x14ac:dyDescent="0.2">
      <c r="A1676" s="113"/>
      <c r="B1676" s="58" t="s">
        <v>5040</v>
      </c>
      <c r="C1676" s="58" t="s">
        <v>1413</v>
      </c>
      <c r="D1676" s="58" t="s">
        <v>5041</v>
      </c>
      <c r="E1676" s="60" t="b">
        <v>1</v>
      </c>
      <c r="F1676" s="80" t="s">
        <v>707</v>
      </c>
      <c r="G1676" s="58" t="s">
        <v>5040</v>
      </c>
      <c r="H1676" s="58" t="s">
        <v>1413</v>
      </c>
      <c r="I1676" s="64" t="s">
        <v>5041</v>
      </c>
      <c r="J1676" s="66"/>
      <c r="K1676" s="66"/>
      <c r="L1676" s="68"/>
      <c r="M1676" s="63" t="str">
        <f>HYPERLINK("http://nsgreg.nga.mil/genc/view?v=869573&amp;end_month=12&amp;end_day=31&amp;end_year=2016","Correlation")</f>
        <v>Correlation</v>
      </c>
    </row>
    <row r="1677" spans="1:13" x14ac:dyDescent="0.2">
      <c r="A1677" s="113"/>
      <c r="B1677" s="58" t="s">
        <v>5042</v>
      </c>
      <c r="C1677" s="58" t="s">
        <v>1413</v>
      </c>
      <c r="D1677" s="58" t="s">
        <v>5043</v>
      </c>
      <c r="E1677" s="60" t="b">
        <v>1</v>
      </c>
      <c r="F1677" s="80" t="s">
        <v>707</v>
      </c>
      <c r="G1677" s="58" t="s">
        <v>5042</v>
      </c>
      <c r="H1677" s="58" t="s">
        <v>1413</v>
      </c>
      <c r="I1677" s="64" t="s">
        <v>5043</v>
      </c>
      <c r="J1677" s="66"/>
      <c r="K1677" s="66"/>
      <c r="L1677" s="68"/>
      <c r="M1677" s="63" t="str">
        <f>HYPERLINK("http://nsgreg.nga.mil/genc/view?v=869569&amp;end_month=12&amp;end_day=31&amp;end_year=2016","Correlation")</f>
        <v>Correlation</v>
      </c>
    </row>
    <row r="1678" spans="1:13" x14ac:dyDescent="0.2">
      <c r="A1678" s="113"/>
      <c r="B1678" s="58" t="s">
        <v>5044</v>
      </c>
      <c r="C1678" s="58" t="s">
        <v>1413</v>
      </c>
      <c r="D1678" s="58" t="s">
        <v>5045</v>
      </c>
      <c r="E1678" s="60" t="b">
        <v>1</v>
      </c>
      <c r="F1678" s="80" t="s">
        <v>707</v>
      </c>
      <c r="G1678" s="58" t="s">
        <v>5044</v>
      </c>
      <c r="H1678" s="58" t="s">
        <v>1413</v>
      </c>
      <c r="I1678" s="64" t="s">
        <v>5045</v>
      </c>
      <c r="J1678" s="66"/>
      <c r="K1678" s="66"/>
      <c r="L1678" s="68"/>
      <c r="M1678" s="63" t="str">
        <f>HYPERLINK("http://nsgreg.nga.mil/genc/view?v=869578&amp;end_month=12&amp;end_day=31&amp;end_year=2016","Correlation")</f>
        <v>Correlation</v>
      </c>
    </row>
    <row r="1679" spans="1:13" x14ac:dyDescent="0.2">
      <c r="A1679" s="113"/>
      <c r="B1679" s="58" t="s">
        <v>5046</v>
      </c>
      <c r="C1679" s="58" t="s">
        <v>1413</v>
      </c>
      <c r="D1679" s="58" t="s">
        <v>5047</v>
      </c>
      <c r="E1679" s="60" t="b">
        <v>1</v>
      </c>
      <c r="F1679" s="80" t="s">
        <v>707</v>
      </c>
      <c r="G1679" s="58" t="s">
        <v>5046</v>
      </c>
      <c r="H1679" s="58" t="s">
        <v>1413</v>
      </c>
      <c r="I1679" s="64" t="s">
        <v>5047</v>
      </c>
      <c r="J1679" s="66"/>
      <c r="K1679" s="66"/>
      <c r="L1679" s="68"/>
      <c r="M1679" s="63" t="str">
        <f>HYPERLINK("http://nsgreg.nga.mil/genc/view?v=869583&amp;end_month=12&amp;end_day=31&amp;end_year=2016","Correlation")</f>
        <v>Correlation</v>
      </c>
    </row>
    <row r="1680" spans="1:13" x14ac:dyDescent="0.2">
      <c r="A1680" s="113"/>
      <c r="B1680" s="58" t="s">
        <v>5048</v>
      </c>
      <c r="C1680" s="58" t="s">
        <v>1413</v>
      </c>
      <c r="D1680" s="58" t="s">
        <v>5049</v>
      </c>
      <c r="E1680" s="60" t="b">
        <v>1</v>
      </c>
      <c r="F1680" s="80" t="s">
        <v>707</v>
      </c>
      <c r="G1680" s="58" t="s">
        <v>5048</v>
      </c>
      <c r="H1680" s="58" t="s">
        <v>1413</v>
      </c>
      <c r="I1680" s="64" t="s">
        <v>5049</v>
      </c>
      <c r="J1680" s="66"/>
      <c r="K1680" s="66"/>
      <c r="L1680" s="68"/>
      <c r="M1680" s="63" t="str">
        <f>HYPERLINK("http://nsgreg.nga.mil/genc/view?v=869591&amp;end_month=12&amp;end_day=31&amp;end_year=2016","Correlation")</f>
        <v>Correlation</v>
      </c>
    </row>
    <row r="1681" spans="1:13" x14ac:dyDescent="0.2">
      <c r="A1681" s="113"/>
      <c r="B1681" s="58" t="s">
        <v>5050</v>
      </c>
      <c r="C1681" s="58" t="s">
        <v>1413</v>
      </c>
      <c r="D1681" s="58" t="s">
        <v>5051</v>
      </c>
      <c r="E1681" s="60" t="b">
        <v>1</v>
      </c>
      <c r="F1681" s="80" t="s">
        <v>707</v>
      </c>
      <c r="G1681" s="58" t="s">
        <v>5050</v>
      </c>
      <c r="H1681" s="58" t="s">
        <v>1413</v>
      </c>
      <c r="I1681" s="64" t="s">
        <v>5051</v>
      </c>
      <c r="J1681" s="66"/>
      <c r="K1681" s="66"/>
      <c r="L1681" s="68"/>
      <c r="M1681" s="63" t="str">
        <f>HYPERLINK("http://nsgreg.nga.mil/genc/view?v=869588&amp;end_month=12&amp;end_day=31&amp;end_year=2016","Correlation")</f>
        <v>Correlation</v>
      </c>
    </row>
    <row r="1682" spans="1:13" x14ac:dyDescent="0.2">
      <c r="A1682" s="113"/>
      <c r="B1682" s="58" t="s">
        <v>5052</v>
      </c>
      <c r="C1682" s="58" t="s">
        <v>1413</v>
      </c>
      <c r="D1682" s="58" t="s">
        <v>5053</v>
      </c>
      <c r="E1682" s="60" t="b">
        <v>1</v>
      </c>
      <c r="F1682" s="80" t="s">
        <v>707</v>
      </c>
      <c r="G1682" s="58" t="s">
        <v>5052</v>
      </c>
      <c r="H1682" s="58" t="s">
        <v>1413</v>
      </c>
      <c r="I1682" s="64" t="s">
        <v>5053</v>
      </c>
      <c r="J1682" s="66"/>
      <c r="K1682" s="66"/>
      <c r="L1682" s="68"/>
      <c r="M1682" s="63" t="str">
        <f>HYPERLINK("http://nsgreg.nga.mil/genc/view?v=869587&amp;end_month=12&amp;end_day=31&amp;end_year=2016","Correlation")</f>
        <v>Correlation</v>
      </c>
    </row>
    <row r="1683" spans="1:13" x14ac:dyDescent="0.2">
      <c r="A1683" s="113"/>
      <c r="B1683" s="58" t="s">
        <v>5054</v>
      </c>
      <c r="C1683" s="58" t="s">
        <v>1413</v>
      </c>
      <c r="D1683" s="58" t="s">
        <v>5055</v>
      </c>
      <c r="E1683" s="60" t="b">
        <v>1</v>
      </c>
      <c r="F1683" s="80" t="s">
        <v>707</v>
      </c>
      <c r="G1683" s="58" t="s">
        <v>5054</v>
      </c>
      <c r="H1683" s="58" t="s">
        <v>1413</v>
      </c>
      <c r="I1683" s="64" t="s">
        <v>5055</v>
      </c>
      <c r="J1683" s="66"/>
      <c r="K1683" s="66"/>
      <c r="L1683" s="68"/>
      <c r="M1683" s="63" t="str">
        <f>HYPERLINK("http://nsgreg.nga.mil/genc/view?v=869570&amp;end_month=12&amp;end_day=31&amp;end_year=2016","Correlation")</f>
        <v>Correlation</v>
      </c>
    </row>
    <row r="1684" spans="1:13" x14ac:dyDescent="0.2">
      <c r="A1684" s="113"/>
      <c r="B1684" s="58" t="s">
        <v>5056</v>
      </c>
      <c r="C1684" s="58" t="s">
        <v>1413</v>
      </c>
      <c r="D1684" s="58" t="s">
        <v>5057</v>
      </c>
      <c r="E1684" s="60" t="b">
        <v>1</v>
      </c>
      <c r="F1684" s="80" t="s">
        <v>707</v>
      </c>
      <c r="G1684" s="58" t="s">
        <v>5056</v>
      </c>
      <c r="H1684" s="58" t="s">
        <v>1413</v>
      </c>
      <c r="I1684" s="64" t="s">
        <v>5057</v>
      </c>
      <c r="J1684" s="66"/>
      <c r="K1684" s="66"/>
      <c r="L1684" s="68"/>
      <c r="M1684" s="63" t="str">
        <f>HYPERLINK("http://nsgreg.nga.mil/genc/view?v=869579&amp;end_month=12&amp;end_day=31&amp;end_year=2016","Correlation")</f>
        <v>Correlation</v>
      </c>
    </row>
    <row r="1685" spans="1:13" x14ac:dyDescent="0.2">
      <c r="A1685" s="113"/>
      <c r="B1685" s="58" t="s">
        <v>5058</v>
      </c>
      <c r="C1685" s="58" t="s">
        <v>1413</v>
      </c>
      <c r="D1685" s="58" t="s">
        <v>5059</v>
      </c>
      <c r="E1685" s="60" t="b">
        <v>1</v>
      </c>
      <c r="F1685" s="80" t="s">
        <v>707</v>
      </c>
      <c r="G1685" s="58" t="s">
        <v>5058</v>
      </c>
      <c r="H1685" s="58" t="s">
        <v>1413</v>
      </c>
      <c r="I1685" s="64" t="s">
        <v>5059</v>
      </c>
      <c r="J1685" s="66"/>
      <c r="K1685" s="66"/>
      <c r="L1685" s="68"/>
      <c r="M1685" s="63" t="str">
        <f>HYPERLINK("http://nsgreg.nga.mil/genc/view?v=869581&amp;end_month=12&amp;end_day=31&amp;end_year=2016","Correlation")</f>
        <v>Correlation</v>
      </c>
    </row>
    <row r="1686" spans="1:13" x14ac:dyDescent="0.2">
      <c r="A1686" s="113"/>
      <c r="B1686" s="58" t="s">
        <v>5060</v>
      </c>
      <c r="C1686" s="58" t="s">
        <v>1413</v>
      </c>
      <c r="D1686" s="58" t="s">
        <v>5061</v>
      </c>
      <c r="E1686" s="60" t="b">
        <v>1</v>
      </c>
      <c r="F1686" s="80" t="s">
        <v>707</v>
      </c>
      <c r="G1686" s="58" t="s">
        <v>5060</v>
      </c>
      <c r="H1686" s="58" t="s">
        <v>1413</v>
      </c>
      <c r="I1686" s="64" t="s">
        <v>5061</v>
      </c>
      <c r="J1686" s="66"/>
      <c r="K1686" s="66"/>
      <c r="L1686" s="68"/>
      <c r="M1686" s="63" t="str">
        <f>HYPERLINK("http://nsgreg.nga.mil/genc/view?v=869593&amp;end_month=12&amp;end_day=31&amp;end_year=2016","Correlation")</f>
        <v>Correlation</v>
      </c>
    </row>
    <row r="1687" spans="1:13" x14ac:dyDescent="0.2">
      <c r="A1687" s="113"/>
      <c r="B1687" s="58" t="s">
        <v>5062</v>
      </c>
      <c r="C1687" s="58" t="s">
        <v>1413</v>
      </c>
      <c r="D1687" s="58" t="s">
        <v>5063</v>
      </c>
      <c r="E1687" s="60" t="b">
        <v>1</v>
      </c>
      <c r="F1687" s="80" t="s">
        <v>707</v>
      </c>
      <c r="G1687" s="58" t="s">
        <v>5062</v>
      </c>
      <c r="H1687" s="58" t="s">
        <v>1413</v>
      </c>
      <c r="I1687" s="64" t="s">
        <v>5063</v>
      </c>
      <c r="J1687" s="66"/>
      <c r="K1687" s="66"/>
      <c r="L1687" s="68"/>
      <c r="M1687" s="63" t="str">
        <f>HYPERLINK("http://nsgreg.nga.mil/genc/view?v=869594&amp;end_month=12&amp;end_day=31&amp;end_year=2016","Correlation")</f>
        <v>Correlation</v>
      </c>
    </row>
    <row r="1688" spans="1:13" x14ac:dyDescent="0.2">
      <c r="A1688" s="113"/>
      <c r="B1688" s="58" t="s">
        <v>5064</v>
      </c>
      <c r="C1688" s="58" t="s">
        <v>1413</v>
      </c>
      <c r="D1688" s="58" t="s">
        <v>5065</v>
      </c>
      <c r="E1688" s="60" t="b">
        <v>1</v>
      </c>
      <c r="F1688" s="80" t="s">
        <v>707</v>
      </c>
      <c r="G1688" s="58" t="s">
        <v>5064</v>
      </c>
      <c r="H1688" s="58" t="s">
        <v>1413</v>
      </c>
      <c r="I1688" s="64" t="s">
        <v>5065</v>
      </c>
      <c r="J1688" s="66"/>
      <c r="K1688" s="66"/>
      <c r="L1688" s="68"/>
      <c r="M1688" s="63" t="str">
        <f>HYPERLINK("http://nsgreg.nga.mil/genc/view?v=869595&amp;end_month=12&amp;end_day=31&amp;end_year=2016","Correlation")</f>
        <v>Correlation</v>
      </c>
    </row>
    <row r="1689" spans="1:13" x14ac:dyDescent="0.2">
      <c r="A1689" s="113"/>
      <c r="B1689" s="58" t="s">
        <v>5066</v>
      </c>
      <c r="C1689" s="58" t="s">
        <v>1413</v>
      </c>
      <c r="D1689" s="58" t="s">
        <v>5067</v>
      </c>
      <c r="E1689" s="60" t="b">
        <v>1</v>
      </c>
      <c r="F1689" s="80" t="s">
        <v>707</v>
      </c>
      <c r="G1689" s="58" t="s">
        <v>5066</v>
      </c>
      <c r="H1689" s="58" t="s">
        <v>1413</v>
      </c>
      <c r="I1689" s="64" t="s">
        <v>5067</v>
      </c>
      <c r="J1689" s="66"/>
      <c r="K1689" s="66"/>
      <c r="L1689" s="68"/>
      <c r="M1689" s="63" t="str">
        <f>HYPERLINK("http://nsgreg.nga.mil/genc/view?v=869574&amp;end_month=12&amp;end_day=31&amp;end_year=2016","Correlation")</f>
        <v>Correlation</v>
      </c>
    </row>
    <row r="1690" spans="1:13" x14ac:dyDescent="0.2">
      <c r="A1690" s="113"/>
      <c r="B1690" s="58" t="s">
        <v>5068</v>
      </c>
      <c r="C1690" s="58" t="s">
        <v>1413</v>
      </c>
      <c r="D1690" s="58" t="s">
        <v>5069</v>
      </c>
      <c r="E1690" s="60" t="b">
        <v>1</v>
      </c>
      <c r="F1690" s="80" t="s">
        <v>707</v>
      </c>
      <c r="G1690" s="58" t="s">
        <v>5068</v>
      </c>
      <c r="H1690" s="58" t="s">
        <v>1413</v>
      </c>
      <c r="I1690" s="64" t="s">
        <v>5069</v>
      </c>
      <c r="J1690" s="66"/>
      <c r="K1690" s="66"/>
      <c r="L1690" s="68"/>
      <c r="M1690" s="63" t="str">
        <f>HYPERLINK("http://nsgreg.nga.mil/genc/view?v=869582&amp;end_month=12&amp;end_day=31&amp;end_year=2016","Correlation")</f>
        <v>Correlation</v>
      </c>
    </row>
    <row r="1691" spans="1:13" x14ac:dyDescent="0.2">
      <c r="A1691" s="113"/>
      <c r="B1691" s="58" t="s">
        <v>5070</v>
      </c>
      <c r="C1691" s="58" t="s">
        <v>1413</v>
      </c>
      <c r="D1691" s="58" t="s">
        <v>5071</v>
      </c>
      <c r="E1691" s="60" t="b">
        <v>1</v>
      </c>
      <c r="F1691" s="80" t="s">
        <v>707</v>
      </c>
      <c r="G1691" s="58" t="s">
        <v>5070</v>
      </c>
      <c r="H1691" s="58" t="s">
        <v>1413</v>
      </c>
      <c r="I1691" s="64" t="s">
        <v>5071</v>
      </c>
      <c r="J1691" s="66"/>
      <c r="K1691" s="66"/>
      <c r="L1691" s="68"/>
      <c r="M1691" s="63" t="str">
        <f>HYPERLINK("http://nsgreg.nga.mil/genc/view?v=869580&amp;end_month=12&amp;end_day=31&amp;end_year=2016","Correlation")</f>
        <v>Correlation</v>
      </c>
    </row>
    <row r="1692" spans="1:13" x14ac:dyDescent="0.2">
      <c r="A1692" s="113"/>
      <c r="B1692" s="58" t="s">
        <v>5072</v>
      </c>
      <c r="C1692" s="58" t="s">
        <v>1413</v>
      </c>
      <c r="D1692" s="58" t="s">
        <v>5073</v>
      </c>
      <c r="E1692" s="60" t="b">
        <v>1</v>
      </c>
      <c r="F1692" s="80" t="s">
        <v>707</v>
      </c>
      <c r="G1692" s="58" t="s">
        <v>5072</v>
      </c>
      <c r="H1692" s="58" t="s">
        <v>1413</v>
      </c>
      <c r="I1692" s="64" t="s">
        <v>5073</v>
      </c>
      <c r="J1692" s="66"/>
      <c r="K1692" s="66"/>
      <c r="L1692" s="68"/>
      <c r="M1692" s="63" t="str">
        <f>HYPERLINK("http://nsgreg.nga.mil/genc/view?v=869584&amp;end_month=12&amp;end_day=31&amp;end_year=2016","Correlation")</f>
        <v>Correlation</v>
      </c>
    </row>
    <row r="1693" spans="1:13" x14ac:dyDescent="0.2">
      <c r="A1693" s="113"/>
      <c r="B1693" s="58" t="s">
        <v>5074</v>
      </c>
      <c r="C1693" s="58" t="s">
        <v>1413</v>
      </c>
      <c r="D1693" s="58" t="s">
        <v>5075</v>
      </c>
      <c r="E1693" s="60" t="b">
        <v>1</v>
      </c>
      <c r="F1693" s="80" t="s">
        <v>707</v>
      </c>
      <c r="G1693" s="58" t="s">
        <v>5074</v>
      </c>
      <c r="H1693" s="58" t="s">
        <v>1413</v>
      </c>
      <c r="I1693" s="64" t="s">
        <v>5075</v>
      </c>
      <c r="J1693" s="66"/>
      <c r="K1693" s="66"/>
      <c r="L1693" s="68"/>
      <c r="M1693" s="63" t="str">
        <f>HYPERLINK("http://nsgreg.nga.mil/genc/view?v=869586&amp;end_month=12&amp;end_day=31&amp;end_year=2016","Correlation")</f>
        <v>Correlation</v>
      </c>
    </row>
    <row r="1694" spans="1:13" x14ac:dyDescent="0.2">
      <c r="A1694" s="113"/>
      <c r="B1694" s="58" t="s">
        <v>5076</v>
      </c>
      <c r="C1694" s="58" t="s">
        <v>1413</v>
      </c>
      <c r="D1694" s="58" t="s">
        <v>5077</v>
      </c>
      <c r="E1694" s="60" t="b">
        <v>1</v>
      </c>
      <c r="F1694" s="80" t="s">
        <v>707</v>
      </c>
      <c r="G1694" s="58" t="s">
        <v>5076</v>
      </c>
      <c r="H1694" s="58" t="s">
        <v>1413</v>
      </c>
      <c r="I1694" s="64" t="s">
        <v>5077</v>
      </c>
      <c r="J1694" s="66"/>
      <c r="K1694" s="66"/>
      <c r="L1694" s="68"/>
      <c r="M1694" s="63" t="str">
        <f>HYPERLINK("http://nsgreg.nga.mil/genc/view?v=869585&amp;end_month=12&amp;end_day=31&amp;end_year=2016","Correlation")</f>
        <v>Correlation</v>
      </c>
    </row>
    <row r="1695" spans="1:13" x14ac:dyDescent="0.2">
      <c r="A1695" s="113"/>
      <c r="B1695" s="58" t="s">
        <v>5078</v>
      </c>
      <c r="C1695" s="58" t="s">
        <v>1413</v>
      </c>
      <c r="D1695" s="58" t="s">
        <v>5079</v>
      </c>
      <c r="E1695" s="60" t="b">
        <v>1</v>
      </c>
      <c r="F1695" s="80" t="s">
        <v>707</v>
      </c>
      <c r="G1695" s="58" t="s">
        <v>5078</v>
      </c>
      <c r="H1695" s="58" t="s">
        <v>1413</v>
      </c>
      <c r="I1695" s="64" t="s">
        <v>5079</v>
      </c>
      <c r="J1695" s="66"/>
      <c r="K1695" s="66"/>
      <c r="L1695" s="68"/>
      <c r="M1695" s="63" t="str">
        <f>HYPERLINK("http://nsgreg.nga.mil/genc/view?v=869592&amp;end_month=12&amp;end_day=31&amp;end_year=2016","Correlation")</f>
        <v>Correlation</v>
      </c>
    </row>
    <row r="1696" spans="1:13" x14ac:dyDescent="0.2">
      <c r="A1696" s="113"/>
      <c r="B1696" s="58" t="s">
        <v>5080</v>
      </c>
      <c r="C1696" s="58" t="s">
        <v>1413</v>
      </c>
      <c r="D1696" s="58" t="s">
        <v>5081</v>
      </c>
      <c r="E1696" s="60" t="b">
        <v>1</v>
      </c>
      <c r="F1696" s="80" t="s">
        <v>707</v>
      </c>
      <c r="G1696" s="58" t="s">
        <v>5080</v>
      </c>
      <c r="H1696" s="58" t="s">
        <v>1413</v>
      </c>
      <c r="I1696" s="64" t="s">
        <v>5081</v>
      </c>
      <c r="J1696" s="66"/>
      <c r="K1696" s="66"/>
      <c r="L1696" s="68"/>
      <c r="M1696" s="63" t="str">
        <f>HYPERLINK("http://nsgreg.nga.mil/genc/view?v=869590&amp;end_month=12&amp;end_day=31&amp;end_year=2016","Correlation")</f>
        <v>Correlation</v>
      </c>
    </row>
    <row r="1697" spans="1:13" x14ac:dyDescent="0.2">
      <c r="A1697" s="113"/>
      <c r="B1697" s="58" t="s">
        <v>5082</v>
      </c>
      <c r="C1697" s="58" t="s">
        <v>1413</v>
      </c>
      <c r="D1697" s="58" t="s">
        <v>5083</v>
      </c>
      <c r="E1697" s="60" t="b">
        <v>1</v>
      </c>
      <c r="F1697" s="80" t="s">
        <v>707</v>
      </c>
      <c r="G1697" s="58" t="s">
        <v>5082</v>
      </c>
      <c r="H1697" s="58" t="s">
        <v>1413</v>
      </c>
      <c r="I1697" s="64" t="s">
        <v>5083</v>
      </c>
      <c r="J1697" s="66"/>
      <c r="K1697" s="66"/>
      <c r="L1697" s="68"/>
      <c r="M1697" s="63" t="str">
        <f>HYPERLINK("http://nsgreg.nga.mil/genc/view?v=869576&amp;end_month=12&amp;end_day=31&amp;end_year=2016","Correlation")</f>
        <v>Correlation</v>
      </c>
    </row>
    <row r="1698" spans="1:13" x14ac:dyDescent="0.2">
      <c r="A1698" s="113"/>
      <c r="B1698" s="58" t="s">
        <v>5084</v>
      </c>
      <c r="C1698" s="58" t="s">
        <v>1413</v>
      </c>
      <c r="D1698" s="58" t="s">
        <v>5085</v>
      </c>
      <c r="E1698" s="60" t="b">
        <v>1</v>
      </c>
      <c r="F1698" s="80" t="s">
        <v>707</v>
      </c>
      <c r="G1698" s="58" t="s">
        <v>5084</v>
      </c>
      <c r="H1698" s="58" t="s">
        <v>1413</v>
      </c>
      <c r="I1698" s="64" t="s">
        <v>5085</v>
      </c>
      <c r="J1698" s="66"/>
      <c r="K1698" s="66"/>
      <c r="L1698" s="68"/>
      <c r="M1698" s="63" t="str">
        <f>HYPERLINK("http://nsgreg.nga.mil/genc/view?v=869577&amp;end_month=12&amp;end_day=31&amp;end_year=2016","Correlation")</f>
        <v>Correlation</v>
      </c>
    </row>
    <row r="1699" spans="1:13" x14ac:dyDescent="0.2">
      <c r="A1699" s="113"/>
      <c r="B1699" s="58" t="s">
        <v>5086</v>
      </c>
      <c r="C1699" s="58" t="s">
        <v>1413</v>
      </c>
      <c r="D1699" s="58" t="s">
        <v>5087</v>
      </c>
      <c r="E1699" s="60" t="b">
        <v>1</v>
      </c>
      <c r="F1699" s="80" t="s">
        <v>707</v>
      </c>
      <c r="G1699" s="58" t="s">
        <v>5086</v>
      </c>
      <c r="H1699" s="58" t="s">
        <v>1413</v>
      </c>
      <c r="I1699" s="64" t="s">
        <v>5087</v>
      </c>
      <c r="J1699" s="66"/>
      <c r="K1699" s="66"/>
      <c r="L1699" s="68"/>
      <c r="M1699" s="63" t="str">
        <f>HYPERLINK("http://nsgreg.nga.mil/genc/view?v=869572&amp;end_month=12&amp;end_day=31&amp;end_year=2016","Correlation")</f>
        <v>Correlation</v>
      </c>
    </row>
    <row r="1700" spans="1:13" x14ac:dyDescent="0.2">
      <c r="A1700" s="113"/>
      <c r="B1700" s="58" t="s">
        <v>5088</v>
      </c>
      <c r="C1700" s="58" t="s">
        <v>1413</v>
      </c>
      <c r="D1700" s="58" t="s">
        <v>5089</v>
      </c>
      <c r="E1700" s="60" t="b">
        <v>1</v>
      </c>
      <c r="F1700" s="80" t="s">
        <v>707</v>
      </c>
      <c r="G1700" s="58" t="s">
        <v>5088</v>
      </c>
      <c r="H1700" s="58" t="s">
        <v>1413</v>
      </c>
      <c r="I1700" s="64" t="s">
        <v>5089</v>
      </c>
      <c r="J1700" s="66"/>
      <c r="K1700" s="66"/>
      <c r="L1700" s="68"/>
      <c r="M1700" s="63" t="str">
        <f>HYPERLINK("http://nsgreg.nga.mil/genc/view?v=869589&amp;end_month=12&amp;end_day=31&amp;end_year=2016","Correlation")</f>
        <v>Correlation</v>
      </c>
    </row>
    <row r="1701" spans="1:13" x14ac:dyDescent="0.2">
      <c r="A1701" s="114"/>
      <c r="B1701" s="71" t="s">
        <v>5090</v>
      </c>
      <c r="C1701" s="71" t="s">
        <v>1413</v>
      </c>
      <c r="D1701" s="71" t="s">
        <v>5091</v>
      </c>
      <c r="E1701" s="73" t="b">
        <v>1</v>
      </c>
      <c r="F1701" s="81" t="s">
        <v>707</v>
      </c>
      <c r="G1701" s="71" t="s">
        <v>5090</v>
      </c>
      <c r="H1701" s="71" t="s">
        <v>1413</v>
      </c>
      <c r="I1701" s="74" t="s">
        <v>5091</v>
      </c>
      <c r="J1701" s="76"/>
      <c r="K1701" s="76"/>
      <c r="L1701" s="82"/>
      <c r="M1701" s="77" t="str">
        <f>HYPERLINK("http://nsgreg.nga.mil/genc/view?v=869575&amp;end_month=12&amp;end_day=31&amp;end_year=2016","Correlation")</f>
        <v>Correlation</v>
      </c>
    </row>
    <row r="1702" spans="1:13" x14ac:dyDescent="0.2">
      <c r="A1702" s="112" t="s">
        <v>712</v>
      </c>
      <c r="B1702" s="50" t="s">
        <v>5092</v>
      </c>
      <c r="C1702" s="50" t="s">
        <v>2030</v>
      </c>
      <c r="D1702" s="50" t="s">
        <v>5093</v>
      </c>
      <c r="E1702" s="52" t="b">
        <v>1</v>
      </c>
      <c r="F1702" s="78" t="s">
        <v>712</v>
      </c>
      <c r="G1702" s="50" t="s">
        <v>5092</v>
      </c>
      <c r="H1702" s="50" t="s">
        <v>2030</v>
      </c>
      <c r="I1702" s="53" t="s">
        <v>5093</v>
      </c>
      <c r="J1702" s="55"/>
      <c r="K1702" s="55"/>
      <c r="L1702" s="79"/>
      <c r="M1702" s="56" t="str">
        <f>HYPERLINK("http://nsgreg.nga.mil/genc/view?v=869548&amp;end_month=12&amp;end_day=31&amp;end_year=2016","Correlation")</f>
        <v>Correlation</v>
      </c>
    </row>
    <row r="1703" spans="1:13" x14ac:dyDescent="0.2">
      <c r="A1703" s="113"/>
      <c r="B1703" s="58" t="s">
        <v>5094</v>
      </c>
      <c r="C1703" s="58" t="s">
        <v>2030</v>
      </c>
      <c r="D1703" s="58" t="s">
        <v>5095</v>
      </c>
      <c r="E1703" s="60" t="b">
        <v>1</v>
      </c>
      <c r="F1703" s="80" t="s">
        <v>712</v>
      </c>
      <c r="G1703" s="58" t="s">
        <v>5094</v>
      </c>
      <c r="H1703" s="58" t="s">
        <v>2030</v>
      </c>
      <c r="I1703" s="64" t="s">
        <v>5095</v>
      </c>
      <c r="J1703" s="66"/>
      <c r="K1703" s="66"/>
      <c r="L1703" s="68"/>
      <c r="M1703" s="63" t="str">
        <f>HYPERLINK("http://nsgreg.nga.mil/genc/view?v=869550&amp;end_month=12&amp;end_day=31&amp;end_year=2016","Correlation")</f>
        <v>Correlation</v>
      </c>
    </row>
    <row r="1704" spans="1:13" x14ac:dyDescent="0.2">
      <c r="A1704" s="113"/>
      <c r="B1704" s="58" t="s">
        <v>5096</v>
      </c>
      <c r="C1704" s="58" t="s">
        <v>2030</v>
      </c>
      <c r="D1704" s="58" t="s">
        <v>5097</v>
      </c>
      <c r="E1704" s="60" t="b">
        <v>1</v>
      </c>
      <c r="F1704" s="80" t="s">
        <v>712</v>
      </c>
      <c r="G1704" s="58" t="s">
        <v>5096</v>
      </c>
      <c r="H1704" s="58" t="s">
        <v>2030</v>
      </c>
      <c r="I1704" s="64" t="s">
        <v>5097</v>
      </c>
      <c r="J1704" s="66"/>
      <c r="K1704" s="66"/>
      <c r="L1704" s="68"/>
      <c r="M1704" s="63" t="str">
        <f>HYPERLINK("http://nsgreg.nga.mil/genc/view?v=869559&amp;end_month=12&amp;end_day=31&amp;end_year=2016","Correlation")</f>
        <v>Correlation</v>
      </c>
    </row>
    <row r="1705" spans="1:13" x14ac:dyDescent="0.2">
      <c r="A1705" s="113"/>
      <c r="B1705" s="58" t="s">
        <v>5098</v>
      </c>
      <c r="C1705" s="58" t="s">
        <v>2030</v>
      </c>
      <c r="D1705" s="58" t="s">
        <v>5099</v>
      </c>
      <c r="E1705" s="60" t="b">
        <v>1</v>
      </c>
      <c r="F1705" s="80" t="s">
        <v>712</v>
      </c>
      <c r="G1705" s="58" t="s">
        <v>5098</v>
      </c>
      <c r="H1705" s="58" t="s">
        <v>2030</v>
      </c>
      <c r="I1705" s="64" t="s">
        <v>5099</v>
      </c>
      <c r="J1705" s="66"/>
      <c r="K1705" s="66"/>
      <c r="L1705" s="68"/>
      <c r="M1705" s="63" t="str">
        <f>HYPERLINK("http://nsgreg.nga.mil/genc/view?v=869562&amp;end_month=12&amp;end_day=31&amp;end_year=2016","Correlation")</f>
        <v>Correlation</v>
      </c>
    </row>
    <row r="1706" spans="1:13" x14ac:dyDescent="0.2">
      <c r="A1706" s="113"/>
      <c r="B1706" s="58" t="s">
        <v>5100</v>
      </c>
      <c r="C1706" s="58" t="s">
        <v>2030</v>
      </c>
      <c r="D1706" s="58" t="s">
        <v>5101</v>
      </c>
      <c r="E1706" s="60" t="b">
        <v>1</v>
      </c>
      <c r="F1706" s="80" t="s">
        <v>712</v>
      </c>
      <c r="G1706" s="58" t="s">
        <v>5100</v>
      </c>
      <c r="H1706" s="58" t="s">
        <v>2030</v>
      </c>
      <c r="I1706" s="64" t="s">
        <v>5101</v>
      </c>
      <c r="J1706" s="66"/>
      <c r="K1706" s="66"/>
      <c r="L1706" s="68"/>
      <c r="M1706" s="63" t="str">
        <f>HYPERLINK("http://nsgreg.nga.mil/genc/view?v=869560&amp;end_month=12&amp;end_day=31&amp;end_year=2016","Correlation")</f>
        <v>Correlation</v>
      </c>
    </row>
    <row r="1707" spans="1:13" x14ac:dyDescent="0.2">
      <c r="A1707" s="113"/>
      <c r="B1707" s="58" t="s">
        <v>5102</v>
      </c>
      <c r="C1707" s="58" t="s">
        <v>2030</v>
      </c>
      <c r="D1707" s="58" t="s">
        <v>5103</v>
      </c>
      <c r="E1707" s="60" t="b">
        <v>1</v>
      </c>
      <c r="F1707" s="80" t="s">
        <v>712</v>
      </c>
      <c r="G1707" s="58" t="s">
        <v>5102</v>
      </c>
      <c r="H1707" s="58" t="s">
        <v>2030</v>
      </c>
      <c r="I1707" s="64" t="s">
        <v>5103</v>
      </c>
      <c r="J1707" s="66"/>
      <c r="K1707" s="66"/>
      <c r="L1707" s="68"/>
      <c r="M1707" s="63" t="str">
        <f>HYPERLINK("http://nsgreg.nga.mil/genc/view?v=869549&amp;end_month=12&amp;end_day=31&amp;end_year=2016","Correlation")</f>
        <v>Correlation</v>
      </c>
    </row>
    <row r="1708" spans="1:13" x14ac:dyDescent="0.2">
      <c r="A1708" s="113"/>
      <c r="B1708" s="58" t="s">
        <v>5104</v>
      </c>
      <c r="C1708" s="58" t="s">
        <v>2030</v>
      </c>
      <c r="D1708" s="58" t="s">
        <v>5105</v>
      </c>
      <c r="E1708" s="60" t="b">
        <v>1</v>
      </c>
      <c r="F1708" s="80" t="s">
        <v>712</v>
      </c>
      <c r="G1708" s="58" t="s">
        <v>5104</v>
      </c>
      <c r="H1708" s="58" t="s">
        <v>2030</v>
      </c>
      <c r="I1708" s="64" t="s">
        <v>5105</v>
      </c>
      <c r="J1708" s="66"/>
      <c r="K1708" s="66"/>
      <c r="L1708" s="68"/>
      <c r="M1708" s="63" t="str">
        <f>HYPERLINK("http://nsgreg.nga.mil/genc/view?v=869564&amp;end_month=12&amp;end_day=31&amp;end_year=2016","Correlation")</f>
        <v>Correlation</v>
      </c>
    </row>
    <row r="1709" spans="1:13" x14ac:dyDescent="0.2">
      <c r="A1709" s="113"/>
      <c r="B1709" s="58" t="s">
        <v>5106</v>
      </c>
      <c r="C1709" s="58" t="s">
        <v>2030</v>
      </c>
      <c r="D1709" s="58" t="s">
        <v>5107</v>
      </c>
      <c r="E1709" s="60" t="b">
        <v>1</v>
      </c>
      <c r="F1709" s="80" t="s">
        <v>712</v>
      </c>
      <c r="G1709" s="58" t="s">
        <v>5106</v>
      </c>
      <c r="H1709" s="58" t="s">
        <v>2030</v>
      </c>
      <c r="I1709" s="64" t="s">
        <v>5107</v>
      </c>
      <c r="J1709" s="66"/>
      <c r="K1709" s="66"/>
      <c r="L1709" s="68"/>
      <c r="M1709" s="63" t="str">
        <f>HYPERLINK("http://nsgreg.nga.mil/genc/view?v=869551&amp;end_month=12&amp;end_day=31&amp;end_year=2016","Correlation")</f>
        <v>Correlation</v>
      </c>
    </row>
    <row r="1710" spans="1:13" x14ac:dyDescent="0.2">
      <c r="A1710" s="113"/>
      <c r="B1710" s="58" t="s">
        <v>5108</v>
      </c>
      <c r="C1710" s="58" t="s">
        <v>2030</v>
      </c>
      <c r="D1710" s="58" t="s">
        <v>5109</v>
      </c>
      <c r="E1710" s="60" t="b">
        <v>1</v>
      </c>
      <c r="F1710" s="80" t="s">
        <v>712</v>
      </c>
      <c r="G1710" s="58" t="s">
        <v>5108</v>
      </c>
      <c r="H1710" s="58" t="s">
        <v>2030</v>
      </c>
      <c r="I1710" s="64" t="s">
        <v>5109</v>
      </c>
      <c r="J1710" s="66"/>
      <c r="K1710" s="66"/>
      <c r="L1710" s="68"/>
      <c r="M1710" s="63" t="str">
        <f>HYPERLINK("http://nsgreg.nga.mil/genc/view?v=869552&amp;end_month=12&amp;end_day=31&amp;end_year=2016","Correlation")</f>
        <v>Correlation</v>
      </c>
    </row>
    <row r="1711" spans="1:13" x14ac:dyDescent="0.2">
      <c r="A1711" s="113"/>
      <c r="B1711" s="58" t="s">
        <v>5110</v>
      </c>
      <c r="C1711" s="58" t="s">
        <v>2030</v>
      </c>
      <c r="D1711" s="58" t="s">
        <v>5111</v>
      </c>
      <c r="E1711" s="60" t="b">
        <v>1</v>
      </c>
      <c r="F1711" s="80" t="s">
        <v>712</v>
      </c>
      <c r="G1711" s="58" t="s">
        <v>5110</v>
      </c>
      <c r="H1711" s="58" t="s">
        <v>2030</v>
      </c>
      <c r="I1711" s="64" t="s">
        <v>5111</v>
      </c>
      <c r="J1711" s="66"/>
      <c r="K1711" s="66"/>
      <c r="L1711" s="68"/>
      <c r="M1711" s="63" t="str">
        <f>HYPERLINK("http://nsgreg.nga.mil/genc/view?v=869553&amp;end_month=12&amp;end_day=31&amp;end_year=2016","Correlation")</f>
        <v>Correlation</v>
      </c>
    </row>
    <row r="1712" spans="1:13" x14ac:dyDescent="0.2">
      <c r="A1712" s="113"/>
      <c r="B1712" s="58" t="s">
        <v>5112</v>
      </c>
      <c r="C1712" s="58" t="s">
        <v>2030</v>
      </c>
      <c r="D1712" s="58" t="s">
        <v>5113</v>
      </c>
      <c r="E1712" s="60" t="b">
        <v>1</v>
      </c>
      <c r="F1712" s="80" t="s">
        <v>712</v>
      </c>
      <c r="G1712" s="58" t="s">
        <v>5112</v>
      </c>
      <c r="H1712" s="58" t="s">
        <v>2030</v>
      </c>
      <c r="I1712" s="64" t="s">
        <v>5113</v>
      </c>
      <c r="J1712" s="66"/>
      <c r="K1712" s="66"/>
      <c r="L1712" s="68"/>
      <c r="M1712" s="63" t="str">
        <f>HYPERLINK("http://nsgreg.nga.mil/genc/view?v=869555&amp;end_month=12&amp;end_day=31&amp;end_year=2016","Correlation")</f>
        <v>Correlation</v>
      </c>
    </row>
    <row r="1713" spans="1:13" x14ac:dyDescent="0.2">
      <c r="A1713" s="113"/>
      <c r="B1713" s="58" t="s">
        <v>5114</v>
      </c>
      <c r="C1713" s="58" t="s">
        <v>2030</v>
      </c>
      <c r="D1713" s="58" t="s">
        <v>5115</v>
      </c>
      <c r="E1713" s="60" t="b">
        <v>1</v>
      </c>
      <c r="F1713" s="80" t="s">
        <v>712</v>
      </c>
      <c r="G1713" s="58" t="s">
        <v>5114</v>
      </c>
      <c r="H1713" s="58" t="s">
        <v>2030</v>
      </c>
      <c r="I1713" s="64" t="s">
        <v>5115</v>
      </c>
      <c r="J1713" s="66"/>
      <c r="K1713" s="66"/>
      <c r="L1713" s="68"/>
      <c r="M1713" s="63" t="str">
        <f>HYPERLINK("http://nsgreg.nga.mil/genc/view?v=869554&amp;end_month=12&amp;end_day=31&amp;end_year=2016","Correlation")</f>
        <v>Correlation</v>
      </c>
    </row>
    <row r="1714" spans="1:13" x14ac:dyDescent="0.2">
      <c r="A1714" s="113"/>
      <c r="B1714" s="58" t="s">
        <v>5116</v>
      </c>
      <c r="C1714" s="58" t="s">
        <v>2030</v>
      </c>
      <c r="D1714" s="58" t="s">
        <v>5117</v>
      </c>
      <c r="E1714" s="60" t="b">
        <v>1</v>
      </c>
      <c r="F1714" s="80" t="s">
        <v>712</v>
      </c>
      <c r="G1714" s="58" t="s">
        <v>5116</v>
      </c>
      <c r="H1714" s="58" t="s">
        <v>2030</v>
      </c>
      <c r="I1714" s="64" t="s">
        <v>5117</v>
      </c>
      <c r="J1714" s="66"/>
      <c r="K1714" s="66"/>
      <c r="L1714" s="68"/>
      <c r="M1714" s="63" t="str">
        <f>HYPERLINK("http://nsgreg.nga.mil/genc/view?v=869556&amp;end_month=12&amp;end_day=31&amp;end_year=2016","Correlation")</f>
        <v>Correlation</v>
      </c>
    </row>
    <row r="1715" spans="1:13" x14ac:dyDescent="0.2">
      <c r="A1715" s="113"/>
      <c r="B1715" s="58" t="s">
        <v>5118</v>
      </c>
      <c r="C1715" s="58" t="s">
        <v>2030</v>
      </c>
      <c r="D1715" s="58" t="s">
        <v>5119</v>
      </c>
      <c r="E1715" s="60" t="b">
        <v>1</v>
      </c>
      <c r="F1715" s="80" t="s">
        <v>712</v>
      </c>
      <c r="G1715" s="58" t="s">
        <v>5118</v>
      </c>
      <c r="H1715" s="58" t="s">
        <v>2030</v>
      </c>
      <c r="I1715" s="64" t="s">
        <v>5119</v>
      </c>
      <c r="J1715" s="66"/>
      <c r="K1715" s="66"/>
      <c r="L1715" s="68"/>
      <c r="M1715" s="63" t="str">
        <f>HYPERLINK("http://nsgreg.nga.mil/genc/view?v=869557&amp;end_month=12&amp;end_day=31&amp;end_year=2016","Correlation")</f>
        <v>Correlation</v>
      </c>
    </row>
    <row r="1716" spans="1:13" x14ac:dyDescent="0.2">
      <c r="A1716" s="113"/>
      <c r="B1716" s="58" t="s">
        <v>5120</v>
      </c>
      <c r="C1716" s="58" t="s">
        <v>2030</v>
      </c>
      <c r="D1716" s="58" t="s">
        <v>5121</v>
      </c>
      <c r="E1716" s="60" t="b">
        <v>1</v>
      </c>
      <c r="F1716" s="80" t="s">
        <v>712</v>
      </c>
      <c r="G1716" s="58" t="s">
        <v>5120</v>
      </c>
      <c r="H1716" s="58" t="s">
        <v>2030</v>
      </c>
      <c r="I1716" s="64" t="s">
        <v>5121</v>
      </c>
      <c r="J1716" s="66"/>
      <c r="K1716" s="66"/>
      <c r="L1716" s="68"/>
      <c r="M1716" s="63" t="str">
        <f>HYPERLINK("http://nsgreg.nga.mil/genc/view?v=869558&amp;end_month=12&amp;end_day=31&amp;end_year=2016","Correlation")</f>
        <v>Correlation</v>
      </c>
    </row>
    <row r="1717" spans="1:13" x14ac:dyDescent="0.2">
      <c r="A1717" s="113"/>
      <c r="B1717" s="58" t="s">
        <v>5122</v>
      </c>
      <c r="C1717" s="58" t="s">
        <v>2030</v>
      </c>
      <c r="D1717" s="58" t="s">
        <v>5123</v>
      </c>
      <c r="E1717" s="60" t="b">
        <v>1</v>
      </c>
      <c r="F1717" s="80" t="s">
        <v>712</v>
      </c>
      <c r="G1717" s="58" t="s">
        <v>5122</v>
      </c>
      <c r="H1717" s="58" t="s">
        <v>2030</v>
      </c>
      <c r="I1717" s="64" t="s">
        <v>5123</v>
      </c>
      <c r="J1717" s="66"/>
      <c r="K1717" s="66"/>
      <c r="L1717" s="68"/>
      <c r="M1717" s="63" t="str">
        <f>HYPERLINK("http://nsgreg.nga.mil/genc/view?v=869561&amp;end_month=12&amp;end_day=31&amp;end_year=2016","Correlation")</f>
        <v>Correlation</v>
      </c>
    </row>
    <row r="1718" spans="1:13" x14ac:dyDescent="0.2">
      <c r="A1718" s="113"/>
      <c r="B1718" s="58" t="s">
        <v>5124</v>
      </c>
      <c r="C1718" s="58" t="s">
        <v>2030</v>
      </c>
      <c r="D1718" s="58" t="s">
        <v>5125</v>
      </c>
      <c r="E1718" s="60" t="b">
        <v>1</v>
      </c>
      <c r="F1718" s="80" t="s">
        <v>712</v>
      </c>
      <c r="G1718" s="58" t="s">
        <v>5124</v>
      </c>
      <c r="H1718" s="58" t="s">
        <v>2030</v>
      </c>
      <c r="I1718" s="64" t="s">
        <v>5125</v>
      </c>
      <c r="J1718" s="66"/>
      <c r="K1718" s="66"/>
      <c r="L1718" s="68"/>
      <c r="M1718" s="63" t="str">
        <f>HYPERLINK("http://nsgreg.nga.mil/genc/view?v=869563&amp;end_month=12&amp;end_day=31&amp;end_year=2016","Correlation")</f>
        <v>Correlation</v>
      </c>
    </row>
    <row r="1719" spans="1:13" x14ac:dyDescent="0.2">
      <c r="A1719" s="114"/>
      <c r="B1719" s="71" t="s">
        <v>5126</v>
      </c>
      <c r="C1719" s="71" t="s">
        <v>2030</v>
      </c>
      <c r="D1719" s="71" t="s">
        <v>5127</v>
      </c>
      <c r="E1719" s="73" t="b">
        <v>1</v>
      </c>
      <c r="F1719" s="81" t="s">
        <v>712</v>
      </c>
      <c r="G1719" s="71" t="s">
        <v>5126</v>
      </c>
      <c r="H1719" s="71" t="s">
        <v>2030</v>
      </c>
      <c r="I1719" s="74" t="s">
        <v>5127</v>
      </c>
      <c r="J1719" s="76"/>
      <c r="K1719" s="76"/>
      <c r="L1719" s="82"/>
      <c r="M1719" s="77" t="str">
        <f>HYPERLINK("http://nsgreg.nga.mil/genc/view?v=869565&amp;end_month=12&amp;end_day=31&amp;end_year=2016","Correlation")</f>
        <v>Correlation</v>
      </c>
    </row>
    <row r="1720" spans="1:13" x14ac:dyDescent="0.2">
      <c r="A1720" s="112" t="s">
        <v>716</v>
      </c>
      <c r="B1720" s="50" t="s">
        <v>5128</v>
      </c>
      <c r="C1720" s="50" t="s">
        <v>1483</v>
      </c>
      <c r="D1720" s="50" t="s">
        <v>5129</v>
      </c>
      <c r="E1720" s="52" t="b">
        <v>1</v>
      </c>
      <c r="F1720" s="78" t="s">
        <v>716</v>
      </c>
      <c r="G1720" s="50" t="s">
        <v>5128</v>
      </c>
      <c r="H1720" s="50" t="s">
        <v>1483</v>
      </c>
      <c r="I1720" s="53" t="s">
        <v>5129</v>
      </c>
      <c r="J1720" s="55"/>
      <c r="K1720" s="55"/>
      <c r="L1720" s="79"/>
      <c r="M1720" s="56" t="str">
        <f>HYPERLINK("http://nsgreg.nga.mil/genc/view?v=869480&amp;end_month=12&amp;end_day=31&amp;end_year=2016","Correlation")</f>
        <v>Correlation</v>
      </c>
    </row>
    <row r="1721" spans="1:13" x14ac:dyDescent="0.2">
      <c r="A1721" s="113"/>
      <c r="B1721" s="58" t="s">
        <v>5130</v>
      </c>
      <c r="C1721" s="58" t="s">
        <v>1483</v>
      </c>
      <c r="D1721" s="58" t="s">
        <v>5131</v>
      </c>
      <c r="E1721" s="60" t="b">
        <v>1</v>
      </c>
      <c r="F1721" s="80" t="s">
        <v>716</v>
      </c>
      <c r="G1721" s="58" t="s">
        <v>5130</v>
      </c>
      <c r="H1721" s="58" t="s">
        <v>1483</v>
      </c>
      <c r="I1721" s="64" t="s">
        <v>5131</v>
      </c>
      <c r="J1721" s="66"/>
      <c r="K1721" s="66"/>
      <c r="L1721" s="68"/>
      <c r="M1721" s="63" t="str">
        <f>HYPERLINK("http://nsgreg.nga.mil/genc/view?v=869478&amp;end_month=12&amp;end_day=31&amp;end_year=2016","Correlation")</f>
        <v>Correlation</v>
      </c>
    </row>
    <row r="1722" spans="1:13" x14ac:dyDescent="0.2">
      <c r="A1722" s="113"/>
      <c r="B1722" s="58" t="s">
        <v>5132</v>
      </c>
      <c r="C1722" s="58" t="s">
        <v>1483</v>
      </c>
      <c r="D1722" s="58" t="s">
        <v>5133</v>
      </c>
      <c r="E1722" s="60" t="b">
        <v>1</v>
      </c>
      <c r="F1722" s="80" t="s">
        <v>716</v>
      </c>
      <c r="G1722" s="58" t="s">
        <v>5132</v>
      </c>
      <c r="H1722" s="58" t="s">
        <v>1483</v>
      </c>
      <c r="I1722" s="64" t="s">
        <v>5133</v>
      </c>
      <c r="J1722" s="66"/>
      <c r="K1722" s="66"/>
      <c r="L1722" s="68"/>
      <c r="M1722" s="63" t="str">
        <f>HYPERLINK("http://nsgreg.nga.mil/genc/view?v=869477&amp;end_month=12&amp;end_day=31&amp;end_year=2016","Correlation")</f>
        <v>Correlation</v>
      </c>
    </row>
    <row r="1723" spans="1:13" x14ac:dyDescent="0.2">
      <c r="A1723" s="113"/>
      <c r="B1723" s="58" t="s">
        <v>5134</v>
      </c>
      <c r="C1723" s="58" t="s">
        <v>1413</v>
      </c>
      <c r="D1723" s="58" t="s">
        <v>5135</v>
      </c>
      <c r="E1723" s="60" t="b">
        <v>1</v>
      </c>
      <c r="F1723" s="80" t="s">
        <v>716</v>
      </c>
      <c r="G1723" s="58" t="s">
        <v>5134</v>
      </c>
      <c r="H1723" s="58" t="s">
        <v>1413</v>
      </c>
      <c r="I1723" s="64" t="s">
        <v>5135</v>
      </c>
      <c r="J1723" s="66"/>
      <c r="K1723" s="66"/>
      <c r="L1723" s="68"/>
      <c r="M1723" s="63" t="str">
        <f>HYPERLINK("http://nsgreg.nga.mil/genc/view?v=869476&amp;end_month=12&amp;end_day=31&amp;end_year=2016","Correlation")</f>
        <v>Correlation</v>
      </c>
    </row>
    <row r="1724" spans="1:13" x14ac:dyDescent="0.2">
      <c r="A1724" s="113"/>
      <c r="B1724" s="58" t="s">
        <v>5136</v>
      </c>
      <c r="C1724" s="58" t="s">
        <v>1483</v>
      </c>
      <c r="D1724" s="58" t="s">
        <v>5138</v>
      </c>
      <c r="E1724" s="60" t="b">
        <v>1</v>
      </c>
      <c r="F1724" s="80" t="s">
        <v>716</v>
      </c>
      <c r="G1724" s="58" t="s">
        <v>5136</v>
      </c>
      <c r="H1724" s="58" t="s">
        <v>1483</v>
      </c>
      <c r="I1724" s="64" t="s">
        <v>5138</v>
      </c>
      <c r="J1724" s="66"/>
      <c r="K1724" s="66"/>
      <c r="L1724" s="68"/>
      <c r="M1724" s="63" t="str">
        <f>HYPERLINK("http://nsgreg.nga.mil/genc/view?v=869479&amp;end_month=12&amp;end_day=31&amp;end_year=2016","Correlation")</f>
        <v>Correlation</v>
      </c>
    </row>
    <row r="1725" spans="1:13" x14ac:dyDescent="0.2">
      <c r="A1725" s="113"/>
      <c r="B1725" s="58" t="s">
        <v>5139</v>
      </c>
      <c r="C1725" s="58" t="s">
        <v>1483</v>
      </c>
      <c r="D1725" s="58" t="s">
        <v>5140</v>
      </c>
      <c r="E1725" s="60" t="b">
        <v>1</v>
      </c>
      <c r="F1725" s="80" t="s">
        <v>716</v>
      </c>
      <c r="G1725" s="58" t="s">
        <v>5139</v>
      </c>
      <c r="H1725" s="58" t="s">
        <v>1483</v>
      </c>
      <c r="I1725" s="64" t="s">
        <v>5140</v>
      </c>
      <c r="J1725" s="66"/>
      <c r="K1725" s="66"/>
      <c r="L1725" s="68"/>
      <c r="M1725" s="63" t="str">
        <f>HYPERLINK("http://nsgreg.nga.mil/genc/view?v=869482&amp;end_month=12&amp;end_day=31&amp;end_year=2016","Correlation")</f>
        <v>Correlation</v>
      </c>
    </row>
    <row r="1726" spans="1:13" x14ac:dyDescent="0.2">
      <c r="A1726" s="113"/>
      <c r="B1726" s="58" t="s">
        <v>5141</v>
      </c>
      <c r="C1726" s="58" t="s">
        <v>1483</v>
      </c>
      <c r="D1726" s="58" t="s">
        <v>12343</v>
      </c>
      <c r="E1726" s="60" t="b">
        <v>1</v>
      </c>
      <c r="F1726" s="61" t="s">
        <v>167</v>
      </c>
      <c r="G1726" s="61"/>
      <c r="H1726" s="61"/>
      <c r="I1726" s="61"/>
      <c r="J1726" s="61"/>
      <c r="K1726" s="61"/>
      <c r="L1726" s="62"/>
      <c r="M1726" s="63" t="str">
        <f>HYPERLINK("http://nsgreg.nga.mil/genc/view?v=869481&amp;end_month=12&amp;end_day=31&amp;end_year=2016","Correlation")</f>
        <v>Correlation</v>
      </c>
    </row>
    <row r="1727" spans="1:13" x14ac:dyDescent="0.2">
      <c r="A1727" s="113"/>
      <c r="B1727" s="58" t="s">
        <v>5147</v>
      </c>
      <c r="C1727" s="58" t="s">
        <v>1483</v>
      </c>
      <c r="D1727" s="58" t="s">
        <v>5149</v>
      </c>
      <c r="E1727" s="60" t="b">
        <v>1</v>
      </c>
      <c r="F1727" s="80" t="s">
        <v>716</v>
      </c>
      <c r="G1727" s="58" t="s">
        <v>5147</v>
      </c>
      <c r="H1727" s="58" t="s">
        <v>1483</v>
      </c>
      <c r="I1727" s="64" t="s">
        <v>5149</v>
      </c>
      <c r="J1727" s="66"/>
      <c r="K1727" s="66"/>
      <c r="L1727" s="68"/>
      <c r="M1727" s="63" t="str">
        <f>HYPERLINK("http://nsgreg.nga.mil/genc/view?v=869483&amp;end_month=12&amp;end_day=31&amp;end_year=2016","Correlation")</f>
        <v>Correlation</v>
      </c>
    </row>
    <row r="1728" spans="1:13" x14ac:dyDescent="0.2">
      <c r="A1728" s="113"/>
      <c r="B1728" s="58" t="s">
        <v>5150</v>
      </c>
      <c r="C1728" s="58" t="s">
        <v>1483</v>
      </c>
      <c r="D1728" s="58" t="s">
        <v>5151</v>
      </c>
      <c r="E1728" s="60" t="b">
        <v>1</v>
      </c>
      <c r="F1728" s="80" t="s">
        <v>716</v>
      </c>
      <c r="G1728" s="58" t="s">
        <v>5150</v>
      </c>
      <c r="H1728" s="58" t="s">
        <v>1483</v>
      </c>
      <c r="I1728" s="64" t="s">
        <v>5151</v>
      </c>
      <c r="J1728" s="66"/>
      <c r="K1728" s="66"/>
      <c r="L1728" s="68"/>
      <c r="M1728" s="63" t="str">
        <f>HYPERLINK("http://nsgreg.nga.mil/genc/view?v=869486&amp;end_month=12&amp;end_day=31&amp;end_year=2016","Correlation")</f>
        <v>Correlation</v>
      </c>
    </row>
    <row r="1729" spans="1:13" x14ac:dyDescent="0.2">
      <c r="A1729" s="113"/>
      <c r="B1729" s="58" t="s">
        <v>5152</v>
      </c>
      <c r="C1729" s="58" t="s">
        <v>1483</v>
      </c>
      <c r="D1729" s="58" t="s">
        <v>5153</v>
      </c>
      <c r="E1729" s="60" t="b">
        <v>1</v>
      </c>
      <c r="F1729" s="80" t="s">
        <v>716</v>
      </c>
      <c r="G1729" s="58" t="s">
        <v>5152</v>
      </c>
      <c r="H1729" s="58" t="s">
        <v>1483</v>
      </c>
      <c r="I1729" s="64" t="s">
        <v>5153</v>
      </c>
      <c r="J1729" s="66"/>
      <c r="K1729" s="66"/>
      <c r="L1729" s="68"/>
      <c r="M1729" s="63" t="str">
        <f>HYPERLINK("http://nsgreg.nga.mil/genc/view?v=869484&amp;end_month=12&amp;end_day=31&amp;end_year=2016","Correlation")</f>
        <v>Correlation</v>
      </c>
    </row>
    <row r="1730" spans="1:13" x14ac:dyDescent="0.2">
      <c r="A1730" s="113"/>
      <c r="B1730" s="58" t="s">
        <v>5154</v>
      </c>
      <c r="C1730" s="58" t="s">
        <v>1483</v>
      </c>
      <c r="D1730" s="58" t="s">
        <v>5155</v>
      </c>
      <c r="E1730" s="60" t="b">
        <v>1</v>
      </c>
      <c r="F1730" s="80" t="s">
        <v>716</v>
      </c>
      <c r="G1730" s="58" t="s">
        <v>5154</v>
      </c>
      <c r="H1730" s="58" t="s">
        <v>1483</v>
      </c>
      <c r="I1730" s="64" t="s">
        <v>5155</v>
      </c>
      <c r="J1730" s="66"/>
      <c r="K1730" s="66"/>
      <c r="L1730" s="68"/>
      <c r="M1730" s="63" t="str">
        <f>HYPERLINK("http://nsgreg.nga.mil/genc/view?v=869485&amp;end_month=12&amp;end_day=31&amp;end_year=2016","Correlation")</f>
        <v>Correlation</v>
      </c>
    </row>
    <row r="1731" spans="1:13" x14ac:dyDescent="0.2">
      <c r="A1731" s="113"/>
      <c r="B1731" s="58" t="s">
        <v>5156</v>
      </c>
      <c r="C1731" s="58" t="s">
        <v>1483</v>
      </c>
      <c r="D1731" s="58" t="s">
        <v>5157</v>
      </c>
      <c r="E1731" s="60" t="b">
        <v>1</v>
      </c>
      <c r="F1731" s="80" t="s">
        <v>716</v>
      </c>
      <c r="G1731" s="58" t="s">
        <v>5156</v>
      </c>
      <c r="H1731" s="58" t="s">
        <v>1483</v>
      </c>
      <c r="I1731" s="64" t="s">
        <v>5157</v>
      </c>
      <c r="J1731" s="66"/>
      <c r="K1731" s="66"/>
      <c r="L1731" s="68"/>
      <c r="M1731" s="63" t="str">
        <f>HYPERLINK("http://nsgreg.nga.mil/genc/view?v=869492&amp;end_month=12&amp;end_day=31&amp;end_year=2016","Correlation")</f>
        <v>Correlation</v>
      </c>
    </row>
    <row r="1732" spans="1:13" x14ac:dyDescent="0.2">
      <c r="A1732" s="113"/>
      <c r="B1732" s="58" t="s">
        <v>5158</v>
      </c>
      <c r="C1732" s="58" t="s">
        <v>1413</v>
      </c>
      <c r="D1732" s="58" t="s">
        <v>5159</v>
      </c>
      <c r="E1732" s="60" t="b">
        <v>1</v>
      </c>
      <c r="F1732" s="80" t="s">
        <v>716</v>
      </c>
      <c r="G1732" s="58" t="s">
        <v>5158</v>
      </c>
      <c r="H1732" s="58" t="s">
        <v>1413</v>
      </c>
      <c r="I1732" s="64" t="s">
        <v>5159</v>
      </c>
      <c r="J1732" s="66"/>
      <c r="K1732" s="66"/>
      <c r="L1732" s="68"/>
      <c r="M1732" s="63" t="str">
        <f>HYPERLINK("http://nsgreg.nga.mil/genc/view?v=869487&amp;end_month=12&amp;end_day=31&amp;end_year=2016","Correlation")</f>
        <v>Correlation</v>
      </c>
    </row>
    <row r="1733" spans="1:13" x14ac:dyDescent="0.2">
      <c r="A1733" s="113"/>
      <c r="B1733" s="58" t="s">
        <v>5160</v>
      </c>
      <c r="C1733" s="58" t="s">
        <v>1483</v>
      </c>
      <c r="D1733" s="58" t="s">
        <v>5161</v>
      </c>
      <c r="E1733" s="60" t="b">
        <v>1</v>
      </c>
      <c r="F1733" s="80" t="s">
        <v>716</v>
      </c>
      <c r="G1733" s="58" t="s">
        <v>5160</v>
      </c>
      <c r="H1733" s="58" t="s">
        <v>1483</v>
      </c>
      <c r="I1733" s="64" t="s">
        <v>5161</v>
      </c>
      <c r="J1733" s="66"/>
      <c r="K1733" s="66"/>
      <c r="L1733" s="68"/>
      <c r="M1733" s="63" t="str">
        <f>HYPERLINK("http://nsgreg.nga.mil/genc/view?v=869491&amp;end_month=12&amp;end_day=31&amp;end_year=2016","Correlation")</f>
        <v>Correlation</v>
      </c>
    </row>
    <row r="1734" spans="1:13" x14ac:dyDescent="0.2">
      <c r="A1734" s="113"/>
      <c r="B1734" s="58" t="s">
        <v>5162</v>
      </c>
      <c r="C1734" s="58" t="s">
        <v>1483</v>
      </c>
      <c r="D1734" s="58" t="s">
        <v>12344</v>
      </c>
      <c r="E1734" s="60" t="b">
        <v>1</v>
      </c>
      <c r="F1734" s="61" t="s">
        <v>167</v>
      </c>
      <c r="G1734" s="61"/>
      <c r="H1734" s="61"/>
      <c r="I1734" s="61"/>
      <c r="J1734" s="61"/>
      <c r="K1734" s="61"/>
      <c r="L1734" s="62"/>
      <c r="M1734" s="63" t="str">
        <f>HYPERLINK("http://nsgreg.nga.mil/genc/view?v=869490&amp;end_month=12&amp;end_day=31&amp;end_year=2016","Correlation")</f>
        <v>Correlation</v>
      </c>
    </row>
    <row r="1735" spans="1:13" x14ac:dyDescent="0.2">
      <c r="A1735" s="113"/>
      <c r="B1735" s="58" t="s">
        <v>5165</v>
      </c>
      <c r="C1735" s="58" t="s">
        <v>1483</v>
      </c>
      <c r="D1735" s="58" t="s">
        <v>5166</v>
      </c>
      <c r="E1735" s="60" t="b">
        <v>1</v>
      </c>
      <c r="F1735" s="80" t="s">
        <v>716</v>
      </c>
      <c r="G1735" s="58" t="s">
        <v>5165</v>
      </c>
      <c r="H1735" s="58" t="s">
        <v>1483</v>
      </c>
      <c r="I1735" s="64" t="s">
        <v>5166</v>
      </c>
      <c r="J1735" s="66"/>
      <c r="K1735" s="66"/>
      <c r="L1735" s="68"/>
      <c r="M1735" s="63" t="str">
        <f>HYPERLINK("http://nsgreg.nga.mil/genc/view?v=869488&amp;end_month=12&amp;end_day=31&amp;end_year=2016","Correlation")</f>
        <v>Correlation</v>
      </c>
    </row>
    <row r="1736" spans="1:13" x14ac:dyDescent="0.2">
      <c r="A1736" s="113"/>
      <c r="B1736" s="58" t="s">
        <v>5167</v>
      </c>
      <c r="C1736" s="58" t="s">
        <v>1483</v>
      </c>
      <c r="D1736" s="58" t="s">
        <v>5168</v>
      </c>
      <c r="E1736" s="60" t="b">
        <v>1</v>
      </c>
      <c r="F1736" s="80" t="s">
        <v>716</v>
      </c>
      <c r="G1736" s="58" t="s">
        <v>5167</v>
      </c>
      <c r="H1736" s="58" t="s">
        <v>1483</v>
      </c>
      <c r="I1736" s="64" t="s">
        <v>5168</v>
      </c>
      <c r="J1736" s="66"/>
      <c r="K1736" s="66"/>
      <c r="L1736" s="68"/>
      <c r="M1736" s="63" t="str">
        <f>HYPERLINK("http://nsgreg.nga.mil/genc/view?v=869489&amp;end_month=12&amp;end_day=31&amp;end_year=2016","Correlation")</f>
        <v>Correlation</v>
      </c>
    </row>
    <row r="1737" spans="1:13" x14ac:dyDescent="0.2">
      <c r="A1737" s="113"/>
      <c r="B1737" s="58" t="s">
        <v>5169</v>
      </c>
      <c r="C1737" s="58" t="s">
        <v>1483</v>
      </c>
      <c r="D1737" s="58" t="s">
        <v>5170</v>
      </c>
      <c r="E1737" s="60" t="b">
        <v>1</v>
      </c>
      <c r="F1737" s="80" t="s">
        <v>716</v>
      </c>
      <c r="G1737" s="58" t="s">
        <v>5169</v>
      </c>
      <c r="H1737" s="58" t="s">
        <v>1483</v>
      </c>
      <c r="I1737" s="64" t="s">
        <v>5170</v>
      </c>
      <c r="J1737" s="66"/>
      <c r="K1737" s="66"/>
      <c r="L1737" s="68"/>
      <c r="M1737" s="63" t="str">
        <f>HYPERLINK("http://nsgreg.nga.mil/genc/view?v=869496&amp;end_month=12&amp;end_day=31&amp;end_year=2016","Correlation")</f>
        <v>Correlation</v>
      </c>
    </row>
    <row r="1738" spans="1:13" x14ac:dyDescent="0.2">
      <c r="A1738" s="113"/>
      <c r="B1738" s="58" t="s">
        <v>5171</v>
      </c>
      <c r="C1738" s="58" t="s">
        <v>1483</v>
      </c>
      <c r="D1738" s="58" t="s">
        <v>5172</v>
      </c>
      <c r="E1738" s="60" t="b">
        <v>1</v>
      </c>
      <c r="F1738" s="80" t="s">
        <v>716</v>
      </c>
      <c r="G1738" s="58" t="s">
        <v>5171</v>
      </c>
      <c r="H1738" s="58" t="s">
        <v>1483</v>
      </c>
      <c r="I1738" s="64" t="s">
        <v>5172</v>
      </c>
      <c r="J1738" s="66"/>
      <c r="K1738" s="66"/>
      <c r="L1738" s="68"/>
      <c r="M1738" s="63" t="str">
        <f>HYPERLINK("http://nsgreg.nga.mil/genc/view?v=869494&amp;end_month=12&amp;end_day=31&amp;end_year=2016","Correlation")</f>
        <v>Correlation</v>
      </c>
    </row>
    <row r="1739" spans="1:13" x14ac:dyDescent="0.2">
      <c r="A1739" s="113"/>
      <c r="B1739" s="58" t="s">
        <v>5173</v>
      </c>
      <c r="C1739" s="58" t="s">
        <v>1483</v>
      </c>
      <c r="D1739" s="58" t="s">
        <v>5174</v>
      </c>
      <c r="E1739" s="60" t="b">
        <v>1</v>
      </c>
      <c r="F1739" s="80" t="s">
        <v>716</v>
      </c>
      <c r="G1739" s="58" t="s">
        <v>5173</v>
      </c>
      <c r="H1739" s="58" t="s">
        <v>1483</v>
      </c>
      <c r="I1739" s="64" t="s">
        <v>5174</v>
      </c>
      <c r="J1739" s="66"/>
      <c r="K1739" s="66"/>
      <c r="L1739" s="68"/>
      <c r="M1739" s="63" t="str">
        <f>HYPERLINK("http://nsgreg.nga.mil/genc/view?v=869495&amp;end_month=12&amp;end_day=31&amp;end_year=2016","Correlation")</f>
        <v>Correlation</v>
      </c>
    </row>
    <row r="1740" spans="1:13" x14ac:dyDescent="0.2">
      <c r="A1740" s="113"/>
      <c r="B1740" s="58" t="s">
        <v>5175</v>
      </c>
      <c r="C1740" s="58" t="s">
        <v>1413</v>
      </c>
      <c r="D1740" s="58" t="s">
        <v>5176</v>
      </c>
      <c r="E1740" s="60" t="b">
        <v>1</v>
      </c>
      <c r="F1740" s="80" t="s">
        <v>716</v>
      </c>
      <c r="G1740" s="58" t="s">
        <v>5175</v>
      </c>
      <c r="H1740" s="58" t="s">
        <v>1413</v>
      </c>
      <c r="I1740" s="64" t="s">
        <v>5176</v>
      </c>
      <c r="J1740" s="66"/>
      <c r="K1740" s="66"/>
      <c r="L1740" s="68"/>
      <c r="M1740" s="63" t="str">
        <f>HYPERLINK("http://nsgreg.nga.mil/genc/view?v=869493&amp;end_month=12&amp;end_day=31&amp;end_year=2016","Correlation")</f>
        <v>Correlation</v>
      </c>
    </row>
    <row r="1741" spans="1:13" x14ac:dyDescent="0.2">
      <c r="A1741" s="113"/>
      <c r="B1741" s="58" t="s">
        <v>5177</v>
      </c>
      <c r="C1741" s="58" t="s">
        <v>1483</v>
      </c>
      <c r="D1741" s="58" t="s">
        <v>5178</v>
      </c>
      <c r="E1741" s="60" t="b">
        <v>1</v>
      </c>
      <c r="F1741" s="80" t="s">
        <v>716</v>
      </c>
      <c r="G1741" s="58" t="s">
        <v>5177</v>
      </c>
      <c r="H1741" s="58" t="s">
        <v>1483</v>
      </c>
      <c r="I1741" s="64" t="s">
        <v>5178</v>
      </c>
      <c r="J1741" s="66"/>
      <c r="K1741" s="66"/>
      <c r="L1741" s="68"/>
      <c r="M1741" s="63" t="str">
        <f>HYPERLINK("http://nsgreg.nga.mil/genc/view?v=869497&amp;end_month=12&amp;end_day=31&amp;end_year=2016","Correlation")</f>
        <v>Correlation</v>
      </c>
    </row>
    <row r="1742" spans="1:13" x14ac:dyDescent="0.2">
      <c r="A1742" s="113"/>
      <c r="B1742" s="58" t="s">
        <v>5179</v>
      </c>
      <c r="C1742" s="58" t="s">
        <v>1483</v>
      </c>
      <c r="D1742" s="58" t="s">
        <v>5180</v>
      </c>
      <c r="E1742" s="60" t="b">
        <v>1</v>
      </c>
      <c r="F1742" s="80" t="s">
        <v>716</v>
      </c>
      <c r="G1742" s="58" t="s">
        <v>5179</v>
      </c>
      <c r="H1742" s="58" t="s">
        <v>1483</v>
      </c>
      <c r="I1742" s="64" t="s">
        <v>5180</v>
      </c>
      <c r="J1742" s="66"/>
      <c r="K1742" s="66"/>
      <c r="L1742" s="68"/>
      <c r="M1742" s="63" t="str">
        <f>HYPERLINK("http://nsgreg.nga.mil/genc/view?v=869498&amp;end_month=12&amp;end_day=31&amp;end_year=2016","Correlation")</f>
        <v>Correlation</v>
      </c>
    </row>
    <row r="1743" spans="1:13" x14ac:dyDescent="0.2">
      <c r="A1743" s="113"/>
      <c r="B1743" s="58" t="s">
        <v>5181</v>
      </c>
      <c r="C1743" s="58" t="s">
        <v>1483</v>
      </c>
      <c r="D1743" s="58" t="s">
        <v>5182</v>
      </c>
      <c r="E1743" s="60" t="b">
        <v>1</v>
      </c>
      <c r="F1743" s="80" t="s">
        <v>716</v>
      </c>
      <c r="G1743" s="58" t="s">
        <v>5181</v>
      </c>
      <c r="H1743" s="58" t="s">
        <v>1483</v>
      </c>
      <c r="I1743" s="64" t="s">
        <v>5182</v>
      </c>
      <c r="J1743" s="66"/>
      <c r="K1743" s="66"/>
      <c r="L1743" s="68"/>
      <c r="M1743" s="63" t="str">
        <f>HYPERLINK("http://nsgreg.nga.mil/genc/view?v=869499&amp;end_month=12&amp;end_day=31&amp;end_year=2016","Correlation")</f>
        <v>Correlation</v>
      </c>
    </row>
    <row r="1744" spans="1:13" x14ac:dyDescent="0.2">
      <c r="A1744" s="113"/>
      <c r="B1744" s="58" t="s">
        <v>5185</v>
      </c>
      <c r="C1744" s="58" t="s">
        <v>1483</v>
      </c>
      <c r="D1744" s="58" t="s">
        <v>5186</v>
      </c>
      <c r="E1744" s="60" t="b">
        <v>1</v>
      </c>
      <c r="F1744" s="80" t="s">
        <v>716</v>
      </c>
      <c r="G1744" s="58" t="s">
        <v>5185</v>
      </c>
      <c r="H1744" s="58" t="s">
        <v>1483</v>
      </c>
      <c r="I1744" s="64" t="s">
        <v>5186</v>
      </c>
      <c r="J1744" s="66"/>
      <c r="K1744" s="66"/>
      <c r="L1744" s="68"/>
      <c r="M1744" s="63" t="str">
        <f>HYPERLINK("http://nsgreg.nga.mil/genc/view?v=869500&amp;end_month=12&amp;end_day=31&amp;end_year=2016","Correlation")</f>
        <v>Correlation</v>
      </c>
    </row>
    <row r="1745" spans="1:13" x14ac:dyDescent="0.2">
      <c r="A1745" s="113"/>
      <c r="B1745" s="58" t="s">
        <v>5187</v>
      </c>
      <c r="C1745" s="58" t="s">
        <v>1413</v>
      </c>
      <c r="D1745" s="58" t="s">
        <v>5188</v>
      </c>
      <c r="E1745" s="60" t="b">
        <v>1</v>
      </c>
      <c r="F1745" s="80" t="s">
        <v>716</v>
      </c>
      <c r="G1745" s="58" t="s">
        <v>5187</v>
      </c>
      <c r="H1745" s="58" t="s">
        <v>1413</v>
      </c>
      <c r="I1745" s="64" t="s">
        <v>5188</v>
      </c>
      <c r="J1745" s="66"/>
      <c r="K1745" s="66"/>
      <c r="L1745" s="68"/>
      <c r="M1745" s="63" t="str">
        <f>HYPERLINK("http://nsgreg.nga.mil/genc/view?v=869501&amp;end_month=12&amp;end_day=31&amp;end_year=2016","Correlation")</f>
        <v>Correlation</v>
      </c>
    </row>
    <row r="1746" spans="1:13" x14ac:dyDescent="0.2">
      <c r="A1746" s="113"/>
      <c r="B1746" s="58" t="s">
        <v>5189</v>
      </c>
      <c r="C1746" s="58" t="s">
        <v>1483</v>
      </c>
      <c r="D1746" s="58" t="s">
        <v>12345</v>
      </c>
      <c r="E1746" s="60" t="b">
        <v>1</v>
      </c>
      <c r="F1746" s="61" t="s">
        <v>167</v>
      </c>
      <c r="G1746" s="61"/>
      <c r="H1746" s="61"/>
      <c r="I1746" s="61"/>
      <c r="J1746" s="61"/>
      <c r="K1746" s="61"/>
      <c r="L1746" s="62"/>
      <c r="M1746" s="63" t="str">
        <f>HYPERLINK("http://nsgreg.nga.mil/genc/view?v=869502&amp;end_month=12&amp;end_day=31&amp;end_year=2016","Correlation")</f>
        <v>Correlation</v>
      </c>
    </row>
    <row r="1747" spans="1:13" x14ac:dyDescent="0.2">
      <c r="A1747" s="113"/>
      <c r="B1747" s="58" t="s">
        <v>5191</v>
      </c>
      <c r="C1747" s="58" t="s">
        <v>1483</v>
      </c>
      <c r="D1747" s="58" t="s">
        <v>5192</v>
      </c>
      <c r="E1747" s="60" t="b">
        <v>1</v>
      </c>
      <c r="F1747" s="80" t="s">
        <v>716</v>
      </c>
      <c r="G1747" s="58" t="s">
        <v>5191</v>
      </c>
      <c r="H1747" s="58" t="s">
        <v>1483</v>
      </c>
      <c r="I1747" s="64" t="s">
        <v>5192</v>
      </c>
      <c r="J1747" s="66"/>
      <c r="K1747" s="66"/>
      <c r="L1747" s="68"/>
      <c r="M1747" s="63" t="str">
        <f>HYPERLINK("http://nsgreg.nga.mil/genc/view?v=869503&amp;end_month=12&amp;end_day=31&amp;end_year=2016","Correlation")</f>
        <v>Correlation</v>
      </c>
    </row>
    <row r="1748" spans="1:13" x14ac:dyDescent="0.2">
      <c r="A1748" s="113"/>
      <c r="B1748" s="58" t="s">
        <v>5193</v>
      </c>
      <c r="C1748" s="58" t="s">
        <v>1483</v>
      </c>
      <c r="D1748" s="58" t="s">
        <v>5194</v>
      </c>
      <c r="E1748" s="60" t="b">
        <v>1</v>
      </c>
      <c r="F1748" s="80" t="s">
        <v>716</v>
      </c>
      <c r="G1748" s="58" t="s">
        <v>5193</v>
      </c>
      <c r="H1748" s="58" t="s">
        <v>1483</v>
      </c>
      <c r="I1748" s="64" t="s">
        <v>5194</v>
      </c>
      <c r="J1748" s="66"/>
      <c r="K1748" s="66"/>
      <c r="L1748" s="68"/>
      <c r="M1748" s="63" t="str">
        <f>HYPERLINK("http://nsgreg.nga.mil/genc/view?v=869505&amp;end_month=12&amp;end_day=31&amp;end_year=2016","Correlation")</f>
        <v>Correlation</v>
      </c>
    </row>
    <row r="1749" spans="1:13" x14ac:dyDescent="0.2">
      <c r="A1749" s="114"/>
      <c r="B1749" s="71" t="s">
        <v>5195</v>
      </c>
      <c r="C1749" s="71" t="s">
        <v>1483</v>
      </c>
      <c r="D1749" s="71" t="s">
        <v>5196</v>
      </c>
      <c r="E1749" s="73" t="b">
        <v>1</v>
      </c>
      <c r="F1749" s="81" t="s">
        <v>716</v>
      </c>
      <c r="G1749" s="71" t="s">
        <v>5195</v>
      </c>
      <c r="H1749" s="71" t="s">
        <v>1483</v>
      </c>
      <c r="I1749" s="74" t="s">
        <v>5196</v>
      </c>
      <c r="J1749" s="76"/>
      <c r="K1749" s="76"/>
      <c r="L1749" s="82"/>
      <c r="M1749" s="77" t="str">
        <f>HYPERLINK("http://nsgreg.nga.mil/genc/view?v=869504&amp;end_month=12&amp;end_day=31&amp;end_year=2016","Correlation")</f>
        <v>Correlation</v>
      </c>
    </row>
    <row r="1750" spans="1:13" x14ac:dyDescent="0.2">
      <c r="A1750" s="112" t="s">
        <v>724</v>
      </c>
      <c r="B1750" s="50" t="s">
        <v>5208</v>
      </c>
      <c r="C1750" s="50" t="s">
        <v>1796</v>
      </c>
      <c r="D1750" s="50" t="s">
        <v>5207</v>
      </c>
      <c r="E1750" s="52" t="b">
        <v>1</v>
      </c>
      <c r="F1750" s="78" t="s">
        <v>724</v>
      </c>
      <c r="G1750" s="50" t="s">
        <v>2440</v>
      </c>
      <c r="H1750" s="50" t="s">
        <v>1796</v>
      </c>
      <c r="I1750" s="53" t="s">
        <v>5207</v>
      </c>
      <c r="J1750" s="55"/>
      <c r="K1750" s="55"/>
      <c r="L1750" s="79"/>
      <c r="M1750" s="56" t="str">
        <f>HYPERLINK("http://nsgreg.nga.mil/genc/view?v=869506&amp;end_month=12&amp;end_day=31&amp;end_year=2016","Correlation")</f>
        <v>Correlation</v>
      </c>
    </row>
    <row r="1751" spans="1:13" x14ac:dyDescent="0.2">
      <c r="A1751" s="113"/>
      <c r="B1751" s="58" t="s">
        <v>5198</v>
      </c>
      <c r="C1751" s="58" t="s">
        <v>1796</v>
      </c>
      <c r="D1751" s="58" t="s">
        <v>5197</v>
      </c>
      <c r="E1751" s="60" t="b">
        <v>1</v>
      </c>
      <c r="F1751" s="80" t="s">
        <v>724</v>
      </c>
      <c r="G1751" s="58" t="s">
        <v>2411</v>
      </c>
      <c r="H1751" s="58" t="s">
        <v>1796</v>
      </c>
      <c r="I1751" s="64" t="s">
        <v>5197</v>
      </c>
      <c r="J1751" s="66"/>
      <c r="K1751" s="66"/>
      <c r="L1751" s="68"/>
      <c r="M1751" s="63" t="str">
        <f>HYPERLINK("http://nsgreg.nga.mil/genc/view?v=869509&amp;end_month=12&amp;end_day=31&amp;end_year=2016","Correlation")</f>
        <v>Correlation</v>
      </c>
    </row>
    <row r="1752" spans="1:13" x14ac:dyDescent="0.2">
      <c r="A1752" s="113"/>
      <c r="B1752" s="58" t="s">
        <v>5206</v>
      </c>
      <c r="C1752" s="58" t="s">
        <v>1796</v>
      </c>
      <c r="D1752" s="58" t="s">
        <v>5205</v>
      </c>
      <c r="E1752" s="60" t="b">
        <v>1</v>
      </c>
      <c r="F1752" s="80" t="s">
        <v>724</v>
      </c>
      <c r="G1752" s="58" t="s">
        <v>4071</v>
      </c>
      <c r="H1752" s="58" t="s">
        <v>1796</v>
      </c>
      <c r="I1752" s="64" t="s">
        <v>5205</v>
      </c>
      <c r="J1752" s="66"/>
      <c r="K1752" s="66"/>
      <c r="L1752" s="68"/>
      <c r="M1752" s="63" t="str">
        <f>HYPERLINK("http://nsgreg.nga.mil/genc/view?v=869511&amp;end_month=12&amp;end_day=31&amp;end_year=2016","Correlation")</f>
        <v>Correlation</v>
      </c>
    </row>
    <row r="1753" spans="1:13" x14ac:dyDescent="0.2">
      <c r="A1753" s="113"/>
      <c r="B1753" s="58" t="s">
        <v>5201</v>
      </c>
      <c r="C1753" s="58" t="s">
        <v>1796</v>
      </c>
      <c r="D1753" s="58" t="s">
        <v>5200</v>
      </c>
      <c r="E1753" s="60" t="b">
        <v>1</v>
      </c>
      <c r="F1753" s="80" t="s">
        <v>724</v>
      </c>
      <c r="G1753" s="58" t="s">
        <v>5199</v>
      </c>
      <c r="H1753" s="58" t="s">
        <v>1796</v>
      </c>
      <c r="I1753" s="64" t="s">
        <v>5200</v>
      </c>
      <c r="J1753" s="66"/>
      <c r="K1753" s="66"/>
      <c r="L1753" s="68"/>
      <c r="M1753" s="63" t="str">
        <f>HYPERLINK("http://nsgreg.nga.mil/genc/view?v=869507&amp;end_month=12&amp;end_day=31&amp;end_year=2016","Correlation")</f>
        <v>Correlation</v>
      </c>
    </row>
    <row r="1754" spans="1:13" x14ac:dyDescent="0.2">
      <c r="A1754" s="113"/>
      <c r="B1754" s="58" t="s">
        <v>5209</v>
      </c>
      <c r="C1754" s="58" t="s">
        <v>1796</v>
      </c>
      <c r="D1754" s="58" t="s">
        <v>5210</v>
      </c>
      <c r="E1754" s="60" t="b">
        <v>1</v>
      </c>
      <c r="F1754" s="80" t="s">
        <v>724</v>
      </c>
      <c r="G1754" s="58" t="s">
        <v>5209</v>
      </c>
      <c r="H1754" s="58" t="s">
        <v>1796</v>
      </c>
      <c r="I1754" s="64" t="s">
        <v>5210</v>
      </c>
      <c r="J1754" s="66"/>
      <c r="K1754" s="66"/>
      <c r="L1754" s="68"/>
      <c r="M1754" s="63" t="str">
        <f>HYPERLINK("http://nsgreg.nga.mil/genc/view?v=869510&amp;end_month=12&amp;end_day=31&amp;end_year=2016","Correlation")</f>
        <v>Correlation</v>
      </c>
    </row>
    <row r="1755" spans="1:13" x14ac:dyDescent="0.2">
      <c r="A1755" s="114"/>
      <c r="B1755" s="71" t="s">
        <v>5204</v>
      </c>
      <c r="C1755" s="71" t="s">
        <v>1796</v>
      </c>
      <c r="D1755" s="71" t="s">
        <v>5203</v>
      </c>
      <c r="E1755" s="73" t="b">
        <v>1</v>
      </c>
      <c r="F1755" s="81" t="s">
        <v>724</v>
      </c>
      <c r="G1755" s="71" t="s">
        <v>5202</v>
      </c>
      <c r="H1755" s="71" t="s">
        <v>1796</v>
      </c>
      <c r="I1755" s="74" t="s">
        <v>5203</v>
      </c>
      <c r="J1755" s="76"/>
      <c r="K1755" s="76"/>
      <c r="L1755" s="82"/>
      <c r="M1755" s="77" t="str">
        <f>HYPERLINK("http://nsgreg.nga.mil/genc/view?v=869508&amp;end_month=12&amp;end_day=31&amp;end_year=2016","Correlation")</f>
        <v>Correlation</v>
      </c>
    </row>
    <row r="1756" spans="1:13" x14ac:dyDescent="0.2">
      <c r="A1756" s="112" t="s">
        <v>728</v>
      </c>
      <c r="B1756" s="50" t="s">
        <v>5211</v>
      </c>
      <c r="C1756" s="50" t="s">
        <v>1728</v>
      </c>
      <c r="D1756" s="50" t="s">
        <v>5212</v>
      </c>
      <c r="E1756" s="52" t="b">
        <v>1</v>
      </c>
      <c r="F1756" s="78" t="s">
        <v>728</v>
      </c>
      <c r="G1756" s="50" t="s">
        <v>5211</v>
      </c>
      <c r="H1756" s="50" t="s">
        <v>1728</v>
      </c>
      <c r="I1756" s="53" t="s">
        <v>5212</v>
      </c>
      <c r="J1756" s="55"/>
      <c r="K1756" s="55"/>
      <c r="L1756" s="79"/>
      <c r="M1756" s="56" t="str">
        <f>HYPERLINK("http://nsgreg.nga.mil/genc/view?v=869617&amp;end_month=12&amp;end_day=31&amp;end_year=2016","Correlation")</f>
        <v>Correlation</v>
      </c>
    </row>
    <row r="1757" spans="1:13" x14ac:dyDescent="0.2">
      <c r="A1757" s="113"/>
      <c r="B1757" s="58" t="s">
        <v>5213</v>
      </c>
      <c r="C1757" s="58" t="s">
        <v>1413</v>
      </c>
      <c r="D1757" s="58" t="s">
        <v>5214</v>
      </c>
      <c r="E1757" s="60" t="b">
        <v>1</v>
      </c>
      <c r="F1757" s="80" t="s">
        <v>728</v>
      </c>
      <c r="G1757" s="58" t="s">
        <v>5213</v>
      </c>
      <c r="H1757" s="58" t="s">
        <v>1413</v>
      </c>
      <c r="I1757" s="64" t="s">
        <v>5214</v>
      </c>
      <c r="J1757" s="66"/>
      <c r="K1757" s="66"/>
      <c r="L1757" s="68"/>
      <c r="M1757" s="63" t="str">
        <f>HYPERLINK("http://nsgreg.nga.mil/genc/view?v=869625&amp;end_month=12&amp;end_day=31&amp;end_year=2016","Correlation")</f>
        <v>Correlation</v>
      </c>
    </row>
    <row r="1758" spans="1:13" x14ac:dyDescent="0.2">
      <c r="A1758" s="113"/>
      <c r="B1758" s="58" t="s">
        <v>5215</v>
      </c>
      <c r="C1758" s="58" t="s">
        <v>1413</v>
      </c>
      <c r="D1758" s="58" t="s">
        <v>5216</v>
      </c>
      <c r="E1758" s="60" t="b">
        <v>1</v>
      </c>
      <c r="F1758" s="80" t="s">
        <v>728</v>
      </c>
      <c r="G1758" s="58" t="s">
        <v>5215</v>
      </c>
      <c r="H1758" s="58" t="s">
        <v>1413</v>
      </c>
      <c r="I1758" s="64" t="s">
        <v>5216</v>
      </c>
      <c r="J1758" s="66"/>
      <c r="K1758" s="66"/>
      <c r="L1758" s="68"/>
      <c r="M1758" s="63" t="str">
        <f>HYPERLINK("http://nsgreg.nga.mil/genc/view?v=869626&amp;end_month=12&amp;end_day=31&amp;end_year=2016","Correlation")</f>
        <v>Correlation</v>
      </c>
    </row>
    <row r="1759" spans="1:13" x14ac:dyDescent="0.2">
      <c r="A1759" s="113"/>
      <c r="B1759" s="58" t="s">
        <v>5217</v>
      </c>
      <c r="C1759" s="58" t="s">
        <v>1413</v>
      </c>
      <c r="D1759" s="58" t="s">
        <v>5218</v>
      </c>
      <c r="E1759" s="60" t="b">
        <v>1</v>
      </c>
      <c r="F1759" s="80" t="s">
        <v>728</v>
      </c>
      <c r="G1759" s="58" t="s">
        <v>5217</v>
      </c>
      <c r="H1759" s="58" t="s">
        <v>1413</v>
      </c>
      <c r="I1759" s="64" t="s">
        <v>5218</v>
      </c>
      <c r="J1759" s="66"/>
      <c r="K1759" s="66"/>
      <c r="L1759" s="68"/>
      <c r="M1759" s="63" t="str">
        <f>HYPERLINK("http://nsgreg.nga.mil/genc/view?v=869627&amp;end_month=12&amp;end_day=31&amp;end_year=2016","Correlation")</f>
        <v>Correlation</v>
      </c>
    </row>
    <row r="1760" spans="1:13" x14ac:dyDescent="0.2">
      <c r="A1760" s="113"/>
      <c r="B1760" s="58" t="s">
        <v>5219</v>
      </c>
      <c r="C1760" s="58" t="s">
        <v>1413</v>
      </c>
      <c r="D1760" s="58" t="s">
        <v>5220</v>
      </c>
      <c r="E1760" s="60" t="b">
        <v>1</v>
      </c>
      <c r="F1760" s="80" t="s">
        <v>728</v>
      </c>
      <c r="G1760" s="58" t="s">
        <v>5219</v>
      </c>
      <c r="H1760" s="58" t="s">
        <v>1413</v>
      </c>
      <c r="I1760" s="64" t="s">
        <v>5220</v>
      </c>
      <c r="J1760" s="66"/>
      <c r="K1760" s="66"/>
      <c r="L1760" s="68"/>
      <c r="M1760" s="63" t="str">
        <f>HYPERLINK("http://nsgreg.nga.mil/genc/view?v=869628&amp;end_month=12&amp;end_day=31&amp;end_year=2016","Correlation")</f>
        <v>Correlation</v>
      </c>
    </row>
    <row r="1761" spans="1:13" x14ac:dyDescent="0.2">
      <c r="A1761" s="113"/>
      <c r="B1761" s="58" t="s">
        <v>5221</v>
      </c>
      <c r="C1761" s="58" t="s">
        <v>1413</v>
      </c>
      <c r="D1761" s="58" t="s">
        <v>5222</v>
      </c>
      <c r="E1761" s="60" t="b">
        <v>1</v>
      </c>
      <c r="F1761" s="80" t="s">
        <v>728</v>
      </c>
      <c r="G1761" s="58" t="s">
        <v>5221</v>
      </c>
      <c r="H1761" s="58" t="s">
        <v>1413</v>
      </c>
      <c r="I1761" s="64" t="s">
        <v>5222</v>
      </c>
      <c r="J1761" s="66"/>
      <c r="K1761" s="66"/>
      <c r="L1761" s="68"/>
      <c r="M1761" s="63" t="str">
        <f>HYPERLINK("http://nsgreg.nga.mil/genc/view?v=869631&amp;end_month=12&amp;end_day=31&amp;end_year=2016","Correlation")</f>
        <v>Correlation</v>
      </c>
    </row>
    <row r="1762" spans="1:13" x14ac:dyDescent="0.2">
      <c r="A1762" s="113"/>
      <c r="B1762" s="58" t="s">
        <v>5223</v>
      </c>
      <c r="C1762" s="58" t="s">
        <v>1413</v>
      </c>
      <c r="D1762" s="58" t="s">
        <v>5224</v>
      </c>
      <c r="E1762" s="60" t="b">
        <v>1</v>
      </c>
      <c r="F1762" s="80" t="s">
        <v>728</v>
      </c>
      <c r="G1762" s="58" t="s">
        <v>5223</v>
      </c>
      <c r="H1762" s="58" t="s">
        <v>1413</v>
      </c>
      <c r="I1762" s="64" t="s">
        <v>5224</v>
      </c>
      <c r="J1762" s="66"/>
      <c r="K1762" s="66"/>
      <c r="L1762" s="68"/>
      <c r="M1762" s="63" t="str">
        <f>HYPERLINK("http://nsgreg.nga.mil/genc/view?v=869629&amp;end_month=12&amp;end_day=31&amp;end_year=2016","Correlation")</f>
        <v>Correlation</v>
      </c>
    </row>
    <row r="1763" spans="1:13" x14ac:dyDescent="0.2">
      <c r="A1763" s="113"/>
      <c r="B1763" s="58" t="s">
        <v>5225</v>
      </c>
      <c r="C1763" s="58" t="s">
        <v>1413</v>
      </c>
      <c r="D1763" s="58" t="s">
        <v>5226</v>
      </c>
      <c r="E1763" s="60" t="b">
        <v>1</v>
      </c>
      <c r="F1763" s="80" t="s">
        <v>728</v>
      </c>
      <c r="G1763" s="58" t="s">
        <v>5225</v>
      </c>
      <c r="H1763" s="58" t="s">
        <v>1413</v>
      </c>
      <c r="I1763" s="64" t="s">
        <v>5226</v>
      </c>
      <c r="J1763" s="66"/>
      <c r="K1763" s="66"/>
      <c r="L1763" s="68"/>
      <c r="M1763" s="63" t="str">
        <f>HYPERLINK("http://nsgreg.nga.mil/genc/view?v=869632&amp;end_month=12&amp;end_day=31&amp;end_year=2016","Correlation")</f>
        <v>Correlation</v>
      </c>
    </row>
    <row r="1764" spans="1:13" x14ac:dyDescent="0.2">
      <c r="A1764" s="113"/>
      <c r="B1764" s="58" t="s">
        <v>5227</v>
      </c>
      <c r="C1764" s="58" t="s">
        <v>1413</v>
      </c>
      <c r="D1764" s="58" t="s">
        <v>5228</v>
      </c>
      <c r="E1764" s="60" t="b">
        <v>1</v>
      </c>
      <c r="F1764" s="80" t="s">
        <v>728</v>
      </c>
      <c r="G1764" s="58" t="s">
        <v>5227</v>
      </c>
      <c r="H1764" s="58" t="s">
        <v>1413</v>
      </c>
      <c r="I1764" s="64" t="s">
        <v>5228</v>
      </c>
      <c r="J1764" s="66"/>
      <c r="K1764" s="66"/>
      <c r="L1764" s="68"/>
      <c r="M1764" s="63" t="str">
        <f>HYPERLINK("http://nsgreg.nga.mil/genc/view?v=869633&amp;end_month=12&amp;end_day=31&amp;end_year=2016","Correlation")</f>
        <v>Correlation</v>
      </c>
    </row>
    <row r="1765" spans="1:13" x14ac:dyDescent="0.2">
      <c r="A1765" s="113"/>
      <c r="B1765" s="58" t="s">
        <v>5229</v>
      </c>
      <c r="C1765" s="58" t="s">
        <v>1413</v>
      </c>
      <c r="D1765" s="58" t="s">
        <v>5230</v>
      </c>
      <c r="E1765" s="60" t="b">
        <v>1</v>
      </c>
      <c r="F1765" s="80" t="s">
        <v>728</v>
      </c>
      <c r="G1765" s="58" t="s">
        <v>5229</v>
      </c>
      <c r="H1765" s="58" t="s">
        <v>1413</v>
      </c>
      <c r="I1765" s="64" t="s">
        <v>5230</v>
      </c>
      <c r="J1765" s="66"/>
      <c r="K1765" s="66"/>
      <c r="L1765" s="68"/>
      <c r="M1765" s="63" t="str">
        <f>HYPERLINK("http://nsgreg.nga.mil/genc/view?v=869634&amp;end_month=12&amp;end_day=31&amp;end_year=2016","Correlation")</f>
        <v>Correlation</v>
      </c>
    </row>
    <row r="1766" spans="1:13" x14ac:dyDescent="0.2">
      <c r="A1766" s="113"/>
      <c r="B1766" s="58" t="s">
        <v>5231</v>
      </c>
      <c r="C1766" s="58" t="s">
        <v>1413</v>
      </c>
      <c r="D1766" s="58" t="s">
        <v>5232</v>
      </c>
      <c r="E1766" s="60" t="b">
        <v>1</v>
      </c>
      <c r="F1766" s="80" t="s">
        <v>728</v>
      </c>
      <c r="G1766" s="58" t="s">
        <v>5231</v>
      </c>
      <c r="H1766" s="58" t="s">
        <v>1413</v>
      </c>
      <c r="I1766" s="64" t="s">
        <v>5232</v>
      </c>
      <c r="J1766" s="66"/>
      <c r="K1766" s="66"/>
      <c r="L1766" s="68"/>
      <c r="M1766" s="63" t="str">
        <f>HYPERLINK("http://nsgreg.nga.mil/genc/view?v=869642&amp;end_month=12&amp;end_day=31&amp;end_year=2016","Correlation")</f>
        <v>Correlation</v>
      </c>
    </row>
    <row r="1767" spans="1:13" x14ac:dyDescent="0.2">
      <c r="A1767" s="113"/>
      <c r="B1767" s="58" t="s">
        <v>5233</v>
      </c>
      <c r="C1767" s="58" t="s">
        <v>1728</v>
      </c>
      <c r="D1767" s="58" t="s">
        <v>5234</v>
      </c>
      <c r="E1767" s="60" t="b">
        <v>1</v>
      </c>
      <c r="F1767" s="80" t="s">
        <v>728</v>
      </c>
      <c r="G1767" s="58" t="s">
        <v>5233</v>
      </c>
      <c r="H1767" s="58" t="s">
        <v>1728</v>
      </c>
      <c r="I1767" s="64" t="s">
        <v>5234</v>
      </c>
      <c r="J1767" s="66"/>
      <c r="K1767" s="66"/>
      <c r="L1767" s="68"/>
      <c r="M1767" s="63" t="str">
        <f>HYPERLINK("http://nsgreg.nga.mil/genc/view?v=869621&amp;end_month=12&amp;end_day=31&amp;end_year=2016","Correlation")</f>
        <v>Correlation</v>
      </c>
    </row>
    <row r="1768" spans="1:13" x14ac:dyDescent="0.2">
      <c r="A1768" s="113"/>
      <c r="B1768" s="58" t="s">
        <v>5235</v>
      </c>
      <c r="C1768" s="58" t="s">
        <v>1413</v>
      </c>
      <c r="D1768" s="58" t="s">
        <v>5236</v>
      </c>
      <c r="E1768" s="60" t="b">
        <v>1</v>
      </c>
      <c r="F1768" s="80" t="s">
        <v>728</v>
      </c>
      <c r="G1768" s="58" t="s">
        <v>5235</v>
      </c>
      <c r="H1768" s="58" t="s">
        <v>1413</v>
      </c>
      <c r="I1768" s="64" t="s">
        <v>5236</v>
      </c>
      <c r="J1768" s="66"/>
      <c r="K1768" s="66"/>
      <c r="L1768" s="68"/>
      <c r="M1768" s="63" t="str">
        <f>HYPERLINK("http://nsgreg.nga.mil/genc/view?v=869637&amp;end_month=12&amp;end_day=31&amp;end_year=2016","Correlation")</f>
        <v>Correlation</v>
      </c>
    </row>
    <row r="1769" spans="1:13" x14ac:dyDescent="0.2">
      <c r="A1769" s="113"/>
      <c r="B1769" s="58" t="s">
        <v>5237</v>
      </c>
      <c r="C1769" s="58" t="s">
        <v>1413</v>
      </c>
      <c r="D1769" s="58" t="s">
        <v>5238</v>
      </c>
      <c r="E1769" s="60" t="b">
        <v>1</v>
      </c>
      <c r="F1769" s="80" t="s">
        <v>728</v>
      </c>
      <c r="G1769" s="58" t="s">
        <v>5237</v>
      </c>
      <c r="H1769" s="58" t="s">
        <v>1413</v>
      </c>
      <c r="I1769" s="64" t="s">
        <v>5238</v>
      </c>
      <c r="J1769" s="66"/>
      <c r="K1769" s="66"/>
      <c r="L1769" s="68"/>
      <c r="M1769" s="63" t="str">
        <f>HYPERLINK("http://nsgreg.nga.mil/genc/view?v=869638&amp;end_month=12&amp;end_day=31&amp;end_year=2016","Correlation")</f>
        <v>Correlation</v>
      </c>
    </row>
    <row r="1770" spans="1:13" x14ac:dyDescent="0.2">
      <c r="A1770" s="113"/>
      <c r="B1770" s="58" t="s">
        <v>5239</v>
      </c>
      <c r="C1770" s="58" t="s">
        <v>1413</v>
      </c>
      <c r="D1770" s="58" t="s">
        <v>5240</v>
      </c>
      <c r="E1770" s="60" t="b">
        <v>1</v>
      </c>
      <c r="F1770" s="80" t="s">
        <v>728</v>
      </c>
      <c r="G1770" s="58" t="s">
        <v>5239</v>
      </c>
      <c r="H1770" s="58" t="s">
        <v>1413</v>
      </c>
      <c r="I1770" s="64" t="s">
        <v>5240</v>
      </c>
      <c r="J1770" s="66"/>
      <c r="K1770" s="66"/>
      <c r="L1770" s="68"/>
      <c r="M1770" s="63" t="str">
        <f>HYPERLINK("http://nsgreg.nga.mil/genc/view?v=869635&amp;end_month=12&amp;end_day=31&amp;end_year=2016","Correlation")</f>
        <v>Correlation</v>
      </c>
    </row>
    <row r="1771" spans="1:13" x14ac:dyDescent="0.2">
      <c r="A1771" s="113"/>
      <c r="B1771" s="58" t="s">
        <v>5241</v>
      </c>
      <c r="C1771" s="58" t="s">
        <v>1413</v>
      </c>
      <c r="D1771" s="58" t="s">
        <v>5242</v>
      </c>
      <c r="E1771" s="60" t="b">
        <v>1</v>
      </c>
      <c r="F1771" s="80" t="s">
        <v>728</v>
      </c>
      <c r="G1771" s="58" t="s">
        <v>5241</v>
      </c>
      <c r="H1771" s="58" t="s">
        <v>1413</v>
      </c>
      <c r="I1771" s="64" t="s">
        <v>5242</v>
      </c>
      <c r="J1771" s="66"/>
      <c r="K1771" s="66"/>
      <c r="L1771" s="68"/>
      <c r="M1771" s="63" t="str">
        <f>HYPERLINK("http://nsgreg.nga.mil/genc/view?v=869636&amp;end_month=12&amp;end_day=31&amp;end_year=2016","Correlation")</f>
        <v>Correlation</v>
      </c>
    </row>
    <row r="1772" spans="1:13" x14ac:dyDescent="0.2">
      <c r="A1772" s="113"/>
      <c r="B1772" s="58" t="s">
        <v>5243</v>
      </c>
      <c r="C1772" s="58" t="s">
        <v>1413</v>
      </c>
      <c r="D1772" s="58" t="s">
        <v>5244</v>
      </c>
      <c r="E1772" s="60" t="b">
        <v>1</v>
      </c>
      <c r="F1772" s="80" t="s">
        <v>728</v>
      </c>
      <c r="G1772" s="58" t="s">
        <v>5243</v>
      </c>
      <c r="H1772" s="58" t="s">
        <v>1413</v>
      </c>
      <c r="I1772" s="64" t="s">
        <v>5244</v>
      </c>
      <c r="J1772" s="66"/>
      <c r="K1772" s="66"/>
      <c r="L1772" s="68"/>
      <c r="M1772" s="63" t="str">
        <f>HYPERLINK("http://nsgreg.nga.mil/genc/view?v=869639&amp;end_month=12&amp;end_day=31&amp;end_year=2016","Correlation")</f>
        <v>Correlation</v>
      </c>
    </row>
    <row r="1773" spans="1:13" x14ac:dyDescent="0.2">
      <c r="A1773" s="113"/>
      <c r="B1773" s="58" t="s">
        <v>5245</v>
      </c>
      <c r="C1773" s="58" t="s">
        <v>1413</v>
      </c>
      <c r="D1773" s="58" t="s">
        <v>5246</v>
      </c>
      <c r="E1773" s="60" t="b">
        <v>1</v>
      </c>
      <c r="F1773" s="80" t="s">
        <v>728</v>
      </c>
      <c r="G1773" s="58" t="s">
        <v>5245</v>
      </c>
      <c r="H1773" s="58" t="s">
        <v>1413</v>
      </c>
      <c r="I1773" s="64" t="s">
        <v>5246</v>
      </c>
      <c r="J1773" s="66"/>
      <c r="K1773" s="66"/>
      <c r="L1773" s="68"/>
      <c r="M1773" s="63" t="str">
        <f>HYPERLINK("http://nsgreg.nga.mil/genc/view?v=869643&amp;end_month=12&amp;end_day=31&amp;end_year=2016","Correlation")</f>
        <v>Correlation</v>
      </c>
    </row>
    <row r="1774" spans="1:13" x14ac:dyDescent="0.2">
      <c r="A1774" s="113"/>
      <c r="B1774" s="58" t="s">
        <v>5247</v>
      </c>
      <c r="C1774" s="58" t="s">
        <v>1413</v>
      </c>
      <c r="D1774" s="58" t="s">
        <v>5248</v>
      </c>
      <c r="E1774" s="60" t="b">
        <v>1</v>
      </c>
      <c r="F1774" s="80" t="s">
        <v>728</v>
      </c>
      <c r="G1774" s="58" t="s">
        <v>5247</v>
      </c>
      <c r="H1774" s="58" t="s">
        <v>1413</v>
      </c>
      <c r="I1774" s="64" t="s">
        <v>5248</v>
      </c>
      <c r="J1774" s="66"/>
      <c r="K1774" s="66"/>
      <c r="L1774" s="68"/>
      <c r="M1774" s="63" t="str">
        <f>HYPERLINK("http://nsgreg.nga.mil/genc/view?v=869641&amp;end_month=12&amp;end_day=31&amp;end_year=2016","Correlation")</f>
        <v>Correlation</v>
      </c>
    </row>
    <row r="1775" spans="1:13" x14ac:dyDescent="0.2">
      <c r="A1775" s="113"/>
      <c r="B1775" s="58" t="s">
        <v>5249</v>
      </c>
      <c r="C1775" s="58" t="s">
        <v>1413</v>
      </c>
      <c r="D1775" s="58" t="s">
        <v>5250</v>
      </c>
      <c r="E1775" s="60" t="b">
        <v>1</v>
      </c>
      <c r="F1775" s="80" t="s">
        <v>728</v>
      </c>
      <c r="G1775" s="58" t="s">
        <v>5249</v>
      </c>
      <c r="H1775" s="58" t="s">
        <v>1413</v>
      </c>
      <c r="I1775" s="64" t="s">
        <v>5250</v>
      </c>
      <c r="J1775" s="66"/>
      <c r="K1775" s="66"/>
      <c r="L1775" s="68"/>
      <c r="M1775" s="63" t="str">
        <f>HYPERLINK("http://nsgreg.nga.mil/genc/view?v=869640&amp;end_month=12&amp;end_day=31&amp;end_year=2016","Correlation")</f>
        <v>Correlation</v>
      </c>
    </row>
    <row r="1776" spans="1:13" x14ac:dyDescent="0.2">
      <c r="A1776" s="113"/>
      <c r="B1776" s="58" t="s">
        <v>5251</v>
      </c>
      <c r="C1776" s="58" t="s">
        <v>1413</v>
      </c>
      <c r="D1776" s="58" t="s">
        <v>5252</v>
      </c>
      <c r="E1776" s="60" t="b">
        <v>1</v>
      </c>
      <c r="F1776" s="80" t="s">
        <v>728</v>
      </c>
      <c r="G1776" s="58" t="s">
        <v>5251</v>
      </c>
      <c r="H1776" s="58" t="s">
        <v>1413</v>
      </c>
      <c r="I1776" s="64" t="s">
        <v>5252</v>
      </c>
      <c r="J1776" s="66"/>
      <c r="K1776" s="66"/>
      <c r="L1776" s="68"/>
      <c r="M1776" s="63" t="str">
        <f>HYPERLINK("http://nsgreg.nga.mil/genc/view?v=869644&amp;end_month=12&amp;end_day=31&amp;end_year=2016","Correlation")</f>
        <v>Correlation</v>
      </c>
    </row>
    <row r="1777" spans="1:13" x14ac:dyDescent="0.2">
      <c r="A1777" s="113"/>
      <c r="B1777" s="58" t="s">
        <v>5253</v>
      </c>
      <c r="C1777" s="58" t="s">
        <v>1728</v>
      </c>
      <c r="D1777" s="58" t="s">
        <v>5254</v>
      </c>
      <c r="E1777" s="60" t="b">
        <v>1</v>
      </c>
      <c r="F1777" s="80" t="s">
        <v>728</v>
      </c>
      <c r="G1777" s="58" t="s">
        <v>5253</v>
      </c>
      <c r="H1777" s="58" t="s">
        <v>1728</v>
      </c>
      <c r="I1777" s="64" t="s">
        <v>5254</v>
      </c>
      <c r="J1777" s="66"/>
      <c r="K1777" s="66"/>
      <c r="L1777" s="68"/>
      <c r="M1777" s="63" t="str">
        <f>HYPERLINK("http://nsgreg.nga.mil/genc/view?v=869622&amp;end_month=12&amp;end_day=31&amp;end_year=2016","Correlation")</f>
        <v>Correlation</v>
      </c>
    </row>
    <row r="1778" spans="1:13" x14ac:dyDescent="0.2">
      <c r="A1778" s="113"/>
      <c r="B1778" s="58" t="s">
        <v>5255</v>
      </c>
      <c r="C1778" s="58" t="s">
        <v>1413</v>
      </c>
      <c r="D1778" s="58" t="s">
        <v>5256</v>
      </c>
      <c r="E1778" s="60" t="b">
        <v>1</v>
      </c>
      <c r="F1778" s="80" t="s">
        <v>728</v>
      </c>
      <c r="G1778" s="58" t="s">
        <v>5255</v>
      </c>
      <c r="H1778" s="58" t="s">
        <v>1413</v>
      </c>
      <c r="I1778" s="64" t="s">
        <v>5256</v>
      </c>
      <c r="J1778" s="66"/>
      <c r="K1778" s="66"/>
      <c r="L1778" s="68"/>
      <c r="M1778" s="63" t="str">
        <f>HYPERLINK("http://nsgreg.nga.mil/genc/view?v=869649&amp;end_month=12&amp;end_day=31&amp;end_year=2016","Correlation")</f>
        <v>Correlation</v>
      </c>
    </row>
    <row r="1779" spans="1:13" x14ac:dyDescent="0.2">
      <c r="A1779" s="113"/>
      <c r="B1779" s="58" t="s">
        <v>5257</v>
      </c>
      <c r="C1779" s="58" t="s">
        <v>1728</v>
      </c>
      <c r="D1779" s="58" t="s">
        <v>5258</v>
      </c>
      <c r="E1779" s="60" t="b">
        <v>1</v>
      </c>
      <c r="F1779" s="80" t="s">
        <v>728</v>
      </c>
      <c r="G1779" s="58" t="s">
        <v>5257</v>
      </c>
      <c r="H1779" s="58" t="s">
        <v>1728</v>
      </c>
      <c r="I1779" s="64" t="s">
        <v>5258</v>
      </c>
      <c r="J1779" s="66"/>
      <c r="K1779" s="66"/>
      <c r="L1779" s="68"/>
      <c r="M1779" s="63" t="str">
        <f>HYPERLINK("http://nsgreg.nga.mil/genc/view?v=869619&amp;end_month=12&amp;end_day=31&amp;end_year=2016","Correlation")</f>
        <v>Correlation</v>
      </c>
    </row>
    <row r="1780" spans="1:13" x14ac:dyDescent="0.2">
      <c r="A1780" s="113"/>
      <c r="B1780" s="58" t="s">
        <v>5259</v>
      </c>
      <c r="C1780" s="58" t="s">
        <v>1413</v>
      </c>
      <c r="D1780" s="58" t="s">
        <v>5260</v>
      </c>
      <c r="E1780" s="60" t="b">
        <v>1</v>
      </c>
      <c r="F1780" s="80" t="s">
        <v>728</v>
      </c>
      <c r="G1780" s="58" t="s">
        <v>5259</v>
      </c>
      <c r="H1780" s="58" t="s">
        <v>1413</v>
      </c>
      <c r="I1780" s="64" t="s">
        <v>5260</v>
      </c>
      <c r="J1780" s="66"/>
      <c r="K1780" s="66"/>
      <c r="L1780" s="68"/>
      <c r="M1780" s="63" t="str">
        <f>HYPERLINK("http://nsgreg.nga.mil/genc/view?v=869645&amp;end_month=12&amp;end_day=31&amp;end_year=2016","Correlation")</f>
        <v>Correlation</v>
      </c>
    </row>
    <row r="1781" spans="1:13" x14ac:dyDescent="0.2">
      <c r="A1781" s="113"/>
      <c r="B1781" s="58" t="s">
        <v>5261</v>
      </c>
      <c r="C1781" s="58" t="s">
        <v>1413</v>
      </c>
      <c r="D1781" s="58" t="s">
        <v>5262</v>
      </c>
      <c r="E1781" s="60" t="b">
        <v>1</v>
      </c>
      <c r="F1781" s="80" t="s">
        <v>728</v>
      </c>
      <c r="G1781" s="58" t="s">
        <v>5261</v>
      </c>
      <c r="H1781" s="58" t="s">
        <v>1413</v>
      </c>
      <c r="I1781" s="64" t="s">
        <v>5262</v>
      </c>
      <c r="J1781" s="66"/>
      <c r="K1781" s="66"/>
      <c r="L1781" s="68"/>
      <c r="M1781" s="63" t="str">
        <f>HYPERLINK("http://nsgreg.nga.mil/genc/view?v=869648&amp;end_month=12&amp;end_day=31&amp;end_year=2016","Correlation")</f>
        <v>Correlation</v>
      </c>
    </row>
    <row r="1782" spans="1:13" x14ac:dyDescent="0.2">
      <c r="A1782" s="113"/>
      <c r="B1782" s="58" t="s">
        <v>5263</v>
      </c>
      <c r="C1782" s="58" t="s">
        <v>1413</v>
      </c>
      <c r="D1782" s="58" t="s">
        <v>5264</v>
      </c>
      <c r="E1782" s="60" t="b">
        <v>1</v>
      </c>
      <c r="F1782" s="80" t="s">
        <v>728</v>
      </c>
      <c r="G1782" s="58" t="s">
        <v>5263</v>
      </c>
      <c r="H1782" s="58" t="s">
        <v>1413</v>
      </c>
      <c r="I1782" s="64" t="s">
        <v>5264</v>
      </c>
      <c r="J1782" s="66"/>
      <c r="K1782" s="66"/>
      <c r="L1782" s="68"/>
      <c r="M1782" s="63" t="str">
        <f>HYPERLINK("http://nsgreg.nga.mil/genc/view?v=869646&amp;end_month=12&amp;end_day=31&amp;end_year=2016","Correlation")</f>
        <v>Correlation</v>
      </c>
    </row>
    <row r="1783" spans="1:13" x14ac:dyDescent="0.2">
      <c r="A1783" s="113"/>
      <c r="B1783" s="58" t="s">
        <v>5265</v>
      </c>
      <c r="C1783" s="58" t="s">
        <v>1413</v>
      </c>
      <c r="D1783" s="58" t="s">
        <v>5266</v>
      </c>
      <c r="E1783" s="60" t="b">
        <v>1</v>
      </c>
      <c r="F1783" s="80" t="s">
        <v>728</v>
      </c>
      <c r="G1783" s="58" t="s">
        <v>5265</v>
      </c>
      <c r="H1783" s="58" t="s">
        <v>1413</v>
      </c>
      <c r="I1783" s="64" t="s">
        <v>5266</v>
      </c>
      <c r="J1783" s="66"/>
      <c r="K1783" s="66"/>
      <c r="L1783" s="68"/>
      <c r="M1783" s="63" t="str">
        <f>HYPERLINK("http://nsgreg.nga.mil/genc/view?v=869654&amp;end_month=12&amp;end_day=31&amp;end_year=2016","Correlation")</f>
        <v>Correlation</v>
      </c>
    </row>
    <row r="1784" spans="1:13" x14ac:dyDescent="0.2">
      <c r="A1784" s="113"/>
      <c r="B1784" s="58" t="s">
        <v>5267</v>
      </c>
      <c r="C1784" s="58" t="s">
        <v>1413</v>
      </c>
      <c r="D1784" s="58" t="s">
        <v>5268</v>
      </c>
      <c r="E1784" s="60" t="b">
        <v>1</v>
      </c>
      <c r="F1784" s="80" t="s">
        <v>728</v>
      </c>
      <c r="G1784" s="58" t="s">
        <v>5267</v>
      </c>
      <c r="H1784" s="58" t="s">
        <v>1413</v>
      </c>
      <c r="I1784" s="64" t="s">
        <v>5268</v>
      </c>
      <c r="J1784" s="66"/>
      <c r="K1784" s="66"/>
      <c r="L1784" s="68"/>
      <c r="M1784" s="63" t="str">
        <f>HYPERLINK("http://nsgreg.nga.mil/genc/view?v=869655&amp;end_month=12&amp;end_day=31&amp;end_year=2016","Correlation")</f>
        <v>Correlation</v>
      </c>
    </row>
    <row r="1785" spans="1:13" x14ac:dyDescent="0.2">
      <c r="A1785" s="113"/>
      <c r="B1785" s="58" t="s">
        <v>5269</v>
      </c>
      <c r="C1785" s="58" t="s">
        <v>1413</v>
      </c>
      <c r="D1785" s="58" t="s">
        <v>5270</v>
      </c>
      <c r="E1785" s="60" t="b">
        <v>1</v>
      </c>
      <c r="F1785" s="80" t="s">
        <v>728</v>
      </c>
      <c r="G1785" s="58" t="s">
        <v>5269</v>
      </c>
      <c r="H1785" s="58" t="s">
        <v>1413</v>
      </c>
      <c r="I1785" s="64" t="s">
        <v>5270</v>
      </c>
      <c r="J1785" s="66"/>
      <c r="K1785" s="66"/>
      <c r="L1785" s="68"/>
      <c r="M1785" s="63" t="str">
        <f>HYPERLINK("http://nsgreg.nga.mil/genc/view?v=869647&amp;end_month=12&amp;end_day=31&amp;end_year=2016","Correlation")</f>
        <v>Correlation</v>
      </c>
    </row>
    <row r="1786" spans="1:13" x14ac:dyDescent="0.2">
      <c r="A1786" s="113"/>
      <c r="B1786" s="58" t="s">
        <v>5271</v>
      </c>
      <c r="C1786" s="58" t="s">
        <v>1413</v>
      </c>
      <c r="D1786" s="58" t="s">
        <v>5272</v>
      </c>
      <c r="E1786" s="60" t="b">
        <v>1</v>
      </c>
      <c r="F1786" s="80" t="s">
        <v>728</v>
      </c>
      <c r="G1786" s="58" t="s">
        <v>5271</v>
      </c>
      <c r="H1786" s="58" t="s">
        <v>1413</v>
      </c>
      <c r="I1786" s="64" t="s">
        <v>5272</v>
      </c>
      <c r="J1786" s="66"/>
      <c r="K1786" s="66"/>
      <c r="L1786" s="68"/>
      <c r="M1786" s="63" t="str">
        <f>HYPERLINK("http://nsgreg.nga.mil/genc/view?v=869651&amp;end_month=12&amp;end_day=31&amp;end_year=2016","Correlation")</f>
        <v>Correlation</v>
      </c>
    </row>
    <row r="1787" spans="1:13" x14ac:dyDescent="0.2">
      <c r="A1787" s="113"/>
      <c r="B1787" s="58" t="s">
        <v>5273</v>
      </c>
      <c r="C1787" s="58" t="s">
        <v>1413</v>
      </c>
      <c r="D1787" s="58" t="s">
        <v>5274</v>
      </c>
      <c r="E1787" s="60" t="b">
        <v>1</v>
      </c>
      <c r="F1787" s="80" t="s">
        <v>728</v>
      </c>
      <c r="G1787" s="58" t="s">
        <v>5273</v>
      </c>
      <c r="H1787" s="58" t="s">
        <v>1413</v>
      </c>
      <c r="I1787" s="64" t="s">
        <v>5274</v>
      </c>
      <c r="J1787" s="66"/>
      <c r="K1787" s="66"/>
      <c r="L1787" s="68"/>
      <c r="M1787" s="63" t="str">
        <f>HYPERLINK("http://nsgreg.nga.mil/genc/view?v=869653&amp;end_month=12&amp;end_day=31&amp;end_year=2016","Correlation")</f>
        <v>Correlation</v>
      </c>
    </row>
    <row r="1788" spans="1:13" x14ac:dyDescent="0.2">
      <c r="A1788" s="113"/>
      <c r="B1788" s="58" t="s">
        <v>5275</v>
      </c>
      <c r="C1788" s="58" t="s">
        <v>1413</v>
      </c>
      <c r="D1788" s="58" t="s">
        <v>5276</v>
      </c>
      <c r="E1788" s="60" t="b">
        <v>1</v>
      </c>
      <c r="F1788" s="80" t="s">
        <v>728</v>
      </c>
      <c r="G1788" s="58" t="s">
        <v>5275</v>
      </c>
      <c r="H1788" s="58" t="s">
        <v>1413</v>
      </c>
      <c r="I1788" s="64" t="s">
        <v>5276</v>
      </c>
      <c r="J1788" s="66"/>
      <c r="K1788" s="66"/>
      <c r="L1788" s="68"/>
      <c r="M1788" s="63" t="str">
        <f>HYPERLINK("http://nsgreg.nga.mil/genc/view?v=869652&amp;end_month=12&amp;end_day=31&amp;end_year=2016","Correlation")</f>
        <v>Correlation</v>
      </c>
    </row>
    <row r="1789" spans="1:13" x14ac:dyDescent="0.2">
      <c r="A1789" s="113"/>
      <c r="B1789" s="58" t="s">
        <v>5277</v>
      </c>
      <c r="C1789" s="58" t="s">
        <v>1413</v>
      </c>
      <c r="D1789" s="58" t="s">
        <v>5278</v>
      </c>
      <c r="E1789" s="60" t="b">
        <v>1</v>
      </c>
      <c r="F1789" s="80" t="s">
        <v>728</v>
      </c>
      <c r="G1789" s="58" t="s">
        <v>5277</v>
      </c>
      <c r="H1789" s="58" t="s">
        <v>1413</v>
      </c>
      <c r="I1789" s="64" t="s">
        <v>5278</v>
      </c>
      <c r="J1789" s="66"/>
      <c r="K1789" s="66"/>
      <c r="L1789" s="68"/>
      <c r="M1789" s="63" t="str">
        <f>HYPERLINK("http://nsgreg.nga.mil/genc/view?v=869668&amp;end_month=12&amp;end_day=31&amp;end_year=2016","Correlation")</f>
        <v>Correlation</v>
      </c>
    </row>
    <row r="1790" spans="1:13" x14ac:dyDescent="0.2">
      <c r="A1790" s="113"/>
      <c r="B1790" s="58" t="s">
        <v>5279</v>
      </c>
      <c r="C1790" s="58" t="s">
        <v>1413</v>
      </c>
      <c r="D1790" s="58" t="s">
        <v>5280</v>
      </c>
      <c r="E1790" s="60" t="b">
        <v>1</v>
      </c>
      <c r="F1790" s="80" t="s">
        <v>728</v>
      </c>
      <c r="G1790" s="58" t="s">
        <v>5279</v>
      </c>
      <c r="H1790" s="58" t="s">
        <v>1413</v>
      </c>
      <c r="I1790" s="64" t="s">
        <v>5280</v>
      </c>
      <c r="J1790" s="66"/>
      <c r="K1790" s="66"/>
      <c r="L1790" s="68"/>
      <c r="M1790" s="63" t="str">
        <f>HYPERLINK("http://nsgreg.nga.mil/genc/view?v=869650&amp;end_month=12&amp;end_day=31&amp;end_year=2016","Correlation")</f>
        <v>Correlation</v>
      </c>
    </row>
    <row r="1791" spans="1:13" x14ac:dyDescent="0.2">
      <c r="A1791" s="113"/>
      <c r="B1791" s="58" t="s">
        <v>5281</v>
      </c>
      <c r="C1791" s="58" t="s">
        <v>1728</v>
      </c>
      <c r="D1791" s="58" t="s">
        <v>5282</v>
      </c>
      <c r="E1791" s="60" t="b">
        <v>1</v>
      </c>
      <c r="F1791" s="80" t="s">
        <v>728</v>
      </c>
      <c r="G1791" s="58" t="s">
        <v>5281</v>
      </c>
      <c r="H1791" s="58" t="s">
        <v>1728</v>
      </c>
      <c r="I1791" s="64" t="s">
        <v>5282</v>
      </c>
      <c r="J1791" s="66"/>
      <c r="K1791" s="66"/>
      <c r="L1791" s="68"/>
      <c r="M1791" s="63" t="str">
        <f>HYPERLINK("http://nsgreg.nga.mil/genc/view?v=869612&amp;end_month=12&amp;end_day=31&amp;end_year=2016","Correlation")</f>
        <v>Correlation</v>
      </c>
    </row>
    <row r="1792" spans="1:13" x14ac:dyDescent="0.2">
      <c r="A1792" s="113"/>
      <c r="B1792" s="58" t="s">
        <v>5283</v>
      </c>
      <c r="C1792" s="58" t="s">
        <v>1413</v>
      </c>
      <c r="D1792" s="58" t="s">
        <v>5284</v>
      </c>
      <c r="E1792" s="60" t="b">
        <v>1</v>
      </c>
      <c r="F1792" s="80" t="s">
        <v>728</v>
      </c>
      <c r="G1792" s="58" t="s">
        <v>5283</v>
      </c>
      <c r="H1792" s="58" t="s">
        <v>1413</v>
      </c>
      <c r="I1792" s="64" t="s">
        <v>5284</v>
      </c>
      <c r="J1792" s="66"/>
      <c r="K1792" s="66"/>
      <c r="L1792" s="68"/>
      <c r="M1792" s="63" t="str">
        <f>HYPERLINK("http://nsgreg.nga.mil/genc/view?v=869656&amp;end_month=12&amp;end_day=31&amp;end_year=2016","Correlation")</f>
        <v>Correlation</v>
      </c>
    </row>
    <row r="1793" spans="1:13" x14ac:dyDescent="0.2">
      <c r="A1793" s="113"/>
      <c r="B1793" s="58" t="s">
        <v>5285</v>
      </c>
      <c r="C1793" s="58" t="s">
        <v>1413</v>
      </c>
      <c r="D1793" s="58" t="s">
        <v>5286</v>
      </c>
      <c r="E1793" s="60" t="b">
        <v>1</v>
      </c>
      <c r="F1793" s="80" t="s">
        <v>728</v>
      </c>
      <c r="G1793" s="58" t="s">
        <v>5285</v>
      </c>
      <c r="H1793" s="58" t="s">
        <v>1413</v>
      </c>
      <c r="I1793" s="64" t="s">
        <v>5286</v>
      </c>
      <c r="J1793" s="66"/>
      <c r="K1793" s="66"/>
      <c r="L1793" s="68"/>
      <c r="M1793" s="63" t="str">
        <f>HYPERLINK("http://nsgreg.nga.mil/genc/view?v=869661&amp;end_month=12&amp;end_day=31&amp;end_year=2016","Correlation")</f>
        <v>Correlation</v>
      </c>
    </row>
    <row r="1794" spans="1:13" x14ac:dyDescent="0.2">
      <c r="A1794" s="113"/>
      <c r="B1794" s="58" t="s">
        <v>5287</v>
      </c>
      <c r="C1794" s="58" t="s">
        <v>1413</v>
      </c>
      <c r="D1794" s="58" t="s">
        <v>5288</v>
      </c>
      <c r="E1794" s="60" t="b">
        <v>1</v>
      </c>
      <c r="F1794" s="80" t="s">
        <v>728</v>
      </c>
      <c r="G1794" s="58" t="s">
        <v>5287</v>
      </c>
      <c r="H1794" s="58" t="s">
        <v>1413</v>
      </c>
      <c r="I1794" s="64" t="s">
        <v>5288</v>
      </c>
      <c r="J1794" s="66"/>
      <c r="K1794" s="66"/>
      <c r="L1794" s="68"/>
      <c r="M1794" s="63" t="str">
        <f>HYPERLINK("http://nsgreg.nga.mil/genc/view?v=869658&amp;end_month=12&amp;end_day=31&amp;end_year=2016","Correlation")</f>
        <v>Correlation</v>
      </c>
    </row>
    <row r="1795" spans="1:13" x14ac:dyDescent="0.2">
      <c r="A1795" s="113"/>
      <c r="B1795" s="58" t="s">
        <v>5289</v>
      </c>
      <c r="C1795" s="58" t="s">
        <v>1413</v>
      </c>
      <c r="D1795" s="58" t="s">
        <v>5290</v>
      </c>
      <c r="E1795" s="60" t="b">
        <v>1</v>
      </c>
      <c r="F1795" s="80" t="s">
        <v>728</v>
      </c>
      <c r="G1795" s="58" t="s">
        <v>5289</v>
      </c>
      <c r="H1795" s="58" t="s">
        <v>1413</v>
      </c>
      <c r="I1795" s="64" t="s">
        <v>5290</v>
      </c>
      <c r="J1795" s="66"/>
      <c r="K1795" s="66"/>
      <c r="L1795" s="68"/>
      <c r="M1795" s="63" t="str">
        <f>HYPERLINK("http://nsgreg.nga.mil/genc/view?v=869660&amp;end_month=12&amp;end_day=31&amp;end_year=2016","Correlation")</f>
        <v>Correlation</v>
      </c>
    </row>
    <row r="1796" spans="1:13" x14ac:dyDescent="0.2">
      <c r="A1796" s="113"/>
      <c r="B1796" s="58" t="s">
        <v>5291</v>
      </c>
      <c r="C1796" s="58" t="s">
        <v>1413</v>
      </c>
      <c r="D1796" s="58" t="s">
        <v>5292</v>
      </c>
      <c r="E1796" s="60" t="b">
        <v>1</v>
      </c>
      <c r="F1796" s="80" t="s">
        <v>728</v>
      </c>
      <c r="G1796" s="58" t="s">
        <v>5291</v>
      </c>
      <c r="H1796" s="58" t="s">
        <v>1413</v>
      </c>
      <c r="I1796" s="64" t="s">
        <v>5292</v>
      </c>
      <c r="J1796" s="66"/>
      <c r="K1796" s="66"/>
      <c r="L1796" s="68"/>
      <c r="M1796" s="63" t="str">
        <f>HYPERLINK("http://nsgreg.nga.mil/genc/view?v=869659&amp;end_month=12&amp;end_day=31&amp;end_year=2016","Correlation")</f>
        <v>Correlation</v>
      </c>
    </row>
    <row r="1797" spans="1:13" x14ac:dyDescent="0.2">
      <c r="A1797" s="113"/>
      <c r="B1797" s="58" t="s">
        <v>5295</v>
      </c>
      <c r="C1797" s="58" t="s">
        <v>1413</v>
      </c>
      <c r="D1797" s="58" t="s">
        <v>5294</v>
      </c>
      <c r="E1797" s="60" t="b">
        <v>1</v>
      </c>
      <c r="F1797" s="80" t="s">
        <v>728</v>
      </c>
      <c r="G1797" s="58" t="s">
        <v>5293</v>
      </c>
      <c r="H1797" s="58" t="s">
        <v>1413</v>
      </c>
      <c r="I1797" s="64" t="s">
        <v>5294</v>
      </c>
      <c r="J1797" s="66"/>
      <c r="K1797" s="66"/>
      <c r="L1797" s="68"/>
      <c r="M1797" s="63" t="str">
        <f>HYPERLINK("http://nsgreg.nga.mil/genc/view?v=869657&amp;end_month=12&amp;end_day=31&amp;end_year=2016","Correlation")</f>
        <v>Correlation</v>
      </c>
    </row>
    <row r="1798" spans="1:13" x14ac:dyDescent="0.2">
      <c r="A1798" s="113"/>
      <c r="B1798" s="58" t="s">
        <v>5296</v>
      </c>
      <c r="C1798" s="58" t="s">
        <v>1728</v>
      </c>
      <c r="D1798" s="58" t="s">
        <v>5297</v>
      </c>
      <c r="E1798" s="60" t="b">
        <v>1</v>
      </c>
      <c r="F1798" s="80" t="s">
        <v>728</v>
      </c>
      <c r="G1798" s="58" t="s">
        <v>5296</v>
      </c>
      <c r="H1798" s="58" t="s">
        <v>1728</v>
      </c>
      <c r="I1798" s="64" t="s">
        <v>5297</v>
      </c>
      <c r="J1798" s="66"/>
      <c r="K1798" s="66"/>
      <c r="L1798" s="68"/>
      <c r="M1798" s="63" t="str">
        <f>HYPERLINK("http://nsgreg.nga.mil/genc/view?v=869610&amp;end_month=12&amp;end_day=31&amp;end_year=2016","Correlation")</f>
        <v>Correlation</v>
      </c>
    </row>
    <row r="1799" spans="1:13" x14ac:dyDescent="0.2">
      <c r="A1799" s="113"/>
      <c r="B1799" s="58" t="s">
        <v>5298</v>
      </c>
      <c r="C1799" s="58" t="s">
        <v>1413</v>
      </c>
      <c r="D1799" s="58" t="s">
        <v>5299</v>
      </c>
      <c r="E1799" s="60" t="b">
        <v>1</v>
      </c>
      <c r="F1799" s="80" t="s">
        <v>728</v>
      </c>
      <c r="G1799" s="58" t="s">
        <v>5298</v>
      </c>
      <c r="H1799" s="58" t="s">
        <v>1413</v>
      </c>
      <c r="I1799" s="64" t="s">
        <v>5299</v>
      </c>
      <c r="J1799" s="66"/>
      <c r="K1799" s="66"/>
      <c r="L1799" s="68"/>
      <c r="M1799" s="63" t="str">
        <f>HYPERLINK("http://nsgreg.nga.mil/genc/view?v=869662&amp;end_month=12&amp;end_day=31&amp;end_year=2016","Correlation")</f>
        <v>Correlation</v>
      </c>
    </row>
    <row r="1800" spans="1:13" x14ac:dyDescent="0.2">
      <c r="A1800" s="113"/>
      <c r="B1800" s="58" t="s">
        <v>5300</v>
      </c>
      <c r="C1800" s="58" t="s">
        <v>1413</v>
      </c>
      <c r="D1800" s="58" t="s">
        <v>5301</v>
      </c>
      <c r="E1800" s="60" t="b">
        <v>1</v>
      </c>
      <c r="F1800" s="80" t="s">
        <v>728</v>
      </c>
      <c r="G1800" s="58" t="s">
        <v>5300</v>
      </c>
      <c r="H1800" s="58" t="s">
        <v>1413</v>
      </c>
      <c r="I1800" s="64" t="s">
        <v>5301</v>
      </c>
      <c r="J1800" s="66"/>
      <c r="K1800" s="66"/>
      <c r="L1800" s="68"/>
      <c r="M1800" s="63" t="str">
        <f>HYPERLINK("http://nsgreg.nga.mil/genc/view?v=869663&amp;end_month=12&amp;end_day=31&amp;end_year=2016","Correlation")</f>
        <v>Correlation</v>
      </c>
    </row>
    <row r="1801" spans="1:13" x14ac:dyDescent="0.2">
      <c r="A1801" s="113"/>
      <c r="B1801" s="58" t="s">
        <v>5302</v>
      </c>
      <c r="C1801" s="58" t="s">
        <v>1413</v>
      </c>
      <c r="D1801" s="58" t="s">
        <v>5303</v>
      </c>
      <c r="E1801" s="60" t="b">
        <v>1</v>
      </c>
      <c r="F1801" s="80" t="s">
        <v>728</v>
      </c>
      <c r="G1801" s="58" t="s">
        <v>5302</v>
      </c>
      <c r="H1801" s="58" t="s">
        <v>1413</v>
      </c>
      <c r="I1801" s="64" t="s">
        <v>5303</v>
      </c>
      <c r="J1801" s="66"/>
      <c r="K1801" s="66"/>
      <c r="L1801" s="68"/>
      <c r="M1801" s="63" t="str">
        <f>HYPERLINK("http://nsgreg.nga.mil/genc/view?v=869664&amp;end_month=12&amp;end_day=31&amp;end_year=2016","Correlation")</f>
        <v>Correlation</v>
      </c>
    </row>
    <row r="1802" spans="1:13" x14ac:dyDescent="0.2">
      <c r="A1802" s="113"/>
      <c r="B1802" s="58" t="s">
        <v>5304</v>
      </c>
      <c r="C1802" s="58" t="s">
        <v>1413</v>
      </c>
      <c r="D1802" s="58" t="s">
        <v>5305</v>
      </c>
      <c r="E1802" s="60" t="b">
        <v>1</v>
      </c>
      <c r="F1802" s="80" t="s">
        <v>728</v>
      </c>
      <c r="G1802" s="58" t="s">
        <v>5304</v>
      </c>
      <c r="H1802" s="58" t="s">
        <v>1413</v>
      </c>
      <c r="I1802" s="64" t="s">
        <v>5305</v>
      </c>
      <c r="J1802" s="66"/>
      <c r="K1802" s="66"/>
      <c r="L1802" s="68"/>
      <c r="M1802" s="63" t="str">
        <f>HYPERLINK("http://nsgreg.nga.mil/genc/view?v=869665&amp;end_month=12&amp;end_day=31&amp;end_year=2016","Correlation")</f>
        <v>Correlation</v>
      </c>
    </row>
    <row r="1803" spans="1:13" x14ac:dyDescent="0.2">
      <c r="A1803" s="113"/>
      <c r="B1803" s="58" t="s">
        <v>5306</v>
      </c>
      <c r="C1803" s="58" t="s">
        <v>1413</v>
      </c>
      <c r="D1803" s="58" t="s">
        <v>5307</v>
      </c>
      <c r="E1803" s="60" t="b">
        <v>1</v>
      </c>
      <c r="F1803" s="80" t="s">
        <v>728</v>
      </c>
      <c r="G1803" s="58" t="s">
        <v>5306</v>
      </c>
      <c r="H1803" s="58" t="s">
        <v>1413</v>
      </c>
      <c r="I1803" s="64" t="s">
        <v>5307</v>
      </c>
      <c r="J1803" s="66"/>
      <c r="K1803" s="66"/>
      <c r="L1803" s="68"/>
      <c r="M1803" s="63" t="str">
        <f>HYPERLINK("http://nsgreg.nga.mil/genc/view?v=869666&amp;end_month=12&amp;end_day=31&amp;end_year=2016","Correlation")</f>
        <v>Correlation</v>
      </c>
    </row>
    <row r="1804" spans="1:13" x14ac:dyDescent="0.2">
      <c r="A1804" s="113"/>
      <c r="B1804" s="58" t="s">
        <v>5308</v>
      </c>
      <c r="C1804" s="58" t="s">
        <v>1413</v>
      </c>
      <c r="D1804" s="58" t="s">
        <v>5309</v>
      </c>
      <c r="E1804" s="60" t="b">
        <v>1</v>
      </c>
      <c r="F1804" s="80" t="s">
        <v>728</v>
      </c>
      <c r="G1804" s="58" t="s">
        <v>5308</v>
      </c>
      <c r="H1804" s="58" t="s">
        <v>1413</v>
      </c>
      <c r="I1804" s="64" t="s">
        <v>5309</v>
      </c>
      <c r="J1804" s="66"/>
      <c r="K1804" s="66"/>
      <c r="L1804" s="68"/>
      <c r="M1804" s="63" t="str">
        <f>HYPERLINK("http://nsgreg.nga.mil/genc/view?v=869667&amp;end_month=12&amp;end_day=31&amp;end_year=2016","Correlation")</f>
        <v>Correlation</v>
      </c>
    </row>
    <row r="1805" spans="1:13" x14ac:dyDescent="0.2">
      <c r="A1805" s="113"/>
      <c r="B1805" s="58" t="s">
        <v>5312</v>
      </c>
      <c r="C1805" s="58" t="s">
        <v>1413</v>
      </c>
      <c r="D1805" s="58" t="s">
        <v>5311</v>
      </c>
      <c r="E1805" s="60" t="b">
        <v>1</v>
      </c>
      <c r="F1805" s="80" t="s">
        <v>728</v>
      </c>
      <c r="G1805" s="58" t="s">
        <v>5310</v>
      </c>
      <c r="H1805" s="58" t="s">
        <v>1413</v>
      </c>
      <c r="I1805" s="64" t="s">
        <v>5311</v>
      </c>
      <c r="J1805" s="66"/>
      <c r="K1805" s="66"/>
      <c r="L1805" s="68"/>
      <c r="M1805" s="63" t="str">
        <f>HYPERLINK("http://nsgreg.nga.mil/genc/view?v=869630&amp;end_month=12&amp;end_day=31&amp;end_year=2016","Correlation")</f>
        <v>Correlation</v>
      </c>
    </row>
    <row r="1806" spans="1:13" x14ac:dyDescent="0.2">
      <c r="A1806" s="113"/>
      <c r="B1806" s="58" t="s">
        <v>5313</v>
      </c>
      <c r="C1806" s="58" t="s">
        <v>1413</v>
      </c>
      <c r="D1806" s="58" t="s">
        <v>5314</v>
      </c>
      <c r="E1806" s="60" t="b">
        <v>1</v>
      </c>
      <c r="F1806" s="80" t="s">
        <v>728</v>
      </c>
      <c r="G1806" s="58" t="s">
        <v>5313</v>
      </c>
      <c r="H1806" s="58" t="s">
        <v>1413</v>
      </c>
      <c r="I1806" s="64" t="s">
        <v>5314</v>
      </c>
      <c r="J1806" s="66"/>
      <c r="K1806" s="66"/>
      <c r="L1806" s="68"/>
      <c r="M1806" s="63" t="str">
        <f>HYPERLINK("http://nsgreg.nga.mil/genc/view?v=869713&amp;end_month=12&amp;end_day=31&amp;end_year=2016","Correlation")</f>
        <v>Correlation</v>
      </c>
    </row>
    <row r="1807" spans="1:13" x14ac:dyDescent="0.2">
      <c r="A1807" s="113"/>
      <c r="B1807" s="58" t="s">
        <v>5315</v>
      </c>
      <c r="C1807" s="58" t="s">
        <v>1413</v>
      </c>
      <c r="D1807" s="58" t="s">
        <v>5316</v>
      </c>
      <c r="E1807" s="60" t="b">
        <v>1</v>
      </c>
      <c r="F1807" s="80" t="s">
        <v>728</v>
      </c>
      <c r="G1807" s="58" t="s">
        <v>5315</v>
      </c>
      <c r="H1807" s="58" t="s">
        <v>1413</v>
      </c>
      <c r="I1807" s="64" t="s">
        <v>5316</v>
      </c>
      <c r="J1807" s="66"/>
      <c r="K1807" s="66"/>
      <c r="L1807" s="68"/>
      <c r="M1807" s="63" t="str">
        <f>HYPERLINK("http://nsgreg.nga.mil/genc/view?v=869673&amp;end_month=12&amp;end_day=31&amp;end_year=2016","Correlation")</f>
        <v>Correlation</v>
      </c>
    </row>
    <row r="1808" spans="1:13" x14ac:dyDescent="0.2">
      <c r="A1808" s="113"/>
      <c r="B1808" s="58" t="s">
        <v>5317</v>
      </c>
      <c r="C1808" s="58" t="s">
        <v>1728</v>
      </c>
      <c r="D1808" s="58" t="s">
        <v>5318</v>
      </c>
      <c r="E1808" s="60" t="b">
        <v>1</v>
      </c>
      <c r="F1808" s="80" t="s">
        <v>728</v>
      </c>
      <c r="G1808" s="58" t="s">
        <v>5317</v>
      </c>
      <c r="H1808" s="58" t="s">
        <v>1728</v>
      </c>
      <c r="I1808" s="64" t="s">
        <v>5318</v>
      </c>
      <c r="J1808" s="66"/>
      <c r="K1808" s="66"/>
      <c r="L1808" s="68"/>
      <c r="M1808" s="63" t="str">
        <f>HYPERLINK("http://nsgreg.nga.mil/genc/view?v=869616&amp;end_month=12&amp;end_day=31&amp;end_year=2016","Correlation")</f>
        <v>Correlation</v>
      </c>
    </row>
    <row r="1809" spans="1:13" x14ac:dyDescent="0.2">
      <c r="A1809" s="113"/>
      <c r="B1809" s="58" t="s">
        <v>5319</v>
      </c>
      <c r="C1809" s="58" t="s">
        <v>1413</v>
      </c>
      <c r="D1809" s="58" t="s">
        <v>5320</v>
      </c>
      <c r="E1809" s="60" t="b">
        <v>1</v>
      </c>
      <c r="F1809" s="80" t="s">
        <v>728</v>
      </c>
      <c r="G1809" s="58" t="s">
        <v>5319</v>
      </c>
      <c r="H1809" s="58" t="s">
        <v>1413</v>
      </c>
      <c r="I1809" s="64" t="s">
        <v>5320</v>
      </c>
      <c r="J1809" s="66"/>
      <c r="K1809" s="66"/>
      <c r="L1809" s="68"/>
      <c r="M1809" s="63" t="str">
        <f>HYPERLINK("http://nsgreg.nga.mil/genc/view?v=869670&amp;end_month=12&amp;end_day=31&amp;end_year=2016","Correlation")</f>
        <v>Correlation</v>
      </c>
    </row>
    <row r="1810" spans="1:13" x14ac:dyDescent="0.2">
      <c r="A1810" s="113"/>
      <c r="B1810" s="58" t="s">
        <v>5321</v>
      </c>
      <c r="C1810" s="58" t="s">
        <v>1413</v>
      </c>
      <c r="D1810" s="58" t="s">
        <v>5322</v>
      </c>
      <c r="E1810" s="60" t="b">
        <v>1</v>
      </c>
      <c r="F1810" s="80" t="s">
        <v>728</v>
      </c>
      <c r="G1810" s="58" t="s">
        <v>5321</v>
      </c>
      <c r="H1810" s="58" t="s">
        <v>1413</v>
      </c>
      <c r="I1810" s="64" t="s">
        <v>5322</v>
      </c>
      <c r="J1810" s="66"/>
      <c r="K1810" s="66"/>
      <c r="L1810" s="68"/>
      <c r="M1810" s="63" t="str">
        <f>HYPERLINK("http://nsgreg.nga.mil/genc/view?v=869669&amp;end_month=12&amp;end_day=31&amp;end_year=2016","Correlation")</f>
        <v>Correlation</v>
      </c>
    </row>
    <row r="1811" spans="1:13" x14ac:dyDescent="0.2">
      <c r="A1811" s="113"/>
      <c r="B1811" s="58" t="s">
        <v>5323</v>
      </c>
      <c r="C1811" s="58" t="s">
        <v>1728</v>
      </c>
      <c r="D1811" s="58" t="s">
        <v>5324</v>
      </c>
      <c r="E1811" s="60" t="b">
        <v>1</v>
      </c>
      <c r="F1811" s="80" t="s">
        <v>728</v>
      </c>
      <c r="G1811" s="58" t="s">
        <v>5323</v>
      </c>
      <c r="H1811" s="58" t="s">
        <v>1728</v>
      </c>
      <c r="I1811" s="64" t="s">
        <v>5324</v>
      </c>
      <c r="J1811" s="66"/>
      <c r="K1811" s="66"/>
      <c r="L1811" s="68"/>
      <c r="M1811" s="63" t="str">
        <f>HYPERLINK("http://nsgreg.nga.mil/genc/view?v=869611&amp;end_month=12&amp;end_day=31&amp;end_year=2016","Correlation")</f>
        <v>Correlation</v>
      </c>
    </row>
    <row r="1812" spans="1:13" x14ac:dyDescent="0.2">
      <c r="A1812" s="113"/>
      <c r="B1812" s="58" t="s">
        <v>5325</v>
      </c>
      <c r="C1812" s="58" t="s">
        <v>1413</v>
      </c>
      <c r="D1812" s="58" t="s">
        <v>5326</v>
      </c>
      <c r="E1812" s="60" t="b">
        <v>1</v>
      </c>
      <c r="F1812" s="80" t="s">
        <v>728</v>
      </c>
      <c r="G1812" s="58" t="s">
        <v>5325</v>
      </c>
      <c r="H1812" s="58" t="s">
        <v>1413</v>
      </c>
      <c r="I1812" s="64" t="s">
        <v>5326</v>
      </c>
      <c r="J1812" s="66"/>
      <c r="K1812" s="66"/>
      <c r="L1812" s="68"/>
      <c r="M1812" s="63" t="str">
        <f>HYPERLINK("http://nsgreg.nga.mil/genc/view?v=869671&amp;end_month=12&amp;end_day=31&amp;end_year=2016","Correlation")</f>
        <v>Correlation</v>
      </c>
    </row>
    <row r="1813" spans="1:13" x14ac:dyDescent="0.2">
      <c r="A1813" s="113"/>
      <c r="B1813" s="58" t="s">
        <v>5327</v>
      </c>
      <c r="C1813" s="58" t="s">
        <v>1413</v>
      </c>
      <c r="D1813" s="58" t="s">
        <v>5328</v>
      </c>
      <c r="E1813" s="60" t="b">
        <v>1</v>
      </c>
      <c r="F1813" s="80" t="s">
        <v>728</v>
      </c>
      <c r="G1813" s="58" t="s">
        <v>5327</v>
      </c>
      <c r="H1813" s="58" t="s">
        <v>1413</v>
      </c>
      <c r="I1813" s="64" t="s">
        <v>5328</v>
      </c>
      <c r="J1813" s="66"/>
      <c r="K1813" s="66"/>
      <c r="L1813" s="68"/>
      <c r="M1813" s="63" t="str">
        <f>HYPERLINK("http://nsgreg.nga.mil/genc/view?v=869672&amp;end_month=12&amp;end_day=31&amp;end_year=2016","Correlation")</f>
        <v>Correlation</v>
      </c>
    </row>
    <row r="1814" spans="1:13" x14ac:dyDescent="0.2">
      <c r="A1814" s="113"/>
      <c r="B1814" s="58" t="s">
        <v>5331</v>
      </c>
      <c r="C1814" s="58" t="s">
        <v>1728</v>
      </c>
      <c r="D1814" s="58" t="s">
        <v>5330</v>
      </c>
      <c r="E1814" s="60" t="b">
        <v>1</v>
      </c>
      <c r="F1814" s="80" t="s">
        <v>728</v>
      </c>
      <c r="G1814" s="58" t="s">
        <v>5329</v>
      </c>
      <c r="H1814" s="58" t="s">
        <v>1728</v>
      </c>
      <c r="I1814" s="64" t="s">
        <v>5330</v>
      </c>
      <c r="J1814" s="66"/>
      <c r="K1814" s="66"/>
      <c r="L1814" s="68"/>
      <c r="M1814" s="63" t="str">
        <f>HYPERLINK("http://nsgreg.nga.mil/genc/view?v=869607&amp;end_month=12&amp;end_day=31&amp;end_year=2016","Correlation")</f>
        <v>Correlation</v>
      </c>
    </row>
    <row r="1815" spans="1:13" x14ac:dyDescent="0.2">
      <c r="A1815" s="113"/>
      <c r="B1815" s="58" t="s">
        <v>5332</v>
      </c>
      <c r="C1815" s="58" t="s">
        <v>1413</v>
      </c>
      <c r="D1815" s="58" t="s">
        <v>5333</v>
      </c>
      <c r="E1815" s="60" t="b">
        <v>1</v>
      </c>
      <c r="F1815" s="80" t="s">
        <v>728</v>
      </c>
      <c r="G1815" s="58" t="s">
        <v>5332</v>
      </c>
      <c r="H1815" s="58" t="s">
        <v>1413</v>
      </c>
      <c r="I1815" s="64" t="s">
        <v>5333</v>
      </c>
      <c r="J1815" s="66"/>
      <c r="K1815" s="66"/>
      <c r="L1815" s="68"/>
      <c r="M1815" s="63" t="str">
        <f>HYPERLINK("http://nsgreg.nga.mil/genc/view?v=869674&amp;end_month=12&amp;end_day=31&amp;end_year=2016","Correlation")</f>
        <v>Correlation</v>
      </c>
    </row>
    <row r="1816" spans="1:13" x14ac:dyDescent="0.2">
      <c r="A1816" s="113"/>
      <c r="B1816" s="58" t="s">
        <v>5334</v>
      </c>
      <c r="C1816" s="58" t="s">
        <v>1413</v>
      </c>
      <c r="D1816" s="58" t="s">
        <v>5335</v>
      </c>
      <c r="E1816" s="60" t="b">
        <v>1</v>
      </c>
      <c r="F1816" s="80" t="s">
        <v>728</v>
      </c>
      <c r="G1816" s="58" t="s">
        <v>5334</v>
      </c>
      <c r="H1816" s="58" t="s">
        <v>1413</v>
      </c>
      <c r="I1816" s="64" t="s">
        <v>5335</v>
      </c>
      <c r="J1816" s="66"/>
      <c r="K1816" s="66"/>
      <c r="L1816" s="68"/>
      <c r="M1816" s="63" t="str">
        <f>HYPERLINK("http://nsgreg.nga.mil/genc/view?v=869676&amp;end_month=12&amp;end_day=31&amp;end_year=2016","Correlation")</f>
        <v>Correlation</v>
      </c>
    </row>
    <row r="1817" spans="1:13" x14ac:dyDescent="0.2">
      <c r="A1817" s="113"/>
      <c r="B1817" s="58" t="s">
        <v>5336</v>
      </c>
      <c r="C1817" s="58" t="s">
        <v>1413</v>
      </c>
      <c r="D1817" s="58" t="s">
        <v>5337</v>
      </c>
      <c r="E1817" s="60" t="b">
        <v>1</v>
      </c>
      <c r="F1817" s="80" t="s">
        <v>728</v>
      </c>
      <c r="G1817" s="58" t="s">
        <v>5336</v>
      </c>
      <c r="H1817" s="58" t="s">
        <v>1413</v>
      </c>
      <c r="I1817" s="64" t="s">
        <v>5337</v>
      </c>
      <c r="J1817" s="66"/>
      <c r="K1817" s="66"/>
      <c r="L1817" s="68"/>
      <c r="M1817" s="63" t="str">
        <f>HYPERLINK("http://nsgreg.nga.mil/genc/view?v=869679&amp;end_month=12&amp;end_day=31&amp;end_year=2016","Correlation")</f>
        <v>Correlation</v>
      </c>
    </row>
    <row r="1818" spans="1:13" x14ac:dyDescent="0.2">
      <c r="A1818" s="113"/>
      <c r="B1818" s="58" t="s">
        <v>5338</v>
      </c>
      <c r="C1818" s="58" t="s">
        <v>1728</v>
      </c>
      <c r="D1818" s="58" t="s">
        <v>5339</v>
      </c>
      <c r="E1818" s="60" t="b">
        <v>1</v>
      </c>
      <c r="F1818" s="80" t="s">
        <v>728</v>
      </c>
      <c r="G1818" s="58" t="s">
        <v>5338</v>
      </c>
      <c r="H1818" s="58" t="s">
        <v>1728</v>
      </c>
      <c r="I1818" s="64" t="s">
        <v>5339</v>
      </c>
      <c r="J1818" s="66"/>
      <c r="K1818" s="66"/>
      <c r="L1818" s="68"/>
      <c r="M1818" s="63" t="str">
        <f>HYPERLINK("http://nsgreg.nga.mil/genc/view?v=869615&amp;end_month=12&amp;end_day=31&amp;end_year=2016","Correlation")</f>
        <v>Correlation</v>
      </c>
    </row>
    <row r="1819" spans="1:13" x14ac:dyDescent="0.2">
      <c r="A1819" s="113"/>
      <c r="B1819" s="58" t="s">
        <v>5340</v>
      </c>
      <c r="C1819" s="58" t="s">
        <v>1413</v>
      </c>
      <c r="D1819" s="58" t="s">
        <v>5341</v>
      </c>
      <c r="E1819" s="60" t="b">
        <v>1</v>
      </c>
      <c r="F1819" s="80" t="s">
        <v>728</v>
      </c>
      <c r="G1819" s="58" t="s">
        <v>5340</v>
      </c>
      <c r="H1819" s="58" t="s">
        <v>1413</v>
      </c>
      <c r="I1819" s="64" t="s">
        <v>5341</v>
      </c>
      <c r="J1819" s="66"/>
      <c r="K1819" s="66"/>
      <c r="L1819" s="68"/>
      <c r="M1819" s="63" t="str">
        <f>HYPERLINK("http://nsgreg.nga.mil/genc/view?v=869681&amp;end_month=12&amp;end_day=31&amp;end_year=2016","Correlation")</f>
        <v>Correlation</v>
      </c>
    </row>
    <row r="1820" spans="1:13" x14ac:dyDescent="0.2">
      <c r="A1820" s="113"/>
      <c r="B1820" s="58" t="s">
        <v>5342</v>
      </c>
      <c r="C1820" s="58" t="s">
        <v>1413</v>
      </c>
      <c r="D1820" s="58" t="s">
        <v>5343</v>
      </c>
      <c r="E1820" s="60" t="b">
        <v>1</v>
      </c>
      <c r="F1820" s="80" t="s">
        <v>728</v>
      </c>
      <c r="G1820" s="58" t="s">
        <v>5342</v>
      </c>
      <c r="H1820" s="58" t="s">
        <v>1413</v>
      </c>
      <c r="I1820" s="64" t="s">
        <v>5343</v>
      </c>
      <c r="J1820" s="66"/>
      <c r="K1820" s="66"/>
      <c r="L1820" s="68"/>
      <c r="M1820" s="63" t="str">
        <f>HYPERLINK("http://nsgreg.nga.mil/genc/view?v=869682&amp;end_month=12&amp;end_day=31&amp;end_year=2016","Correlation")</f>
        <v>Correlation</v>
      </c>
    </row>
    <row r="1821" spans="1:13" x14ac:dyDescent="0.2">
      <c r="A1821" s="113"/>
      <c r="B1821" s="58" t="s">
        <v>5344</v>
      </c>
      <c r="C1821" s="58" t="s">
        <v>1413</v>
      </c>
      <c r="D1821" s="58" t="s">
        <v>5345</v>
      </c>
      <c r="E1821" s="60" t="b">
        <v>1</v>
      </c>
      <c r="F1821" s="80" t="s">
        <v>728</v>
      </c>
      <c r="G1821" s="58" t="s">
        <v>5344</v>
      </c>
      <c r="H1821" s="58" t="s">
        <v>1413</v>
      </c>
      <c r="I1821" s="64" t="s">
        <v>5345</v>
      </c>
      <c r="J1821" s="66"/>
      <c r="K1821" s="66"/>
      <c r="L1821" s="68"/>
      <c r="M1821" s="63" t="str">
        <f>HYPERLINK("http://nsgreg.nga.mil/genc/view?v=869732&amp;end_month=12&amp;end_day=31&amp;end_year=2016","Correlation")</f>
        <v>Correlation</v>
      </c>
    </row>
    <row r="1822" spans="1:13" x14ac:dyDescent="0.2">
      <c r="A1822" s="113"/>
      <c r="B1822" s="58" t="s">
        <v>5346</v>
      </c>
      <c r="C1822" s="58" t="s">
        <v>1413</v>
      </c>
      <c r="D1822" s="58" t="s">
        <v>5347</v>
      </c>
      <c r="E1822" s="60" t="b">
        <v>1</v>
      </c>
      <c r="F1822" s="80" t="s">
        <v>728</v>
      </c>
      <c r="G1822" s="58" t="s">
        <v>5346</v>
      </c>
      <c r="H1822" s="58" t="s">
        <v>1413</v>
      </c>
      <c r="I1822" s="64" t="s">
        <v>5347</v>
      </c>
      <c r="J1822" s="66"/>
      <c r="K1822" s="66"/>
      <c r="L1822" s="68"/>
      <c r="M1822" s="63" t="str">
        <f>HYPERLINK("http://nsgreg.nga.mil/genc/view?v=869677&amp;end_month=12&amp;end_day=31&amp;end_year=2016","Correlation")</f>
        <v>Correlation</v>
      </c>
    </row>
    <row r="1823" spans="1:13" x14ac:dyDescent="0.2">
      <c r="A1823" s="113"/>
      <c r="B1823" s="58" t="s">
        <v>5348</v>
      </c>
      <c r="C1823" s="58" t="s">
        <v>1413</v>
      </c>
      <c r="D1823" s="58" t="s">
        <v>5349</v>
      </c>
      <c r="E1823" s="60" t="b">
        <v>1</v>
      </c>
      <c r="F1823" s="80" t="s">
        <v>728</v>
      </c>
      <c r="G1823" s="58" t="s">
        <v>5348</v>
      </c>
      <c r="H1823" s="58" t="s">
        <v>1413</v>
      </c>
      <c r="I1823" s="64" t="s">
        <v>5349</v>
      </c>
      <c r="J1823" s="66"/>
      <c r="K1823" s="66"/>
      <c r="L1823" s="68"/>
      <c r="M1823" s="63" t="str">
        <f>HYPERLINK("http://nsgreg.nga.mil/genc/view?v=869678&amp;end_month=12&amp;end_day=31&amp;end_year=2016","Correlation")</f>
        <v>Correlation</v>
      </c>
    </row>
    <row r="1824" spans="1:13" x14ac:dyDescent="0.2">
      <c r="A1824" s="113"/>
      <c r="B1824" s="58" t="s">
        <v>5350</v>
      </c>
      <c r="C1824" s="58" t="s">
        <v>1413</v>
      </c>
      <c r="D1824" s="58" t="s">
        <v>5351</v>
      </c>
      <c r="E1824" s="60" t="b">
        <v>1</v>
      </c>
      <c r="F1824" s="80" t="s">
        <v>728</v>
      </c>
      <c r="G1824" s="58" t="s">
        <v>5350</v>
      </c>
      <c r="H1824" s="58" t="s">
        <v>1413</v>
      </c>
      <c r="I1824" s="64" t="s">
        <v>5351</v>
      </c>
      <c r="J1824" s="66"/>
      <c r="K1824" s="66"/>
      <c r="L1824" s="68"/>
      <c r="M1824" s="63" t="str">
        <f>HYPERLINK("http://nsgreg.nga.mil/genc/view?v=869680&amp;end_month=12&amp;end_day=31&amp;end_year=2016","Correlation")</f>
        <v>Correlation</v>
      </c>
    </row>
    <row r="1825" spans="1:13" x14ac:dyDescent="0.2">
      <c r="A1825" s="113"/>
      <c r="B1825" s="58" t="s">
        <v>5352</v>
      </c>
      <c r="C1825" s="58" t="s">
        <v>1728</v>
      </c>
      <c r="D1825" s="58" t="s">
        <v>5353</v>
      </c>
      <c r="E1825" s="60" t="b">
        <v>1</v>
      </c>
      <c r="F1825" s="80" t="s">
        <v>728</v>
      </c>
      <c r="G1825" s="58" t="s">
        <v>5352</v>
      </c>
      <c r="H1825" s="58" t="s">
        <v>1728</v>
      </c>
      <c r="I1825" s="64" t="s">
        <v>5353</v>
      </c>
      <c r="J1825" s="66"/>
      <c r="K1825" s="66"/>
      <c r="L1825" s="68"/>
      <c r="M1825" s="63" t="str">
        <f>HYPERLINK("http://nsgreg.nga.mil/genc/view?v=869618&amp;end_month=12&amp;end_day=31&amp;end_year=2016","Correlation")</f>
        <v>Correlation</v>
      </c>
    </row>
    <row r="1826" spans="1:13" x14ac:dyDescent="0.2">
      <c r="A1826" s="113"/>
      <c r="B1826" s="58" t="s">
        <v>5354</v>
      </c>
      <c r="C1826" s="58" t="s">
        <v>1413</v>
      </c>
      <c r="D1826" s="58" t="s">
        <v>5355</v>
      </c>
      <c r="E1826" s="60" t="b">
        <v>1</v>
      </c>
      <c r="F1826" s="80" t="s">
        <v>728</v>
      </c>
      <c r="G1826" s="58" t="s">
        <v>5354</v>
      </c>
      <c r="H1826" s="58" t="s">
        <v>1413</v>
      </c>
      <c r="I1826" s="64" t="s">
        <v>5355</v>
      </c>
      <c r="J1826" s="66"/>
      <c r="K1826" s="66"/>
      <c r="L1826" s="68"/>
      <c r="M1826" s="63" t="str">
        <f>HYPERLINK("http://nsgreg.nga.mil/genc/view?v=869675&amp;end_month=12&amp;end_day=31&amp;end_year=2016","Correlation")</f>
        <v>Correlation</v>
      </c>
    </row>
    <row r="1827" spans="1:13" x14ac:dyDescent="0.2">
      <c r="A1827" s="113"/>
      <c r="B1827" s="58" t="s">
        <v>5356</v>
      </c>
      <c r="C1827" s="58" t="s">
        <v>1413</v>
      </c>
      <c r="D1827" s="58" t="s">
        <v>5357</v>
      </c>
      <c r="E1827" s="60" t="b">
        <v>1</v>
      </c>
      <c r="F1827" s="80" t="s">
        <v>728</v>
      </c>
      <c r="G1827" s="58" t="s">
        <v>5356</v>
      </c>
      <c r="H1827" s="58" t="s">
        <v>1413</v>
      </c>
      <c r="I1827" s="64" t="s">
        <v>5357</v>
      </c>
      <c r="J1827" s="66"/>
      <c r="K1827" s="66"/>
      <c r="L1827" s="68"/>
      <c r="M1827" s="63" t="str">
        <f>HYPERLINK("http://nsgreg.nga.mil/genc/view?v=869683&amp;end_month=12&amp;end_day=31&amp;end_year=2016","Correlation")</f>
        <v>Correlation</v>
      </c>
    </row>
    <row r="1828" spans="1:13" x14ac:dyDescent="0.2">
      <c r="A1828" s="113"/>
      <c r="B1828" s="58" t="s">
        <v>5358</v>
      </c>
      <c r="C1828" s="58" t="s">
        <v>1413</v>
      </c>
      <c r="D1828" s="58" t="s">
        <v>5359</v>
      </c>
      <c r="E1828" s="60" t="b">
        <v>1</v>
      </c>
      <c r="F1828" s="80" t="s">
        <v>728</v>
      </c>
      <c r="G1828" s="58" t="s">
        <v>5358</v>
      </c>
      <c r="H1828" s="58" t="s">
        <v>1413</v>
      </c>
      <c r="I1828" s="64" t="s">
        <v>5359</v>
      </c>
      <c r="J1828" s="66"/>
      <c r="K1828" s="66"/>
      <c r="L1828" s="68"/>
      <c r="M1828" s="63" t="str">
        <f>HYPERLINK("http://nsgreg.nga.mil/genc/view?v=869684&amp;end_month=12&amp;end_day=31&amp;end_year=2016","Correlation")</f>
        <v>Correlation</v>
      </c>
    </row>
    <row r="1829" spans="1:13" x14ac:dyDescent="0.2">
      <c r="A1829" s="113"/>
      <c r="B1829" s="58" t="s">
        <v>5360</v>
      </c>
      <c r="C1829" s="58" t="s">
        <v>1413</v>
      </c>
      <c r="D1829" s="58" t="s">
        <v>5361</v>
      </c>
      <c r="E1829" s="60" t="b">
        <v>1</v>
      </c>
      <c r="F1829" s="80" t="s">
        <v>728</v>
      </c>
      <c r="G1829" s="58" t="s">
        <v>5360</v>
      </c>
      <c r="H1829" s="58" t="s">
        <v>1413</v>
      </c>
      <c r="I1829" s="64" t="s">
        <v>5361</v>
      </c>
      <c r="J1829" s="66"/>
      <c r="K1829" s="66"/>
      <c r="L1829" s="68"/>
      <c r="M1829" s="63" t="str">
        <f>HYPERLINK("http://nsgreg.nga.mil/genc/view?v=869685&amp;end_month=12&amp;end_day=31&amp;end_year=2016","Correlation")</f>
        <v>Correlation</v>
      </c>
    </row>
    <row r="1830" spans="1:13" x14ac:dyDescent="0.2">
      <c r="A1830" s="113"/>
      <c r="B1830" s="58" t="s">
        <v>5362</v>
      </c>
      <c r="C1830" s="58" t="s">
        <v>1413</v>
      </c>
      <c r="D1830" s="58" t="s">
        <v>5363</v>
      </c>
      <c r="E1830" s="60" t="b">
        <v>1</v>
      </c>
      <c r="F1830" s="80" t="s">
        <v>728</v>
      </c>
      <c r="G1830" s="58" t="s">
        <v>5362</v>
      </c>
      <c r="H1830" s="58" t="s">
        <v>1413</v>
      </c>
      <c r="I1830" s="64" t="s">
        <v>5363</v>
      </c>
      <c r="J1830" s="66"/>
      <c r="K1830" s="66"/>
      <c r="L1830" s="68"/>
      <c r="M1830" s="63" t="str">
        <f>HYPERLINK("http://nsgreg.nga.mil/genc/view?v=869686&amp;end_month=12&amp;end_day=31&amp;end_year=2016","Correlation")</f>
        <v>Correlation</v>
      </c>
    </row>
    <row r="1831" spans="1:13" x14ac:dyDescent="0.2">
      <c r="A1831" s="113"/>
      <c r="B1831" s="58" t="s">
        <v>5364</v>
      </c>
      <c r="C1831" s="58" t="s">
        <v>1413</v>
      </c>
      <c r="D1831" s="58" t="s">
        <v>5365</v>
      </c>
      <c r="E1831" s="60" t="b">
        <v>1</v>
      </c>
      <c r="F1831" s="80" t="s">
        <v>728</v>
      </c>
      <c r="G1831" s="58" t="s">
        <v>5364</v>
      </c>
      <c r="H1831" s="58" t="s">
        <v>1413</v>
      </c>
      <c r="I1831" s="64" t="s">
        <v>5365</v>
      </c>
      <c r="J1831" s="66"/>
      <c r="K1831" s="66"/>
      <c r="L1831" s="68"/>
      <c r="M1831" s="63" t="str">
        <f>HYPERLINK("http://nsgreg.nga.mil/genc/view?v=869688&amp;end_month=12&amp;end_day=31&amp;end_year=2016","Correlation")</f>
        <v>Correlation</v>
      </c>
    </row>
    <row r="1832" spans="1:13" x14ac:dyDescent="0.2">
      <c r="A1832" s="113"/>
      <c r="B1832" s="58" t="s">
        <v>5366</v>
      </c>
      <c r="C1832" s="58" t="s">
        <v>1413</v>
      </c>
      <c r="D1832" s="58" t="s">
        <v>5367</v>
      </c>
      <c r="E1832" s="60" t="b">
        <v>1</v>
      </c>
      <c r="F1832" s="80" t="s">
        <v>728</v>
      </c>
      <c r="G1832" s="58" t="s">
        <v>5366</v>
      </c>
      <c r="H1832" s="58" t="s">
        <v>1413</v>
      </c>
      <c r="I1832" s="64" t="s">
        <v>5367</v>
      </c>
      <c r="J1832" s="66"/>
      <c r="K1832" s="66"/>
      <c r="L1832" s="68"/>
      <c r="M1832" s="63" t="str">
        <f>HYPERLINK("http://nsgreg.nga.mil/genc/view?v=869687&amp;end_month=12&amp;end_day=31&amp;end_year=2016","Correlation")</f>
        <v>Correlation</v>
      </c>
    </row>
    <row r="1833" spans="1:13" x14ac:dyDescent="0.2">
      <c r="A1833" s="113"/>
      <c r="B1833" s="58" t="s">
        <v>5368</v>
      </c>
      <c r="C1833" s="58" t="s">
        <v>1413</v>
      </c>
      <c r="D1833" s="58" t="s">
        <v>5369</v>
      </c>
      <c r="E1833" s="60" t="b">
        <v>1</v>
      </c>
      <c r="F1833" s="80" t="s">
        <v>728</v>
      </c>
      <c r="G1833" s="58" t="s">
        <v>5368</v>
      </c>
      <c r="H1833" s="58" t="s">
        <v>1413</v>
      </c>
      <c r="I1833" s="64" t="s">
        <v>5369</v>
      </c>
      <c r="J1833" s="66"/>
      <c r="K1833" s="66"/>
      <c r="L1833" s="68"/>
      <c r="M1833" s="63" t="str">
        <f>HYPERLINK("http://nsgreg.nga.mil/genc/view?v=869691&amp;end_month=12&amp;end_day=31&amp;end_year=2016","Correlation")</f>
        <v>Correlation</v>
      </c>
    </row>
    <row r="1834" spans="1:13" x14ac:dyDescent="0.2">
      <c r="A1834" s="113"/>
      <c r="B1834" s="58" t="s">
        <v>5370</v>
      </c>
      <c r="C1834" s="58" t="s">
        <v>1413</v>
      </c>
      <c r="D1834" s="58" t="s">
        <v>5371</v>
      </c>
      <c r="E1834" s="60" t="b">
        <v>1</v>
      </c>
      <c r="F1834" s="80" t="s">
        <v>728</v>
      </c>
      <c r="G1834" s="58" t="s">
        <v>5370</v>
      </c>
      <c r="H1834" s="58" t="s">
        <v>1413</v>
      </c>
      <c r="I1834" s="64" t="s">
        <v>5371</v>
      </c>
      <c r="J1834" s="66"/>
      <c r="K1834" s="66"/>
      <c r="L1834" s="68"/>
      <c r="M1834" s="63" t="str">
        <f>HYPERLINK("http://nsgreg.nga.mil/genc/view?v=869689&amp;end_month=12&amp;end_day=31&amp;end_year=2016","Correlation")</f>
        <v>Correlation</v>
      </c>
    </row>
    <row r="1835" spans="1:13" x14ac:dyDescent="0.2">
      <c r="A1835" s="113"/>
      <c r="B1835" s="58" t="s">
        <v>5372</v>
      </c>
      <c r="C1835" s="58" t="s">
        <v>1413</v>
      </c>
      <c r="D1835" s="58" t="s">
        <v>5373</v>
      </c>
      <c r="E1835" s="60" t="b">
        <v>1</v>
      </c>
      <c r="F1835" s="80" t="s">
        <v>728</v>
      </c>
      <c r="G1835" s="58" t="s">
        <v>5372</v>
      </c>
      <c r="H1835" s="58" t="s">
        <v>1413</v>
      </c>
      <c r="I1835" s="64" t="s">
        <v>5373</v>
      </c>
      <c r="J1835" s="66"/>
      <c r="K1835" s="66"/>
      <c r="L1835" s="68"/>
      <c r="M1835" s="63" t="str">
        <f>HYPERLINK("http://nsgreg.nga.mil/genc/view?v=869697&amp;end_month=12&amp;end_day=31&amp;end_year=2016","Correlation")</f>
        <v>Correlation</v>
      </c>
    </row>
    <row r="1836" spans="1:13" x14ac:dyDescent="0.2">
      <c r="A1836" s="113"/>
      <c r="B1836" s="58" t="s">
        <v>5374</v>
      </c>
      <c r="C1836" s="58" t="s">
        <v>1413</v>
      </c>
      <c r="D1836" s="58" t="s">
        <v>5375</v>
      </c>
      <c r="E1836" s="60" t="b">
        <v>1</v>
      </c>
      <c r="F1836" s="80" t="s">
        <v>728</v>
      </c>
      <c r="G1836" s="58" t="s">
        <v>5374</v>
      </c>
      <c r="H1836" s="58" t="s">
        <v>1413</v>
      </c>
      <c r="I1836" s="64" t="s">
        <v>5375</v>
      </c>
      <c r="J1836" s="66"/>
      <c r="K1836" s="66"/>
      <c r="L1836" s="68"/>
      <c r="M1836" s="63" t="str">
        <f>HYPERLINK("http://nsgreg.nga.mil/genc/view?v=869700&amp;end_month=12&amp;end_day=31&amp;end_year=2016","Correlation")</f>
        <v>Correlation</v>
      </c>
    </row>
    <row r="1837" spans="1:13" x14ac:dyDescent="0.2">
      <c r="A1837" s="113"/>
      <c r="B1837" s="58" t="s">
        <v>5376</v>
      </c>
      <c r="C1837" s="58" t="s">
        <v>1413</v>
      </c>
      <c r="D1837" s="58" t="s">
        <v>5377</v>
      </c>
      <c r="E1837" s="60" t="b">
        <v>1</v>
      </c>
      <c r="F1837" s="80" t="s">
        <v>728</v>
      </c>
      <c r="G1837" s="58" t="s">
        <v>5376</v>
      </c>
      <c r="H1837" s="58" t="s">
        <v>1413</v>
      </c>
      <c r="I1837" s="64" t="s">
        <v>5377</v>
      </c>
      <c r="J1837" s="66"/>
      <c r="K1837" s="66"/>
      <c r="L1837" s="68"/>
      <c r="M1837" s="63" t="str">
        <f>HYPERLINK("http://nsgreg.nga.mil/genc/view?v=869693&amp;end_month=12&amp;end_day=31&amp;end_year=2016","Correlation")</f>
        <v>Correlation</v>
      </c>
    </row>
    <row r="1838" spans="1:13" x14ac:dyDescent="0.2">
      <c r="A1838" s="113"/>
      <c r="B1838" s="58" t="s">
        <v>5378</v>
      </c>
      <c r="C1838" s="58" t="s">
        <v>1413</v>
      </c>
      <c r="D1838" s="58" t="s">
        <v>5379</v>
      </c>
      <c r="E1838" s="60" t="b">
        <v>1</v>
      </c>
      <c r="F1838" s="80" t="s">
        <v>728</v>
      </c>
      <c r="G1838" s="58" t="s">
        <v>5378</v>
      </c>
      <c r="H1838" s="58" t="s">
        <v>1413</v>
      </c>
      <c r="I1838" s="64" t="s">
        <v>5379</v>
      </c>
      <c r="J1838" s="66"/>
      <c r="K1838" s="66"/>
      <c r="L1838" s="68"/>
      <c r="M1838" s="63" t="str">
        <f>HYPERLINK("http://nsgreg.nga.mil/genc/view?v=869699&amp;end_month=12&amp;end_day=31&amp;end_year=2016","Correlation")</f>
        <v>Correlation</v>
      </c>
    </row>
    <row r="1839" spans="1:13" x14ac:dyDescent="0.2">
      <c r="A1839" s="113"/>
      <c r="B1839" s="58" t="s">
        <v>5380</v>
      </c>
      <c r="C1839" s="58" t="s">
        <v>1413</v>
      </c>
      <c r="D1839" s="58" t="s">
        <v>5381</v>
      </c>
      <c r="E1839" s="60" t="b">
        <v>1</v>
      </c>
      <c r="F1839" s="80" t="s">
        <v>728</v>
      </c>
      <c r="G1839" s="58" t="s">
        <v>5380</v>
      </c>
      <c r="H1839" s="58" t="s">
        <v>1413</v>
      </c>
      <c r="I1839" s="64" t="s">
        <v>5381</v>
      </c>
      <c r="J1839" s="66"/>
      <c r="K1839" s="66"/>
      <c r="L1839" s="68"/>
      <c r="M1839" s="63" t="str">
        <f>HYPERLINK("http://nsgreg.nga.mil/genc/view?v=869692&amp;end_month=12&amp;end_day=31&amp;end_year=2016","Correlation")</f>
        <v>Correlation</v>
      </c>
    </row>
    <row r="1840" spans="1:13" x14ac:dyDescent="0.2">
      <c r="A1840" s="113"/>
      <c r="B1840" s="58" t="s">
        <v>5382</v>
      </c>
      <c r="C1840" s="58" t="s">
        <v>1413</v>
      </c>
      <c r="D1840" s="58" t="s">
        <v>5383</v>
      </c>
      <c r="E1840" s="60" t="b">
        <v>1</v>
      </c>
      <c r="F1840" s="80" t="s">
        <v>728</v>
      </c>
      <c r="G1840" s="58" t="s">
        <v>5382</v>
      </c>
      <c r="H1840" s="58" t="s">
        <v>1413</v>
      </c>
      <c r="I1840" s="64" t="s">
        <v>5383</v>
      </c>
      <c r="J1840" s="66"/>
      <c r="K1840" s="66"/>
      <c r="L1840" s="68"/>
      <c r="M1840" s="63" t="str">
        <f>HYPERLINK("http://nsgreg.nga.mil/genc/view?v=869690&amp;end_month=12&amp;end_day=31&amp;end_year=2016","Correlation")</f>
        <v>Correlation</v>
      </c>
    </row>
    <row r="1841" spans="1:13" x14ac:dyDescent="0.2">
      <c r="A1841" s="113"/>
      <c r="B1841" s="58" t="s">
        <v>5386</v>
      </c>
      <c r="C1841" s="58" t="s">
        <v>1728</v>
      </c>
      <c r="D1841" s="58" t="s">
        <v>5385</v>
      </c>
      <c r="E1841" s="60" t="b">
        <v>1</v>
      </c>
      <c r="F1841" s="80" t="s">
        <v>728</v>
      </c>
      <c r="G1841" s="58" t="s">
        <v>5384</v>
      </c>
      <c r="H1841" s="58" t="s">
        <v>1728</v>
      </c>
      <c r="I1841" s="64" t="s">
        <v>5385</v>
      </c>
      <c r="J1841" s="66"/>
      <c r="K1841" s="66"/>
      <c r="L1841" s="68"/>
      <c r="M1841" s="63" t="str">
        <f>HYPERLINK("http://nsgreg.nga.mil/genc/view?v=869605&amp;end_month=12&amp;end_day=31&amp;end_year=2016","Correlation")</f>
        <v>Correlation</v>
      </c>
    </row>
    <row r="1842" spans="1:13" x14ac:dyDescent="0.2">
      <c r="A1842" s="113"/>
      <c r="B1842" s="58" t="s">
        <v>5387</v>
      </c>
      <c r="C1842" s="58" t="s">
        <v>1413</v>
      </c>
      <c r="D1842" s="58" t="s">
        <v>5388</v>
      </c>
      <c r="E1842" s="60" t="b">
        <v>1</v>
      </c>
      <c r="F1842" s="80" t="s">
        <v>728</v>
      </c>
      <c r="G1842" s="58" t="s">
        <v>5387</v>
      </c>
      <c r="H1842" s="58" t="s">
        <v>1413</v>
      </c>
      <c r="I1842" s="64" t="s">
        <v>5388</v>
      </c>
      <c r="J1842" s="66"/>
      <c r="K1842" s="66"/>
      <c r="L1842" s="68"/>
      <c r="M1842" s="63" t="str">
        <f>HYPERLINK("http://nsgreg.nga.mil/genc/view?v=869694&amp;end_month=12&amp;end_day=31&amp;end_year=2016","Correlation")</f>
        <v>Correlation</v>
      </c>
    </row>
    <row r="1843" spans="1:13" x14ac:dyDescent="0.2">
      <c r="A1843" s="113"/>
      <c r="B1843" s="58" t="s">
        <v>5389</v>
      </c>
      <c r="C1843" s="58" t="s">
        <v>1413</v>
      </c>
      <c r="D1843" s="58" t="s">
        <v>5390</v>
      </c>
      <c r="E1843" s="60" t="b">
        <v>1</v>
      </c>
      <c r="F1843" s="80" t="s">
        <v>728</v>
      </c>
      <c r="G1843" s="58" t="s">
        <v>5389</v>
      </c>
      <c r="H1843" s="58" t="s">
        <v>1413</v>
      </c>
      <c r="I1843" s="64" t="s">
        <v>5390</v>
      </c>
      <c r="J1843" s="66"/>
      <c r="K1843" s="66"/>
      <c r="L1843" s="68"/>
      <c r="M1843" s="63" t="str">
        <f>HYPERLINK("http://nsgreg.nga.mil/genc/view?v=869698&amp;end_month=12&amp;end_day=31&amp;end_year=2016","Correlation")</f>
        <v>Correlation</v>
      </c>
    </row>
    <row r="1844" spans="1:13" x14ac:dyDescent="0.2">
      <c r="A1844" s="113"/>
      <c r="B1844" s="58" t="s">
        <v>5391</v>
      </c>
      <c r="C1844" s="58" t="s">
        <v>1413</v>
      </c>
      <c r="D1844" s="58" t="s">
        <v>5392</v>
      </c>
      <c r="E1844" s="60" t="b">
        <v>1</v>
      </c>
      <c r="F1844" s="80" t="s">
        <v>728</v>
      </c>
      <c r="G1844" s="58" t="s">
        <v>5391</v>
      </c>
      <c r="H1844" s="58" t="s">
        <v>1413</v>
      </c>
      <c r="I1844" s="64" t="s">
        <v>5392</v>
      </c>
      <c r="J1844" s="66"/>
      <c r="K1844" s="66"/>
      <c r="L1844" s="68"/>
      <c r="M1844" s="63" t="str">
        <f>HYPERLINK("http://nsgreg.nga.mil/genc/view?v=869695&amp;end_month=12&amp;end_day=31&amp;end_year=2016","Correlation")</f>
        <v>Correlation</v>
      </c>
    </row>
    <row r="1845" spans="1:13" x14ac:dyDescent="0.2">
      <c r="A1845" s="113"/>
      <c r="B1845" s="58" t="s">
        <v>5393</v>
      </c>
      <c r="C1845" s="58" t="s">
        <v>1413</v>
      </c>
      <c r="D1845" s="58" t="s">
        <v>5394</v>
      </c>
      <c r="E1845" s="60" t="b">
        <v>1</v>
      </c>
      <c r="F1845" s="80" t="s">
        <v>728</v>
      </c>
      <c r="G1845" s="58" t="s">
        <v>5393</v>
      </c>
      <c r="H1845" s="58" t="s">
        <v>1413</v>
      </c>
      <c r="I1845" s="64" t="s">
        <v>5394</v>
      </c>
      <c r="J1845" s="66"/>
      <c r="K1845" s="66"/>
      <c r="L1845" s="68"/>
      <c r="M1845" s="63" t="str">
        <f>HYPERLINK("http://nsgreg.nga.mil/genc/view?v=869701&amp;end_month=12&amp;end_day=31&amp;end_year=2016","Correlation")</f>
        <v>Correlation</v>
      </c>
    </row>
    <row r="1846" spans="1:13" x14ac:dyDescent="0.2">
      <c r="A1846" s="113"/>
      <c r="B1846" s="58" t="s">
        <v>5395</v>
      </c>
      <c r="C1846" s="58" t="s">
        <v>1413</v>
      </c>
      <c r="D1846" s="58" t="s">
        <v>5396</v>
      </c>
      <c r="E1846" s="60" t="b">
        <v>1</v>
      </c>
      <c r="F1846" s="80" t="s">
        <v>728</v>
      </c>
      <c r="G1846" s="58" t="s">
        <v>5395</v>
      </c>
      <c r="H1846" s="58" t="s">
        <v>1413</v>
      </c>
      <c r="I1846" s="64" t="s">
        <v>5396</v>
      </c>
      <c r="J1846" s="66"/>
      <c r="K1846" s="66"/>
      <c r="L1846" s="68"/>
      <c r="M1846" s="63" t="str">
        <f>HYPERLINK("http://nsgreg.nga.mil/genc/view?v=869696&amp;end_month=12&amp;end_day=31&amp;end_year=2016","Correlation")</f>
        <v>Correlation</v>
      </c>
    </row>
    <row r="1847" spans="1:13" x14ac:dyDescent="0.2">
      <c r="A1847" s="113"/>
      <c r="B1847" s="58" t="s">
        <v>5397</v>
      </c>
      <c r="C1847" s="58" t="s">
        <v>1728</v>
      </c>
      <c r="D1847" s="58" t="s">
        <v>5398</v>
      </c>
      <c r="E1847" s="60" t="b">
        <v>1</v>
      </c>
      <c r="F1847" s="80" t="s">
        <v>728</v>
      </c>
      <c r="G1847" s="58" t="s">
        <v>5397</v>
      </c>
      <c r="H1847" s="58" t="s">
        <v>1728</v>
      </c>
      <c r="I1847" s="64" t="s">
        <v>5398</v>
      </c>
      <c r="J1847" s="66"/>
      <c r="K1847" s="66"/>
      <c r="L1847" s="68"/>
      <c r="M1847" s="63" t="str">
        <f>HYPERLINK("http://nsgreg.nga.mil/genc/view?v=869620&amp;end_month=12&amp;end_day=31&amp;end_year=2016","Correlation")</f>
        <v>Correlation</v>
      </c>
    </row>
    <row r="1848" spans="1:13" x14ac:dyDescent="0.2">
      <c r="A1848" s="113"/>
      <c r="B1848" s="58" t="s">
        <v>5399</v>
      </c>
      <c r="C1848" s="58" t="s">
        <v>1413</v>
      </c>
      <c r="D1848" s="58" t="s">
        <v>5400</v>
      </c>
      <c r="E1848" s="60" t="b">
        <v>1</v>
      </c>
      <c r="F1848" s="80" t="s">
        <v>728</v>
      </c>
      <c r="G1848" s="58" t="s">
        <v>5399</v>
      </c>
      <c r="H1848" s="58" t="s">
        <v>1413</v>
      </c>
      <c r="I1848" s="64" t="s">
        <v>5400</v>
      </c>
      <c r="J1848" s="66"/>
      <c r="K1848" s="66"/>
      <c r="L1848" s="68"/>
      <c r="M1848" s="63" t="str">
        <f>HYPERLINK("http://nsgreg.nga.mil/genc/view?v=869705&amp;end_month=12&amp;end_day=31&amp;end_year=2016","Correlation")</f>
        <v>Correlation</v>
      </c>
    </row>
    <row r="1849" spans="1:13" x14ac:dyDescent="0.2">
      <c r="A1849" s="113"/>
      <c r="B1849" s="58" t="s">
        <v>5401</v>
      </c>
      <c r="C1849" s="58" t="s">
        <v>1413</v>
      </c>
      <c r="D1849" s="58" t="s">
        <v>5402</v>
      </c>
      <c r="E1849" s="60" t="b">
        <v>1</v>
      </c>
      <c r="F1849" s="80" t="s">
        <v>728</v>
      </c>
      <c r="G1849" s="58" t="s">
        <v>5401</v>
      </c>
      <c r="H1849" s="58" t="s">
        <v>1413</v>
      </c>
      <c r="I1849" s="64" t="s">
        <v>5402</v>
      </c>
      <c r="J1849" s="66"/>
      <c r="K1849" s="66"/>
      <c r="L1849" s="68"/>
      <c r="M1849" s="63" t="str">
        <f>HYPERLINK("http://nsgreg.nga.mil/genc/view?v=869702&amp;end_month=12&amp;end_day=31&amp;end_year=2016","Correlation")</f>
        <v>Correlation</v>
      </c>
    </row>
    <row r="1850" spans="1:13" x14ac:dyDescent="0.2">
      <c r="A1850" s="113"/>
      <c r="B1850" s="58" t="s">
        <v>5405</v>
      </c>
      <c r="C1850" s="58" t="s">
        <v>1413</v>
      </c>
      <c r="D1850" s="58" t="s">
        <v>5404</v>
      </c>
      <c r="E1850" s="60" t="b">
        <v>1</v>
      </c>
      <c r="F1850" s="80" t="s">
        <v>728</v>
      </c>
      <c r="G1850" s="58" t="s">
        <v>5403</v>
      </c>
      <c r="H1850" s="58" t="s">
        <v>1413</v>
      </c>
      <c r="I1850" s="64" t="s">
        <v>5404</v>
      </c>
      <c r="J1850" s="66"/>
      <c r="K1850" s="66"/>
      <c r="L1850" s="68"/>
      <c r="M1850" s="63" t="str">
        <f>HYPERLINK("http://nsgreg.nga.mil/genc/view?v=869703&amp;end_month=12&amp;end_day=31&amp;end_year=2016","Correlation")</f>
        <v>Correlation</v>
      </c>
    </row>
    <row r="1851" spans="1:13" x14ac:dyDescent="0.2">
      <c r="A1851" s="113"/>
      <c r="B1851" s="58" t="s">
        <v>5406</v>
      </c>
      <c r="C1851" s="58" t="s">
        <v>1413</v>
      </c>
      <c r="D1851" s="58" t="s">
        <v>5407</v>
      </c>
      <c r="E1851" s="60" t="b">
        <v>1</v>
      </c>
      <c r="F1851" s="80" t="s">
        <v>728</v>
      </c>
      <c r="G1851" s="58" t="s">
        <v>5406</v>
      </c>
      <c r="H1851" s="58" t="s">
        <v>1413</v>
      </c>
      <c r="I1851" s="64" t="s">
        <v>5407</v>
      </c>
      <c r="J1851" s="66"/>
      <c r="K1851" s="66"/>
      <c r="L1851" s="68"/>
      <c r="M1851" s="63" t="str">
        <f>HYPERLINK("http://nsgreg.nga.mil/genc/view?v=869704&amp;end_month=12&amp;end_day=31&amp;end_year=2016","Correlation")</f>
        <v>Correlation</v>
      </c>
    </row>
    <row r="1852" spans="1:13" x14ac:dyDescent="0.2">
      <c r="A1852" s="113"/>
      <c r="B1852" s="58" t="s">
        <v>5408</v>
      </c>
      <c r="C1852" s="58" t="s">
        <v>1413</v>
      </c>
      <c r="D1852" s="58" t="s">
        <v>5409</v>
      </c>
      <c r="E1852" s="60" t="b">
        <v>1</v>
      </c>
      <c r="F1852" s="80" t="s">
        <v>728</v>
      </c>
      <c r="G1852" s="58" t="s">
        <v>5408</v>
      </c>
      <c r="H1852" s="58" t="s">
        <v>1413</v>
      </c>
      <c r="I1852" s="64" t="s">
        <v>5409</v>
      </c>
      <c r="J1852" s="66"/>
      <c r="K1852" s="66"/>
      <c r="L1852" s="68"/>
      <c r="M1852" s="63" t="str">
        <f>HYPERLINK("http://nsgreg.nga.mil/genc/view?v=869706&amp;end_month=12&amp;end_day=31&amp;end_year=2016","Correlation")</f>
        <v>Correlation</v>
      </c>
    </row>
    <row r="1853" spans="1:13" x14ac:dyDescent="0.2">
      <c r="A1853" s="113"/>
      <c r="B1853" s="58" t="s">
        <v>5410</v>
      </c>
      <c r="C1853" s="58" t="s">
        <v>1413</v>
      </c>
      <c r="D1853" s="58" t="s">
        <v>5411</v>
      </c>
      <c r="E1853" s="60" t="b">
        <v>1</v>
      </c>
      <c r="F1853" s="80" t="s">
        <v>728</v>
      </c>
      <c r="G1853" s="58" t="s">
        <v>5410</v>
      </c>
      <c r="H1853" s="58" t="s">
        <v>1413</v>
      </c>
      <c r="I1853" s="64" t="s">
        <v>5411</v>
      </c>
      <c r="J1853" s="66"/>
      <c r="K1853" s="66"/>
      <c r="L1853" s="68"/>
      <c r="M1853" s="63" t="str">
        <f>HYPERLINK("http://nsgreg.nga.mil/genc/view?v=869708&amp;end_month=12&amp;end_day=31&amp;end_year=2016","Correlation")</f>
        <v>Correlation</v>
      </c>
    </row>
    <row r="1854" spans="1:13" x14ac:dyDescent="0.2">
      <c r="A1854" s="113"/>
      <c r="B1854" s="58" t="s">
        <v>5412</v>
      </c>
      <c r="C1854" s="58" t="s">
        <v>1413</v>
      </c>
      <c r="D1854" s="58" t="s">
        <v>5413</v>
      </c>
      <c r="E1854" s="60" t="b">
        <v>1</v>
      </c>
      <c r="F1854" s="80" t="s">
        <v>728</v>
      </c>
      <c r="G1854" s="58" t="s">
        <v>5412</v>
      </c>
      <c r="H1854" s="58" t="s">
        <v>1413</v>
      </c>
      <c r="I1854" s="64" t="s">
        <v>5413</v>
      </c>
      <c r="J1854" s="66"/>
      <c r="K1854" s="66"/>
      <c r="L1854" s="68"/>
      <c r="M1854" s="63" t="str">
        <f>HYPERLINK("http://nsgreg.nga.mil/genc/view?v=869707&amp;end_month=12&amp;end_day=31&amp;end_year=2016","Correlation")</f>
        <v>Correlation</v>
      </c>
    </row>
    <row r="1855" spans="1:13" x14ac:dyDescent="0.2">
      <c r="A1855" s="113"/>
      <c r="B1855" s="58" t="s">
        <v>5414</v>
      </c>
      <c r="C1855" s="58" t="s">
        <v>1413</v>
      </c>
      <c r="D1855" s="58" t="s">
        <v>5415</v>
      </c>
      <c r="E1855" s="60" t="b">
        <v>1</v>
      </c>
      <c r="F1855" s="80" t="s">
        <v>728</v>
      </c>
      <c r="G1855" s="58" t="s">
        <v>5414</v>
      </c>
      <c r="H1855" s="58" t="s">
        <v>1413</v>
      </c>
      <c r="I1855" s="64" t="s">
        <v>5415</v>
      </c>
      <c r="J1855" s="66"/>
      <c r="K1855" s="66"/>
      <c r="L1855" s="68"/>
      <c r="M1855" s="63" t="str">
        <f>HYPERLINK("http://nsgreg.nga.mil/genc/view?v=869709&amp;end_month=12&amp;end_day=31&amp;end_year=2016","Correlation")</f>
        <v>Correlation</v>
      </c>
    </row>
    <row r="1856" spans="1:13" x14ac:dyDescent="0.2">
      <c r="A1856" s="113"/>
      <c r="B1856" s="58" t="s">
        <v>5416</v>
      </c>
      <c r="C1856" s="58" t="s">
        <v>1413</v>
      </c>
      <c r="D1856" s="58" t="s">
        <v>5417</v>
      </c>
      <c r="E1856" s="60" t="b">
        <v>1</v>
      </c>
      <c r="F1856" s="80" t="s">
        <v>728</v>
      </c>
      <c r="G1856" s="58" t="s">
        <v>5416</v>
      </c>
      <c r="H1856" s="58" t="s">
        <v>1413</v>
      </c>
      <c r="I1856" s="64" t="s">
        <v>5417</v>
      </c>
      <c r="J1856" s="66"/>
      <c r="K1856" s="66"/>
      <c r="L1856" s="68"/>
      <c r="M1856" s="63" t="str">
        <f>HYPERLINK("http://nsgreg.nga.mil/genc/view?v=869710&amp;end_month=12&amp;end_day=31&amp;end_year=2016","Correlation")</f>
        <v>Correlation</v>
      </c>
    </row>
    <row r="1857" spans="1:13" x14ac:dyDescent="0.2">
      <c r="A1857" s="113"/>
      <c r="B1857" s="58" t="s">
        <v>5418</v>
      </c>
      <c r="C1857" s="58" t="s">
        <v>1728</v>
      </c>
      <c r="D1857" s="58" t="s">
        <v>5419</v>
      </c>
      <c r="E1857" s="60" t="b">
        <v>1</v>
      </c>
      <c r="F1857" s="80" t="s">
        <v>728</v>
      </c>
      <c r="G1857" s="58" t="s">
        <v>5418</v>
      </c>
      <c r="H1857" s="58" t="s">
        <v>1728</v>
      </c>
      <c r="I1857" s="64" t="s">
        <v>5419</v>
      </c>
      <c r="J1857" s="66"/>
      <c r="K1857" s="66"/>
      <c r="L1857" s="68"/>
      <c r="M1857" s="63" t="str">
        <f>HYPERLINK("http://nsgreg.nga.mil/genc/view?v=869624&amp;end_month=12&amp;end_day=31&amp;end_year=2016","Correlation")</f>
        <v>Correlation</v>
      </c>
    </row>
    <row r="1858" spans="1:13" x14ac:dyDescent="0.2">
      <c r="A1858" s="113"/>
      <c r="B1858" s="58" t="s">
        <v>5420</v>
      </c>
      <c r="C1858" s="58" t="s">
        <v>1413</v>
      </c>
      <c r="D1858" s="58" t="s">
        <v>5421</v>
      </c>
      <c r="E1858" s="60" t="b">
        <v>1</v>
      </c>
      <c r="F1858" s="80" t="s">
        <v>728</v>
      </c>
      <c r="G1858" s="58" t="s">
        <v>5420</v>
      </c>
      <c r="H1858" s="58" t="s">
        <v>1413</v>
      </c>
      <c r="I1858" s="64" t="s">
        <v>5421</v>
      </c>
      <c r="J1858" s="66"/>
      <c r="K1858" s="66"/>
      <c r="L1858" s="68"/>
      <c r="M1858" s="63" t="str">
        <f>HYPERLINK("http://nsgreg.nga.mil/genc/view?v=869715&amp;end_month=12&amp;end_day=31&amp;end_year=2016","Correlation")</f>
        <v>Correlation</v>
      </c>
    </row>
    <row r="1859" spans="1:13" x14ac:dyDescent="0.2">
      <c r="A1859" s="113"/>
      <c r="B1859" s="58" t="s">
        <v>5422</v>
      </c>
      <c r="C1859" s="58" t="s">
        <v>1413</v>
      </c>
      <c r="D1859" s="58" t="s">
        <v>5423</v>
      </c>
      <c r="E1859" s="60" t="b">
        <v>1</v>
      </c>
      <c r="F1859" s="80" t="s">
        <v>728</v>
      </c>
      <c r="G1859" s="58" t="s">
        <v>5422</v>
      </c>
      <c r="H1859" s="58" t="s">
        <v>1413</v>
      </c>
      <c r="I1859" s="64" t="s">
        <v>5423</v>
      </c>
      <c r="J1859" s="66"/>
      <c r="K1859" s="66"/>
      <c r="L1859" s="68"/>
      <c r="M1859" s="63" t="str">
        <f>HYPERLINK("http://nsgreg.nga.mil/genc/view?v=869716&amp;end_month=12&amp;end_day=31&amp;end_year=2016","Correlation")</f>
        <v>Correlation</v>
      </c>
    </row>
    <row r="1860" spans="1:13" x14ac:dyDescent="0.2">
      <c r="A1860" s="113"/>
      <c r="B1860" s="58" t="s">
        <v>5424</v>
      </c>
      <c r="C1860" s="58" t="s">
        <v>1728</v>
      </c>
      <c r="D1860" s="58" t="s">
        <v>5425</v>
      </c>
      <c r="E1860" s="60" t="b">
        <v>1</v>
      </c>
      <c r="F1860" s="80" t="s">
        <v>728</v>
      </c>
      <c r="G1860" s="58" t="s">
        <v>5424</v>
      </c>
      <c r="H1860" s="58" t="s">
        <v>3080</v>
      </c>
      <c r="I1860" s="64" t="s">
        <v>5425</v>
      </c>
      <c r="J1860" s="66"/>
      <c r="K1860" s="66"/>
      <c r="L1860" s="68"/>
      <c r="M1860" s="63" t="str">
        <f>HYPERLINK("http://nsgreg.nga.mil/genc/view?v=869623&amp;end_month=12&amp;end_day=31&amp;end_year=2016","Correlation")</f>
        <v>Correlation</v>
      </c>
    </row>
    <row r="1861" spans="1:13" x14ac:dyDescent="0.2">
      <c r="A1861" s="113"/>
      <c r="B1861" s="58" t="s">
        <v>5426</v>
      </c>
      <c r="C1861" s="58" t="s">
        <v>1413</v>
      </c>
      <c r="D1861" s="58" t="s">
        <v>5427</v>
      </c>
      <c r="E1861" s="60" t="b">
        <v>1</v>
      </c>
      <c r="F1861" s="80" t="s">
        <v>728</v>
      </c>
      <c r="G1861" s="58" t="s">
        <v>5426</v>
      </c>
      <c r="H1861" s="58" t="s">
        <v>1413</v>
      </c>
      <c r="I1861" s="64" t="s">
        <v>5427</v>
      </c>
      <c r="J1861" s="66"/>
      <c r="K1861" s="66"/>
      <c r="L1861" s="68"/>
      <c r="M1861" s="63" t="str">
        <f>HYPERLINK("http://nsgreg.nga.mil/genc/view?v=869711&amp;end_month=12&amp;end_day=31&amp;end_year=2016","Correlation")</f>
        <v>Correlation</v>
      </c>
    </row>
    <row r="1862" spans="1:13" x14ac:dyDescent="0.2">
      <c r="A1862" s="113"/>
      <c r="B1862" s="58" t="s">
        <v>5428</v>
      </c>
      <c r="C1862" s="58" t="s">
        <v>1413</v>
      </c>
      <c r="D1862" s="58" t="s">
        <v>5429</v>
      </c>
      <c r="E1862" s="60" t="b">
        <v>1</v>
      </c>
      <c r="F1862" s="80" t="s">
        <v>728</v>
      </c>
      <c r="G1862" s="58" t="s">
        <v>5428</v>
      </c>
      <c r="H1862" s="58" t="s">
        <v>1413</v>
      </c>
      <c r="I1862" s="64" t="s">
        <v>5429</v>
      </c>
      <c r="J1862" s="66"/>
      <c r="K1862" s="66"/>
      <c r="L1862" s="68"/>
      <c r="M1862" s="63" t="str">
        <f>HYPERLINK("http://nsgreg.nga.mil/genc/view?v=869714&amp;end_month=12&amp;end_day=31&amp;end_year=2016","Correlation")</f>
        <v>Correlation</v>
      </c>
    </row>
    <row r="1863" spans="1:13" x14ac:dyDescent="0.2">
      <c r="A1863" s="113"/>
      <c r="B1863" s="58" t="s">
        <v>5430</v>
      </c>
      <c r="C1863" s="58" t="s">
        <v>1413</v>
      </c>
      <c r="D1863" s="58" t="s">
        <v>5431</v>
      </c>
      <c r="E1863" s="60" t="b">
        <v>1</v>
      </c>
      <c r="F1863" s="80" t="s">
        <v>728</v>
      </c>
      <c r="G1863" s="58" t="s">
        <v>5430</v>
      </c>
      <c r="H1863" s="58" t="s">
        <v>1413</v>
      </c>
      <c r="I1863" s="64" t="s">
        <v>5431</v>
      </c>
      <c r="J1863" s="66"/>
      <c r="K1863" s="66"/>
      <c r="L1863" s="68"/>
      <c r="M1863" s="63" t="str">
        <f>HYPERLINK("http://nsgreg.nga.mil/genc/view?v=869712&amp;end_month=12&amp;end_day=31&amp;end_year=2016","Correlation")</f>
        <v>Correlation</v>
      </c>
    </row>
    <row r="1864" spans="1:13" x14ac:dyDescent="0.2">
      <c r="A1864" s="113"/>
      <c r="B1864" s="58" t="s">
        <v>5432</v>
      </c>
      <c r="C1864" s="58" t="s">
        <v>1413</v>
      </c>
      <c r="D1864" s="58" t="s">
        <v>5433</v>
      </c>
      <c r="E1864" s="60" t="b">
        <v>1</v>
      </c>
      <c r="F1864" s="80" t="s">
        <v>728</v>
      </c>
      <c r="G1864" s="58" t="s">
        <v>5432</v>
      </c>
      <c r="H1864" s="58" t="s">
        <v>1413</v>
      </c>
      <c r="I1864" s="64" t="s">
        <v>5433</v>
      </c>
      <c r="J1864" s="66"/>
      <c r="K1864" s="66"/>
      <c r="L1864" s="68"/>
      <c r="M1864" s="63" t="str">
        <f>HYPERLINK("http://nsgreg.nga.mil/genc/view?v=869717&amp;end_month=12&amp;end_day=31&amp;end_year=2016","Correlation")</f>
        <v>Correlation</v>
      </c>
    </row>
    <row r="1865" spans="1:13" x14ac:dyDescent="0.2">
      <c r="A1865" s="113"/>
      <c r="B1865" s="58" t="s">
        <v>5434</v>
      </c>
      <c r="C1865" s="58" t="s">
        <v>1413</v>
      </c>
      <c r="D1865" s="58" t="s">
        <v>5435</v>
      </c>
      <c r="E1865" s="60" t="b">
        <v>1</v>
      </c>
      <c r="F1865" s="80" t="s">
        <v>728</v>
      </c>
      <c r="G1865" s="58" t="s">
        <v>5434</v>
      </c>
      <c r="H1865" s="58" t="s">
        <v>1413</v>
      </c>
      <c r="I1865" s="64" t="s">
        <v>5435</v>
      </c>
      <c r="J1865" s="66"/>
      <c r="K1865" s="66"/>
      <c r="L1865" s="68"/>
      <c r="M1865" s="63" t="str">
        <f>HYPERLINK("http://nsgreg.nga.mil/genc/view?v=869718&amp;end_month=12&amp;end_day=31&amp;end_year=2016","Correlation")</f>
        <v>Correlation</v>
      </c>
    </row>
    <row r="1866" spans="1:13" x14ac:dyDescent="0.2">
      <c r="A1866" s="113"/>
      <c r="B1866" s="58" t="s">
        <v>5436</v>
      </c>
      <c r="C1866" s="58" t="s">
        <v>1413</v>
      </c>
      <c r="D1866" s="58" t="s">
        <v>5437</v>
      </c>
      <c r="E1866" s="60" t="b">
        <v>1</v>
      </c>
      <c r="F1866" s="80" t="s">
        <v>728</v>
      </c>
      <c r="G1866" s="58" t="s">
        <v>5436</v>
      </c>
      <c r="H1866" s="58" t="s">
        <v>1413</v>
      </c>
      <c r="I1866" s="64" t="s">
        <v>5437</v>
      </c>
      <c r="J1866" s="66"/>
      <c r="K1866" s="66"/>
      <c r="L1866" s="68"/>
      <c r="M1866" s="63" t="str">
        <f>HYPERLINK("http://nsgreg.nga.mil/genc/view?v=869722&amp;end_month=12&amp;end_day=31&amp;end_year=2016","Correlation")</f>
        <v>Correlation</v>
      </c>
    </row>
    <row r="1867" spans="1:13" x14ac:dyDescent="0.2">
      <c r="A1867" s="113"/>
      <c r="B1867" s="58" t="s">
        <v>5438</v>
      </c>
      <c r="C1867" s="58" t="s">
        <v>1413</v>
      </c>
      <c r="D1867" s="58" t="s">
        <v>5439</v>
      </c>
      <c r="E1867" s="60" t="b">
        <v>1</v>
      </c>
      <c r="F1867" s="80" t="s">
        <v>728</v>
      </c>
      <c r="G1867" s="58" t="s">
        <v>5438</v>
      </c>
      <c r="H1867" s="58" t="s">
        <v>1413</v>
      </c>
      <c r="I1867" s="64" t="s">
        <v>5439</v>
      </c>
      <c r="J1867" s="66"/>
      <c r="K1867" s="66"/>
      <c r="L1867" s="68"/>
      <c r="M1867" s="63" t="str">
        <f>HYPERLINK("http://nsgreg.nga.mil/genc/view?v=869720&amp;end_month=12&amp;end_day=31&amp;end_year=2016","Correlation")</f>
        <v>Correlation</v>
      </c>
    </row>
    <row r="1868" spans="1:13" x14ac:dyDescent="0.2">
      <c r="A1868" s="113"/>
      <c r="B1868" s="58" t="s">
        <v>5452</v>
      </c>
      <c r="C1868" s="58" t="s">
        <v>1728</v>
      </c>
      <c r="D1868" s="58" t="s">
        <v>5451</v>
      </c>
      <c r="E1868" s="60" t="b">
        <v>1</v>
      </c>
      <c r="F1868" s="80" t="s">
        <v>728</v>
      </c>
      <c r="G1868" s="58" t="s">
        <v>5450</v>
      </c>
      <c r="H1868" s="58" t="s">
        <v>1728</v>
      </c>
      <c r="I1868" s="64" t="s">
        <v>5451</v>
      </c>
      <c r="J1868" s="66"/>
      <c r="K1868" s="66"/>
      <c r="L1868" s="68"/>
      <c r="M1868" s="63" t="str">
        <f>HYPERLINK("http://nsgreg.nga.mil/genc/view?v=869613&amp;end_month=12&amp;end_day=31&amp;end_year=2016","Correlation")</f>
        <v>Correlation</v>
      </c>
    </row>
    <row r="1869" spans="1:13" x14ac:dyDescent="0.2">
      <c r="A1869" s="113"/>
      <c r="B1869" s="58" t="s">
        <v>5440</v>
      </c>
      <c r="C1869" s="58" t="s">
        <v>1413</v>
      </c>
      <c r="D1869" s="58" t="s">
        <v>5441</v>
      </c>
      <c r="E1869" s="60" t="b">
        <v>1</v>
      </c>
      <c r="F1869" s="80" t="s">
        <v>728</v>
      </c>
      <c r="G1869" s="58" t="s">
        <v>5440</v>
      </c>
      <c r="H1869" s="58" t="s">
        <v>1413</v>
      </c>
      <c r="I1869" s="64" t="s">
        <v>5441</v>
      </c>
      <c r="J1869" s="66"/>
      <c r="K1869" s="66"/>
      <c r="L1869" s="68"/>
      <c r="M1869" s="63" t="str">
        <f>HYPERLINK("http://nsgreg.nga.mil/genc/view?v=869721&amp;end_month=12&amp;end_day=31&amp;end_year=2016","Correlation")</f>
        <v>Correlation</v>
      </c>
    </row>
    <row r="1870" spans="1:13" x14ac:dyDescent="0.2">
      <c r="A1870" s="113"/>
      <c r="B1870" s="58" t="s">
        <v>5442</v>
      </c>
      <c r="C1870" s="58" t="s">
        <v>1728</v>
      </c>
      <c r="D1870" s="58" t="s">
        <v>5443</v>
      </c>
      <c r="E1870" s="60" t="b">
        <v>1</v>
      </c>
      <c r="F1870" s="80" t="s">
        <v>728</v>
      </c>
      <c r="G1870" s="58" t="s">
        <v>5442</v>
      </c>
      <c r="H1870" s="58" t="s">
        <v>3080</v>
      </c>
      <c r="I1870" s="64" t="s">
        <v>5443</v>
      </c>
      <c r="J1870" s="66"/>
      <c r="K1870" s="66"/>
      <c r="L1870" s="68"/>
      <c r="M1870" s="63" t="str">
        <f>HYPERLINK("http://nsgreg.nga.mil/genc/view?v=869608&amp;end_month=12&amp;end_day=31&amp;end_year=2016","Correlation")</f>
        <v>Correlation</v>
      </c>
    </row>
    <row r="1871" spans="1:13" x14ac:dyDescent="0.2">
      <c r="A1871" s="113"/>
      <c r="B1871" s="58" t="s">
        <v>5444</v>
      </c>
      <c r="C1871" s="58" t="s">
        <v>1413</v>
      </c>
      <c r="D1871" s="58" t="s">
        <v>5445</v>
      </c>
      <c r="E1871" s="60" t="b">
        <v>1</v>
      </c>
      <c r="F1871" s="80" t="s">
        <v>728</v>
      </c>
      <c r="G1871" s="58" t="s">
        <v>5444</v>
      </c>
      <c r="H1871" s="58" t="s">
        <v>1413</v>
      </c>
      <c r="I1871" s="64" t="s">
        <v>5445</v>
      </c>
      <c r="J1871" s="66"/>
      <c r="K1871" s="66"/>
      <c r="L1871" s="68"/>
      <c r="M1871" s="63" t="str">
        <f>HYPERLINK("http://nsgreg.nga.mil/genc/view?v=869719&amp;end_month=12&amp;end_day=31&amp;end_year=2016","Correlation")</f>
        <v>Correlation</v>
      </c>
    </row>
    <row r="1872" spans="1:13" x14ac:dyDescent="0.2">
      <c r="A1872" s="113"/>
      <c r="B1872" s="58" t="s">
        <v>5446</v>
      </c>
      <c r="C1872" s="58" t="s">
        <v>1413</v>
      </c>
      <c r="D1872" s="58" t="s">
        <v>5447</v>
      </c>
      <c r="E1872" s="60" t="b">
        <v>1</v>
      </c>
      <c r="F1872" s="80" t="s">
        <v>728</v>
      </c>
      <c r="G1872" s="58" t="s">
        <v>5446</v>
      </c>
      <c r="H1872" s="58" t="s">
        <v>1413</v>
      </c>
      <c r="I1872" s="64" t="s">
        <v>5447</v>
      </c>
      <c r="J1872" s="66"/>
      <c r="K1872" s="66"/>
      <c r="L1872" s="68"/>
      <c r="M1872" s="63" t="str">
        <f>HYPERLINK("http://nsgreg.nga.mil/genc/view?v=869724&amp;end_month=12&amp;end_day=31&amp;end_year=2016","Correlation")</f>
        <v>Correlation</v>
      </c>
    </row>
    <row r="1873" spans="1:13" x14ac:dyDescent="0.2">
      <c r="A1873" s="113"/>
      <c r="B1873" s="58" t="s">
        <v>5448</v>
      </c>
      <c r="C1873" s="58" t="s">
        <v>1413</v>
      </c>
      <c r="D1873" s="58" t="s">
        <v>5449</v>
      </c>
      <c r="E1873" s="60" t="b">
        <v>1</v>
      </c>
      <c r="F1873" s="80" t="s">
        <v>728</v>
      </c>
      <c r="G1873" s="58" t="s">
        <v>5448</v>
      </c>
      <c r="H1873" s="58" t="s">
        <v>1413</v>
      </c>
      <c r="I1873" s="64" t="s">
        <v>5449</v>
      </c>
      <c r="J1873" s="66"/>
      <c r="K1873" s="66"/>
      <c r="L1873" s="68"/>
      <c r="M1873" s="63" t="str">
        <f>HYPERLINK("http://nsgreg.nga.mil/genc/view?v=869723&amp;end_month=12&amp;end_day=31&amp;end_year=2016","Correlation")</f>
        <v>Correlation</v>
      </c>
    </row>
    <row r="1874" spans="1:13" x14ac:dyDescent="0.2">
      <c r="A1874" s="113"/>
      <c r="B1874" s="58" t="s">
        <v>5453</v>
      </c>
      <c r="C1874" s="58" t="s">
        <v>1413</v>
      </c>
      <c r="D1874" s="58" t="s">
        <v>5454</v>
      </c>
      <c r="E1874" s="60" t="b">
        <v>1</v>
      </c>
      <c r="F1874" s="80" t="s">
        <v>728</v>
      </c>
      <c r="G1874" s="58" t="s">
        <v>5453</v>
      </c>
      <c r="H1874" s="58" t="s">
        <v>1413</v>
      </c>
      <c r="I1874" s="64" t="s">
        <v>5454</v>
      </c>
      <c r="J1874" s="66"/>
      <c r="K1874" s="66"/>
      <c r="L1874" s="68"/>
      <c r="M1874" s="63" t="str">
        <f>HYPERLINK("http://nsgreg.nga.mil/genc/view?v=869725&amp;end_month=12&amp;end_day=31&amp;end_year=2016","Correlation")</f>
        <v>Correlation</v>
      </c>
    </row>
    <row r="1875" spans="1:13" x14ac:dyDescent="0.2">
      <c r="A1875" s="113"/>
      <c r="B1875" s="58" t="s">
        <v>5455</v>
      </c>
      <c r="C1875" s="58" t="s">
        <v>1728</v>
      </c>
      <c r="D1875" s="58" t="s">
        <v>5456</v>
      </c>
      <c r="E1875" s="60" t="b">
        <v>1</v>
      </c>
      <c r="F1875" s="80" t="s">
        <v>728</v>
      </c>
      <c r="G1875" s="58" t="s">
        <v>5455</v>
      </c>
      <c r="H1875" s="58" t="s">
        <v>1728</v>
      </c>
      <c r="I1875" s="64" t="s">
        <v>5456</v>
      </c>
      <c r="J1875" s="66"/>
      <c r="K1875" s="66"/>
      <c r="L1875" s="68"/>
      <c r="M1875" s="63" t="str">
        <f>HYPERLINK("http://nsgreg.nga.mil/genc/view?v=869614&amp;end_month=12&amp;end_day=31&amp;end_year=2016","Correlation")</f>
        <v>Correlation</v>
      </c>
    </row>
    <row r="1876" spans="1:13" x14ac:dyDescent="0.2">
      <c r="A1876" s="113"/>
      <c r="B1876" s="58" t="s">
        <v>5459</v>
      </c>
      <c r="C1876" s="58" t="s">
        <v>1728</v>
      </c>
      <c r="D1876" s="58" t="s">
        <v>5458</v>
      </c>
      <c r="E1876" s="60" t="b">
        <v>1</v>
      </c>
      <c r="F1876" s="80" t="s">
        <v>728</v>
      </c>
      <c r="G1876" s="58" t="s">
        <v>5457</v>
      </c>
      <c r="H1876" s="58" t="s">
        <v>3080</v>
      </c>
      <c r="I1876" s="64" t="s">
        <v>5458</v>
      </c>
      <c r="J1876" s="66"/>
      <c r="K1876" s="66"/>
      <c r="L1876" s="68"/>
      <c r="M1876" s="63" t="str">
        <f>HYPERLINK("http://nsgreg.nga.mil/genc/view?v=869606&amp;end_month=12&amp;end_day=31&amp;end_year=2016","Correlation")</f>
        <v>Correlation</v>
      </c>
    </row>
    <row r="1877" spans="1:13" x14ac:dyDescent="0.2">
      <c r="A1877" s="113"/>
      <c r="B1877" s="58" t="s">
        <v>5460</v>
      </c>
      <c r="C1877" s="58" t="s">
        <v>1413</v>
      </c>
      <c r="D1877" s="58" t="s">
        <v>5461</v>
      </c>
      <c r="E1877" s="60" t="b">
        <v>1</v>
      </c>
      <c r="F1877" s="80" t="s">
        <v>728</v>
      </c>
      <c r="G1877" s="58" t="s">
        <v>5460</v>
      </c>
      <c r="H1877" s="58" t="s">
        <v>1413</v>
      </c>
      <c r="I1877" s="64" t="s">
        <v>5461</v>
      </c>
      <c r="J1877" s="66"/>
      <c r="K1877" s="66"/>
      <c r="L1877" s="68"/>
      <c r="M1877" s="63" t="str">
        <f>HYPERLINK("http://nsgreg.nga.mil/genc/view?v=869726&amp;end_month=12&amp;end_day=31&amp;end_year=2016","Correlation")</f>
        <v>Correlation</v>
      </c>
    </row>
    <row r="1878" spans="1:13" x14ac:dyDescent="0.2">
      <c r="A1878" s="113"/>
      <c r="B1878" s="58" t="s">
        <v>5462</v>
      </c>
      <c r="C1878" s="58" t="s">
        <v>1728</v>
      </c>
      <c r="D1878" s="58" t="s">
        <v>5463</v>
      </c>
      <c r="E1878" s="60" t="b">
        <v>1</v>
      </c>
      <c r="F1878" s="80" t="s">
        <v>728</v>
      </c>
      <c r="G1878" s="58" t="s">
        <v>5462</v>
      </c>
      <c r="H1878" s="58" t="s">
        <v>1728</v>
      </c>
      <c r="I1878" s="64" t="s">
        <v>5463</v>
      </c>
      <c r="J1878" s="66"/>
      <c r="K1878" s="66"/>
      <c r="L1878" s="68"/>
      <c r="M1878" s="63" t="str">
        <f>HYPERLINK("http://nsgreg.nga.mil/genc/view?v=869609&amp;end_month=12&amp;end_day=31&amp;end_year=2016","Correlation")</f>
        <v>Correlation</v>
      </c>
    </row>
    <row r="1879" spans="1:13" x14ac:dyDescent="0.2">
      <c r="A1879" s="113"/>
      <c r="B1879" s="58" t="s">
        <v>5464</v>
      </c>
      <c r="C1879" s="58" t="s">
        <v>1413</v>
      </c>
      <c r="D1879" s="58" t="s">
        <v>5465</v>
      </c>
      <c r="E1879" s="60" t="b">
        <v>1</v>
      </c>
      <c r="F1879" s="80" t="s">
        <v>728</v>
      </c>
      <c r="G1879" s="58" t="s">
        <v>5464</v>
      </c>
      <c r="H1879" s="58" t="s">
        <v>1413</v>
      </c>
      <c r="I1879" s="64" t="s">
        <v>5465</v>
      </c>
      <c r="J1879" s="66"/>
      <c r="K1879" s="66"/>
      <c r="L1879" s="68"/>
      <c r="M1879" s="63" t="str">
        <f>HYPERLINK("http://nsgreg.nga.mil/genc/view?v=869729&amp;end_month=12&amp;end_day=31&amp;end_year=2016","Correlation")</f>
        <v>Correlation</v>
      </c>
    </row>
    <row r="1880" spans="1:13" x14ac:dyDescent="0.2">
      <c r="A1880" s="113"/>
      <c r="B1880" s="58" t="s">
        <v>5466</v>
      </c>
      <c r="C1880" s="58" t="s">
        <v>1413</v>
      </c>
      <c r="D1880" s="58" t="s">
        <v>5467</v>
      </c>
      <c r="E1880" s="60" t="b">
        <v>1</v>
      </c>
      <c r="F1880" s="80" t="s">
        <v>728</v>
      </c>
      <c r="G1880" s="58" t="s">
        <v>5466</v>
      </c>
      <c r="H1880" s="58" t="s">
        <v>1413</v>
      </c>
      <c r="I1880" s="64" t="s">
        <v>5467</v>
      </c>
      <c r="J1880" s="66"/>
      <c r="K1880" s="66"/>
      <c r="L1880" s="68"/>
      <c r="M1880" s="63" t="str">
        <f>HYPERLINK("http://nsgreg.nga.mil/genc/view?v=869727&amp;end_month=12&amp;end_day=31&amp;end_year=2016","Correlation")</f>
        <v>Correlation</v>
      </c>
    </row>
    <row r="1881" spans="1:13" x14ac:dyDescent="0.2">
      <c r="A1881" s="113"/>
      <c r="B1881" s="58" t="s">
        <v>5468</v>
      </c>
      <c r="C1881" s="58" t="s">
        <v>1413</v>
      </c>
      <c r="D1881" s="58" t="s">
        <v>5469</v>
      </c>
      <c r="E1881" s="60" t="b">
        <v>1</v>
      </c>
      <c r="F1881" s="80" t="s">
        <v>728</v>
      </c>
      <c r="G1881" s="58" t="s">
        <v>5468</v>
      </c>
      <c r="H1881" s="58" t="s">
        <v>1413</v>
      </c>
      <c r="I1881" s="64" t="s">
        <v>5469</v>
      </c>
      <c r="J1881" s="66"/>
      <c r="K1881" s="66"/>
      <c r="L1881" s="68"/>
      <c r="M1881" s="63" t="str">
        <f>HYPERLINK("http://nsgreg.nga.mil/genc/view?v=869728&amp;end_month=12&amp;end_day=31&amp;end_year=2016","Correlation")</f>
        <v>Correlation</v>
      </c>
    </row>
    <row r="1882" spans="1:13" x14ac:dyDescent="0.2">
      <c r="A1882" s="113"/>
      <c r="B1882" s="58" t="s">
        <v>5470</v>
      </c>
      <c r="C1882" s="58" t="s">
        <v>1413</v>
      </c>
      <c r="D1882" s="58" t="s">
        <v>5471</v>
      </c>
      <c r="E1882" s="60" t="b">
        <v>1</v>
      </c>
      <c r="F1882" s="80" t="s">
        <v>728</v>
      </c>
      <c r="G1882" s="58" t="s">
        <v>5470</v>
      </c>
      <c r="H1882" s="58" t="s">
        <v>1413</v>
      </c>
      <c r="I1882" s="64" t="s">
        <v>5471</v>
      </c>
      <c r="J1882" s="66"/>
      <c r="K1882" s="66"/>
      <c r="L1882" s="68"/>
      <c r="M1882" s="63" t="str">
        <f>HYPERLINK("http://nsgreg.nga.mil/genc/view?v=869731&amp;end_month=12&amp;end_day=31&amp;end_year=2016","Correlation")</f>
        <v>Correlation</v>
      </c>
    </row>
    <row r="1883" spans="1:13" x14ac:dyDescent="0.2">
      <c r="A1883" s="113"/>
      <c r="B1883" s="58" t="s">
        <v>5472</v>
      </c>
      <c r="C1883" s="58" t="s">
        <v>1413</v>
      </c>
      <c r="D1883" s="58" t="s">
        <v>5473</v>
      </c>
      <c r="E1883" s="60" t="b">
        <v>1</v>
      </c>
      <c r="F1883" s="80" t="s">
        <v>728</v>
      </c>
      <c r="G1883" s="58" t="s">
        <v>5472</v>
      </c>
      <c r="H1883" s="58" t="s">
        <v>1413</v>
      </c>
      <c r="I1883" s="64" t="s">
        <v>5473</v>
      </c>
      <c r="J1883" s="66"/>
      <c r="K1883" s="66"/>
      <c r="L1883" s="68"/>
      <c r="M1883" s="63" t="str">
        <f>HYPERLINK("http://nsgreg.nga.mil/genc/view?v=869734&amp;end_month=12&amp;end_day=31&amp;end_year=2016","Correlation")</f>
        <v>Correlation</v>
      </c>
    </row>
    <row r="1884" spans="1:13" x14ac:dyDescent="0.2">
      <c r="A1884" s="113"/>
      <c r="B1884" s="58" t="s">
        <v>5474</v>
      </c>
      <c r="C1884" s="58" t="s">
        <v>1413</v>
      </c>
      <c r="D1884" s="58" t="s">
        <v>5475</v>
      </c>
      <c r="E1884" s="60" t="b">
        <v>1</v>
      </c>
      <c r="F1884" s="80" t="s">
        <v>728</v>
      </c>
      <c r="G1884" s="58" t="s">
        <v>5474</v>
      </c>
      <c r="H1884" s="58" t="s">
        <v>1413</v>
      </c>
      <c r="I1884" s="64" t="s">
        <v>5475</v>
      </c>
      <c r="J1884" s="66"/>
      <c r="K1884" s="66"/>
      <c r="L1884" s="68"/>
      <c r="M1884" s="63" t="str">
        <f>HYPERLINK("http://nsgreg.nga.mil/genc/view?v=869730&amp;end_month=12&amp;end_day=31&amp;end_year=2016","Correlation")</f>
        <v>Correlation</v>
      </c>
    </row>
    <row r="1885" spans="1:13" x14ac:dyDescent="0.2">
      <c r="A1885" s="114"/>
      <c r="B1885" s="71" t="s">
        <v>5476</v>
      </c>
      <c r="C1885" s="71" t="s">
        <v>1413</v>
      </c>
      <c r="D1885" s="71" t="s">
        <v>5477</v>
      </c>
      <c r="E1885" s="73" t="b">
        <v>1</v>
      </c>
      <c r="F1885" s="81" t="s">
        <v>728</v>
      </c>
      <c r="G1885" s="71" t="s">
        <v>5476</v>
      </c>
      <c r="H1885" s="71" t="s">
        <v>1413</v>
      </c>
      <c r="I1885" s="74" t="s">
        <v>5477</v>
      </c>
      <c r="J1885" s="76"/>
      <c r="K1885" s="76"/>
      <c r="L1885" s="82"/>
      <c r="M1885" s="77" t="str">
        <f>HYPERLINK("http://nsgreg.nga.mil/genc/view?v=869733&amp;end_month=12&amp;end_day=31&amp;end_year=2016","Correlation")</f>
        <v>Correlation</v>
      </c>
    </row>
    <row r="1886" spans="1:13" x14ac:dyDescent="0.2">
      <c r="A1886" s="112" t="s">
        <v>732</v>
      </c>
      <c r="B1886" s="50" t="s">
        <v>5478</v>
      </c>
      <c r="C1886" s="50" t="s">
        <v>1607</v>
      </c>
      <c r="D1886" s="50" t="s">
        <v>5479</v>
      </c>
      <c r="E1886" s="52" t="b">
        <v>1</v>
      </c>
      <c r="F1886" s="78" t="s">
        <v>732</v>
      </c>
      <c r="G1886" s="50" t="s">
        <v>5478</v>
      </c>
      <c r="H1886" s="50" t="s">
        <v>1607</v>
      </c>
      <c r="I1886" s="53" t="s">
        <v>5479</v>
      </c>
      <c r="J1886" s="55"/>
      <c r="K1886" s="55"/>
      <c r="L1886" s="79"/>
      <c r="M1886" s="56" t="str">
        <f>HYPERLINK("http://nsgreg.nga.mil/genc/view?v=869747&amp;end_month=12&amp;end_day=31&amp;end_year=2016","Correlation")</f>
        <v>Correlation</v>
      </c>
    </row>
    <row r="1887" spans="1:13" x14ac:dyDescent="0.2">
      <c r="A1887" s="113"/>
      <c r="B1887" s="58" t="s">
        <v>5480</v>
      </c>
      <c r="C1887" s="58" t="s">
        <v>1607</v>
      </c>
      <c r="D1887" s="58" t="s">
        <v>5481</v>
      </c>
      <c r="E1887" s="60" t="b">
        <v>1</v>
      </c>
      <c r="F1887" s="80" t="s">
        <v>732</v>
      </c>
      <c r="G1887" s="58" t="s">
        <v>5480</v>
      </c>
      <c r="H1887" s="58" t="s">
        <v>1607</v>
      </c>
      <c r="I1887" s="64" t="s">
        <v>5481</v>
      </c>
      <c r="J1887" s="66"/>
      <c r="K1887" s="66"/>
      <c r="L1887" s="68"/>
      <c r="M1887" s="63" t="str">
        <f>HYPERLINK("http://nsgreg.nga.mil/genc/view?v=869743&amp;end_month=12&amp;end_day=31&amp;end_year=2016","Correlation")</f>
        <v>Correlation</v>
      </c>
    </row>
    <row r="1888" spans="1:13" x14ac:dyDescent="0.2">
      <c r="A1888" s="113"/>
      <c r="B1888" s="58" t="s">
        <v>5482</v>
      </c>
      <c r="C1888" s="58" t="s">
        <v>1607</v>
      </c>
      <c r="D1888" s="58" t="s">
        <v>5483</v>
      </c>
      <c r="E1888" s="60" t="b">
        <v>1</v>
      </c>
      <c r="F1888" s="80" t="s">
        <v>732</v>
      </c>
      <c r="G1888" s="58" t="s">
        <v>5482</v>
      </c>
      <c r="H1888" s="58" t="s">
        <v>1607</v>
      </c>
      <c r="I1888" s="64" t="s">
        <v>5483</v>
      </c>
      <c r="J1888" s="66"/>
      <c r="K1888" s="66"/>
      <c r="L1888" s="68"/>
      <c r="M1888" s="63" t="str">
        <f>HYPERLINK("http://nsgreg.nga.mil/genc/view?v=869735&amp;end_month=12&amp;end_day=31&amp;end_year=2016","Correlation")</f>
        <v>Correlation</v>
      </c>
    </row>
    <row r="1889" spans="1:13" x14ac:dyDescent="0.2">
      <c r="A1889" s="113"/>
      <c r="B1889" s="58" t="s">
        <v>5484</v>
      </c>
      <c r="C1889" s="58" t="s">
        <v>1607</v>
      </c>
      <c r="D1889" s="58" t="s">
        <v>5485</v>
      </c>
      <c r="E1889" s="60" t="b">
        <v>1</v>
      </c>
      <c r="F1889" s="80" t="s">
        <v>732</v>
      </c>
      <c r="G1889" s="58" t="s">
        <v>5484</v>
      </c>
      <c r="H1889" s="58" t="s">
        <v>1607</v>
      </c>
      <c r="I1889" s="64" t="s">
        <v>5485</v>
      </c>
      <c r="J1889" s="66"/>
      <c r="K1889" s="66"/>
      <c r="L1889" s="68"/>
      <c r="M1889" s="63" t="str">
        <f>HYPERLINK("http://nsgreg.nga.mil/genc/view?v=869746&amp;end_month=12&amp;end_day=31&amp;end_year=2016","Correlation")</f>
        <v>Correlation</v>
      </c>
    </row>
    <row r="1890" spans="1:13" x14ac:dyDescent="0.2">
      <c r="A1890" s="113"/>
      <c r="B1890" s="58" t="s">
        <v>5486</v>
      </c>
      <c r="C1890" s="58" t="s">
        <v>1607</v>
      </c>
      <c r="D1890" s="58" t="s">
        <v>5487</v>
      </c>
      <c r="E1890" s="60" t="b">
        <v>1</v>
      </c>
      <c r="F1890" s="80" t="s">
        <v>732</v>
      </c>
      <c r="G1890" s="58" t="s">
        <v>5486</v>
      </c>
      <c r="H1890" s="58" t="s">
        <v>1607</v>
      </c>
      <c r="I1890" s="64" t="s">
        <v>5487</v>
      </c>
      <c r="J1890" s="66"/>
      <c r="K1890" s="66"/>
      <c r="L1890" s="68"/>
      <c r="M1890" s="63" t="str">
        <f>HYPERLINK("http://nsgreg.nga.mil/genc/view?v=869738&amp;end_month=12&amp;end_day=31&amp;end_year=2016","Correlation")</f>
        <v>Correlation</v>
      </c>
    </row>
    <row r="1891" spans="1:13" x14ac:dyDescent="0.2">
      <c r="A1891" s="113"/>
      <c r="B1891" s="58" t="s">
        <v>2213</v>
      </c>
      <c r="C1891" s="58" t="s">
        <v>1607</v>
      </c>
      <c r="D1891" s="58" t="s">
        <v>5488</v>
      </c>
      <c r="E1891" s="60" t="b">
        <v>1</v>
      </c>
      <c r="F1891" s="80" t="s">
        <v>732</v>
      </c>
      <c r="G1891" s="58" t="s">
        <v>2213</v>
      </c>
      <c r="H1891" s="58" t="s">
        <v>1607</v>
      </c>
      <c r="I1891" s="64" t="s">
        <v>5488</v>
      </c>
      <c r="J1891" s="66"/>
      <c r="K1891" s="66"/>
      <c r="L1891" s="68"/>
      <c r="M1891" s="63" t="str">
        <f>HYPERLINK("http://nsgreg.nga.mil/genc/view?v=869736&amp;end_month=12&amp;end_day=31&amp;end_year=2016","Correlation")</f>
        <v>Correlation</v>
      </c>
    </row>
    <row r="1892" spans="1:13" x14ac:dyDescent="0.2">
      <c r="A1892" s="113"/>
      <c r="B1892" s="58" t="s">
        <v>5489</v>
      </c>
      <c r="C1892" s="58" t="s">
        <v>1607</v>
      </c>
      <c r="D1892" s="58" t="s">
        <v>5490</v>
      </c>
      <c r="E1892" s="60" t="b">
        <v>1</v>
      </c>
      <c r="F1892" s="80" t="s">
        <v>732</v>
      </c>
      <c r="G1892" s="58" t="s">
        <v>5489</v>
      </c>
      <c r="H1892" s="58" t="s">
        <v>1607</v>
      </c>
      <c r="I1892" s="64" t="s">
        <v>5490</v>
      </c>
      <c r="J1892" s="66"/>
      <c r="K1892" s="66"/>
      <c r="L1892" s="68"/>
      <c r="M1892" s="63" t="str">
        <f>HYPERLINK("http://nsgreg.nga.mil/genc/view?v=869740&amp;end_month=12&amp;end_day=31&amp;end_year=2016","Correlation")</f>
        <v>Correlation</v>
      </c>
    </row>
    <row r="1893" spans="1:13" x14ac:dyDescent="0.2">
      <c r="A1893" s="113"/>
      <c r="B1893" s="58" t="s">
        <v>5491</v>
      </c>
      <c r="C1893" s="58" t="s">
        <v>1607</v>
      </c>
      <c r="D1893" s="58" t="s">
        <v>5492</v>
      </c>
      <c r="E1893" s="60" t="b">
        <v>1</v>
      </c>
      <c r="F1893" s="80" t="s">
        <v>732</v>
      </c>
      <c r="G1893" s="58" t="s">
        <v>5491</v>
      </c>
      <c r="H1893" s="58" t="s">
        <v>1607</v>
      </c>
      <c r="I1893" s="64" t="s">
        <v>5492</v>
      </c>
      <c r="J1893" s="66"/>
      <c r="K1893" s="66"/>
      <c r="L1893" s="68"/>
      <c r="M1893" s="63" t="str">
        <f>HYPERLINK("http://nsgreg.nga.mil/genc/view?v=869748&amp;end_month=12&amp;end_day=31&amp;end_year=2016","Correlation")</f>
        <v>Correlation</v>
      </c>
    </row>
    <row r="1894" spans="1:13" x14ac:dyDescent="0.2">
      <c r="A1894" s="113"/>
      <c r="B1894" s="58" t="s">
        <v>5493</v>
      </c>
      <c r="C1894" s="58" t="s">
        <v>1607</v>
      </c>
      <c r="D1894" s="58" t="s">
        <v>5494</v>
      </c>
      <c r="E1894" s="60" t="b">
        <v>1</v>
      </c>
      <c r="F1894" s="80" t="s">
        <v>732</v>
      </c>
      <c r="G1894" s="58" t="s">
        <v>5493</v>
      </c>
      <c r="H1894" s="58" t="s">
        <v>1607</v>
      </c>
      <c r="I1894" s="64" t="s">
        <v>5494</v>
      </c>
      <c r="J1894" s="66"/>
      <c r="K1894" s="66"/>
      <c r="L1894" s="68"/>
      <c r="M1894" s="63" t="str">
        <f>HYPERLINK("http://nsgreg.nga.mil/genc/view?v=869745&amp;end_month=12&amp;end_day=31&amp;end_year=2016","Correlation")</f>
        <v>Correlation</v>
      </c>
    </row>
    <row r="1895" spans="1:13" x14ac:dyDescent="0.2">
      <c r="A1895" s="113"/>
      <c r="B1895" s="58" t="s">
        <v>2216</v>
      </c>
      <c r="C1895" s="58" t="s">
        <v>1607</v>
      </c>
      <c r="D1895" s="58" t="s">
        <v>5495</v>
      </c>
      <c r="E1895" s="60" t="b">
        <v>1</v>
      </c>
      <c r="F1895" s="80" t="s">
        <v>732</v>
      </c>
      <c r="G1895" s="58" t="s">
        <v>2216</v>
      </c>
      <c r="H1895" s="58" t="s">
        <v>1607</v>
      </c>
      <c r="I1895" s="64" t="s">
        <v>5495</v>
      </c>
      <c r="J1895" s="66"/>
      <c r="K1895" s="66"/>
      <c r="L1895" s="68"/>
      <c r="M1895" s="63" t="str">
        <f>HYPERLINK("http://nsgreg.nga.mil/genc/view?v=869742&amp;end_month=12&amp;end_day=31&amp;end_year=2016","Correlation")</f>
        <v>Correlation</v>
      </c>
    </row>
    <row r="1896" spans="1:13" x14ac:dyDescent="0.2">
      <c r="A1896" s="113"/>
      <c r="B1896" s="58" t="s">
        <v>1667</v>
      </c>
      <c r="C1896" s="58" t="s">
        <v>1607</v>
      </c>
      <c r="D1896" s="58" t="s">
        <v>5496</v>
      </c>
      <c r="E1896" s="60" t="b">
        <v>1</v>
      </c>
      <c r="F1896" s="80" t="s">
        <v>732</v>
      </c>
      <c r="G1896" s="58" t="s">
        <v>1667</v>
      </c>
      <c r="H1896" s="58" t="s">
        <v>1607</v>
      </c>
      <c r="I1896" s="64" t="s">
        <v>5496</v>
      </c>
      <c r="J1896" s="66"/>
      <c r="K1896" s="66"/>
      <c r="L1896" s="68"/>
      <c r="M1896" s="63" t="str">
        <f>HYPERLINK("http://nsgreg.nga.mil/genc/view?v=869739&amp;end_month=12&amp;end_day=31&amp;end_year=2016","Correlation")</f>
        <v>Correlation</v>
      </c>
    </row>
    <row r="1897" spans="1:13" x14ac:dyDescent="0.2">
      <c r="A1897" s="113"/>
      <c r="B1897" s="58" t="s">
        <v>2227</v>
      </c>
      <c r="C1897" s="58" t="s">
        <v>1607</v>
      </c>
      <c r="D1897" s="58" t="s">
        <v>5497</v>
      </c>
      <c r="E1897" s="60" t="b">
        <v>1</v>
      </c>
      <c r="F1897" s="80" t="s">
        <v>732</v>
      </c>
      <c r="G1897" s="58" t="s">
        <v>2227</v>
      </c>
      <c r="H1897" s="58" t="s">
        <v>1607</v>
      </c>
      <c r="I1897" s="64" t="s">
        <v>5497</v>
      </c>
      <c r="J1897" s="66"/>
      <c r="K1897" s="66"/>
      <c r="L1897" s="68"/>
      <c r="M1897" s="63" t="str">
        <f>HYPERLINK("http://nsgreg.nga.mil/genc/view?v=869737&amp;end_month=12&amp;end_day=31&amp;end_year=2016","Correlation")</f>
        <v>Correlation</v>
      </c>
    </row>
    <row r="1898" spans="1:13" x14ac:dyDescent="0.2">
      <c r="A1898" s="113"/>
      <c r="B1898" s="58" t="s">
        <v>5498</v>
      </c>
      <c r="C1898" s="58" t="s">
        <v>1607</v>
      </c>
      <c r="D1898" s="58" t="s">
        <v>5499</v>
      </c>
      <c r="E1898" s="60" t="b">
        <v>1</v>
      </c>
      <c r="F1898" s="80" t="s">
        <v>732</v>
      </c>
      <c r="G1898" s="58" t="s">
        <v>5498</v>
      </c>
      <c r="H1898" s="58" t="s">
        <v>1607</v>
      </c>
      <c r="I1898" s="64" t="s">
        <v>5499</v>
      </c>
      <c r="J1898" s="66"/>
      <c r="K1898" s="66"/>
      <c r="L1898" s="68"/>
      <c r="M1898" s="63" t="str">
        <f>HYPERLINK("http://nsgreg.nga.mil/genc/view?v=869741&amp;end_month=12&amp;end_day=31&amp;end_year=2016","Correlation")</f>
        <v>Correlation</v>
      </c>
    </row>
    <row r="1899" spans="1:13" x14ac:dyDescent="0.2">
      <c r="A1899" s="114"/>
      <c r="B1899" s="71" t="s">
        <v>5500</v>
      </c>
      <c r="C1899" s="71" t="s">
        <v>1607</v>
      </c>
      <c r="D1899" s="71" t="s">
        <v>5501</v>
      </c>
      <c r="E1899" s="73" t="b">
        <v>1</v>
      </c>
      <c r="F1899" s="81" t="s">
        <v>732</v>
      </c>
      <c r="G1899" s="71" t="s">
        <v>5500</v>
      </c>
      <c r="H1899" s="71" t="s">
        <v>1607</v>
      </c>
      <c r="I1899" s="74" t="s">
        <v>5501</v>
      </c>
      <c r="J1899" s="76"/>
      <c r="K1899" s="76"/>
      <c r="L1899" s="82"/>
      <c r="M1899" s="77" t="str">
        <f>HYPERLINK("http://nsgreg.nga.mil/genc/view?v=869744&amp;end_month=12&amp;end_day=31&amp;end_year=2016","Correlation")</f>
        <v>Correlation</v>
      </c>
    </row>
    <row r="1900" spans="1:13" x14ac:dyDescent="0.2">
      <c r="A1900" s="112" t="s">
        <v>746</v>
      </c>
      <c r="B1900" s="50" t="s">
        <v>5504</v>
      </c>
      <c r="C1900" s="50" t="s">
        <v>2925</v>
      </c>
      <c r="D1900" s="50" t="s">
        <v>5503</v>
      </c>
      <c r="E1900" s="52" t="b">
        <v>1</v>
      </c>
      <c r="F1900" s="78" t="s">
        <v>746</v>
      </c>
      <c r="G1900" s="50" t="s">
        <v>5502</v>
      </c>
      <c r="H1900" s="50" t="s">
        <v>2925</v>
      </c>
      <c r="I1900" s="53" t="s">
        <v>5503</v>
      </c>
      <c r="J1900" s="55"/>
      <c r="K1900" s="55"/>
      <c r="L1900" s="79"/>
      <c r="M1900" s="56" t="str">
        <f>HYPERLINK("http://nsgreg.nga.mil/genc/view?v=869783&amp;end_month=12&amp;end_day=31&amp;end_year=2016","Correlation")</f>
        <v>Correlation</v>
      </c>
    </row>
    <row r="1901" spans="1:13" x14ac:dyDescent="0.2">
      <c r="A1901" s="113"/>
      <c r="B1901" s="58" t="s">
        <v>5505</v>
      </c>
      <c r="C1901" s="58" t="s">
        <v>2925</v>
      </c>
      <c r="D1901" s="58" t="s">
        <v>5506</v>
      </c>
      <c r="E1901" s="60" t="b">
        <v>1</v>
      </c>
      <c r="F1901" s="80" t="s">
        <v>746</v>
      </c>
      <c r="G1901" s="58" t="s">
        <v>5505</v>
      </c>
      <c r="H1901" s="58" t="s">
        <v>2925</v>
      </c>
      <c r="I1901" s="64" t="s">
        <v>5506</v>
      </c>
      <c r="J1901" s="66"/>
      <c r="K1901" s="66"/>
      <c r="L1901" s="68"/>
      <c r="M1901" s="63" t="str">
        <f>HYPERLINK("http://nsgreg.nga.mil/genc/view?v=869765&amp;end_month=12&amp;end_day=31&amp;end_year=2016","Correlation")</f>
        <v>Correlation</v>
      </c>
    </row>
    <row r="1902" spans="1:13" x14ac:dyDescent="0.2">
      <c r="A1902" s="113"/>
      <c r="B1902" s="58" t="s">
        <v>5507</v>
      </c>
      <c r="C1902" s="58" t="s">
        <v>2925</v>
      </c>
      <c r="D1902" s="58" t="s">
        <v>5508</v>
      </c>
      <c r="E1902" s="60" t="b">
        <v>1</v>
      </c>
      <c r="F1902" s="80" t="s">
        <v>746</v>
      </c>
      <c r="G1902" s="58" t="s">
        <v>5507</v>
      </c>
      <c r="H1902" s="58" t="s">
        <v>2925</v>
      </c>
      <c r="I1902" s="64" t="s">
        <v>5508</v>
      </c>
      <c r="J1902" s="66"/>
      <c r="K1902" s="66"/>
      <c r="L1902" s="68"/>
      <c r="M1902" s="63" t="str">
        <f>HYPERLINK("http://nsgreg.nga.mil/genc/view?v=869762&amp;end_month=12&amp;end_day=31&amp;end_year=2016","Correlation")</f>
        <v>Correlation</v>
      </c>
    </row>
    <row r="1903" spans="1:13" x14ac:dyDescent="0.2">
      <c r="A1903" s="113"/>
      <c r="B1903" s="58" t="s">
        <v>5512</v>
      </c>
      <c r="C1903" s="58" t="s">
        <v>2925</v>
      </c>
      <c r="D1903" s="58" t="s">
        <v>5513</v>
      </c>
      <c r="E1903" s="60" t="b">
        <v>1</v>
      </c>
      <c r="F1903" s="80" t="s">
        <v>746</v>
      </c>
      <c r="G1903" s="58" t="s">
        <v>5512</v>
      </c>
      <c r="H1903" s="58" t="s">
        <v>2925</v>
      </c>
      <c r="I1903" s="64" t="s">
        <v>5513</v>
      </c>
      <c r="J1903" s="66"/>
      <c r="K1903" s="66"/>
      <c r="L1903" s="68"/>
      <c r="M1903" s="63" t="str">
        <f>HYPERLINK("http://nsgreg.nga.mil/genc/view?v=869798&amp;end_month=12&amp;end_day=31&amp;end_year=2016","Correlation")</f>
        <v>Correlation</v>
      </c>
    </row>
    <row r="1904" spans="1:13" x14ac:dyDescent="0.2">
      <c r="A1904" s="113"/>
      <c r="B1904" s="58" t="s">
        <v>5525</v>
      </c>
      <c r="C1904" s="58" t="s">
        <v>2925</v>
      </c>
      <c r="D1904" s="58" t="s">
        <v>5524</v>
      </c>
      <c r="E1904" s="60" t="b">
        <v>1</v>
      </c>
      <c r="F1904" s="80" t="s">
        <v>746</v>
      </c>
      <c r="G1904" s="58" t="s">
        <v>5523</v>
      </c>
      <c r="H1904" s="58" t="s">
        <v>2925</v>
      </c>
      <c r="I1904" s="64" t="s">
        <v>5524</v>
      </c>
      <c r="J1904" s="66"/>
      <c r="K1904" s="66"/>
      <c r="L1904" s="68"/>
      <c r="M1904" s="63" t="str">
        <f>HYPERLINK("http://nsgreg.nga.mil/genc/view?v=869781&amp;end_month=12&amp;end_day=31&amp;end_year=2016","Correlation")</f>
        <v>Correlation</v>
      </c>
    </row>
    <row r="1905" spans="1:13" x14ac:dyDescent="0.2">
      <c r="A1905" s="113"/>
      <c r="B1905" s="58" t="s">
        <v>5526</v>
      </c>
      <c r="C1905" s="58" t="s">
        <v>2925</v>
      </c>
      <c r="D1905" s="58" t="s">
        <v>5527</v>
      </c>
      <c r="E1905" s="60" t="b">
        <v>1</v>
      </c>
      <c r="F1905" s="80" t="s">
        <v>746</v>
      </c>
      <c r="G1905" s="58" t="s">
        <v>5526</v>
      </c>
      <c r="H1905" s="58" t="s">
        <v>2925</v>
      </c>
      <c r="I1905" s="64" t="s">
        <v>5527</v>
      </c>
      <c r="J1905" s="66"/>
      <c r="K1905" s="66"/>
      <c r="L1905" s="68"/>
      <c r="M1905" s="63" t="str">
        <f>HYPERLINK("http://nsgreg.nga.mil/genc/view?v=869770&amp;end_month=12&amp;end_day=31&amp;end_year=2016","Correlation")</f>
        <v>Correlation</v>
      </c>
    </row>
    <row r="1906" spans="1:13" x14ac:dyDescent="0.2">
      <c r="A1906" s="113"/>
      <c r="B1906" s="58" t="s">
        <v>5530</v>
      </c>
      <c r="C1906" s="58" t="s">
        <v>2925</v>
      </c>
      <c r="D1906" s="58" t="s">
        <v>5529</v>
      </c>
      <c r="E1906" s="60" t="b">
        <v>1</v>
      </c>
      <c r="F1906" s="80" t="s">
        <v>746</v>
      </c>
      <c r="G1906" s="58" t="s">
        <v>5528</v>
      </c>
      <c r="H1906" s="58" t="s">
        <v>2925</v>
      </c>
      <c r="I1906" s="64" t="s">
        <v>5529</v>
      </c>
      <c r="J1906" s="66"/>
      <c r="K1906" s="66"/>
      <c r="L1906" s="68"/>
      <c r="M1906" s="63" t="str">
        <f>HYPERLINK("http://nsgreg.nga.mil/genc/view?v=869794&amp;end_month=12&amp;end_day=31&amp;end_year=2016","Correlation")</f>
        <v>Correlation</v>
      </c>
    </row>
    <row r="1907" spans="1:13" x14ac:dyDescent="0.2">
      <c r="A1907" s="113"/>
      <c r="B1907" s="58" t="s">
        <v>5533</v>
      </c>
      <c r="C1907" s="58" t="s">
        <v>2925</v>
      </c>
      <c r="D1907" s="58" t="s">
        <v>5532</v>
      </c>
      <c r="E1907" s="60" t="b">
        <v>1</v>
      </c>
      <c r="F1907" s="80" t="s">
        <v>746</v>
      </c>
      <c r="G1907" s="58" t="s">
        <v>5531</v>
      </c>
      <c r="H1907" s="58" t="s">
        <v>2925</v>
      </c>
      <c r="I1907" s="64" t="s">
        <v>5532</v>
      </c>
      <c r="J1907" s="66"/>
      <c r="K1907" s="66"/>
      <c r="L1907" s="68"/>
      <c r="M1907" s="63" t="str">
        <f>HYPERLINK("http://nsgreg.nga.mil/genc/view?v=869761&amp;end_month=12&amp;end_day=31&amp;end_year=2016","Correlation")</f>
        <v>Correlation</v>
      </c>
    </row>
    <row r="1908" spans="1:13" x14ac:dyDescent="0.2">
      <c r="A1908" s="113"/>
      <c r="B1908" s="58" t="s">
        <v>5516</v>
      </c>
      <c r="C1908" s="58" t="s">
        <v>2925</v>
      </c>
      <c r="D1908" s="58" t="s">
        <v>5515</v>
      </c>
      <c r="E1908" s="60" t="b">
        <v>1</v>
      </c>
      <c r="F1908" s="80" t="s">
        <v>746</v>
      </c>
      <c r="G1908" s="58" t="s">
        <v>5514</v>
      </c>
      <c r="H1908" s="58" t="s">
        <v>2925</v>
      </c>
      <c r="I1908" s="64" t="s">
        <v>5515</v>
      </c>
      <c r="J1908" s="66"/>
      <c r="K1908" s="66"/>
      <c r="L1908" s="68"/>
      <c r="M1908" s="63" t="str">
        <f>HYPERLINK("http://nsgreg.nga.mil/genc/view?v=869778&amp;end_month=12&amp;end_day=31&amp;end_year=2016","Correlation")</f>
        <v>Correlation</v>
      </c>
    </row>
    <row r="1909" spans="1:13" x14ac:dyDescent="0.2">
      <c r="A1909" s="113"/>
      <c r="B1909" s="58" t="s">
        <v>5519</v>
      </c>
      <c r="C1909" s="58" t="s">
        <v>2925</v>
      </c>
      <c r="D1909" s="58" t="s">
        <v>5518</v>
      </c>
      <c r="E1909" s="60" t="b">
        <v>1</v>
      </c>
      <c r="F1909" s="80" t="s">
        <v>746</v>
      </c>
      <c r="G1909" s="58" t="s">
        <v>5517</v>
      </c>
      <c r="H1909" s="58" t="s">
        <v>2925</v>
      </c>
      <c r="I1909" s="64" t="s">
        <v>5518</v>
      </c>
      <c r="J1909" s="66"/>
      <c r="K1909" s="66"/>
      <c r="L1909" s="68"/>
      <c r="M1909" s="63" t="str">
        <f>HYPERLINK("http://nsgreg.nga.mil/genc/view?v=869800&amp;end_month=12&amp;end_day=31&amp;end_year=2016","Correlation")</f>
        <v>Correlation</v>
      </c>
    </row>
    <row r="1910" spans="1:13" x14ac:dyDescent="0.2">
      <c r="A1910" s="113"/>
      <c r="B1910" s="58" t="s">
        <v>5522</v>
      </c>
      <c r="C1910" s="58" t="s">
        <v>2925</v>
      </c>
      <c r="D1910" s="58" t="s">
        <v>5521</v>
      </c>
      <c r="E1910" s="60" t="b">
        <v>1</v>
      </c>
      <c r="F1910" s="80" t="s">
        <v>746</v>
      </c>
      <c r="G1910" s="58" t="s">
        <v>5520</v>
      </c>
      <c r="H1910" s="58" t="s">
        <v>2925</v>
      </c>
      <c r="I1910" s="64" t="s">
        <v>5521</v>
      </c>
      <c r="J1910" s="66"/>
      <c r="K1910" s="66"/>
      <c r="L1910" s="68"/>
      <c r="M1910" s="63" t="str">
        <f>HYPERLINK("http://nsgreg.nga.mil/genc/view?v=869767&amp;end_month=12&amp;end_day=31&amp;end_year=2016","Correlation")</f>
        <v>Correlation</v>
      </c>
    </row>
    <row r="1911" spans="1:13" x14ac:dyDescent="0.2">
      <c r="A1911" s="113"/>
      <c r="B1911" s="58" t="s">
        <v>5536</v>
      </c>
      <c r="C1911" s="58" t="s">
        <v>2925</v>
      </c>
      <c r="D1911" s="58" t="s">
        <v>5535</v>
      </c>
      <c r="E1911" s="60" t="b">
        <v>1</v>
      </c>
      <c r="F1911" s="80" t="s">
        <v>746</v>
      </c>
      <c r="G1911" s="58" t="s">
        <v>5534</v>
      </c>
      <c r="H1911" s="58" t="s">
        <v>2925</v>
      </c>
      <c r="I1911" s="64" t="s">
        <v>5535</v>
      </c>
      <c r="J1911" s="66"/>
      <c r="K1911" s="66"/>
      <c r="L1911" s="68"/>
      <c r="M1911" s="63" t="str">
        <f>HYPERLINK("http://nsgreg.nga.mil/genc/view?v=869788&amp;end_month=12&amp;end_day=31&amp;end_year=2016","Correlation")</f>
        <v>Correlation</v>
      </c>
    </row>
    <row r="1912" spans="1:13" x14ac:dyDescent="0.2">
      <c r="A1912" s="113"/>
      <c r="B1912" s="58" t="s">
        <v>5537</v>
      </c>
      <c r="C1912" s="58" t="s">
        <v>2925</v>
      </c>
      <c r="D1912" s="58" t="s">
        <v>5538</v>
      </c>
      <c r="E1912" s="60" t="b">
        <v>1</v>
      </c>
      <c r="F1912" s="80" t="s">
        <v>746</v>
      </c>
      <c r="G1912" s="58" t="s">
        <v>5537</v>
      </c>
      <c r="H1912" s="58" t="s">
        <v>2925</v>
      </c>
      <c r="I1912" s="64" t="s">
        <v>5538</v>
      </c>
      <c r="J1912" s="66"/>
      <c r="K1912" s="66"/>
      <c r="L1912" s="68"/>
      <c r="M1912" s="63" t="str">
        <f>HYPERLINK("http://nsgreg.nga.mil/genc/view?v=869768&amp;end_month=12&amp;end_day=31&amp;end_year=2016","Correlation")</f>
        <v>Correlation</v>
      </c>
    </row>
    <row r="1913" spans="1:13" x14ac:dyDescent="0.2">
      <c r="A1913" s="113"/>
      <c r="B1913" s="58" t="s">
        <v>5541</v>
      </c>
      <c r="C1913" s="58" t="s">
        <v>2925</v>
      </c>
      <c r="D1913" s="58" t="s">
        <v>5540</v>
      </c>
      <c r="E1913" s="60" t="b">
        <v>1</v>
      </c>
      <c r="F1913" s="80" t="s">
        <v>746</v>
      </c>
      <c r="G1913" s="58" t="s">
        <v>5539</v>
      </c>
      <c r="H1913" s="58" t="s">
        <v>2925</v>
      </c>
      <c r="I1913" s="64" t="s">
        <v>5540</v>
      </c>
      <c r="J1913" s="66"/>
      <c r="K1913" s="66"/>
      <c r="L1913" s="68"/>
      <c r="M1913" s="63" t="str">
        <f>HYPERLINK("http://nsgreg.nga.mil/genc/view?v=869777&amp;end_month=12&amp;end_day=31&amp;end_year=2016","Correlation")</f>
        <v>Correlation</v>
      </c>
    </row>
    <row r="1914" spans="1:13" x14ac:dyDescent="0.2">
      <c r="A1914" s="113"/>
      <c r="B1914" s="58" t="s">
        <v>5542</v>
      </c>
      <c r="C1914" s="58" t="s">
        <v>2925</v>
      </c>
      <c r="D1914" s="58" t="s">
        <v>5543</v>
      </c>
      <c r="E1914" s="60" t="b">
        <v>1</v>
      </c>
      <c r="F1914" s="80" t="s">
        <v>746</v>
      </c>
      <c r="G1914" s="58" t="s">
        <v>5542</v>
      </c>
      <c r="H1914" s="58" t="s">
        <v>2925</v>
      </c>
      <c r="I1914" s="64" t="s">
        <v>5543</v>
      </c>
      <c r="J1914" s="66"/>
      <c r="K1914" s="66"/>
      <c r="L1914" s="68"/>
      <c r="M1914" s="63" t="str">
        <f>HYPERLINK("http://nsgreg.nga.mil/genc/view?v=869763&amp;end_month=12&amp;end_day=31&amp;end_year=2016","Correlation")</f>
        <v>Correlation</v>
      </c>
    </row>
    <row r="1915" spans="1:13" x14ac:dyDescent="0.2">
      <c r="A1915" s="113"/>
      <c r="B1915" s="58" t="s">
        <v>5544</v>
      </c>
      <c r="C1915" s="58" t="s">
        <v>2925</v>
      </c>
      <c r="D1915" s="58" t="s">
        <v>5545</v>
      </c>
      <c r="E1915" s="60" t="b">
        <v>1</v>
      </c>
      <c r="F1915" s="80" t="s">
        <v>746</v>
      </c>
      <c r="G1915" s="58" t="s">
        <v>5544</v>
      </c>
      <c r="H1915" s="58" t="s">
        <v>2925</v>
      </c>
      <c r="I1915" s="64" t="s">
        <v>5545</v>
      </c>
      <c r="J1915" s="66"/>
      <c r="K1915" s="66"/>
      <c r="L1915" s="68"/>
      <c r="M1915" s="63" t="str">
        <f>HYPERLINK("http://nsgreg.nga.mil/genc/view?v=869797&amp;end_month=12&amp;end_day=31&amp;end_year=2016","Correlation")</f>
        <v>Correlation</v>
      </c>
    </row>
    <row r="1916" spans="1:13" x14ac:dyDescent="0.2">
      <c r="A1916" s="113"/>
      <c r="B1916" s="58" t="s">
        <v>5548</v>
      </c>
      <c r="C1916" s="58" t="s">
        <v>2925</v>
      </c>
      <c r="D1916" s="58" t="s">
        <v>5547</v>
      </c>
      <c r="E1916" s="60" t="b">
        <v>1</v>
      </c>
      <c r="F1916" s="80" t="s">
        <v>746</v>
      </c>
      <c r="G1916" s="58" t="s">
        <v>5546</v>
      </c>
      <c r="H1916" s="58" t="s">
        <v>2925</v>
      </c>
      <c r="I1916" s="64" t="s">
        <v>5547</v>
      </c>
      <c r="J1916" s="66"/>
      <c r="K1916" s="66"/>
      <c r="L1916" s="68"/>
      <c r="M1916" s="63" t="str">
        <f>HYPERLINK("http://nsgreg.nga.mil/genc/view?v=869806&amp;end_month=12&amp;end_day=31&amp;end_year=2016","Correlation")</f>
        <v>Correlation</v>
      </c>
    </row>
    <row r="1917" spans="1:13" x14ac:dyDescent="0.2">
      <c r="A1917" s="113"/>
      <c r="B1917" s="58" t="s">
        <v>5549</v>
      </c>
      <c r="C1917" s="58" t="s">
        <v>2925</v>
      </c>
      <c r="D1917" s="58" t="s">
        <v>5550</v>
      </c>
      <c r="E1917" s="60" t="b">
        <v>1</v>
      </c>
      <c r="F1917" s="80" t="s">
        <v>746</v>
      </c>
      <c r="G1917" s="58" t="s">
        <v>5549</v>
      </c>
      <c r="H1917" s="58" t="s">
        <v>2925</v>
      </c>
      <c r="I1917" s="64" t="s">
        <v>5550</v>
      </c>
      <c r="J1917" s="66"/>
      <c r="K1917" s="66"/>
      <c r="L1917" s="68"/>
      <c r="M1917" s="63" t="str">
        <f>HYPERLINK("http://nsgreg.nga.mil/genc/view?v=869774&amp;end_month=12&amp;end_day=31&amp;end_year=2016","Correlation")</f>
        <v>Correlation</v>
      </c>
    </row>
    <row r="1918" spans="1:13" x14ac:dyDescent="0.2">
      <c r="A1918" s="113"/>
      <c r="B1918" s="58" t="s">
        <v>5553</v>
      </c>
      <c r="C1918" s="58" t="s">
        <v>2925</v>
      </c>
      <c r="D1918" s="58" t="s">
        <v>5552</v>
      </c>
      <c r="E1918" s="60" t="b">
        <v>1</v>
      </c>
      <c r="F1918" s="80" t="s">
        <v>746</v>
      </c>
      <c r="G1918" s="58" t="s">
        <v>5551</v>
      </c>
      <c r="H1918" s="58" t="s">
        <v>2925</v>
      </c>
      <c r="I1918" s="64" t="s">
        <v>5552</v>
      </c>
      <c r="J1918" s="66"/>
      <c r="K1918" s="66"/>
      <c r="L1918" s="68"/>
      <c r="M1918" s="63" t="str">
        <f>HYPERLINK("http://nsgreg.nga.mil/genc/view?v=869799&amp;end_month=12&amp;end_day=31&amp;end_year=2016","Correlation")</f>
        <v>Correlation</v>
      </c>
    </row>
    <row r="1919" spans="1:13" x14ac:dyDescent="0.2">
      <c r="A1919" s="113"/>
      <c r="B1919" s="58" t="s">
        <v>5554</v>
      </c>
      <c r="C1919" s="58" t="s">
        <v>2925</v>
      </c>
      <c r="D1919" s="58" t="s">
        <v>5555</v>
      </c>
      <c r="E1919" s="60" t="b">
        <v>1</v>
      </c>
      <c r="F1919" s="80" t="s">
        <v>746</v>
      </c>
      <c r="G1919" s="58" t="s">
        <v>5554</v>
      </c>
      <c r="H1919" s="58" t="s">
        <v>2925</v>
      </c>
      <c r="I1919" s="64" t="s">
        <v>5555</v>
      </c>
      <c r="J1919" s="66"/>
      <c r="K1919" s="66"/>
      <c r="L1919" s="68"/>
      <c r="M1919" s="63" t="str">
        <f>HYPERLINK("http://nsgreg.nga.mil/genc/view?v=869803&amp;end_month=12&amp;end_day=31&amp;end_year=2016","Correlation")</f>
        <v>Correlation</v>
      </c>
    </row>
    <row r="1920" spans="1:13" x14ac:dyDescent="0.2">
      <c r="A1920" s="113"/>
      <c r="B1920" s="58" t="s">
        <v>5559</v>
      </c>
      <c r="C1920" s="58" t="s">
        <v>2925</v>
      </c>
      <c r="D1920" s="58" t="s">
        <v>5558</v>
      </c>
      <c r="E1920" s="60" t="b">
        <v>1</v>
      </c>
      <c r="F1920" s="80" t="s">
        <v>746</v>
      </c>
      <c r="G1920" s="58" t="s">
        <v>5556</v>
      </c>
      <c r="H1920" s="58" t="s">
        <v>5557</v>
      </c>
      <c r="I1920" s="64" t="s">
        <v>5558</v>
      </c>
      <c r="J1920" s="66"/>
      <c r="K1920" s="66"/>
      <c r="L1920" s="68"/>
      <c r="M1920" s="63" t="str">
        <f>HYPERLINK("http://nsgreg.nga.mil/genc/view?v=869786&amp;end_month=12&amp;end_day=31&amp;end_year=2016","Correlation")</f>
        <v>Correlation</v>
      </c>
    </row>
    <row r="1921" spans="1:13" x14ac:dyDescent="0.2">
      <c r="A1921" s="113"/>
      <c r="B1921" s="58" t="s">
        <v>5560</v>
      </c>
      <c r="C1921" s="58" t="s">
        <v>2925</v>
      </c>
      <c r="D1921" s="58" t="s">
        <v>5561</v>
      </c>
      <c r="E1921" s="60" t="b">
        <v>1</v>
      </c>
      <c r="F1921" s="80" t="s">
        <v>746</v>
      </c>
      <c r="G1921" s="58" t="s">
        <v>5560</v>
      </c>
      <c r="H1921" s="58" t="s">
        <v>2925</v>
      </c>
      <c r="I1921" s="64" t="s">
        <v>5561</v>
      </c>
      <c r="J1921" s="66"/>
      <c r="K1921" s="66"/>
      <c r="L1921" s="68"/>
      <c r="M1921" s="63" t="str">
        <f>HYPERLINK("http://nsgreg.nga.mil/genc/view?v=869784&amp;end_month=12&amp;end_day=31&amp;end_year=2016","Correlation")</f>
        <v>Correlation</v>
      </c>
    </row>
    <row r="1922" spans="1:13" x14ac:dyDescent="0.2">
      <c r="A1922" s="113"/>
      <c r="B1922" s="58" t="s">
        <v>5562</v>
      </c>
      <c r="C1922" s="58" t="s">
        <v>2925</v>
      </c>
      <c r="D1922" s="58" t="s">
        <v>5563</v>
      </c>
      <c r="E1922" s="60" t="b">
        <v>1</v>
      </c>
      <c r="F1922" s="80" t="s">
        <v>746</v>
      </c>
      <c r="G1922" s="58" t="s">
        <v>5562</v>
      </c>
      <c r="H1922" s="58" t="s">
        <v>2925</v>
      </c>
      <c r="I1922" s="64" t="s">
        <v>5563</v>
      </c>
      <c r="J1922" s="66"/>
      <c r="K1922" s="66"/>
      <c r="L1922" s="68"/>
      <c r="M1922" s="63" t="str">
        <f>HYPERLINK("http://nsgreg.nga.mil/genc/view?v=869764&amp;end_month=12&amp;end_day=31&amp;end_year=2016","Correlation")</f>
        <v>Correlation</v>
      </c>
    </row>
    <row r="1923" spans="1:13" x14ac:dyDescent="0.2">
      <c r="A1923" s="113"/>
      <c r="B1923" s="58" t="s">
        <v>5564</v>
      </c>
      <c r="C1923" s="58" t="s">
        <v>2925</v>
      </c>
      <c r="D1923" s="58" t="s">
        <v>5565</v>
      </c>
      <c r="E1923" s="60" t="b">
        <v>1</v>
      </c>
      <c r="F1923" s="80" t="s">
        <v>746</v>
      </c>
      <c r="G1923" s="58" t="s">
        <v>5564</v>
      </c>
      <c r="H1923" s="58" t="s">
        <v>2925</v>
      </c>
      <c r="I1923" s="64" t="s">
        <v>5565</v>
      </c>
      <c r="J1923" s="66"/>
      <c r="K1923" s="66"/>
      <c r="L1923" s="68"/>
      <c r="M1923" s="63" t="str">
        <f>HYPERLINK("http://nsgreg.nga.mil/genc/view?v=869805&amp;end_month=12&amp;end_day=31&amp;end_year=2016","Correlation")</f>
        <v>Correlation</v>
      </c>
    </row>
    <row r="1924" spans="1:13" x14ac:dyDescent="0.2">
      <c r="A1924" s="113"/>
      <c r="B1924" s="58" t="s">
        <v>5566</v>
      </c>
      <c r="C1924" s="58" t="s">
        <v>2925</v>
      </c>
      <c r="D1924" s="58" t="s">
        <v>5567</v>
      </c>
      <c r="E1924" s="60" t="b">
        <v>1</v>
      </c>
      <c r="F1924" s="80" t="s">
        <v>746</v>
      </c>
      <c r="G1924" s="58" t="s">
        <v>5566</v>
      </c>
      <c r="H1924" s="58" t="s">
        <v>2925</v>
      </c>
      <c r="I1924" s="64" t="s">
        <v>5567</v>
      </c>
      <c r="J1924" s="66"/>
      <c r="K1924" s="66"/>
      <c r="L1924" s="68"/>
      <c r="M1924" s="63" t="str">
        <f>HYPERLINK("http://nsgreg.nga.mil/genc/view?v=869780&amp;end_month=12&amp;end_day=31&amp;end_year=2016","Correlation")</f>
        <v>Correlation</v>
      </c>
    </row>
    <row r="1925" spans="1:13" x14ac:dyDescent="0.2">
      <c r="A1925" s="113"/>
      <c r="B1925" s="58" t="s">
        <v>5568</v>
      </c>
      <c r="C1925" s="58" t="s">
        <v>2925</v>
      </c>
      <c r="D1925" s="58" t="s">
        <v>5569</v>
      </c>
      <c r="E1925" s="60" t="b">
        <v>1</v>
      </c>
      <c r="F1925" s="80" t="s">
        <v>746</v>
      </c>
      <c r="G1925" s="58" t="s">
        <v>5568</v>
      </c>
      <c r="H1925" s="58" t="s">
        <v>2925</v>
      </c>
      <c r="I1925" s="64" t="s">
        <v>5569</v>
      </c>
      <c r="J1925" s="66"/>
      <c r="K1925" s="66"/>
      <c r="L1925" s="68"/>
      <c r="M1925" s="63" t="str">
        <f>HYPERLINK("http://nsgreg.nga.mil/genc/view?v=869802&amp;end_month=12&amp;end_day=31&amp;end_year=2016","Correlation")</f>
        <v>Correlation</v>
      </c>
    </row>
    <row r="1926" spans="1:13" x14ac:dyDescent="0.2">
      <c r="A1926" s="113"/>
      <c r="B1926" s="58" t="s">
        <v>5570</v>
      </c>
      <c r="C1926" s="58" t="s">
        <v>2925</v>
      </c>
      <c r="D1926" s="58" t="s">
        <v>5571</v>
      </c>
      <c r="E1926" s="60" t="b">
        <v>1</v>
      </c>
      <c r="F1926" s="80" t="s">
        <v>746</v>
      </c>
      <c r="G1926" s="58" t="s">
        <v>5570</v>
      </c>
      <c r="H1926" s="58" t="s">
        <v>2925</v>
      </c>
      <c r="I1926" s="64" t="s">
        <v>5571</v>
      </c>
      <c r="J1926" s="66"/>
      <c r="K1926" s="66"/>
      <c r="L1926" s="68"/>
      <c r="M1926" s="63" t="str">
        <f>HYPERLINK("http://nsgreg.nga.mil/genc/view?v=869789&amp;end_month=12&amp;end_day=31&amp;end_year=2016","Correlation")</f>
        <v>Correlation</v>
      </c>
    </row>
    <row r="1927" spans="1:13" x14ac:dyDescent="0.2">
      <c r="A1927" s="113"/>
      <c r="B1927" s="58" t="s">
        <v>5572</v>
      </c>
      <c r="C1927" s="58" t="s">
        <v>2925</v>
      </c>
      <c r="D1927" s="58" t="s">
        <v>5573</v>
      </c>
      <c r="E1927" s="60" t="b">
        <v>1</v>
      </c>
      <c r="F1927" s="80" t="s">
        <v>746</v>
      </c>
      <c r="G1927" s="58" t="s">
        <v>5572</v>
      </c>
      <c r="H1927" s="58" t="s">
        <v>2925</v>
      </c>
      <c r="I1927" s="64" t="s">
        <v>5573</v>
      </c>
      <c r="J1927" s="66"/>
      <c r="K1927" s="66"/>
      <c r="L1927" s="68"/>
      <c r="M1927" s="63" t="str">
        <f>HYPERLINK("http://nsgreg.nga.mil/genc/view?v=869775&amp;end_month=12&amp;end_day=31&amp;end_year=2016","Correlation")</f>
        <v>Correlation</v>
      </c>
    </row>
    <row r="1928" spans="1:13" x14ac:dyDescent="0.2">
      <c r="A1928" s="113"/>
      <c r="B1928" s="58" t="s">
        <v>5576</v>
      </c>
      <c r="C1928" s="58" t="s">
        <v>2925</v>
      </c>
      <c r="D1928" s="58" t="s">
        <v>5575</v>
      </c>
      <c r="E1928" s="60" t="b">
        <v>1</v>
      </c>
      <c r="F1928" s="80" t="s">
        <v>746</v>
      </c>
      <c r="G1928" s="58" t="s">
        <v>5574</v>
      </c>
      <c r="H1928" s="58" t="s">
        <v>2925</v>
      </c>
      <c r="I1928" s="64" t="s">
        <v>5575</v>
      </c>
      <c r="J1928" s="66"/>
      <c r="K1928" s="66"/>
      <c r="L1928" s="68"/>
      <c r="M1928" s="63" t="str">
        <f>HYPERLINK("http://nsgreg.nga.mil/genc/view?v=869804&amp;end_month=12&amp;end_day=31&amp;end_year=2016","Correlation")</f>
        <v>Correlation</v>
      </c>
    </row>
    <row r="1929" spans="1:13" x14ac:dyDescent="0.2">
      <c r="A1929" s="113"/>
      <c r="B1929" s="58" t="s">
        <v>5577</v>
      </c>
      <c r="C1929" s="58" t="s">
        <v>2925</v>
      </c>
      <c r="D1929" s="58" t="s">
        <v>5578</v>
      </c>
      <c r="E1929" s="60" t="b">
        <v>1</v>
      </c>
      <c r="F1929" s="80" t="s">
        <v>746</v>
      </c>
      <c r="G1929" s="58" t="s">
        <v>5577</v>
      </c>
      <c r="H1929" s="58" t="s">
        <v>2925</v>
      </c>
      <c r="I1929" s="64" t="s">
        <v>5578</v>
      </c>
      <c r="J1929" s="66"/>
      <c r="K1929" s="66"/>
      <c r="L1929" s="68"/>
      <c r="M1929" s="63" t="str">
        <f>HYPERLINK("http://nsgreg.nga.mil/genc/view?v=869793&amp;end_month=12&amp;end_day=31&amp;end_year=2016","Correlation")</f>
        <v>Correlation</v>
      </c>
    </row>
    <row r="1930" spans="1:13" x14ac:dyDescent="0.2">
      <c r="A1930" s="113"/>
      <c r="B1930" s="58" t="s">
        <v>5579</v>
      </c>
      <c r="C1930" s="58" t="s">
        <v>2925</v>
      </c>
      <c r="D1930" s="58" t="s">
        <v>5580</v>
      </c>
      <c r="E1930" s="60" t="b">
        <v>1</v>
      </c>
      <c r="F1930" s="80" t="s">
        <v>746</v>
      </c>
      <c r="G1930" s="58" t="s">
        <v>5579</v>
      </c>
      <c r="H1930" s="58" t="s">
        <v>2925</v>
      </c>
      <c r="I1930" s="64" t="s">
        <v>5580</v>
      </c>
      <c r="J1930" s="66"/>
      <c r="K1930" s="66"/>
      <c r="L1930" s="68"/>
      <c r="M1930" s="63" t="str">
        <f>HYPERLINK("http://nsgreg.nga.mil/genc/view?v=869807&amp;end_month=12&amp;end_day=31&amp;end_year=2016","Correlation")</f>
        <v>Correlation</v>
      </c>
    </row>
    <row r="1931" spans="1:13" x14ac:dyDescent="0.2">
      <c r="A1931" s="113"/>
      <c r="B1931" s="58" t="s">
        <v>5583</v>
      </c>
      <c r="C1931" s="58" t="s">
        <v>2925</v>
      </c>
      <c r="D1931" s="58" t="s">
        <v>5582</v>
      </c>
      <c r="E1931" s="60" t="b">
        <v>1</v>
      </c>
      <c r="F1931" s="80" t="s">
        <v>746</v>
      </c>
      <c r="G1931" s="58" t="s">
        <v>5581</v>
      </c>
      <c r="H1931" s="58" t="s">
        <v>5557</v>
      </c>
      <c r="I1931" s="64" t="s">
        <v>5582</v>
      </c>
      <c r="J1931" s="66"/>
      <c r="K1931" s="66"/>
      <c r="L1931" s="68"/>
      <c r="M1931" s="63" t="str">
        <f>HYPERLINK("http://nsgreg.nga.mil/genc/view?v=869787&amp;end_month=12&amp;end_day=31&amp;end_year=2016","Correlation")</f>
        <v>Correlation</v>
      </c>
    </row>
    <row r="1932" spans="1:13" x14ac:dyDescent="0.2">
      <c r="A1932" s="113"/>
      <c r="B1932" s="58" t="s">
        <v>5584</v>
      </c>
      <c r="C1932" s="58" t="s">
        <v>2925</v>
      </c>
      <c r="D1932" s="58" t="s">
        <v>5585</v>
      </c>
      <c r="E1932" s="60" t="b">
        <v>1</v>
      </c>
      <c r="F1932" s="80" t="s">
        <v>746</v>
      </c>
      <c r="G1932" s="58" t="s">
        <v>5584</v>
      </c>
      <c r="H1932" s="58" t="s">
        <v>2925</v>
      </c>
      <c r="I1932" s="64" t="s">
        <v>5585</v>
      </c>
      <c r="J1932" s="66"/>
      <c r="K1932" s="66"/>
      <c r="L1932" s="68"/>
      <c r="M1932" s="63" t="str">
        <f>HYPERLINK("http://nsgreg.nga.mil/genc/view?v=869801&amp;end_month=12&amp;end_day=31&amp;end_year=2016","Correlation")</f>
        <v>Correlation</v>
      </c>
    </row>
    <row r="1933" spans="1:13" x14ac:dyDescent="0.2">
      <c r="A1933" s="113"/>
      <c r="B1933" s="58" t="s">
        <v>5586</v>
      </c>
      <c r="C1933" s="58" t="s">
        <v>2925</v>
      </c>
      <c r="D1933" s="58" t="s">
        <v>5587</v>
      </c>
      <c r="E1933" s="60" t="b">
        <v>1</v>
      </c>
      <c r="F1933" s="80" t="s">
        <v>746</v>
      </c>
      <c r="G1933" s="58" t="s">
        <v>5586</v>
      </c>
      <c r="H1933" s="58" t="s">
        <v>2925</v>
      </c>
      <c r="I1933" s="64" t="s">
        <v>5587</v>
      </c>
      <c r="J1933" s="66"/>
      <c r="K1933" s="66"/>
      <c r="L1933" s="68"/>
      <c r="M1933" s="63" t="str">
        <f>HYPERLINK("http://nsgreg.nga.mil/genc/view?v=869771&amp;end_month=12&amp;end_day=31&amp;end_year=2016","Correlation")</f>
        <v>Correlation</v>
      </c>
    </row>
    <row r="1934" spans="1:13" x14ac:dyDescent="0.2">
      <c r="A1934" s="113"/>
      <c r="B1934" s="58" t="s">
        <v>5590</v>
      </c>
      <c r="C1934" s="58" t="s">
        <v>2925</v>
      </c>
      <c r="D1934" s="58" t="s">
        <v>5589</v>
      </c>
      <c r="E1934" s="60" t="b">
        <v>1</v>
      </c>
      <c r="F1934" s="80" t="s">
        <v>746</v>
      </c>
      <c r="G1934" s="58" t="s">
        <v>5588</v>
      </c>
      <c r="H1934" s="58" t="s">
        <v>2925</v>
      </c>
      <c r="I1934" s="64" t="s">
        <v>5589</v>
      </c>
      <c r="J1934" s="66"/>
      <c r="K1934" s="66"/>
      <c r="L1934" s="68"/>
      <c r="M1934" s="63" t="str">
        <f>HYPERLINK("http://nsgreg.nga.mil/genc/view?v=869785&amp;end_month=12&amp;end_day=31&amp;end_year=2016","Correlation")</f>
        <v>Correlation</v>
      </c>
    </row>
    <row r="1935" spans="1:13" x14ac:dyDescent="0.2">
      <c r="A1935" s="113"/>
      <c r="B1935" s="58" t="s">
        <v>5593</v>
      </c>
      <c r="C1935" s="58" t="s">
        <v>2925</v>
      </c>
      <c r="D1935" s="58" t="s">
        <v>5592</v>
      </c>
      <c r="E1935" s="60" t="b">
        <v>1</v>
      </c>
      <c r="F1935" s="80" t="s">
        <v>746</v>
      </c>
      <c r="G1935" s="58" t="s">
        <v>5591</v>
      </c>
      <c r="H1935" s="58" t="s">
        <v>2925</v>
      </c>
      <c r="I1935" s="64" t="s">
        <v>5592</v>
      </c>
      <c r="J1935" s="66"/>
      <c r="K1935" s="66"/>
      <c r="L1935" s="68"/>
      <c r="M1935" s="63" t="str">
        <f>HYPERLINK("http://nsgreg.nga.mil/genc/view?v=869792&amp;end_month=12&amp;end_day=31&amp;end_year=2016","Correlation")</f>
        <v>Correlation</v>
      </c>
    </row>
    <row r="1936" spans="1:13" x14ac:dyDescent="0.2">
      <c r="A1936" s="113"/>
      <c r="B1936" s="58" t="s">
        <v>5596</v>
      </c>
      <c r="C1936" s="58" t="s">
        <v>2925</v>
      </c>
      <c r="D1936" s="58" t="s">
        <v>5595</v>
      </c>
      <c r="E1936" s="60" t="b">
        <v>1</v>
      </c>
      <c r="F1936" s="80" t="s">
        <v>746</v>
      </c>
      <c r="G1936" s="58" t="s">
        <v>5594</v>
      </c>
      <c r="H1936" s="58" t="s">
        <v>2925</v>
      </c>
      <c r="I1936" s="64" t="s">
        <v>5595</v>
      </c>
      <c r="J1936" s="66"/>
      <c r="K1936" s="66"/>
      <c r="L1936" s="68"/>
      <c r="M1936" s="63" t="str">
        <f>HYPERLINK("http://nsgreg.nga.mil/genc/view?v=869782&amp;end_month=12&amp;end_day=31&amp;end_year=2016","Correlation")</f>
        <v>Correlation</v>
      </c>
    </row>
    <row r="1937" spans="1:13" x14ac:dyDescent="0.2">
      <c r="A1937" s="113"/>
      <c r="B1937" s="58" t="s">
        <v>5511</v>
      </c>
      <c r="C1937" s="58" t="s">
        <v>2925</v>
      </c>
      <c r="D1937" s="58" t="s">
        <v>5510</v>
      </c>
      <c r="E1937" s="60" t="b">
        <v>1</v>
      </c>
      <c r="F1937" s="80" t="s">
        <v>746</v>
      </c>
      <c r="G1937" s="58" t="s">
        <v>5509</v>
      </c>
      <c r="H1937" s="58" t="s">
        <v>2925</v>
      </c>
      <c r="I1937" s="64" t="s">
        <v>5510</v>
      </c>
      <c r="J1937" s="66"/>
      <c r="K1937" s="66"/>
      <c r="L1937" s="68"/>
      <c r="M1937" s="63" t="str">
        <f>HYPERLINK("http://nsgreg.nga.mil/genc/view?v=869772&amp;end_month=12&amp;end_day=31&amp;end_year=2016","Correlation")</f>
        <v>Correlation</v>
      </c>
    </row>
    <row r="1938" spans="1:13" x14ac:dyDescent="0.2">
      <c r="A1938" s="113"/>
      <c r="B1938" s="58" t="s">
        <v>5602</v>
      </c>
      <c r="C1938" s="58" t="s">
        <v>2925</v>
      </c>
      <c r="D1938" s="58" t="s">
        <v>5601</v>
      </c>
      <c r="E1938" s="60" t="b">
        <v>1</v>
      </c>
      <c r="F1938" s="80" t="s">
        <v>746</v>
      </c>
      <c r="G1938" s="58" t="s">
        <v>5600</v>
      </c>
      <c r="H1938" s="58" t="s">
        <v>2925</v>
      </c>
      <c r="I1938" s="64" t="s">
        <v>5601</v>
      </c>
      <c r="J1938" s="66"/>
      <c r="K1938" s="66"/>
      <c r="L1938" s="68"/>
      <c r="M1938" s="63" t="str">
        <f>HYPERLINK("http://nsgreg.nga.mil/genc/view?v=869796&amp;end_month=12&amp;end_day=31&amp;end_year=2016","Correlation")</f>
        <v>Correlation</v>
      </c>
    </row>
    <row r="1939" spans="1:13" x14ac:dyDescent="0.2">
      <c r="A1939" s="113"/>
      <c r="B1939" s="58" t="s">
        <v>5605</v>
      </c>
      <c r="C1939" s="58" t="s">
        <v>2925</v>
      </c>
      <c r="D1939" s="58" t="s">
        <v>5604</v>
      </c>
      <c r="E1939" s="60" t="b">
        <v>1</v>
      </c>
      <c r="F1939" s="80" t="s">
        <v>746</v>
      </c>
      <c r="G1939" s="58" t="s">
        <v>5603</v>
      </c>
      <c r="H1939" s="58" t="s">
        <v>3140</v>
      </c>
      <c r="I1939" s="64" t="s">
        <v>5604</v>
      </c>
      <c r="J1939" s="66"/>
      <c r="K1939" s="66"/>
      <c r="L1939" s="68"/>
      <c r="M1939" s="63" t="str">
        <f>HYPERLINK("http://nsgreg.nga.mil/genc/view?v=869773&amp;end_month=12&amp;end_day=31&amp;end_year=2016","Correlation")</f>
        <v>Correlation</v>
      </c>
    </row>
    <row r="1940" spans="1:13" x14ac:dyDescent="0.2">
      <c r="A1940" s="113"/>
      <c r="B1940" s="58" t="s">
        <v>5599</v>
      </c>
      <c r="C1940" s="58" t="s">
        <v>2925</v>
      </c>
      <c r="D1940" s="58" t="s">
        <v>5598</v>
      </c>
      <c r="E1940" s="60" t="b">
        <v>1</v>
      </c>
      <c r="F1940" s="80" t="s">
        <v>746</v>
      </c>
      <c r="G1940" s="58" t="s">
        <v>5597</v>
      </c>
      <c r="H1940" s="58" t="s">
        <v>2925</v>
      </c>
      <c r="I1940" s="64" t="s">
        <v>5598</v>
      </c>
      <c r="J1940" s="66"/>
      <c r="K1940" s="66"/>
      <c r="L1940" s="68"/>
      <c r="M1940" s="63" t="str">
        <f>HYPERLINK("http://nsgreg.nga.mil/genc/view?v=869769&amp;end_month=12&amp;end_day=31&amp;end_year=2016","Correlation")</f>
        <v>Correlation</v>
      </c>
    </row>
    <row r="1941" spans="1:13" x14ac:dyDescent="0.2">
      <c r="A1941" s="113"/>
      <c r="B1941" s="58" t="s">
        <v>5606</v>
      </c>
      <c r="C1941" s="58" t="s">
        <v>2925</v>
      </c>
      <c r="D1941" s="58" t="s">
        <v>5607</v>
      </c>
      <c r="E1941" s="60" t="b">
        <v>1</v>
      </c>
      <c r="F1941" s="80" t="s">
        <v>746</v>
      </c>
      <c r="G1941" s="58" t="s">
        <v>5606</v>
      </c>
      <c r="H1941" s="58" t="s">
        <v>2925</v>
      </c>
      <c r="I1941" s="64" t="s">
        <v>5607</v>
      </c>
      <c r="J1941" s="66"/>
      <c r="K1941" s="66"/>
      <c r="L1941" s="68"/>
      <c r="M1941" s="63" t="str">
        <f>HYPERLINK("http://nsgreg.nga.mil/genc/view?v=869791&amp;end_month=12&amp;end_day=31&amp;end_year=2016","Correlation")</f>
        <v>Correlation</v>
      </c>
    </row>
    <row r="1942" spans="1:13" x14ac:dyDescent="0.2">
      <c r="A1942" s="113"/>
      <c r="B1942" s="58" t="s">
        <v>5608</v>
      </c>
      <c r="C1942" s="58" t="s">
        <v>2925</v>
      </c>
      <c r="D1942" s="58" t="s">
        <v>5609</v>
      </c>
      <c r="E1942" s="60" t="b">
        <v>1</v>
      </c>
      <c r="F1942" s="80" t="s">
        <v>746</v>
      </c>
      <c r="G1942" s="58" t="s">
        <v>5608</v>
      </c>
      <c r="H1942" s="58" t="s">
        <v>2925</v>
      </c>
      <c r="I1942" s="64" t="s">
        <v>5609</v>
      </c>
      <c r="J1942" s="66"/>
      <c r="K1942" s="66"/>
      <c r="L1942" s="68"/>
      <c r="M1942" s="63" t="str">
        <f>HYPERLINK("http://nsgreg.nga.mil/genc/view?v=869776&amp;end_month=12&amp;end_day=31&amp;end_year=2016","Correlation")</f>
        <v>Correlation</v>
      </c>
    </row>
    <row r="1943" spans="1:13" x14ac:dyDescent="0.2">
      <c r="A1943" s="113"/>
      <c r="B1943" s="58" t="s">
        <v>5610</v>
      </c>
      <c r="C1943" s="58" t="s">
        <v>2925</v>
      </c>
      <c r="D1943" s="58" t="s">
        <v>5611</v>
      </c>
      <c r="E1943" s="60" t="b">
        <v>1</v>
      </c>
      <c r="F1943" s="80" t="s">
        <v>746</v>
      </c>
      <c r="G1943" s="58" t="s">
        <v>5610</v>
      </c>
      <c r="H1943" s="58" t="s">
        <v>2925</v>
      </c>
      <c r="I1943" s="64" t="s">
        <v>5611</v>
      </c>
      <c r="J1943" s="66"/>
      <c r="K1943" s="66"/>
      <c r="L1943" s="68"/>
      <c r="M1943" s="63" t="str">
        <f>HYPERLINK("http://nsgreg.nga.mil/genc/view?v=869790&amp;end_month=12&amp;end_day=31&amp;end_year=2016","Correlation")</f>
        <v>Correlation</v>
      </c>
    </row>
    <row r="1944" spans="1:13" x14ac:dyDescent="0.2">
      <c r="A1944" s="113"/>
      <c r="B1944" s="58" t="s">
        <v>5612</v>
      </c>
      <c r="C1944" s="58" t="s">
        <v>2925</v>
      </c>
      <c r="D1944" s="58" t="s">
        <v>5613</v>
      </c>
      <c r="E1944" s="60" t="b">
        <v>1</v>
      </c>
      <c r="F1944" s="80" t="s">
        <v>746</v>
      </c>
      <c r="G1944" s="58" t="s">
        <v>5612</v>
      </c>
      <c r="H1944" s="58" t="s">
        <v>2925</v>
      </c>
      <c r="I1944" s="64" t="s">
        <v>5613</v>
      </c>
      <c r="J1944" s="66"/>
      <c r="K1944" s="66"/>
      <c r="L1944" s="68"/>
      <c r="M1944" s="63" t="str">
        <f>HYPERLINK("http://nsgreg.nga.mil/genc/view?v=869766&amp;end_month=12&amp;end_day=31&amp;end_year=2016","Correlation")</f>
        <v>Correlation</v>
      </c>
    </row>
    <row r="1945" spans="1:13" x14ac:dyDescent="0.2">
      <c r="A1945" s="113"/>
      <c r="B1945" s="58" t="s">
        <v>5616</v>
      </c>
      <c r="C1945" s="58" t="s">
        <v>2925</v>
      </c>
      <c r="D1945" s="58" t="s">
        <v>5615</v>
      </c>
      <c r="E1945" s="60" t="b">
        <v>1</v>
      </c>
      <c r="F1945" s="80" t="s">
        <v>746</v>
      </c>
      <c r="G1945" s="58" t="s">
        <v>5614</v>
      </c>
      <c r="H1945" s="58" t="s">
        <v>2925</v>
      </c>
      <c r="I1945" s="64" t="s">
        <v>5615</v>
      </c>
      <c r="J1945" s="66"/>
      <c r="K1945" s="66"/>
      <c r="L1945" s="68"/>
      <c r="M1945" s="63" t="str">
        <f>HYPERLINK("http://nsgreg.nga.mil/genc/view?v=869795&amp;end_month=12&amp;end_day=31&amp;end_year=2016","Correlation")</f>
        <v>Correlation</v>
      </c>
    </row>
    <row r="1946" spans="1:13" x14ac:dyDescent="0.2">
      <c r="A1946" s="114"/>
      <c r="B1946" s="71" t="s">
        <v>5619</v>
      </c>
      <c r="C1946" s="71" t="s">
        <v>2925</v>
      </c>
      <c r="D1946" s="71" t="s">
        <v>5618</v>
      </c>
      <c r="E1946" s="73" t="b">
        <v>1</v>
      </c>
      <c r="F1946" s="81" t="s">
        <v>746</v>
      </c>
      <c r="G1946" s="71" t="s">
        <v>5617</v>
      </c>
      <c r="H1946" s="71" t="s">
        <v>2925</v>
      </c>
      <c r="I1946" s="74" t="s">
        <v>5618</v>
      </c>
      <c r="J1946" s="76"/>
      <c r="K1946" s="76"/>
      <c r="L1946" s="82"/>
      <c r="M1946" s="77" t="str">
        <f>HYPERLINK("http://nsgreg.nga.mil/genc/view?v=869779&amp;end_month=12&amp;end_day=31&amp;end_year=2016","Correlation")</f>
        <v>Correlation</v>
      </c>
    </row>
    <row r="1947" spans="1:13" x14ac:dyDescent="0.2">
      <c r="A1947" s="112" t="s">
        <v>766</v>
      </c>
      <c r="B1947" s="50" t="s">
        <v>5620</v>
      </c>
      <c r="C1947" s="50" t="s">
        <v>2030</v>
      </c>
      <c r="D1947" s="50" t="s">
        <v>5621</v>
      </c>
      <c r="E1947" s="52" t="b">
        <v>1</v>
      </c>
      <c r="F1947" s="78" t="s">
        <v>766</v>
      </c>
      <c r="G1947" s="50" t="s">
        <v>5620</v>
      </c>
      <c r="H1947" s="50" t="s">
        <v>2030</v>
      </c>
      <c r="I1947" s="53" t="s">
        <v>5621</v>
      </c>
      <c r="J1947" s="55"/>
      <c r="K1947" s="55"/>
      <c r="L1947" s="79"/>
      <c r="M1947" s="56" t="str">
        <f>HYPERLINK("http://nsgreg.nga.mil/genc/view?v=869749&amp;end_month=12&amp;end_day=31&amp;end_year=2016","Correlation")</f>
        <v>Correlation</v>
      </c>
    </row>
    <row r="1948" spans="1:13" x14ac:dyDescent="0.2">
      <c r="A1948" s="113"/>
      <c r="B1948" s="58" t="s">
        <v>5622</v>
      </c>
      <c r="C1948" s="58" t="s">
        <v>2030</v>
      </c>
      <c r="D1948" s="58" t="s">
        <v>5623</v>
      </c>
      <c r="E1948" s="60" t="b">
        <v>1</v>
      </c>
      <c r="F1948" s="80" t="s">
        <v>766</v>
      </c>
      <c r="G1948" s="58" t="s">
        <v>5622</v>
      </c>
      <c r="H1948" s="58" t="s">
        <v>2030</v>
      </c>
      <c r="I1948" s="64" t="s">
        <v>5623</v>
      </c>
      <c r="J1948" s="66"/>
      <c r="K1948" s="66"/>
      <c r="L1948" s="68"/>
      <c r="M1948" s="63" t="str">
        <f>HYPERLINK("http://nsgreg.nga.mil/genc/view?v=869751&amp;end_month=12&amp;end_day=31&amp;end_year=2016","Correlation")</f>
        <v>Correlation</v>
      </c>
    </row>
    <row r="1949" spans="1:13" x14ac:dyDescent="0.2">
      <c r="A1949" s="113"/>
      <c r="B1949" s="58" t="s">
        <v>5625</v>
      </c>
      <c r="C1949" s="58" t="s">
        <v>2030</v>
      </c>
      <c r="D1949" s="58" t="s">
        <v>5624</v>
      </c>
      <c r="E1949" s="60" t="b">
        <v>1</v>
      </c>
      <c r="F1949" s="80" t="s">
        <v>766</v>
      </c>
      <c r="G1949" s="58" t="s">
        <v>2029</v>
      </c>
      <c r="H1949" s="58" t="s">
        <v>2030</v>
      </c>
      <c r="I1949" s="64" t="s">
        <v>5624</v>
      </c>
      <c r="J1949" s="66"/>
      <c r="K1949" s="66"/>
      <c r="L1949" s="68"/>
      <c r="M1949" s="63" t="str">
        <f>HYPERLINK("http://nsgreg.nga.mil/genc/view?v=869750&amp;end_month=12&amp;end_day=31&amp;end_year=2016","Correlation")</f>
        <v>Correlation</v>
      </c>
    </row>
    <row r="1950" spans="1:13" x14ac:dyDescent="0.2">
      <c r="A1950" s="113"/>
      <c r="B1950" s="58" t="s">
        <v>5626</v>
      </c>
      <c r="C1950" s="58" t="s">
        <v>2030</v>
      </c>
      <c r="D1950" s="58" t="s">
        <v>5627</v>
      </c>
      <c r="E1950" s="60" t="b">
        <v>1</v>
      </c>
      <c r="F1950" s="80" t="s">
        <v>766</v>
      </c>
      <c r="G1950" s="58" t="s">
        <v>5626</v>
      </c>
      <c r="H1950" s="58" t="s">
        <v>2030</v>
      </c>
      <c r="I1950" s="64" t="s">
        <v>5627</v>
      </c>
      <c r="J1950" s="66"/>
      <c r="K1950" s="66"/>
      <c r="L1950" s="68"/>
      <c r="M1950" s="63" t="str">
        <f>HYPERLINK("http://nsgreg.nga.mil/genc/view?v=869754&amp;end_month=12&amp;end_day=31&amp;end_year=2016","Correlation")</f>
        <v>Correlation</v>
      </c>
    </row>
    <row r="1951" spans="1:13" x14ac:dyDescent="0.2">
      <c r="A1951" s="113"/>
      <c r="B1951" s="58" t="s">
        <v>5628</v>
      </c>
      <c r="C1951" s="58" t="s">
        <v>2030</v>
      </c>
      <c r="D1951" s="58" t="s">
        <v>5629</v>
      </c>
      <c r="E1951" s="60" t="b">
        <v>1</v>
      </c>
      <c r="F1951" s="80" t="s">
        <v>766</v>
      </c>
      <c r="G1951" s="58" t="s">
        <v>5628</v>
      </c>
      <c r="H1951" s="58" t="s">
        <v>2030</v>
      </c>
      <c r="I1951" s="64" t="s">
        <v>5629</v>
      </c>
      <c r="J1951" s="66"/>
      <c r="K1951" s="66"/>
      <c r="L1951" s="68"/>
      <c r="M1951" s="63" t="str">
        <f>HYPERLINK("http://nsgreg.nga.mil/genc/view?v=869757&amp;end_month=12&amp;end_day=31&amp;end_year=2016","Correlation")</f>
        <v>Correlation</v>
      </c>
    </row>
    <row r="1952" spans="1:13" x14ac:dyDescent="0.2">
      <c r="A1952" s="113"/>
      <c r="B1952" s="58" t="s">
        <v>5630</v>
      </c>
      <c r="C1952" s="58" t="s">
        <v>2030</v>
      </c>
      <c r="D1952" s="58" t="s">
        <v>5631</v>
      </c>
      <c r="E1952" s="60" t="b">
        <v>1</v>
      </c>
      <c r="F1952" s="80" t="s">
        <v>766</v>
      </c>
      <c r="G1952" s="58" t="s">
        <v>5630</v>
      </c>
      <c r="H1952" s="58" t="s">
        <v>2030</v>
      </c>
      <c r="I1952" s="64" t="s">
        <v>5631</v>
      </c>
      <c r="J1952" s="66"/>
      <c r="K1952" s="66"/>
      <c r="L1952" s="68"/>
      <c r="M1952" s="63" t="str">
        <f>HYPERLINK("http://nsgreg.nga.mil/genc/view?v=869758&amp;end_month=12&amp;end_day=31&amp;end_year=2016","Correlation")</f>
        <v>Correlation</v>
      </c>
    </row>
    <row r="1953" spans="1:13" x14ac:dyDescent="0.2">
      <c r="A1953" s="113"/>
      <c r="B1953" s="58" t="s">
        <v>5632</v>
      </c>
      <c r="C1953" s="58" t="s">
        <v>2030</v>
      </c>
      <c r="D1953" s="58" t="s">
        <v>5633</v>
      </c>
      <c r="E1953" s="60" t="b">
        <v>1</v>
      </c>
      <c r="F1953" s="80" t="s">
        <v>766</v>
      </c>
      <c r="G1953" s="58" t="s">
        <v>5632</v>
      </c>
      <c r="H1953" s="58" t="s">
        <v>2030</v>
      </c>
      <c r="I1953" s="64" t="s">
        <v>5633</v>
      </c>
      <c r="J1953" s="66"/>
      <c r="K1953" s="66"/>
      <c r="L1953" s="68"/>
      <c r="M1953" s="63" t="str">
        <f>HYPERLINK("http://nsgreg.nga.mil/genc/view?v=869752&amp;end_month=12&amp;end_day=31&amp;end_year=2016","Correlation")</f>
        <v>Correlation</v>
      </c>
    </row>
    <row r="1954" spans="1:13" x14ac:dyDescent="0.2">
      <c r="A1954" s="113"/>
      <c r="B1954" s="58" t="s">
        <v>5634</v>
      </c>
      <c r="C1954" s="58" t="s">
        <v>2030</v>
      </c>
      <c r="D1954" s="58" t="s">
        <v>5635</v>
      </c>
      <c r="E1954" s="60" t="b">
        <v>1</v>
      </c>
      <c r="F1954" s="80" t="s">
        <v>766</v>
      </c>
      <c r="G1954" s="58" t="s">
        <v>5634</v>
      </c>
      <c r="H1954" s="58" t="s">
        <v>2030</v>
      </c>
      <c r="I1954" s="64" t="s">
        <v>5635</v>
      </c>
      <c r="J1954" s="66"/>
      <c r="K1954" s="66"/>
      <c r="L1954" s="68"/>
      <c r="M1954" s="63" t="str">
        <f>HYPERLINK("http://nsgreg.nga.mil/genc/view?v=869753&amp;end_month=12&amp;end_day=31&amp;end_year=2016","Correlation")</f>
        <v>Correlation</v>
      </c>
    </row>
    <row r="1955" spans="1:13" x14ac:dyDescent="0.2">
      <c r="A1955" s="113"/>
      <c r="B1955" s="58" t="s">
        <v>5636</v>
      </c>
      <c r="C1955" s="58" t="s">
        <v>2030</v>
      </c>
      <c r="D1955" s="58" t="s">
        <v>5637</v>
      </c>
      <c r="E1955" s="60" t="b">
        <v>1</v>
      </c>
      <c r="F1955" s="80" t="s">
        <v>766</v>
      </c>
      <c r="G1955" s="58" t="s">
        <v>5636</v>
      </c>
      <c r="H1955" s="58" t="s">
        <v>2030</v>
      </c>
      <c r="I1955" s="64" t="s">
        <v>5637</v>
      </c>
      <c r="J1955" s="66"/>
      <c r="K1955" s="66"/>
      <c r="L1955" s="68"/>
      <c r="M1955" s="63" t="str">
        <f>HYPERLINK("http://nsgreg.nga.mil/genc/view?v=869755&amp;end_month=12&amp;end_day=31&amp;end_year=2016","Correlation")</f>
        <v>Correlation</v>
      </c>
    </row>
    <row r="1956" spans="1:13" x14ac:dyDescent="0.2">
      <c r="A1956" s="113"/>
      <c r="B1956" s="58" t="s">
        <v>5638</v>
      </c>
      <c r="C1956" s="58" t="s">
        <v>2030</v>
      </c>
      <c r="D1956" s="58" t="s">
        <v>5639</v>
      </c>
      <c r="E1956" s="60" t="b">
        <v>1</v>
      </c>
      <c r="F1956" s="80" t="s">
        <v>766</v>
      </c>
      <c r="G1956" s="58" t="s">
        <v>5638</v>
      </c>
      <c r="H1956" s="58" t="s">
        <v>2030</v>
      </c>
      <c r="I1956" s="64" t="s">
        <v>5639</v>
      </c>
      <c r="J1956" s="66"/>
      <c r="K1956" s="66"/>
      <c r="L1956" s="68"/>
      <c r="M1956" s="63" t="str">
        <f>HYPERLINK("http://nsgreg.nga.mil/genc/view?v=869756&amp;end_month=12&amp;end_day=31&amp;end_year=2016","Correlation")</f>
        <v>Correlation</v>
      </c>
    </row>
    <row r="1957" spans="1:13" x14ac:dyDescent="0.2">
      <c r="A1957" s="113"/>
      <c r="B1957" s="58" t="s">
        <v>5640</v>
      </c>
      <c r="C1957" s="58" t="s">
        <v>2030</v>
      </c>
      <c r="D1957" s="58" t="s">
        <v>5641</v>
      </c>
      <c r="E1957" s="60" t="b">
        <v>1</v>
      </c>
      <c r="F1957" s="80" t="s">
        <v>766</v>
      </c>
      <c r="G1957" s="58" t="s">
        <v>5640</v>
      </c>
      <c r="H1957" s="58" t="s">
        <v>2030</v>
      </c>
      <c r="I1957" s="64" t="s">
        <v>5641</v>
      </c>
      <c r="J1957" s="66"/>
      <c r="K1957" s="66"/>
      <c r="L1957" s="68"/>
      <c r="M1957" s="63" t="str">
        <f>HYPERLINK("http://nsgreg.nga.mil/genc/view?v=869760&amp;end_month=12&amp;end_day=31&amp;end_year=2016","Correlation")</f>
        <v>Correlation</v>
      </c>
    </row>
    <row r="1958" spans="1:13" x14ac:dyDescent="0.2">
      <c r="A1958" s="114"/>
      <c r="B1958" s="71" t="s">
        <v>5644</v>
      </c>
      <c r="C1958" s="71" t="s">
        <v>2030</v>
      </c>
      <c r="D1958" s="71" t="s">
        <v>5643</v>
      </c>
      <c r="E1958" s="73" t="b">
        <v>1</v>
      </c>
      <c r="F1958" s="81" t="s">
        <v>766</v>
      </c>
      <c r="G1958" s="71" t="s">
        <v>5642</v>
      </c>
      <c r="H1958" s="71" t="s">
        <v>2030</v>
      </c>
      <c r="I1958" s="74" t="s">
        <v>5643</v>
      </c>
      <c r="J1958" s="76"/>
      <c r="K1958" s="76"/>
      <c r="L1958" s="82"/>
      <c r="M1958" s="77" t="str">
        <f>HYPERLINK("http://nsgreg.nga.mil/genc/view?v=869759&amp;end_month=12&amp;end_day=31&amp;end_year=2016","Correlation")</f>
        <v>Correlation</v>
      </c>
    </row>
    <row r="1959" spans="1:13" x14ac:dyDescent="0.2">
      <c r="A1959" s="112" t="s">
        <v>774</v>
      </c>
      <c r="B1959" s="50" t="s">
        <v>5645</v>
      </c>
      <c r="C1959" s="50" t="s">
        <v>1681</v>
      </c>
      <c r="D1959" s="50" t="s">
        <v>5646</v>
      </c>
      <c r="E1959" s="52" t="b">
        <v>1</v>
      </c>
      <c r="F1959" s="78" t="s">
        <v>774</v>
      </c>
      <c r="G1959" s="50" t="s">
        <v>5645</v>
      </c>
      <c r="H1959" s="50" t="s">
        <v>1681</v>
      </c>
      <c r="I1959" s="53" t="s">
        <v>5646</v>
      </c>
      <c r="J1959" s="55"/>
      <c r="K1959" s="55"/>
      <c r="L1959" s="79"/>
      <c r="M1959" s="56" t="str">
        <f>HYPERLINK("http://nsgreg.nga.mil/genc/view?v=869947&amp;end_month=12&amp;end_day=31&amp;end_year=2016","Correlation")</f>
        <v>Correlation</v>
      </c>
    </row>
    <row r="1960" spans="1:13" x14ac:dyDescent="0.2">
      <c r="A1960" s="113"/>
      <c r="B1960" s="58" t="s">
        <v>5649</v>
      </c>
      <c r="C1960" s="58" t="s">
        <v>1728</v>
      </c>
      <c r="D1960" s="58" t="s">
        <v>5648</v>
      </c>
      <c r="E1960" s="60" t="b">
        <v>1</v>
      </c>
      <c r="F1960" s="80" t="s">
        <v>774</v>
      </c>
      <c r="G1960" s="58" t="s">
        <v>5645</v>
      </c>
      <c r="H1960" s="58" t="s">
        <v>1413</v>
      </c>
      <c r="I1960" s="64" t="s">
        <v>5648</v>
      </c>
      <c r="J1960" s="66"/>
      <c r="K1960" s="66"/>
      <c r="L1960" s="68"/>
      <c r="M1960" s="63" t="str">
        <f>HYPERLINK("http://nsgreg.nga.mil/genc/view?v=869948&amp;end_month=12&amp;end_day=31&amp;end_year=2016","Correlation")</f>
        <v>Correlation</v>
      </c>
    </row>
    <row r="1961" spans="1:13" x14ac:dyDescent="0.2">
      <c r="A1961" s="113"/>
      <c r="B1961" s="58" t="s">
        <v>5652</v>
      </c>
      <c r="C1961" s="58" t="s">
        <v>1728</v>
      </c>
      <c r="D1961" s="58" t="s">
        <v>5651</v>
      </c>
      <c r="E1961" s="60" t="b">
        <v>1</v>
      </c>
      <c r="F1961" s="80" t="s">
        <v>774</v>
      </c>
      <c r="G1961" s="58" t="s">
        <v>5650</v>
      </c>
      <c r="H1961" s="58" t="s">
        <v>1413</v>
      </c>
      <c r="I1961" s="64" t="s">
        <v>5651</v>
      </c>
      <c r="J1961" s="66"/>
      <c r="K1961" s="66"/>
      <c r="L1961" s="68"/>
      <c r="M1961" s="63" t="str">
        <f>HYPERLINK("http://nsgreg.nga.mil/genc/view?v=869945&amp;end_month=12&amp;end_day=31&amp;end_year=2016","Correlation")</f>
        <v>Correlation</v>
      </c>
    </row>
    <row r="1962" spans="1:13" x14ac:dyDescent="0.2">
      <c r="A1962" s="113"/>
      <c r="B1962" s="58" t="s">
        <v>5655</v>
      </c>
      <c r="C1962" s="58" t="s">
        <v>1728</v>
      </c>
      <c r="D1962" s="58" t="s">
        <v>5654</v>
      </c>
      <c r="E1962" s="60" t="b">
        <v>1</v>
      </c>
      <c r="F1962" s="80" t="s">
        <v>774</v>
      </c>
      <c r="G1962" s="58" t="s">
        <v>5653</v>
      </c>
      <c r="H1962" s="58" t="s">
        <v>1413</v>
      </c>
      <c r="I1962" s="64" t="s">
        <v>5654</v>
      </c>
      <c r="J1962" s="66"/>
      <c r="K1962" s="66"/>
      <c r="L1962" s="68"/>
      <c r="M1962" s="63" t="str">
        <f>HYPERLINK("http://nsgreg.nga.mil/genc/view?v=869946&amp;end_month=12&amp;end_day=31&amp;end_year=2016","Correlation")</f>
        <v>Correlation</v>
      </c>
    </row>
    <row r="1963" spans="1:13" x14ac:dyDescent="0.2">
      <c r="A1963" s="113"/>
      <c r="B1963" s="58" t="s">
        <v>5656</v>
      </c>
      <c r="C1963" s="58" t="s">
        <v>1681</v>
      </c>
      <c r="D1963" s="58" t="s">
        <v>5657</v>
      </c>
      <c r="E1963" s="60" t="b">
        <v>1</v>
      </c>
      <c r="F1963" s="80" t="s">
        <v>774</v>
      </c>
      <c r="G1963" s="58" t="s">
        <v>5656</v>
      </c>
      <c r="H1963" s="58" t="s">
        <v>1681</v>
      </c>
      <c r="I1963" s="64" t="s">
        <v>5657</v>
      </c>
      <c r="J1963" s="66"/>
      <c r="K1963" s="66"/>
      <c r="L1963" s="68"/>
      <c r="M1963" s="63" t="str">
        <f>HYPERLINK("http://nsgreg.nga.mil/genc/view?v=869949&amp;end_month=12&amp;end_day=31&amp;end_year=2016","Correlation")</f>
        <v>Correlation</v>
      </c>
    </row>
    <row r="1964" spans="1:13" x14ac:dyDescent="0.2">
      <c r="A1964" s="113"/>
      <c r="B1964" s="58" t="s">
        <v>5660</v>
      </c>
      <c r="C1964" s="58" t="s">
        <v>1728</v>
      </c>
      <c r="D1964" s="58" t="s">
        <v>5659</v>
      </c>
      <c r="E1964" s="60" t="b">
        <v>1</v>
      </c>
      <c r="F1964" s="80" t="s">
        <v>774</v>
      </c>
      <c r="G1964" s="58" t="s">
        <v>5658</v>
      </c>
      <c r="H1964" s="58" t="s">
        <v>1413</v>
      </c>
      <c r="I1964" s="64" t="s">
        <v>5659</v>
      </c>
      <c r="J1964" s="66"/>
      <c r="K1964" s="66"/>
      <c r="L1964" s="68"/>
      <c r="M1964" s="63" t="str">
        <f>HYPERLINK("http://nsgreg.nga.mil/genc/view?v=869950&amp;end_month=12&amp;end_day=31&amp;end_year=2016","Correlation")</f>
        <v>Correlation</v>
      </c>
    </row>
    <row r="1965" spans="1:13" x14ac:dyDescent="0.2">
      <c r="A1965" s="113"/>
      <c r="B1965" s="58" t="s">
        <v>5687</v>
      </c>
      <c r="C1965" s="58" t="s">
        <v>1728</v>
      </c>
      <c r="D1965" s="58" t="s">
        <v>5686</v>
      </c>
      <c r="E1965" s="60" t="b">
        <v>1</v>
      </c>
      <c r="F1965" s="80" t="s">
        <v>774</v>
      </c>
      <c r="G1965" s="58" t="s">
        <v>5685</v>
      </c>
      <c r="H1965" s="58" t="s">
        <v>1413</v>
      </c>
      <c r="I1965" s="64" t="s">
        <v>5686</v>
      </c>
      <c r="J1965" s="66"/>
      <c r="K1965" s="66"/>
      <c r="L1965" s="68"/>
      <c r="M1965" s="63" t="str">
        <f>HYPERLINK("http://nsgreg.nga.mil/genc/view?v=869960&amp;end_month=12&amp;end_day=31&amp;end_year=2016","Correlation")</f>
        <v>Correlation</v>
      </c>
    </row>
    <row r="1966" spans="1:13" x14ac:dyDescent="0.2">
      <c r="A1966" s="113"/>
      <c r="B1966" s="58" t="s">
        <v>12346</v>
      </c>
      <c r="C1966" s="58" t="s">
        <v>1681</v>
      </c>
      <c r="D1966" s="58" t="s">
        <v>12347</v>
      </c>
      <c r="E1966" s="60" t="b">
        <v>1</v>
      </c>
      <c r="F1966" s="61" t="s">
        <v>167</v>
      </c>
      <c r="G1966" s="61"/>
      <c r="H1966" s="61"/>
      <c r="I1966" s="61"/>
      <c r="J1966" s="61"/>
      <c r="K1966" s="61"/>
      <c r="L1966" s="62"/>
      <c r="M1966" s="63" t="str">
        <f>HYPERLINK("http://nsgreg.nga.mil/genc/view?v=872555&amp;end_month=12&amp;end_day=31&amp;end_year=2016","Correlation")</f>
        <v>Correlation</v>
      </c>
    </row>
    <row r="1967" spans="1:13" x14ac:dyDescent="0.2">
      <c r="A1967" s="113"/>
      <c r="B1967" s="58" t="s">
        <v>5666</v>
      </c>
      <c r="C1967" s="58" t="s">
        <v>1728</v>
      </c>
      <c r="D1967" s="58" t="s">
        <v>5665</v>
      </c>
      <c r="E1967" s="60" t="b">
        <v>1</v>
      </c>
      <c r="F1967" s="80" t="s">
        <v>774</v>
      </c>
      <c r="G1967" s="58" t="s">
        <v>5664</v>
      </c>
      <c r="H1967" s="58" t="s">
        <v>1413</v>
      </c>
      <c r="I1967" s="64" t="s">
        <v>5665</v>
      </c>
      <c r="J1967" s="66"/>
      <c r="K1967" s="66"/>
      <c r="L1967" s="68"/>
      <c r="M1967" s="63" t="str">
        <f>HYPERLINK("http://nsgreg.nga.mil/genc/view?v=869955&amp;end_month=12&amp;end_day=31&amp;end_year=2016","Correlation")</f>
        <v>Correlation</v>
      </c>
    </row>
    <row r="1968" spans="1:13" x14ac:dyDescent="0.2">
      <c r="A1968" s="113"/>
      <c r="B1968" s="58" t="s">
        <v>5684</v>
      </c>
      <c r="C1968" s="58" t="s">
        <v>1728</v>
      </c>
      <c r="D1968" s="58" t="s">
        <v>5683</v>
      </c>
      <c r="E1968" s="60" t="b">
        <v>1</v>
      </c>
      <c r="F1968" s="80" t="s">
        <v>774</v>
      </c>
      <c r="G1968" s="58" t="s">
        <v>5682</v>
      </c>
      <c r="H1968" s="58" t="s">
        <v>1413</v>
      </c>
      <c r="I1968" s="64" t="s">
        <v>5683</v>
      </c>
      <c r="J1968" s="66"/>
      <c r="K1968" s="66"/>
      <c r="L1968" s="68"/>
      <c r="M1968" s="63" t="str">
        <f>HYPERLINK("http://nsgreg.nga.mil/genc/view?v=869959&amp;end_month=12&amp;end_day=31&amp;end_year=2016","Correlation")</f>
        <v>Correlation</v>
      </c>
    </row>
    <row r="1969" spans="1:13" x14ac:dyDescent="0.2">
      <c r="A1969" s="113"/>
      <c r="B1969" s="58" t="s">
        <v>5672</v>
      </c>
      <c r="C1969" s="58" t="s">
        <v>1728</v>
      </c>
      <c r="D1969" s="58" t="s">
        <v>5671</v>
      </c>
      <c r="E1969" s="60" t="b">
        <v>1</v>
      </c>
      <c r="F1969" s="80" t="s">
        <v>774</v>
      </c>
      <c r="G1969" s="58" t="s">
        <v>5670</v>
      </c>
      <c r="H1969" s="58" t="s">
        <v>1413</v>
      </c>
      <c r="I1969" s="64" t="s">
        <v>5671</v>
      </c>
      <c r="J1969" s="66"/>
      <c r="K1969" s="66"/>
      <c r="L1969" s="68"/>
      <c r="M1969" s="63" t="str">
        <f>HYPERLINK("http://nsgreg.nga.mil/genc/view?v=869956&amp;end_month=12&amp;end_day=31&amp;end_year=2016","Correlation")</f>
        <v>Correlation</v>
      </c>
    </row>
    <row r="1970" spans="1:13" x14ac:dyDescent="0.2">
      <c r="A1970" s="113"/>
      <c r="B1970" s="58" t="s">
        <v>5675</v>
      </c>
      <c r="C1970" s="58" t="s">
        <v>1728</v>
      </c>
      <c r="D1970" s="58" t="s">
        <v>5674</v>
      </c>
      <c r="E1970" s="60" t="b">
        <v>1</v>
      </c>
      <c r="F1970" s="80" t="s">
        <v>774</v>
      </c>
      <c r="G1970" s="58" t="s">
        <v>5673</v>
      </c>
      <c r="H1970" s="58" t="s">
        <v>1413</v>
      </c>
      <c r="I1970" s="64" t="s">
        <v>5674</v>
      </c>
      <c r="J1970" s="66"/>
      <c r="K1970" s="66"/>
      <c r="L1970" s="68"/>
      <c r="M1970" s="63" t="str">
        <f>HYPERLINK("http://nsgreg.nga.mil/genc/view?v=869952&amp;end_month=12&amp;end_day=31&amp;end_year=2016","Correlation")</f>
        <v>Correlation</v>
      </c>
    </row>
    <row r="1971" spans="1:13" x14ac:dyDescent="0.2">
      <c r="A1971" s="113"/>
      <c r="B1971" s="58" t="s">
        <v>5678</v>
      </c>
      <c r="C1971" s="58" t="s">
        <v>1728</v>
      </c>
      <c r="D1971" s="58" t="s">
        <v>5677</v>
      </c>
      <c r="E1971" s="60" t="b">
        <v>1</v>
      </c>
      <c r="F1971" s="80" t="s">
        <v>774</v>
      </c>
      <c r="G1971" s="58" t="s">
        <v>5676</v>
      </c>
      <c r="H1971" s="58" t="s">
        <v>1413</v>
      </c>
      <c r="I1971" s="64" t="s">
        <v>5677</v>
      </c>
      <c r="J1971" s="66"/>
      <c r="K1971" s="66"/>
      <c r="L1971" s="68"/>
      <c r="M1971" s="63" t="str">
        <f>HYPERLINK("http://nsgreg.nga.mil/genc/view?v=869953&amp;end_month=12&amp;end_day=31&amp;end_year=2016","Correlation")</f>
        <v>Correlation</v>
      </c>
    </row>
    <row r="1972" spans="1:13" x14ac:dyDescent="0.2">
      <c r="A1972" s="113"/>
      <c r="B1972" s="58" t="s">
        <v>5681</v>
      </c>
      <c r="C1972" s="58" t="s">
        <v>1728</v>
      </c>
      <c r="D1972" s="58" t="s">
        <v>5680</v>
      </c>
      <c r="E1972" s="60" t="b">
        <v>1</v>
      </c>
      <c r="F1972" s="80" t="s">
        <v>774</v>
      </c>
      <c r="G1972" s="58" t="s">
        <v>5679</v>
      </c>
      <c r="H1972" s="58" t="s">
        <v>1413</v>
      </c>
      <c r="I1972" s="64" t="s">
        <v>5680</v>
      </c>
      <c r="J1972" s="66"/>
      <c r="K1972" s="66"/>
      <c r="L1972" s="68"/>
      <c r="M1972" s="63" t="str">
        <f>HYPERLINK("http://nsgreg.nga.mil/genc/view?v=869954&amp;end_month=12&amp;end_day=31&amp;end_year=2016","Correlation")</f>
        <v>Correlation</v>
      </c>
    </row>
    <row r="1973" spans="1:13" x14ac:dyDescent="0.2">
      <c r="A1973" s="113"/>
      <c r="B1973" s="58" t="s">
        <v>5663</v>
      </c>
      <c r="C1973" s="58" t="s">
        <v>1728</v>
      </c>
      <c r="D1973" s="58" t="s">
        <v>5662</v>
      </c>
      <c r="E1973" s="60" t="b">
        <v>1</v>
      </c>
      <c r="F1973" s="80" t="s">
        <v>774</v>
      </c>
      <c r="G1973" s="58" t="s">
        <v>5661</v>
      </c>
      <c r="H1973" s="58" t="s">
        <v>1413</v>
      </c>
      <c r="I1973" s="64" t="s">
        <v>5662</v>
      </c>
      <c r="J1973" s="66"/>
      <c r="K1973" s="66"/>
      <c r="L1973" s="68"/>
      <c r="M1973" s="63" t="str">
        <f>HYPERLINK("http://nsgreg.nga.mil/genc/view?v=869958&amp;end_month=12&amp;end_day=31&amp;end_year=2016","Correlation")</f>
        <v>Correlation</v>
      </c>
    </row>
    <row r="1974" spans="1:13" x14ac:dyDescent="0.2">
      <c r="A1974" s="113"/>
      <c r="B1974" s="58" t="s">
        <v>5669</v>
      </c>
      <c r="C1974" s="58" t="s">
        <v>1728</v>
      </c>
      <c r="D1974" s="58" t="s">
        <v>5668</v>
      </c>
      <c r="E1974" s="60" t="b">
        <v>1</v>
      </c>
      <c r="F1974" s="80" t="s">
        <v>774</v>
      </c>
      <c r="G1974" s="58" t="s">
        <v>5667</v>
      </c>
      <c r="H1974" s="58" t="s">
        <v>1413</v>
      </c>
      <c r="I1974" s="64" t="s">
        <v>5668</v>
      </c>
      <c r="J1974" s="66"/>
      <c r="K1974" s="66"/>
      <c r="L1974" s="68"/>
      <c r="M1974" s="63" t="str">
        <f>HYPERLINK("http://nsgreg.nga.mil/genc/view?v=869957&amp;end_month=12&amp;end_day=31&amp;end_year=2016","Correlation")</f>
        <v>Correlation</v>
      </c>
    </row>
    <row r="1975" spans="1:13" x14ac:dyDescent="0.2">
      <c r="A1975" s="114"/>
      <c r="B1975" s="71" t="s">
        <v>5690</v>
      </c>
      <c r="C1975" s="71" t="s">
        <v>1728</v>
      </c>
      <c r="D1975" s="71" t="s">
        <v>5689</v>
      </c>
      <c r="E1975" s="73" t="b">
        <v>1</v>
      </c>
      <c r="F1975" s="81" t="s">
        <v>774</v>
      </c>
      <c r="G1975" s="71" t="s">
        <v>5688</v>
      </c>
      <c r="H1975" s="71" t="s">
        <v>1413</v>
      </c>
      <c r="I1975" s="74" t="s">
        <v>5689</v>
      </c>
      <c r="J1975" s="76"/>
      <c r="K1975" s="76"/>
      <c r="L1975" s="82"/>
      <c r="M1975" s="77" t="str">
        <f>HYPERLINK("http://nsgreg.nga.mil/genc/view?v=869961&amp;end_month=12&amp;end_day=31&amp;end_year=2016","Correlation")</f>
        <v>Correlation</v>
      </c>
    </row>
    <row r="1976" spans="1:13" x14ac:dyDescent="0.2">
      <c r="A1976" s="112" t="s">
        <v>778</v>
      </c>
      <c r="B1976" s="50" t="s">
        <v>5691</v>
      </c>
      <c r="C1976" s="50" t="s">
        <v>1483</v>
      </c>
      <c r="D1976" s="50" t="s">
        <v>5692</v>
      </c>
      <c r="E1976" s="52" t="b">
        <v>1</v>
      </c>
      <c r="F1976" s="78" t="s">
        <v>778</v>
      </c>
      <c r="G1976" s="50" t="s">
        <v>5691</v>
      </c>
      <c r="H1976" s="50" t="s">
        <v>1483</v>
      </c>
      <c r="I1976" s="53" t="s">
        <v>5692</v>
      </c>
      <c r="J1976" s="55"/>
      <c r="K1976" s="55"/>
      <c r="L1976" s="79"/>
      <c r="M1976" s="56" t="str">
        <f>HYPERLINK("http://nsgreg.nga.mil/genc/view?v=869808&amp;end_month=12&amp;end_day=31&amp;end_year=2016","Correlation")</f>
        <v>Correlation</v>
      </c>
    </row>
    <row r="1977" spans="1:13" x14ac:dyDescent="0.2">
      <c r="A1977" s="113"/>
      <c r="B1977" s="58" t="s">
        <v>5693</v>
      </c>
      <c r="C1977" s="58" t="s">
        <v>1483</v>
      </c>
      <c r="D1977" s="58" t="s">
        <v>5694</v>
      </c>
      <c r="E1977" s="60" t="b">
        <v>1</v>
      </c>
      <c r="F1977" s="80" t="s">
        <v>778</v>
      </c>
      <c r="G1977" s="58" t="s">
        <v>5693</v>
      </c>
      <c r="H1977" s="58" t="s">
        <v>1483</v>
      </c>
      <c r="I1977" s="64" t="s">
        <v>5694</v>
      </c>
      <c r="J1977" s="66"/>
      <c r="K1977" s="66"/>
      <c r="L1977" s="68"/>
      <c r="M1977" s="63" t="str">
        <f>HYPERLINK("http://nsgreg.nga.mil/genc/view?v=869809&amp;end_month=12&amp;end_day=31&amp;end_year=2016","Correlation")</f>
        <v>Correlation</v>
      </c>
    </row>
    <row r="1978" spans="1:13" x14ac:dyDescent="0.2">
      <c r="A1978" s="113"/>
      <c r="B1978" s="58" t="s">
        <v>5695</v>
      </c>
      <c r="C1978" s="58" t="s">
        <v>1483</v>
      </c>
      <c r="D1978" s="58" t="s">
        <v>5696</v>
      </c>
      <c r="E1978" s="60" t="b">
        <v>1</v>
      </c>
      <c r="F1978" s="80" t="s">
        <v>778</v>
      </c>
      <c r="G1978" s="58" t="s">
        <v>5695</v>
      </c>
      <c r="H1978" s="58" t="s">
        <v>1483</v>
      </c>
      <c r="I1978" s="64" t="s">
        <v>5696</v>
      </c>
      <c r="J1978" s="66"/>
      <c r="K1978" s="66"/>
      <c r="L1978" s="68"/>
      <c r="M1978" s="63" t="str">
        <f>HYPERLINK("http://nsgreg.nga.mil/genc/view?v=869810&amp;end_month=12&amp;end_day=31&amp;end_year=2016","Correlation")</f>
        <v>Correlation</v>
      </c>
    </row>
    <row r="1979" spans="1:13" x14ac:dyDescent="0.2">
      <c r="A1979" s="113"/>
      <c r="B1979" s="58" t="s">
        <v>5697</v>
      </c>
      <c r="C1979" s="58" t="s">
        <v>1483</v>
      </c>
      <c r="D1979" s="58" t="s">
        <v>5698</v>
      </c>
      <c r="E1979" s="60" t="b">
        <v>1</v>
      </c>
      <c r="F1979" s="80" t="s">
        <v>778</v>
      </c>
      <c r="G1979" s="58" t="s">
        <v>5697</v>
      </c>
      <c r="H1979" s="58" t="s">
        <v>1483</v>
      </c>
      <c r="I1979" s="64" t="s">
        <v>5698</v>
      </c>
      <c r="J1979" s="66"/>
      <c r="K1979" s="66"/>
      <c r="L1979" s="68"/>
      <c r="M1979" s="63" t="str">
        <f>HYPERLINK("http://nsgreg.nga.mil/genc/view?v=869811&amp;end_month=12&amp;end_day=31&amp;end_year=2016","Correlation")</f>
        <v>Correlation</v>
      </c>
    </row>
    <row r="1980" spans="1:13" x14ac:dyDescent="0.2">
      <c r="A1980" s="113"/>
      <c r="B1980" s="58" t="s">
        <v>5699</v>
      </c>
      <c r="C1980" s="58" t="s">
        <v>1483</v>
      </c>
      <c r="D1980" s="58" t="s">
        <v>5700</v>
      </c>
      <c r="E1980" s="60" t="b">
        <v>1</v>
      </c>
      <c r="F1980" s="80" t="s">
        <v>778</v>
      </c>
      <c r="G1980" s="58" t="s">
        <v>5699</v>
      </c>
      <c r="H1980" s="58" t="s">
        <v>1483</v>
      </c>
      <c r="I1980" s="64" t="s">
        <v>5700</v>
      </c>
      <c r="J1980" s="66"/>
      <c r="K1980" s="66"/>
      <c r="L1980" s="68"/>
      <c r="M1980" s="63" t="str">
        <f>HYPERLINK("http://nsgreg.nga.mil/genc/view?v=869812&amp;end_month=12&amp;end_day=31&amp;end_year=2016","Correlation")</f>
        <v>Correlation</v>
      </c>
    </row>
    <row r="1981" spans="1:13" x14ac:dyDescent="0.2">
      <c r="A1981" s="113"/>
      <c r="B1981" s="58" t="s">
        <v>5701</v>
      </c>
      <c r="C1981" s="58" t="s">
        <v>1483</v>
      </c>
      <c r="D1981" s="58" t="s">
        <v>5702</v>
      </c>
      <c r="E1981" s="60" t="b">
        <v>1</v>
      </c>
      <c r="F1981" s="80" t="s">
        <v>778</v>
      </c>
      <c r="G1981" s="58" t="s">
        <v>5701</v>
      </c>
      <c r="H1981" s="58" t="s">
        <v>1483</v>
      </c>
      <c r="I1981" s="64" t="s">
        <v>5702</v>
      </c>
      <c r="J1981" s="66"/>
      <c r="K1981" s="66"/>
      <c r="L1981" s="68"/>
      <c r="M1981" s="63" t="str">
        <f>HYPERLINK("http://nsgreg.nga.mil/genc/view?v=869813&amp;end_month=12&amp;end_day=31&amp;end_year=2016","Correlation")</f>
        <v>Correlation</v>
      </c>
    </row>
    <row r="1982" spans="1:13" x14ac:dyDescent="0.2">
      <c r="A1982" s="113"/>
      <c r="B1982" s="58" t="s">
        <v>5703</v>
      </c>
      <c r="C1982" s="58" t="s">
        <v>1483</v>
      </c>
      <c r="D1982" s="58" t="s">
        <v>5704</v>
      </c>
      <c r="E1982" s="60" t="b">
        <v>1</v>
      </c>
      <c r="F1982" s="80" t="s">
        <v>778</v>
      </c>
      <c r="G1982" s="58" t="s">
        <v>5703</v>
      </c>
      <c r="H1982" s="58" t="s">
        <v>1483</v>
      </c>
      <c r="I1982" s="64" t="s">
        <v>5704</v>
      </c>
      <c r="J1982" s="66"/>
      <c r="K1982" s="66"/>
      <c r="L1982" s="68"/>
      <c r="M1982" s="63" t="str">
        <f>HYPERLINK("http://nsgreg.nga.mil/genc/view?v=869814&amp;end_month=12&amp;end_day=31&amp;end_year=2016","Correlation")</f>
        <v>Correlation</v>
      </c>
    </row>
    <row r="1983" spans="1:13" x14ac:dyDescent="0.2">
      <c r="A1983" s="113"/>
      <c r="B1983" s="58" t="s">
        <v>5705</v>
      </c>
      <c r="C1983" s="58" t="s">
        <v>1483</v>
      </c>
      <c r="D1983" s="58" t="s">
        <v>5706</v>
      </c>
      <c r="E1983" s="60" t="b">
        <v>1</v>
      </c>
      <c r="F1983" s="80" t="s">
        <v>778</v>
      </c>
      <c r="G1983" s="58" t="s">
        <v>5705</v>
      </c>
      <c r="H1983" s="58" t="s">
        <v>1483</v>
      </c>
      <c r="I1983" s="64" t="s">
        <v>5706</v>
      </c>
      <c r="J1983" s="66"/>
      <c r="K1983" s="66"/>
      <c r="L1983" s="68"/>
      <c r="M1983" s="63" t="str">
        <f>HYPERLINK("http://nsgreg.nga.mil/genc/view?v=869815&amp;end_month=12&amp;end_day=31&amp;end_year=2016","Correlation")</f>
        <v>Correlation</v>
      </c>
    </row>
    <row r="1984" spans="1:13" x14ac:dyDescent="0.2">
      <c r="A1984" s="113"/>
      <c r="B1984" s="58" t="s">
        <v>5707</v>
      </c>
      <c r="C1984" s="58" t="s">
        <v>1483</v>
      </c>
      <c r="D1984" s="58" t="s">
        <v>5708</v>
      </c>
      <c r="E1984" s="60" t="b">
        <v>1</v>
      </c>
      <c r="F1984" s="80" t="s">
        <v>778</v>
      </c>
      <c r="G1984" s="58" t="s">
        <v>5707</v>
      </c>
      <c r="H1984" s="58" t="s">
        <v>1483</v>
      </c>
      <c r="I1984" s="64" t="s">
        <v>5708</v>
      </c>
      <c r="J1984" s="66"/>
      <c r="K1984" s="66"/>
      <c r="L1984" s="68"/>
      <c r="M1984" s="63" t="str">
        <f>HYPERLINK("http://nsgreg.nga.mil/genc/view?v=869816&amp;end_month=12&amp;end_day=31&amp;end_year=2016","Correlation")</f>
        <v>Correlation</v>
      </c>
    </row>
    <row r="1985" spans="1:13" x14ac:dyDescent="0.2">
      <c r="A1985" s="113"/>
      <c r="B1985" s="58" t="s">
        <v>5709</v>
      </c>
      <c r="C1985" s="58" t="s">
        <v>1483</v>
      </c>
      <c r="D1985" s="58" t="s">
        <v>5710</v>
      </c>
      <c r="E1985" s="60" t="b">
        <v>1</v>
      </c>
      <c r="F1985" s="80" t="s">
        <v>778</v>
      </c>
      <c r="G1985" s="58" t="s">
        <v>5709</v>
      </c>
      <c r="H1985" s="58" t="s">
        <v>1483</v>
      </c>
      <c r="I1985" s="64" t="s">
        <v>5710</v>
      </c>
      <c r="J1985" s="66"/>
      <c r="K1985" s="66"/>
      <c r="L1985" s="68"/>
      <c r="M1985" s="63" t="str">
        <f>HYPERLINK("http://nsgreg.nga.mil/genc/view?v=869817&amp;end_month=12&amp;end_day=31&amp;end_year=2016","Correlation")</f>
        <v>Correlation</v>
      </c>
    </row>
    <row r="1986" spans="1:13" x14ac:dyDescent="0.2">
      <c r="A1986" s="113"/>
      <c r="B1986" s="58" t="s">
        <v>5711</v>
      </c>
      <c r="C1986" s="58" t="s">
        <v>1483</v>
      </c>
      <c r="D1986" s="58" t="s">
        <v>5712</v>
      </c>
      <c r="E1986" s="60" t="b">
        <v>1</v>
      </c>
      <c r="F1986" s="80" t="s">
        <v>778</v>
      </c>
      <c r="G1986" s="58" t="s">
        <v>5711</v>
      </c>
      <c r="H1986" s="58" t="s">
        <v>1483</v>
      </c>
      <c r="I1986" s="64" t="s">
        <v>5712</v>
      </c>
      <c r="J1986" s="66"/>
      <c r="K1986" s="66"/>
      <c r="L1986" s="68"/>
      <c r="M1986" s="63" t="str">
        <f>HYPERLINK("http://nsgreg.nga.mil/genc/view?v=869818&amp;end_month=12&amp;end_day=31&amp;end_year=2016","Correlation")</f>
        <v>Correlation</v>
      </c>
    </row>
    <row r="1987" spans="1:13" x14ac:dyDescent="0.2">
      <c r="A1987" s="113"/>
      <c r="B1987" s="58" t="s">
        <v>5713</v>
      </c>
      <c r="C1987" s="58" t="s">
        <v>1483</v>
      </c>
      <c r="D1987" s="58" t="s">
        <v>5714</v>
      </c>
      <c r="E1987" s="60" t="b">
        <v>1</v>
      </c>
      <c r="F1987" s="80" t="s">
        <v>778</v>
      </c>
      <c r="G1987" s="58" t="s">
        <v>5713</v>
      </c>
      <c r="H1987" s="58" t="s">
        <v>1483</v>
      </c>
      <c r="I1987" s="64" t="s">
        <v>5714</v>
      </c>
      <c r="J1987" s="66"/>
      <c r="K1987" s="66"/>
      <c r="L1987" s="68"/>
      <c r="M1987" s="63" t="str">
        <f>HYPERLINK("http://nsgreg.nga.mil/genc/view?v=869819&amp;end_month=12&amp;end_day=31&amp;end_year=2016","Correlation")</f>
        <v>Correlation</v>
      </c>
    </row>
    <row r="1988" spans="1:13" x14ac:dyDescent="0.2">
      <c r="A1988" s="113"/>
      <c r="B1988" s="58" t="s">
        <v>5715</v>
      </c>
      <c r="C1988" s="58" t="s">
        <v>1483</v>
      </c>
      <c r="D1988" s="58" t="s">
        <v>5716</v>
      </c>
      <c r="E1988" s="60" t="b">
        <v>1</v>
      </c>
      <c r="F1988" s="80" t="s">
        <v>778</v>
      </c>
      <c r="G1988" s="58" t="s">
        <v>5715</v>
      </c>
      <c r="H1988" s="58" t="s">
        <v>1483</v>
      </c>
      <c r="I1988" s="64" t="s">
        <v>5716</v>
      </c>
      <c r="J1988" s="66"/>
      <c r="K1988" s="66"/>
      <c r="L1988" s="68"/>
      <c r="M1988" s="63" t="str">
        <f>HYPERLINK("http://nsgreg.nga.mil/genc/view?v=869820&amp;end_month=12&amp;end_day=31&amp;end_year=2016","Correlation")</f>
        <v>Correlation</v>
      </c>
    </row>
    <row r="1989" spans="1:13" x14ac:dyDescent="0.2">
      <c r="A1989" s="113"/>
      <c r="B1989" s="58" t="s">
        <v>5717</v>
      </c>
      <c r="C1989" s="58" t="s">
        <v>1483</v>
      </c>
      <c r="D1989" s="58" t="s">
        <v>5718</v>
      </c>
      <c r="E1989" s="60" t="b">
        <v>1</v>
      </c>
      <c r="F1989" s="80" t="s">
        <v>778</v>
      </c>
      <c r="G1989" s="58" t="s">
        <v>5717</v>
      </c>
      <c r="H1989" s="58" t="s">
        <v>1483</v>
      </c>
      <c r="I1989" s="64" t="s">
        <v>5718</v>
      </c>
      <c r="J1989" s="66"/>
      <c r="K1989" s="66"/>
      <c r="L1989" s="68"/>
      <c r="M1989" s="63" t="str">
        <f>HYPERLINK("http://nsgreg.nga.mil/genc/view?v=869821&amp;end_month=12&amp;end_day=31&amp;end_year=2016","Correlation")</f>
        <v>Correlation</v>
      </c>
    </row>
    <row r="1990" spans="1:13" x14ac:dyDescent="0.2">
      <c r="A1990" s="113"/>
      <c r="B1990" s="58" t="s">
        <v>5719</v>
      </c>
      <c r="C1990" s="58" t="s">
        <v>1483</v>
      </c>
      <c r="D1990" s="58" t="s">
        <v>5720</v>
      </c>
      <c r="E1990" s="60" t="b">
        <v>1</v>
      </c>
      <c r="F1990" s="80" t="s">
        <v>778</v>
      </c>
      <c r="G1990" s="58" t="s">
        <v>5719</v>
      </c>
      <c r="H1990" s="58" t="s">
        <v>1483</v>
      </c>
      <c r="I1990" s="64" t="s">
        <v>5720</v>
      </c>
      <c r="J1990" s="66"/>
      <c r="K1990" s="66"/>
      <c r="L1990" s="68"/>
      <c r="M1990" s="63" t="str">
        <f>HYPERLINK("http://nsgreg.nga.mil/genc/view?v=869822&amp;end_month=12&amp;end_day=31&amp;end_year=2016","Correlation")</f>
        <v>Correlation</v>
      </c>
    </row>
    <row r="1991" spans="1:13" x14ac:dyDescent="0.2">
      <c r="A1991" s="113"/>
      <c r="B1991" s="58" t="s">
        <v>5721</v>
      </c>
      <c r="C1991" s="58" t="s">
        <v>1483</v>
      </c>
      <c r="D1991" s="58" t="s">
        <v>5722</v>
      </c>
      <c r="E1991" s="60" t="b">
        <v>1</v>
      </c>
      <c r="F1991" s="80" t="s">
        <v>778</v>
      </c>
      <c r="G1991" s="58" t="s">
        <v>5721</v>
      </c>
      <c r="H1991" s="58" t="s">
        <v>1483</v>
      </c>
      <c r="I1991" s="64" t="s">
        <v>5722</v>
      </c>
      <c r="J1991" s="66"/>
      <c r="K1991" s="66"/>
      <c r="L1991" s="68"/>
      <c r="M1991" s="63" t="str">
        <f>HYPERLINK("http://nsgreg.nga.mil/genc/view?v=869823&amp;end_month=12&amp;end_day=31&amp;end_year=2016","Correlation")</f>
        <v>Correlation</v>
      </c>
    </row>
    <row r="1992" spans="1:13" x14ac:dyDescent="0.2">
      <c r="A1992" s="113"/>
      <c r="B1992" s="58" t="s">
        <v>5723</v>
      </c>
      <c r="C1992" s="58" t="s">
        <v>1483</v>
      </c>
      <c r="D1992" s="58" t="s">
        <v>5724</v>
      </c>
      <c r="E1992" s="60" t="b">
        <v>1</v>
      </c>
      <c r="F1992" s="80" t="s">
        <v>778</v>
      </c>
      <c r="G1992" s="58" t="s">
        <v>5723</v>
      </c>
      <c r="H1992" s="58" t="s">
        <v>1483</v>
      </c>
      <c r="I1992" s="64" t="s">
        <v>5724</v>
      </c>
      <c r="J1992" s="66"/>
      <c r="K1992" s="66"/>
      <c r="L1992" s="68"/>
      <c r="M1992" s="63" t="str">
        <f>HYPERLINK("http://nsgreg.nga.mil/genc/view?v=869824&amp;end_month=12&amp;end_day=31&amp;end_year=2016","Correlation")</f>
        <v>Correlation</v>
      </c>
    </row>
    <row r="1993" spans="1:13" x14ac:dyDescent="0.2">
      <c r="A1993" s="113"/>
      <c r="B1993" s="58" t="s">
        <v>5725</v>
      </c>
      <c r="C1993" s="58" t="s">
        <v>1483</v>
      </c>
      <c r="D1993" s="58" t="s">
        <v>5726</v>
      </c>
      <c r="E1993" s="60" t="b">
        <v>1</v>
      </c>
      <c r="F1993" s="80" t="s">
        <v>778</v>
      </c>
      <c r="G1993" s="58" t="s">
        <v>5725</v>
      </c>
      <c r="H1993" s="58" t="s">
        <v>1483</v>
      </c>
      <c r="I1993" s="64" t="s">
        <v>5726</v>
      </c>
      <c r="J1993" s="66"/>
      <c r="K1993" s="66"/>
      <c r="L1993" s="68"/>
      <c r="M1993" s="63" t="str">
        <f>HYPERLINK("http://nsgreg.nga.mil/genc/view?v=869825&amp;end_month=12&amp;end_day=31&amp;end_year=2016","Correlation")</f>
        <v>Correlation</v>
      </c>
    </row>
    <row r="1994" spans="1:13" x14ac:dyDescent="0.2">
      <c r="A1994" s="113"/>
      <c r="B1994" s="58" t="s">
        <v>5727</v>
      </c>
      <c r="C1994" s="58" t="s">
        <v>1483</v>
      </c>
      <c r="D1994" s="58" t="s">
        <v>5728</v>
      </c>
      <c r="E1994" s="60" t="b">
        <v>1</v>
      </c>
      <c r="F1994" s="80" t="s">
        <v>778</v>
      </c>
      <c r="G1994" s="58" t="s">
        <v>5727</v>
      </c>
      <c r="H1994" s="58" t="s">
        <v>1483</v>
      </c>
      <c r="I1994" s="64" t="s">
        <v>5728</v>
      </c>
      <c r="J1994" s="66"/>
      <c r="K1994" s="66"/>
      <c r="L1994" s="68"/>
      <c r="M1994" s="63" t="str">
        <f>HYPERLINK("http://nsgreg.nga.mil/genc/view?v=869826&amp;end_month=12&amp;end_day=31&amp;end_year=2016","Correlation")</f>
        <v>Correlation</v>
      </c>
    </row>
    <row r="1995" spans="1:13" x14ac:dyDescent="0.2">
      <c r="A1995" s="113"/>
      <c r="B1995" s="58" t="s">
        <v>5729</v>
      </c>
      <c r="C1995" s="58" t="s">
        <v>1483</v>
      </c>
      <c r="D1995" s="58" t="s">
        <v>5730</v>
      </c>
      <c r="E1995" s="60" t="b">
        <v>1</v>
      </c>
      <c r="F1995" s="80" t="s">
        <v>778</v>
      </c>
      <c r="G1995" s="58" t="s">
        <v>5729</v>
      </c>
      <c r="H1995" s="58" t="s">
        <v>1483</v>
      </c>
      <c r="I1995" s="64" t="s">
        <v>5730</v>
      </c>
      <c r="J1995" s="66"/>
      <c r="K1995" s="66"/>
      <c r="L1995" s="68"/>
      <c r="M1995" s="63" t="str">
        <f>HYPERLINK("http://nsgreg.nga.mil/genc/view?v=869827&amp;end_month=12&amp;end_day=31&amp;end_year=2016","Correlation")</f>
        <v>Correlation</v>
      </c>
    </row>
    <row r="1996" spans="1:13" x14ac:dyDescent="0.2">
      <c r="A1996" s="113"/>
      <c r="B1996" s="58" t="s">
        <v>5731</v>
      </c>
      <c r="C1996" s="58" t="s">
        <v>1483</v>
      </c>
      <c r="D1996" s="58" t="s">
        <v>5732</v>
      </c>
      <c r="E1996" s="60" t="b">
        <v>1</v>
      </c>
      <c r="F1996" s="80" t="s">
        <v>778</v>
      </c>
      <c r="G1996" s="58" t="s">
        <v>5731</v>
      </c>
      <c r="H1996" s="58" t="s">
        <v>1483</v>
      </c>
      <c r="I1996" s="64" t="s">
        <v>5732</v>
      </c>
      <c r="J1996" s="66"/>
      <c r="K1996" s="66"/>
      <c r="L1996" s="68"/>
      <c r="M1996" s="63" t="str">
        <f>HYPERLINK("http://nsgreg.nga.mil/genc/view?v=869828&amp;end_month=12&amp;end_day=31&amp;end_year=2016","Correlation")</f>
        <v>Correlation</v>
      </c>
    </row>
    <row r="1997" spans="1:13" x14ac:dyDescent="0.2">
      <c r="A1997" s="113"/>
      <c r="B1997" s="58" t="s">
        <v>5733</v>
      </c>
      <c r="C1997" s="58" t="s">
        <v>1483</v>
      </c>
      <c r="D1997" s="58" t="s">
        <v>5734</v>
      </c>
      <c r="E1997" s="60" t="b">
        <v>1</v>
      </c>
      <c r="F1997" s="80" t="s">
        <v>778</v>
      </c>
      <c r="G1997" s="58" t="s">
        <v>5733</v>
      </c>
      <c r="H1997" s="58" t="s">
        <v>1483</v>
      </c>
      <c r="I1997" s="64" t="s">
        <v>5734</v>
      </c>
      <c r="J1997" s="66"/>
      <c r="K1997" s="66"/>
      <c r="L1997" s="68"/>
      <c r="M1997" s="63" t="str">
        <f>HYPERLINK("http://nsgreg.nga.mil/genc/view?v=869829&amp;end_month=12&amp;end_day=31&amp;end_year=2016","Correlation")</f>
        <v>Correlation</v>
      </c>
    </row>
    <row r="1998" spans="1:13" x14ac:dyDescent="0.2">
      <c r="A1998" s="113"/>
      <c r="B1998" s="58" t="s">
        <v>5735</v>
      </c>
      <c r="C1998" s="58" t="s">
        <v>1483</v>
      </c>
      <c r="D1998" s="58" t="s">
        <v>5736</v>
      </c>
      <c r="E1998" s="60" t="b">
        <v>1</v>
      </c>
      <c r="F1998" s="80" t="s">
        <v>778</v>
      </c>
      <c r="G1998" s="58" t="s">
        <v>5735</v>
      </c>
      <c r="H1998" s="58" t="s">
        <v>1483</v>
      </c>
      <c r="I1998" s="64" t="s">
        <v>5736</v>
      </c>
      <c r="J1998" s="66"/>
      <c r="K1998" s="66"/>
      <c r="L1998" s="68"/>
      <c r="M1998" s="63" t="str">
        <f>HYPERLINK("http://nsgreg.nga.mil/genc/view?v=869830&amp;end_month=12&amp;end_day=31&amp;end_year=2016","Correlation")</f>
        <v>Correlation</v>
      </c>
    </row>
    <row r="1999" spans="1:13" x14ac:dyDescent="0.2">
      <c r="A1999" s="113"/>
      <c r="B1999" s="58" t="s">
        <v>5737</v>
      </c>
      <c r="C1999" s="58" t="s">
        <v>1483</v>
      </c>
      <c r="D1999" s="58" t="s">
        <v>5738</v>
      </c>
      <c r="E1999" s="60" t="b">
        <v>1</v>
      </c>
      <c r="F1999" s="80" t="s">
        <v>778</v>
      </c>
      <c r="G1999" s="58" t="s">
        <v>5737</v>
      </c>
      <c r="H1999" s="58" t="s">
        <v>1483</v>
      </c>
      <c r="I1999" s="64" t="s">
        <v>5738</v>
      </c>
      <c r="J1999" s="66"/>
      <c r="K1999" s="66"/>
      <c r="L1999" s="68"/>
      <c r="M1999" s="63" t="str">
        <f>HYPERLINK("http://nsgreg.nga.mil/genc/view?v=869831&amp;end_month=12&amp;end_day=31&amp;end_year=2016","Correlation")</f>
        <v>Correlation</v>
      </c>
    </row>
    <row r="2000" spans="1:13" x14ac:dyDescent="0.2">
      <c r="A2000" s="113"/>
      <c r="B2000" s="58" t="s">
        <v>5739</v>
      </c>
      <c r="C2000" s="58" t="s">
        <v>1483</v>
      </c>
      <c r="D2000" s="58" t="s">
        <v>5740</v>
      </c>
      <c r="E2000" s="60" t="b">
        <v>1</v>
      </c>
      <c r="F2000" s="80" t="s">
        <v>778</v>
      </c>
      <c r="G2000" s="58" t="s">
        <v>5739</v>
      </c>
      <c r="H2000" s="58" t="s">
        <v>1483</v>
      </c>
      <c r="I2000" s="64" t="s">
        <v>5740</v>
      </c>
      <c r="J2000" s="66"/>
      <c r="K2000" s="66"/>
      <c r="L2000" s="68"/>
      <c r="M2000" s="63" t="str">
        <f>HYPERLINK("http://nsgreg.nga.mil/genc/view?v=869832&amp;end_month=12&amp;end_day=31&amp;end_year=2016","Correlation")</f>
        <v>Correlation</v>
      </c>
    </row>
    <row r="2001" spans="1:13" x14ac:dyDescent="0.2">
      <c r="A2001" s="113"/>
      <c r="B2001" s="58" t="s">
        <v>5741</v>
      </c>
      <c r="C2001" s="58" t="s">
        <v>1483</v>
      </c>
      <c r="D2001" s="58" t="s">
        <v>5742</v>
      </c>
      <c r="E2001" s="60" t="b">
        <v>1</v>
      </c>
      <c r="F2001" s="80" t="s">
        <v>778</v>
      </c>
      <c r="G2001" s="58" t="s">
        <v>5741</v>
      </c>
      <c r="H2001" s="58" t="s">
        <v>1483</v>
      </c>
      <c r="I2001" s="64" t="s">
        <v>5742</v>
      </c>
      <c r="J2001" s="66"/>
      <c r="K2001" s="66"/>
      <c r="L2001" s="68"/>
      <c r="M2001" s="63" t="str">
        <f>HYPERLINK("http://nsgreg.nga.mil/genc/view?v=869833&amp;end_month=12&amp;end_day=31&amp;end_year=2016","Correlation")</f>
        <v>Correlation</v>
      </c>
    </row>
    <row r="2002" spans="1:13" x14ac:dyDescent="0.2">
      <c r="A2002" s="113"/>
      <c r="B2002" s="58" t="s">
        <v>5743</v>
      </c>
      <c r="C2002" s="58" t="s">
        <v>1483</v>
      </c>
      <c r="D2002" s="58" t="s">
        <v>5744</v>
      </c>
      <c r="E2002" s="60" t="b">
        <v>1</v>
      </c>
      <c r="F2002" s="80" t="s">
        <v>778</v>
      </c>
      <c r="G2002" s="58" t="s">
        <v>5743</v>
      </c>
      <c r="H2002" s="58" t="s">
        <v>1483</v>
      </c>
      <c r="I2002" s="64" t="s">
        <v>5744</v>
      </c>
      <c r="J2002" s="66"/>
      <c r="K2002" s="66"/>
      <c r="L2002" s="68"/>
      <c r="M2002" s="63" t="str">
        <f>HYPERLINK("http://nsgreg.nga.mil/genc/view?v=869834&amp;end_month=12&amp;end_day=31&amp;end_year=2016","Correlation")</f>
        <v>Correlation</v>
      </c>
    </row>
    <row r="2003" spans="1:13" x14ac:dyDescent="0.2">
      <c r="A2003" s="113"/>
      <c r="B2003" s="58" t="s">
        <v>5745</v>
      </c>
      <c r="C2003" s="58" t="s">
        <v>1483</v>
      </c>
      <c r="D2003" s="58" t="s">
        <v>5746</v>
      </c>
      <c r="E2003" s="60" t="b">
        <v>1</v>
      </c>
      <c r="F2003" s="80" t="s">
        <v>778</v>
      </c>
      <c r="G2003" s="58" t="s">
        <v>5745</v>
      </c>
      <c r="H2003" s="58" t="s">
        <v>1483</v>
      </c>
      <c r="I2003" s="64" t="s">
        <v>5746</v>
      </c>
      <c r="J2003" s="66"/>
      <c r="K2003" s="66"/>
      <c r="L2003" s="68"/>
      <c r="M2003" s="63" t="str">
        <f>HYPERLINK("http://nsgreg.nga.mil/genc/view?v=869835&amp;end_month=12&amp;end_day=31&amp;end_year=2016","Correlation")</f>
        <v>Correlation</v>
      </c>
    </row>
    <row r="2004" spans="1:13" x14ac:dyDescent="0.2">
      <c r="A2004" s="113"/>
      <c r="B2004" s="58" t="s">
        <v>5749</v>
      </c>
      <c r="C2004" s="58" t="s">
        <v>1483</v>
      </c>
      <c r="D2004" s="58" t="s">
        <v>5748</v>
      </c>
      <c r="E2004" s="60" t="b">
        <v>1</v>
      </c>
      <c r="F2004" s="80" t="s">
        <v>778</v>
      </c>
      <c r="G2004" s="58" t="s">
        <v>5747</v>
      </c>
      <c r="H2004" s="58" t="s">
        <v>1483</v>
      </c>
      <c r="I2004" s="64" t="s">
        <v>5748</v>
      </c>
      <c r="J2004" s="66"/>
      <c r="K2004" s="66"/>
      <c r="L2004" s="68"/>
      <c r="M2004" s="63" t="str">
        <f>HYPERLINK("http://nsgreg.nga.mil/genc/view?v=869836&amp;end_month=12&amp;end_day=31&amp;end_year=2016","Correlation")</f>
        <v>Correlation</v>
      </c>
    </row>
    <row r="2005" spans="1:13" x14ac:dyDescent="0.2">
      <c r="A2005" s="113"/>
      <c r="B2005" s="58" t="s">
        <v>5750</v>
      </c>
      <c r="C2005" s="58" t="s">
        <v>1483</v>
      </c>
      <c r="D2005" s="58" t="s">
        <v>5751</v>
      </c>
      <c r="E2005" s="60" t="b">
        <v>1</v>
      </c>
      <c r="F2005" s="80" t="s">
        <v>778</v>
      </c>
      <c r="G2005" s="58" t="s">
        <v>5750</v>
      </c>
      <c r="H2005" s="58" t="s">
        <v>1483</v>
      </c>
      <c r="I2005" s="64" t="s">
        <v>5751</v>
      </c>
      <c r="J2005" s="66"/>
      <c r="K2005" s="66"/>
      <c r="L2005" s="68"/>
      <c r="M2005" s="63" t="str">
        <f>HYPERLINK("http://nsgreg.nga.mil/genc/view?v=869837&amp;end_month=12&amp;end_day=31&amp;end_year=2016","Correlation")</f>
        <v>Correlation</v>
      </c>
    </row>
    <row r="2006" spans="1:13" x14ac:dyDescent="0.2">
      <c r="A2006" s="113"/>
      <c r="B2006" s="58" t="s">
        <v>5752</v>
      </c>
      <c r="C2006" s="58" t="s">
        <v>1483</v>
      </c>
      <c r="D2006" s="58" t="s">
        <v>5753</v>
      </c>
      <c r="E2006" s="60" t="b">
        <v>1</v>
      </c>
      <c r="F2006" s="80" t="s">
        <v>778</v>
      </c>
      <c r="G2006" s="58" t="s">
        <v>5752</v>
      </c>
      <c r="H2006" s="58" t="s">
        <v>1483</v>
      </c>
      <c r="I2006" s="64" t="s">
        <v>5753</v>
      </c>
      <c r="J2006" s="66"/>
      <c r="K2006" s="66"/>
      <c r="L2006" s="68"/>
      <c r="M2006" s="63" t="str">
        <f>HYPERLINK("http://nsgreg.nga.mil/genc/view?v=869838&amp;end_month=12&amp;end_day=31&amp;end_year=2016","Correlation")</f>
        <v>Correlation</v>
      </c>
    </row>
    <row r="2007" spans="1:13" x14ac:dyDescent="0.2">
      <c r="A2007" s="113"/>
      <c r="B2007" s="58" t="s">
        <v>5754</v>
      </c>
      <c r="C2007" s="58" t="s">
        <v>1483</v>
      </c>
      <c r="D2007" s="58" t="s">
        <v>5755</v>
      </c>
      <c r="E2007" s="60" t="b">
        <v>1</v>
      </c>
      <c r="F2007" s="80" t="s">
        <v>778</v>
      </c>
      <c r="G2007" s="58" t="s">
        <v>5754</v>
      </c>
      <c r="H2007" s="58" t="s">
        <v>1483</v>
      </c>
      <c r="I2007" s="64" t="s">
        <v>5755</v>
      </c>
      <c r="J2007" s="66"/>
      <c r="K2007" s="66"/>
      <c r="L2007" s="68"/>
      <c r="M2007" s="63" t="str">
        <f>HYPERLINK("http://nsgreg.nga.mil/genc/view?v=869839&amp;end_month=12&amp;end_day=31&amp;end_year=2016","Correlation")</f>
        <v>Correlation</v>
      </c>
    </row>
    <row r="2008" spans="1:13" x14ac:dyDescent="0.2">
      <c r="A2008" s="113"/>
      <c r="B2008" s="58" t="s">
        <v>5756</v>
      </c>
      <c r="C2008" s="58" t="s">
        <v>1483</v>
      </c>
      <c r="D2008" s="58" t="s">
        <v>5757</v>
      </c>
      <c r="E2008" s="60" t="b">
        <v>1</v>
      </c>
      <c r="F2008" s="80" t="s">
        <v>778</v>
      </c>
      <c r="G2008" s="58" t="s">
        <v>5756</v>
      </c>
      <c r="H2008" s="58" t="s">
        <v>1483</v>
      </c>
      <c r="I2008" s="64" t="s">
        <v>5757</v>
      </c>
      <c r="J2008" s="66"/>
      <c r="K2008" s="66"/>
      <c r="L2008" s="68"/>
      <c r="M2008" s="63" t="str">
        <f>HYPERLINK("http://nsgreg.nga.mil/genc/view?v=869840&amp;end_month=12&amp;end_day=31&amp;end_year=2016","Correlation")</f>
        <v>Correlation</v>
      </c>
    </row>
    <row r="2009" spans="1:13" x14ac:dyDescent="0.2">
      <c r="A2009" s="113"/>
      <c r="B2009" s="58" t="s">
        <v>5758</v>
      </c>
      <c r="C2009" s="58" t="s">
        <v>1483</v>
      </c>
      <c r="D2009" s="58" t="s">
        <v>5759</v>
      </c>
      <c r="E2009" s="60" t="b">
        <v>1</v>
      </c>
      <c r="F2009" s="80" t="s">
        <v>778</v>
      </c>
      <c r="G2009" s="58" t="s">
        <v>5758</v>
      </c>
      <c r="H2009" s="58" t="s">
        <v>1483</v>
      </c>
      <c r="I2009" s="64" t="s">
        <v>5759</v>
      </c>
      <c r="J2009" s="66"/>
      <c r="K2009" s="66"/>
      <c r="L2009" s="68"/>
      <c r="M2009" s="63" t="str">
        <f>HYPERLINK("http://nsgreg.nga.mil/genc/view?v=869841&amp;end_month=12&amp;end_day=31&amp;end_year=2016","Correlation")</f>
        <v>Correlation</v>
      </c>
    </row>
    <row r="2010" spans="1:13" x14ac:dyDescent="0.2">
      <c r="A2010" s="113"/>
      <c r="B2010" s="58" t="s">
        <v>5760</v>
      </c>
      <c r="C2010" s="58" t="s">
        <v>1483</v>
      </c>
      <c r="D2010" s="58" t="s">
        <v>5761</v>
      </c>
      <c r="E2010" s="60" t="b">
        <v>1</v>
      </c>
      <c r="F2010" s="80" t="s">
        <v>778</v>
      </c>
      <c r="G2010" s="58" t="s">
        <v>5760</v>
      </c>
      <c r="H2010" s="58" t="s">
        <v>1483</v>
      </c>
      <c r="I2010" s="64" t="s">
        <v>5761</v>
      </c>
      <c r="J2010" s="66"/>
      <c r="K2010" s="66"/>
      <c r="L2010" s="68"/>
      <c r="M2010" s="63" t="str">
        <f>HYPERLINK("http://nsgreg.nga.mil/genc/view?v=869842&amp;end_month=12&amp;end_day=31&amp;end_year=2016","Correlation")</f>
        <v>Correlation</v>
      </c>
    </row>
    <row r="2011" spans="1:13" x14ac:dyDescent="0.2">
      <c r="A2011" s="113"/>
      <c r="B2011" s="58" t="s">
        <v>5762</v>
      </c>
      <c r="C2011" s="58" t="s">
        <v>1483</v>
      </c>
      <c r="D2011" s="58" t="s">
        <v>5763</v>
      </c>
      <c r="E2011" s="60" t="b">
        <v>1</v>
      </c>
      <c r="F2011" s="80" t="s">
        <v>778</v>
      </c>
      <c r="G2011" s="58" t="s">
        <v>5762</v>
      </c>
      <c r="H2011" s="58" t="s">
        <v>1483</v>
      </c>
      <c r="I2011" s="64" t="s">
        <v>5763</v>
      </c>
      <c r="J2011" s="66"/>
      <c r="K2011" s="66"/>
      <c r="L2011" s="68"/>
      <c r="M2011" s="63" t="str">
        <f>HYPERLINK("http://nsgreg.nga.mil/genc/view?v=869843&amp;end_month=12&amp;end_day=31&amp;end_year=2016","Correlation")</f>
        <v>Correlation</v>
      </c>
    </row>
    <row r="2012" spans="1:13" x14ac:dyDescent="0.2">
      <c r="A2012" s="113"/>
      <c r="B2012" s="58" t="s">
        <v>5764</v>
      </c>
      <c r="C2012" s="58" t="s">
        <v>1483</v>
      </c>
      <c r="D2012" s="58" t="s">
        <v>5765</v>
      </c>
      <c r="E2012" s="60" t="b">
        <v>1</v>
      </c>
      <c r="F2012" s="80" t="s">
        <v>778</v>
      </c>
      <c r="G2012" s="58" t="s">
        <v>5764</v>
      </c>
      <c r="H2012" s="58" t="s">
        <v>1483</v>
      </c>
      <c r="I2012" s="64" t="s">
        <v>5765</v>
      </c>
      <c r="J2012" s="66"/>
      <c r="K2012" s="66"/>
      <c r="L2012" s="68"/>
      <c r="M2012" s="63" t="str">
        <f>HYPERLINK("http://nsgreg.nga.mil/genc/view?v=869844&amp;end_month=12&amp;end_day=31&amp;end_year=2016","Correlation")</f>
        <v>Correlation</v>
      </c>
    </row>
    <row r="2013" spans="1:13" x14ac:dyDescent="0.2">
      <c r="A2013" s="113"/>
      <c r="B2013" s="58" t="s">
        <v>5766</v>
      </c>
      <c r="C2013" s="58" t="s">
        <v>1483</v>
      </c>
      <c r="D2013" s="58" t="s">
        <v>5767</v>
      </c>
      <c r="E2013" s="60" t="b">
        <v>1</v>
      </c>
      <c r="F2013" s="80" t="s">
        <v>778</v>
      </c>
      <c r="G2013" s="58" t="s">
        <v>5766</v>
      </c>
      <c r="H2013" s="58" t="s">
        <v>1483</v>
      </c>
      <c r="I2013" s="64" t="s">
        <v>5767</v>
      </c>
      <c r="J2013" s="66"/>
      <c r="K2013" s="66"/>
      <c r="L2013" s="68"/>
      <c r="M2013" s="63" t="str">
        <f>HYPERLINK("http://nsgreg.nga.mil/genc/view?v=869845&amp;end_month=12&amp;end_day=31&amp;end_year=2016","Correlation")</f>
        <v>Correlation</v>
      </c>
    </row>
    <row r="2014" spans="1:13" x14ac:dyDescent="0.2">
      <c r="A2014" s="113"/>
      <c r="B2014" s="58" t="s">
        <v>5768</v>
      </c>
      <c r="C2014" s="58" t="s">
        <v>1483</v>
      </c>
      <c r="D2014" s="58" t="s">
        <v>5769</v>
      </c>
      <c r="E2014" s="60" t="b">
        <v>1</v>
      </c>
      <c r="F2014" s="80" t="s">
        <v>778</v>
      </c>
      <c r="G2014" s="58" t="s">
        <v>5768</v>
      </c>
      <c r="H2014" s="58" t="s">
        <v>1483</v>
      </c>
      <c r="I2014" s="64" t="s">
        <v>5769</v>
      </c>
      <c r="J2014" s="66"/>
      <c r="K2014" s="66"/>
      <c r="L2014" s="68"/>
      <c r="M2014" s="63" t="str">
        <f>HYPERLINK("http://nsgreg.nga.mil/genc/view?v=869846&amp;end_month=12&amp;end_day=31&amp;end_year=2016","Correlation")</f>
        <v>Correlation</v>
      </c>
    </row>
    <row r="2015" spans="1:13" x14ac:dyDescent="0.2">
      <c r="A2015" s="113"/>
      <c r="B2015" s="58" t="s">
        <v>5770</v>
      </c>
      <c r="C2015" s="58" t="s">
        <v>1483</v>
      </c>
      <c r="D2015" s="58" t="s">
        <v>5771</v>
      </c>
      <c r="E2015" s="60" t="b">
        <v>1</v>
      </c>
      <c r="F2015" s="80" t="s">
        <v>778</v>
      </c>
      <c r="G2015" s="58" t="s">
        <v>5770</v>
      </c>
      <c r="H2015" s="58" t="s">
        <v>1483</v>
      </c>
      <c r="I2015" s="64" t="s">
        <v>5771</v>
      </c>
      <c r="J2015" s="66"/>
      <c r="K2015" s="66"/>
      <c r="L2015" s="68"/>
      <c r="M2015" s="63" t="str">
        <f>HYPERLINK("http://nsgreg.nga.mil/genc/view?v=869847&amp;end_month=12&amp;end_day=31&amp;end_year=2016","Correlation")</f>
        <v>Correlation</v>
      </c>
    </row>
    <row r="2016" spans="1:13" x14ac:dyDescent="0.2">
      <c r="A2016" s="113"/>
      <c r="B2016" s="58" t="s">
        <v>5774</v>
      </c>
      <c r="C2016" s="58" t="s">
        <v>1483</v>
      </c>
      <c r="D2016" s="58" t="s">
        <v>5773</v>
      </c>
      <c r="E2016" s="60" t="b">
        <v>1</v>
      </c>
      <c r="F2016" s="80" t="s">
        <v>778</v>
      </c>
      <c r="G2016" s="58" t="s">
        <v>5772</v>
      </c>
      <c r="H2016" s="58" t="s">
        <v>1483</v>
      </c>
      <c r="I2016" s="64" t="s">
        <v>5773</v>
      </c>
      <c r="J2016" s="66"/>
      <c r="K2016" s="66"/>
      <c r="L2016" s="68"/>
      <c r="M2016" s="63" t="str">
        <f>HYPERLINK("http://nsgreg.nga.mil/genc/view?v=869848&amp;end_month=12&amp;end_day=31&amp;end_year=2016","Correlation")</f>
        <v>Correlation</v>
      </c>
    </row>
    <row r="2017" spans="1:13" x14ac:dyDescent="0.2">
      <c r="A2017" s="113"/>
      <c r="B2017" s="58" t="s">
        <v>5775</v>
      </c>
      <c r="C2017" s="58" t="s">
        <v>1483</v>
      </c>
      <c r="D2017" s="58" t="s">
        <v>5776</v>
      </c>
      <c r="E2017" s="60" t="b">
        <v>1</v>
      </c>
      <c r="F2017" s="80" t="s">
        <v>778</v>
      </c>
      <c r="G2017" s="58" t="s">
        <v>5775</v>
      </c>
      <c r="H2017" s="58" t="s">
        <v>1483</v>
      </c>
      <c r="I2017" s="64" t="s">
        <v>5776</v>
      </c>
      <c r="J2017" s="66"/>
      <c r="K2017" s="66"/>
      <c r="L2017" s="68"/>
      <c r="M2017" s="63" t="str">
        <f>HYPERLINK("http://nsgreg.nga.mil/genc/view?v=869849&amp;end_month=12&amp;end_day=31&amp;end_year=2016","Correlation")</f>
        <v>Correlation</v>
      </c>
    </row>
    <row r="2018" spans="1:13" x14ac:dyDescent="0.2">
      <c r="A2018" s="113"/>
      <c r="B2018" s="58" t="s">
        <v>5777</v>
      </c>
      <c r="C2018" s="58" t="s">
        <v>1483</v>
      </c>
      <c r="D2018" s="58" t="s">
        <v>5778</v>
      </c>
      <c r="E2018" s="60" t="b">
        <v>1</v>
      </c>
      <c r="F2018" s="80" t="s">
        <v>778</v>
      </c>
      <c r="G2018" s="58" t="s">
        <v>5777</v>
      </c>
      <c r="H2018" s="58" t="s">
        <v>1483</v>
      </c>
      <c r="I2018" s="64" t="s">
        <v>5778</v>
      </c>
      <c r="J2018" s="66"/>
      <c r="K2018" s="66"/>
      <c r="L2018" s="68"/>
      <c r="M2018" s="63" t="str">
        <f>HYPERLINK("http://nsgreg.nga.mil/genc/view?v=869850&amp;end_month=12&amp;end_day=31&amp;end_year=2016","Correlation")</f>
        <v>Correlation</v>
      </c>
    </row>
    <row r="2019" spans="1:13" x14ac:dyDescent="0.2">
      <c r="A2019" s="113"/>
      <c r="B2019" s="58" t="s">
        <v>5779</v>
      </c>
      <c r="C2019" s="58" t="s">
        <v>1483</v>
      </c>
      <c r="D2019" s="58" t="s">
        <v>5780</v>
      </c>
      <c r="E2019" s="60" t="b">
        <v>1</v>
      </c>
      <c r="F2019" s="80" t="s">
        <v>778</v>
      </c>
      <c r="G2019" s="58" t="s">
        <v>5779</v>
      </c>
      <c r="H2019" s="58" t="s">
        <v>1483</v>
      </c>
      <c r="I2019" s="64" t="s">
        <v>5780</v>
      </c>
      <c r="J2019" s="66"/>
      <c r="K2019" s="66"/>
      <c r="L2019" s="68"/>
      <c r="M2019" s="63" t="str">
        <f>HYPERLINK("http://nsgreg.nga.mil/genc/view?v=869851&amp;end_month=12&amp;end_day=31&amp;end_year=2016","Correlation")</f>
        <v>Correlation</v>
      </c>
    </row>
    <row r="2020" spans="1:13" x14ac:dyDescent="0.2">
      <c r="A2020" s="113"/>
      <c r="B2020" s="58" t="s">
        <v>5781</v>
      </c>
      <c r="C2020" s="58" t="s">
        <v>1483</v>
      </c>
      <c r="D2020" s="58" t="s">
        <v>5782</v>
      </c>
      <c r="E2020" s="60" t="b">
        <v>1</v>
      </c>
      <c r="F2020" s="80" t="s">
        <v>778</v>
      </c>
      <c r="G2020" s="58" t="s">
        <v>5781</v>
      </c>
      <c r="H2020" s="58" t="s">
        <v>1483</v>
      </c>
      <c r="I2020" s="64" t="s">
        <v>5782</v>
      </c>
      <c r="J2020" s="66"/>
      <c r="K2020" s="66"/>
      <c r="L2020" s="68"/>
      <c r="M2020" s="63" t="str">
        <f>HYPERLINK("http://nsgreg.nga.mil/genc/view?v=869852&amp;end_month=12&amp;end_day=31&amp;end_year=2016","Correlation")</f>
        <v>Correlation</v>
      </c>
    </row>
    <row r="2021" spans="1:13" x14ac:dyDescent="0.2">
      <c r="A2021" s="113"/>
      <c r="B2021" s="58" t="s">
        <v>5783</v>
      </c>
      <c r="C2021" s="58" t="s">
        <v>1483</v>
      </c>
      <c r="D2021" s="58" t="s">
        <v>5784</v>
      </c>
      <c r="E2021" s="60" t="b">
        <v>1</v>
      </c>
      <c r="F2021" s="80" t="s">
        <v>778</v>
      </c>
      <c r="G2021" s="58" t="s">
        <v>5783</v>
      </c>
      <c r="H2021" s="58" t="s">
        <v>1483</v>
      </c>
      <c r="I2021" s="64" t="s">
        <v>5784</v>
      </c>
      <c r="J2021" s="66"/>
      <c r="K2021" s="66"/>
      <c r="L2021" s="68"/>
      <c r="M2021" s="63" t="str">
        <f>HYPERLINK("http://nsgreg.nga.mil/genc/view?v=869853&amp;end_month=12&amp;end_day=31&amp;end_year=2016","Correlation")</f>
        <v>Correlation</v>
      </c>
    </row>
    <row r="2022" spans="1:13" x14ac:dyDescent="0.2">
      <c r="A2022" s="114"/>
      <c r="B2022" s="71" t="s">
        <v>5785</v>
      </c>
      <c r="C2022" s="71" t="s">
        <v>1483</v>
      </c>
      <c r="D2022" s="71" t="s">
        <v>5786</v>
      </c>
      <c r="E2022" s="73" t="b">
        <v>1</v>
      </c>
      <c r="F2022" s="81" t="s">
        <v>778</v>
      </c>
      <c r="G2022" s="71" t="s">
        <v>5785</v>
      </c>
      <c r="H2022" s="71" t="s">
        <v>1483</v>
      </c>
      <c r="I2022" s="74" t="s">
        <v>5786</v>
      </c>
      <c r="J2022" s="76"/>
      <c r="K2022" s="76"/>
      <c r="L2022" s="82"/>
      <c r="M2022" s="77" t="str">
        <f>HYPERLINK("http://nsgreg.nga.mil/genc/view?v=869854&amp;end_month=12&amp;end_day=31&amp;end_year=2016","Correlation")</f>
        <v>Correlation</v>
      </c>
    </row>
    <row r="2023" spans="1:13" x14ac:dyDescent="0.2">
      <c r="A2023" s="112" t="s">
        <v>788</v>
      </c>
      <c r="B2023" s="50" t="s">
        <v>12348</v>
      </c>
      <c r="C2023" s="50" t="s">
        <v>12349</v>
      </c>
      <c r="D2023" s="50" t="s">
        <v>12350</v>
      </c>
      <c r="E2023" s="52" t="b">
        <v>1</v>
      </c>
      <c r="F2023" s="83" t="s">
        <v>167</v>
      </c>
      <c r="G2023" s="83"/>
      <c r="H2023" s="83"/>
      <c r="I2023" s="83"/>
      <c r="J2023" s="83"/>
      <c r="K2023" s="83"/>
      <c r="L2023" s="84"/>
      <c r="M2023" s="56" t="str">
        <f>HYPERLINK("http://nsgreg.nga.mil/genc/view?v=869889&amp;end_month=12&amp;end_day=31&amp;end_year=2016","Correlation")</f>
        <v>Correlation</v>
      </c>
    </row>
    <row r="2024" spans="1:13" x14ac:dyDescent="0.2">
      <c r="A2024" s="113"/>
      <c r="B2024" s="58" t="s">
        <v>12351</v>
      </c>
      <c r="C2024" s="58" t="s">
        <v>12349</v>
      </c>
      <c r="D2024" s="58" t="s">
        <v>12352</v>
      </c>
      <c r="E2024" s="60" t="b">
        <v>1</v>
      </c>
      <c r="F2024" s="61" t="s">
        <v>167</v>
      </c>
      <c r="G2024" s="61"/>
      <c r="H2024" s="61"/>
      <c r="I2024" s="61"/>
      <c r="J2024" s="61"/>
      <c r="K2024" s="61"/>
      <c r="L2024" s="62"/>
      <c r="M2024" s="63" t="str">
        <f>HYPERLINK("http://nsgreg.nga.mil/genc/view?v=869890&amp;end_month=12&amp;end_day=31&amp;end_year=2016","Correlation")</f>
        <v>Correlation</v>
      </c>
    </row>
    <row r="2025" spans="1:13" x14ac:dyDescent="0.2">
      <c r="A2025" s="114"/>
      <c r="B2025" s="71" t="s">
        <v>12353</v>
      </c>
      <c r="C2025" s="71" t="s">
        <v>12349</v>
      </c>
      <c r="D2025" s="71" t="s">
        <v>12354</v>
      </c>
      <c r="E2025" s="73" t="b">
        <v>1</v>
      </c>
      <c r="F2025" s="85" t="s">
        <v>167</v>
      </c>
      <c r="G2025" s="85"/>
      <c r="H2025" s="85"/>
      <c r="I2025" s="85"/>
      <c r="J2025" s="85"/>
      <c r="K2025" s="85"/>
      <c r="L2025" s="86"/>
      <c r="M2025" s="77" t="str">
        <f>HYPERLINK("http://nsgreg.nga.mil/genc/view?v=869891&amp;end_month=12&amp;end_day=31&amp;end_year=2016","Correlation")</f>
        <v>Correlation</v>
      </c>
    </row>
    <row r="2026" spans="1:13" x14ac:dyDescent="0.2">
      <c r="A2026" s="112" t="s">
        <v>796</v>
      </c>
      <c r="B2026" s="50" t="s">
        <v>5789</v>
      </c>
      <c r="C2026" s="50" t="s">
        <v>1413</v>
      </c>
      <c r="D2026" s="50" t="s">
        <v>5788</v>
      </c>
      <c r="E2026" s="52" t="b">
        <v>1</v>
      </c>
      <c r="F2026" s="78" t="s">
        <v>792</v>
      </c>
      <c r="G2026" s="50" t="s">
        <v>5787</v>
      </c>
      <c r="H2026" s="50" t="s">
        <v>1413</v>
      </c>
      <c r="I2026" s="53" t="s">
        <v>5788</v>
      </c>
      <c r="J2026" s="55"/>
      <c r="K2026" s="55"/>
      <c r="L2026" s="79"/>
      <c r="M2026" s="56" t="str">
        <f>HYPERLINK("http://nsgreg.nga.mil/genc/view?v=869914&amp;end_month=12&amp;end_day=31&amp;end_year=2016","Correlation")</f>
        <v>Correlation</v>
      </c>
    </row>
    <row r="2027" spans="1:13" x14ac:dyDescent="0.2">
      <c r="A2027" s="113"/>
      <c r="B2027" s="58" t="s">
        <v>5792</v>
      </c>
      <c r="C2027" s="58" t="s">
        <v>1413</v>
      </c>
      <c r="D2027" s="58" t="s">
        <v>5791</v>
      </c>
      <c r="E2027" s="60" t="b">
        <v>1</v>
      </c>
      <c r="F2027" s="80" t="s">
        <v>792</v>
      </c>
      <c r="G2027" s="58" t="s">
        <v>5790</v>
      </c>
      <c r="H2027" s="58" t="s">
        <v>1413</v>
      </c>
      <c r="I2027" s="64" t="s">
        <v>5791</v>
      </c>
      <c r="J2027" s="66"/>
      <c r="K2027" s="66"/>
      <c r="L2027" s="68"/>
      <c r="M2027" s="63" t="str">
        <f>HYPERLINK("http://nsgreg.nga.mil/genc/view?v=869919&amp;end_month=12&amp;end_day=31&amp;end_year=2016","Correlation")</f>
        <v>Correlation</v>
      </c>
    </row>
    <row r="2028" spans="1:13" x14ac:dyDescent="0.2">
      <c r="A2028" s="113"/>
      <c r="B2028" s="58" t="s">
        <v>5795</v>
      </c>
      <c r="C2028" s="58" t="s">
        <v>1413</v>
      </c>
      <c r="D2028" s="58" t="s">
        <v>5794</v>
      </c>
      <c r="E2028" s="60" t="b">
        <v>1</v>
      </c>
      <c r="F2028" s="80" t="s">
        <v>792</v>
      </c>
      <c r="G2028" s="58" t="s">
        <v>5793</v>
      </c>
      <c r="H2028" s="58" t="s">
        <v>1413</v>
      </c>
      <c r="I2028" s="64" t="s">
        <v>5794</v>
      </c>
      <c r="J2028" s="66"/>
      <c r="K2028" s="66"/>
      <c r="L2028" s="68"/>
      <c r="M2028" s="63" t="str">
        <f>HYPERLINK("http://nsgreg.nga.mil/genc/view?v=869918&amp;end_month=12&amp;end_day=31&amp;end_year=2016","Correlation")</f>
        <v>Correlation</v>
      </c>
    </row>
    <row r="2029" spans="1:13" x14ac:dyDescent="0.2">
      <c r="A2029" s="113"/>
      <c r="B2029" s="58" t="s">
        <v>5798</v>
      </c>
      <c r="C2029" s="58" t="s">
        <v>1413</v>
      </c>
      <c r="D2029" s="58" t="s">
        <v>5797</v>
      </c>
      <c r="E2029" s="60" t="b">
        <v>1</v>
      </c>
      <c r="F2029" s="80" t="s">
        <v>792</v>
      </c>
      <c r="G2029" s="58" t="s">
        <v>5796</v>
      </c>
      <c r="H2029" s="58" t="s">
        <v>1413</v>
      </c>
      <c r="I2029" s="64" t="s">
        <v>5797</v>
      </c>
      <c r="J2029" s="66"/>
      <c r="K2029" s="66"/>
      <c r="L2029" s="68"/>
      <c r="M2029" s="63" t="str">
        <f>HYPERLINK("http://nsgreg.nga.mil/genc/view?v=869916&amp;end_month=12&amp;end_day=31&amp;end_year=2016","Correlation")</f>
        <v>Correlation</v>
      </c>
    </row>
    <row r="2030" spans="1:13" x14ac:dyDescent="0.2">
      <c r="A2030" s="113"/>
      <c r="B2030" s="58" t="s">
        <v>5801</v>
      </c>
      <c r="C2030" s="58" t="s">
        <v>1413</v>
      </c>
      <c r="D2030" s="58" t="s">
        <v>5800</v>
      </c>
      <c r="E2030" s="60" t="b">
        <v>1</v>
      </c>
      <c r="F2030" s="80" t="s">
        <v>792</v>
      </c>
      <c r="G2030" s="58" t="s">
        <v>5799</v>
      </c>
      <c r="H2030" s="58" t="s">
        <v>1413</v>
      </c>
      <c r="I2030" s="64" t="s">
        <v>5800</v>
      </c>
      <c r="J2030" s="66"/>
      <c r="K2030" s="66"/>
      <c r="L2030" s="68"/>
      <c r="M2030" s="63" t="str">
        <f>HYPERLINK("http://nsgreg.nga.mil/genc/view?v=869915&amp;end_month=12&amp;end_day=31&amp;end_year=2016","Correlation")</f>
        <v>Correlation</v>
      </c>
    </row>
    <row r="2031" spans="1:13" x14ac:dyDescent="0.2">
      <c r="A2031" s="113"/>
      <c r="B2031" s="58" t="s">
        <v>5804</v>
      </c>
      <c r="C2031" s="58" t="s">
        <v>1413</v>
      </c>
      <c r="D2031" s="58" t="s">
        <v>5803</v>
      </c>
      <c r="E2031" s="60" t="b">
        <v>1</v>
      </c>
      <c r="F2031" s="80" t="s">
        <v>792</v>
      </c>
      <c r="G2031" s="58" t="s">
        <v>5802</v>
      </c>
      <c r="H2031" s="58" t="s">
        <v>1413</v>
      </c>
      <c r="I2031" s="64" t="s">
        <v>5803</v>
      </c>
      <c r="J2031" s="66"/>
      <c r="K2031" s="66"/>
      <c r="L2031" s="68"/>
      <c r="M2031" s="63" t="str">
        <f>HYPERLINK("http://nsgreg.nga.mil/genc/view?v=869917&amp;end_month=12&amp;end_day=31&amp;end_year=2016","Correlation")</f>
        <v>Correlation</v>
      </c>
    </row>
    <row r="2032" spans="1:13" x14ac:dyDescent="0.2">
      <c r="A2032" s="113"/>
      <c r="B2032" s="58" t="s">
        <v>5817</v>
      </c>
      <c r="C2032" s="58" t="s">
        <v>5818</v>
      </c>
      <c r="D2032" s="58" t="s">
        <v>5816</v>
      </c>
      <c r="E2032" s="60" t="b">
        <v>1</v>
      </c>
      <c r="F2032" s="80" t="s">
        <v>792</v>
      </c>
      <c r="G2032" s="58" t="s">
        <v>5815</v>
      </c>
      <c r="H2032" s="58" t="s">
        <v>1681</v>
      </c>
      <c r="I2032" s="64" t="s">
        <v>5816</v>
      </c>
      <c r="J2032" s="66"/>
      <c r="K2032" s="66"/>
      <c r="L2032" s="68"/>
      <c r="M2032" s="63" t="str">
        <f>HYPERLINK("http://nsgreg.nga.mil/genc/view?v=869921&amp;end_month=12&amp;end_day=31&amp;end_year=2016","Correlation")</f>
        <v>Correlation</v>
      </c>
    </row>
    <row r="2033" spans="1:13" x14ac:dyDescent="0.2">
      <c r="A2033" s="113"/>
      <c r="B2033" s="58" t="s">
        <v>5807</v>
      </c>
      <c r="C2033" s="58" t="s">
        <v>1413</v>
      </c>
      <c r="D2033" s="58" t="s">
        <v>5806</v>
      </c>
      <c r="E2033" s="60" t="b">
        <v>1</v>
      </c>
      <c r="F2033" s="80" t="s">
        <v>792</v>
      </c>
      <c r="G2033" s="58" t="s">
        <v>5805</v>
      </c>
      <c r="H2033" s="58" t="s">
        <v>1413</v>
      </c>
      <c r="I2033" s="64" t="s">
        <v>5806</v>
      </c>
      <c r="J2033" s="66"/>
      <c r="K2033" s="66"/>
      <c r="L2033" s="68"/>
      <c r="M2033" s="63" t="str">
        <f>HYPERLINK("http://nsgreg.nga.mil/genc/view?v=869913&amp;end_month=12&amp;end_day=31&amp;end_year=2016","Correlation")</f>
        <v>Correlation</v>
      </c>
    </row>
    <row r="2034" spans="1:13" x14ac:dyDescent="0.2">
      <c r="A2034" s="113"/>
      <c r="B2034" s="58" t="s">
        <v>5810</v>
      </c>
      <c r="C2034" s="58" t="s">
        <v>1413</v>
      </c>
      <c r="D2034" s="58" t="s">
        <v>5809</v>
      </c>
      <c r="E2034" s="60" t="b">
        <v>1</v>
      </c>
      <c r="F2034" s="80" t="s">
        <v>792</v>
      </c>
      <c r="G2034" s="58" t="s">
        <v>5808</v>
      </c>
      <c r="H2034" s="58" t="s">
        <v>1413</v>
      </c>
      <c r="I2034" s="64" t="s">
        <v>5809</v>
      </c>
      <c r="J2034" s="66"/>
      <c r="K2034" s="66"/>
      <c r="L2034" s="68"/>
      <c r="M2034" s="63" t="str">
        <f>HYPERLINK("http://nsgreg.nga.mil/genc/view?v=869912&amp;end_month=12&amp;end_day=31&amp;end_year=2016","Correlation")</f>
        <v>Correlation</v>
      </c>
    </row>
    <row r="2035" spans="1:13" x14ac:dyDescent="0.2">
      <c r="A2035" s="113"/>
      <c r="B2035" s="58" t="s">
        <v>5814</v>
      </c>
      <c r="C2035" s="58" t="s">
        <v>3577</v>
      </c>
      <c r="D2035" s="58" t="s">
        <v>5813</v>
      </c>
      <c r="E2035" s="60" t="b">
        <v>1</v>
      </c>
      <c r="F2035" s="80" t="s">
        <v>792</v>
      </c>
      <c r="G2035" s="58" t="s">
        <v>5811</v>
      </c>
      <c r="H2035" s="58" t="s">
        <v>5812</v>
      </c>
      <c r="I2035" s="64" t="s">
        <v>5813</v>
      </c>
      <c r="J2035" s="66"/>
      <c r="K2035" s="66"/>
      <c r="L2035" s="68"/>
      <c r="M2035" s="63" t="str">
        <f>HYPERLINK("http://nsgreg.nga.mil/genc/view?v=869911&amp;end_month=12&amp;end_day=31&amp;end_year=2016","Correlation")</f>
        <v>Correlation</v>
      </c>
    </row>
    <row r="2036" spans="1:13" x14ac:dyDescent="0.2">
      <c r="A2036" s="114"/>
      <c r="B2036" s="71" t="s">
        <v>5821</v>
      </c>
      <c r="C2036" s="71" t="s">
        <v>1413</v>
      </c>
      <c r="D2036" s="71" t="s">
        <v>5820</v>
      </c>
      <c r="E2036" s="73" t="b">
        <v>1</v>
      </c>
      <c r="F2036" s="81" t="s">
        <v>792</v>
      </c>
      <c r="G2036" s="71" t="s">
        <v>5819</v>
      </c>
      <c r="H2036" s="71" t="s">
        <v>1413</v>
      </c>
      <c r="I2036" s="74" t="s">
        <v>5820</v>
      </c>
      <c r="J2036" s="76"/>
      <c r="K2036" s="76"/>
      <c r="L2036" s="82"/>
      <c r="M2036" s="77" t="str">
        <f>HYPERLINK("http://nsgreg.nga.mil/genc/view?v=869920&amp;end_month=12&amp;end_day=31&amp;end_year=2016","Correlation")</f>
        <v>Correlation</v>
      </c>
    </row>
    <row r="2037" spans="1:13" x14ac:dyDescent="0.2">
      <c r="A2037" s="112" t="s">
        <v>801</v>
      </c>
      <c r="B2037" s="50" t="s">
        <v>5825</v>
      </c>
      <c r="C2037" s="50" t="s">
        <v>5823</v>
      </c>
      <c r="D2037" s="50" t="s">
        <v>5824</v>
      </c>
      <c r="E2037" s="52" t="b">
        <v>1</v>
      </c>
      <c r="F2037" s="78" t="s">
        <v>797</v>
      </c>
      <c r="G2037" s="50" t="s">
        <v>5822</v>
      </c>
      <c r="H2037" s="50" t="s">
        <v>5823</v>
      </c>
      <c r="I2037" s="53" t="s">
        <v>5824</v>
      </c>
      <c r="J2037" s="55"/>
      <c r="K2037" s="55"/>
      <c r="L2037" s="79"/>
      <c r="M2037" s="56" t="str">
        <f>HYPERLINK("http://nsgreg.nga.mil/genc/view?v=869923&amp;end_month=12&amp;end_day=31&amp;end_year=2016","Correlation")</f>
        <v>Correlation</v>
      </c>
    </row>
    <row r="2038" spans="1:13" x14ac:dyDescent="0.2">
      <c r="A2038" s="113"/>
      <c r="B2038" s="58" t="s">
        <v>5828</v>
      </c>
      <c r="C2038" s="58" t="s">
        <v>1413</v>
      </c>
      <c r="D2038" s="58" t="s">
        <v>5827</v>
      </c>
      <c r="E2038" s="60" t="b">
        <v>1</v>
      </c>
      <c r="F2038" s="80" t="s">
        <v>797</v>
      </c>
      <c r="G2038" s="58" t="s">
        <v>5826</v>
      </c>
      <c r="H2038" s="58" t="s">
        <v>1413</v>
      </c>
      <c r="I2038" s="64" t="s">
        <v>5827</v>
      </c>
      <c r="J2038" s="66"/>
      <c r="K2038" s="66"/>
      <c r="L2038" s="68"/>
      <c r="M2038" s="63" t="str">
        <f>HYPERLINK("http://nsgreg.nga.mil/genc/view?v=869931&amp;end_month=12&amp;end_day=31&amp;end_year=2016","Correlation")</f>
        <v>Correlation</v>
      </c>
    </row>
    <row r="2039" spans="1:13" x14ac:dyDescent="0.2">
      <c r="A2039" s="113"/>
      <c r="B2039" s="58" t="s">
        <v>5831</v>
      </c>
      <c r="C2039" s="58" t="s">
        <v>1413</v>
      </c>
      <c r="D2039" s="58" t="s">
        <v>5830</v>
      </c>
      <c r="E2039" s="60" t="b">
        <v>1</v>
      </c>
      <c r="F2039" s="80" t="s">
        <v>797</v>
      </c>
      <c r="G2039" s="58" t="s">
        <v>5829</v>
      </c>
      <c r="H2039" s="58" t="s">
        <v>1413</v>
      </c>
      <c r="I2039" s="64" t="s">
        <v>5830</v>
      </c>
      <c r="J2039" s="66"/>
      <c r="K2039" s="66"/>
      <c r="L2039" s="68"/>
      <c r="M2039" s="63" t="str">
        <f>HYPERLINK("http://nsgreg.nga.mil/genc/view?v=869932&amp;end_month=12&amp;end_day=31&amp;end_year=2016","Correlation")</f>
        <v>Correlation</v>
      </c>
    </row>
    <row r="2040" spans="1:13" x14ac:dyDescent="0.2">
      <c r="A2040" s="113"/>
      <c r="B2040" s="58" t="s">
        <v>5834</v>
      </c>
      <c r="C2040" s="58" t="s">
        <v>5823</v>
      </c>
      <c r="D2040" s="58" t="s">
        <v>5833</v>
      </c>
      <c r="E2040" s="60" t="b">
        <v>1</v>
      </c>
      <c r="F2040" s="80" t="s">
        <v>797</v>
      </c>
      <c r="G2040" s="58" t="s">
        <v>5832</v>
      </c>
      <c r="H2040" s="58" t="s">
        <v>5823</v>
      </c>
      <c r="I2040" s="64" t="s">
        <v>5833</v>
      </c>
      <c r="J2040" s="66"/>
      <c r="K2040" s="66"/>
      <c r="L2040" s="68"/>
      <c r="M2040" s="63" t="str">
        <f>HYPERLINK("http://nsgreg.nga.mil/genc/view?v=869924&amp;end_month=12&amp;end_day=31&amp;end_year=2016","Correlation")</f>
        <v>Correlation</v>
      </c>
    </row>
    <row r="2041" spans="1:13" x14ac:dyDescent="0.2">
      <c r="A2041" s="113"/>
      <c r="B2041" s="58" t="s">
        <v>5837</v>
      </c>
      <c r="C2041" s="58" t="s">
        <v>5823</v>
      </c>
      <c r="D2041" s="58" t="s">
        <v>5836</v>
      </c>
      <c r="E2041" s="60" t="b">
        <v>1</v>
      </c>
      <c r="F2041" s="80" t="s">
        <v>797</v>
      </c>
      <c r="G2041" s="58" t="s">
        <v>5835</v>
      </c>
      <c r="H2041" s="58" t="s">
        <v>5823</v>
      </c>
      <c r="I2041" s="64" t="s">
        <v>5836</v>
      </c>
      <c r="J2041" s="66"/>
      <c r="K2041" s="66"/>
      <c r="L2041" s="68"/>
      <c r="M2041" s="63" t="str">
        <f>HYPERLINK("http://nsgreg.nga.mil/genc/view?v=869927&amp;end_month=12&amp;end_day=31&amp;end_year=2016","Correlation")</f>
        <v>Correlation</v>
      </c>
    </row>
    <row r="2042" spans="1:13" x14ac:dyDescent="0.2">
      <c r="A2042" s="113"/>
      <c r="B2042" s="58" t="s">
        <v>5840</v>
      </c>
      <c r="C2042" s="58" t="s">
        <v>1413</v>
      </c>
      <c r="D2042" s="58" t="s">
        <v>5839</v>
      </c>
      <c r="E2042" s="60" t="b">
        <v>1</v>
      </c>
      <c r="F2042" s="80" t="s">
        <v>797</v>
      </c>
      <c r="G2042" s="58" t="s">
        <v>5838</v>
      </c>
      <c r="H2042" s="58" t="s">
        <v>1413</v>
      </c>
      <c r="I2042" s="64" t="s">
        <v>5839</v>
      </c>
      <c r="J2042" s="66"/>
      <c r="K2042" s="66"/>
      <c r="L2042" s="68"/>
      <c r="M2042" s="63" t="str">
        <f>HYPERLINK("http://nsgreg.nga.mil/genc/view?v=869930&amp;end_month=12&amp;end_day=31&amp;end_year=2016","Correlation")</f>
        <v>Correlation</v>
      </c>
    </row>
    <row r="2043" spans="1:13" x14ac:dyDescent="0.2">
      <c r="A2043" s="113"/>
      <c r="B2043" s="58" t="s">
        <v>5843</v>
      </c>
      <c r="C2043" s="58" t="s">
        <v>5823</v>
      </c>
      <c r="D2043" s="58" t="s">
        <v>5842</v>
      </c>
      <c r="E2043" s="60" t="b">
        <v>1</v>
      </c>
      <c r="F2043" s="80" t="s">
        <v>797</v>
      </c>
      <c r="G2043" s="58" t="s">
        <v>5841</v>
      </c>
      <c r="H2043" s="58" t="s">
        <v>5823</v>
      </c>
      <c r="I2043" s="64" t="s">
        <v>5842</v>
      </c>
      <c r="J2043" s="66"/>
      <c r="K2043" s="66"/>
      <c r="L2043" s="68"/>
      <c r="M2043" s="63" t="str">
        <f>HYPERLINK("http://nsgreg.nga.mil/genc/view?v=869926&amp;end_month=12&amp;end_day=31&amp;end_year=2016","Correlation")</f>
        <v>Correlation</v>
      </c>
    </row>
    <row r="2044" spans="1:13" x14ac:dyDescent="0.2">
      <c r="A2044" s="113"/>
      <c r="B2044" s="58" t="s">
        <v>5849</v>
      </c>
      <c r="C2044" s="58" t="s">
        <v>1413</v>
      </c>
      <c r="D2044" s="58" t="s">
        <v>5848</v>
      </c>
      <c r="E2044" s="60" t="b">
        <v>1</v>
      </c>
      <c r="F2044" s="80" t="s">
        <v>797</v>
      </c>
      <c r="G2044" s="58" t="s">
        <v>5847</v>
      </c>
      <c r="H2044" s="58" t="s">
        <v>1413</v>
      </c>
      <c r="I2044" s="64" t="s">
        <v>5848</v>
      </c>
      <c r="J2044" s="66"/>
      <c r="K2044" s="66"/>
      <c r="L2044" s="68"/>
      <c r="M2044" s="63" t="str">
        <f>HYPERLINK("http://nsgreg.nga.mil/genc/view?v=869929&amp;end_month=12&amp;end_day=31&amp;end_year=2016","Correlation")</f>
        <v>Correlation</v>
      </c>
    </row>
    <row r="2045" spans="1:13" x14ac:dyDescent="0.2">
      <c r="A2045" s="113"/>
      <c r="B2045" s="58" t="s">
        <v>5846</v>
      </c>
      <c r="C2045" s="58" t="s">
        <v>1413</v>
      </c>
      <c r="D2045" s="58" t="s">
        <v>5845</v>
      </c>
      <c r="E2045" s="60" t="b">
        <v>1</v>
      </c>
      <c r="F2045" s="80" t="s">
        <v>797</v>
      </c>
      <c r="G2045" s="58" t="s">
        <v>5844</v>
      </c>
      <c r="H2045" s="58" t="s">
        <v>1413</v>
      </c>
      <c r="I2045" s="64" t="s">
        <v>5845</v>
      </c>
      <c r="J2045" s="66"/>
      <c r="K2045" s="66"/>
      <c r="L2045" s="68"/>
      <c r="M2045" s="63" t="str">
        <f>HYPERLINK("http://nsgreg.nga.mil/genc/view?v=869935&amp;end_month=12&amp;end_day=31&amp;end_year=2016","Correlation")</f>
        <v>Correlation</v>
      </c>
    </row>
    <row r="2046" spans="1:13" x14ac:dyDescent="0.2">
      <c r="A2046" s="113"/>
      <c r="B2046" s="58" t="s">
        <v>5852</v>
      </c>
      <c r="C2046" s="58" t="s">
        <v>1413</v>
      </c>
      <c r="D2046" s="58" t="s">
        <v>5851</v>
      </c>
      <c r="E2046" s="60" t="b">
        <v>1</v>
      </c>
      <c r="F2046" s="80" t="s">
        <v>797</v>
      </c>
      <c r="G2046" s="58" t="s">
        <v>5850</v>
      </c>
      <c r="H2046" s="58" t="s">
        <v>1413</v>
      </c>
      <c r="I2046" s="64" t="s">
        <v>5851</v>
      </c>
      <c r="J2046" s="66"/>
      <c r="K2046" s="66"/>
      <c r="L2046" s="68"/>
      <c r="M2046" s="63" t="str">
        <f>HYPERLINK("http://nsgreg.nga.mil/genc/view?v=869936&amp;end_month=12&amp;end_day=31&amp;end_year=2016","Correlation")</f>
        <v>Correlation</v>
      </c>
    </row>
    <row r="2047" spans="1:13" x14ac:dyDescent="0.2">
      <c r="A2047" s="113"/>
      <c r="B2047" s="58" t="s">
        <v>5855</v>
      </c>
      <c r="C2047" s="58" t="s">
        <v>5823</v>
      </c>
      <c r="D2047" s="58" t="s">
        <v>5854</v>
      </c>
      <c r="E2047" s="60" t="b">
        <v>1</v>
      </c>
      <c r="F2047" s="80" t="s">
        <v>797</v>
      </c>
      <c r="G2047" s="58" t="s">
        <v>5853</v>
      </c>
      <c r="H2047" s="58" t="s">
        <v>5823</v>
      </c>
      <c r="I2047" s="64" t="s">
        <v>5854</v>
      </c>
      <c r="J2047" s="66"/>
      <c r="K2047" s="66"/>
      <c r="L2047" s="68"/>
      <c r="M2047" s="63" t="str">
        <f>HYPERLINK("http://nsgreg.nga.mil/genc/view?v=869925&amp;end_month=12&amp;end_day=31&amp;end_year=2016","Correlation")</f>
        <v>Correlation</v>
      </c>
    </row>
    <row r="2048" spans="1:13" x14ac:dyDescent="0.2">
      <c r="A2048" s="113"/>
      <c r="B2048" s="58" t="s">
        <v>5858</v>
      </c>
      <c r="C2048" s="58" t="s">
        <v>5859</v>
      </c>
      <c r="D2048" s="58" t="s">
        <v>5857</v>
      </c>
      <c r="E2048" s="60" t="b">
        <v>1</v>
      </c>
      <c r="F2048" s="80" t="s">
        <v>797</v>
      </c>
      <c r="G2048" s="58" t="s">
        <v>5856</v>
      </c>
      <c r="H2048" s="58" t="s">
        <v>1413</v>
      </c>
      <c r="I2048" s="64" t="s">
        <v>5857</v>
      </c>
      <c r="J2048" s="66"/>
      <c r="K2048" s="66"/>
      <c r="L2048" s="68"/>
      <c r="M2048" s="63" t="str">
        <f>HYPERLINK("http://nsgreg.nga.mil/genc/view?v=869937&amp;end_month=12&amp;end_day=31&amp;end_year=2016","Correlation")</f>
        <v>Correlation</v>
      </c>
    </row>
    <row r="2049" spans="1:13" x14ac:dyDescent="0.2">
      <c r="A2049" s="113"/>
      <c r="B2049" s="58" t="s">
        <v>5862</v>
      </c>
      <c r="C2049" s="58" t="s">
        <v>1413</v>
      </c>
      <c r="D2049" s="58" t="s">
        <v>5861</v>
      </c>
      <c r="E2049" s="60" t="b">
        <v>1</v>
      </c>
      <c r="F2049" s="80" t="s">
        <v>797</v>
      </c>
      <c r="G2049" s="58" t="s">
        <v>5860</v>
      </c>
      <c r="H2049" s="58" t="s">
        <v>1413</v>
      </c>
      <c r="I2049" s="64" t="s">
        <v>5861</v>
      </c>
      <c r="J2049" s="66"/>
      <c r="K2049" s="66"/>
      <c r="L2049" s="68"/>
      <c r="M2049" s="63" t="str">
        <f>HYPERLINK("http://nsgreg.nga.mil/genc/view?v=869933&amp;end_month=12&amp;end_day=31&amp;end_year=2016","Correlation")</f>
        <v>Correlation</v>
      </c>
    </row>
    <row r="2050" spans="1:13" x14ac:dyDescent="0.2">
      <c r="A2050" s="113"/>
      <c r="B2050" s="58" t="s">
        <v>5865</v>
      </c>
      <c r="C2050" s="58" t="s">
        <v>1413</v>
      </c>
      <c r="D2050" s="58" t="s">
        <v>5864</v>
      </c>
      <c r="E2050" s="60" t="b">
        <v>1</v>
      </c>
      <c r="F2050" s="80" t="s">
        <v>797</v>
      </c>
      <c r="G2050" s="58" t="s">
        <v>5863</v>
      </c>
      <c r="H2050" s="58" t="s">
        <v>1413</v>
      </c>
      <c r="I2050" s="64" t="s">
        <v>5864</v>
      </c>
      <c r="J2050" s="66"/>
      <c r="K2050" s="66"/>
      <c r="L2050" s="68"/>
      <c r="M2050" s="63" t="str">
        <f>HYPERLINK("http://nsgreg.nga.mil/genc/view?v=869934&amp;end_month=12&amp;end_day=31&amp;end_year=2016","Correlation")</f>
        <v>Correlation</v>
      </c>
    </row>
    <row r="2051" spans="1:13" x14ac:dyDescent="0.2">
      <c r="A2051" s="113"/>
      <c r="B2051" s="58" t="s">
        <v>5866</v>
      </c>
      <c r="C2051" s="58" t="s">
        <v>5867</v>
      </c>
      <c r="D2051" s="58" t="s">
        <v>5868</v>
      </c>
      <c r="E2051" s="60" t="b">
        <v>1</v>
      </c>
      <c r="F2051" s="80" t="s">
        <v>797</v>
      </c>
      <c r="G2051" s="58" t="s">
        <v>5866</v>
      </c>
      <c r="H2051" s="58" t="s">
        <v>5867</v>
      </c>
      <c r="I2051" s="64" t="s">
        <v>5868</v>
      </c>
      <c r="J2051" s="66"/>
      <c r="K2051" s="66"/>
      <c r="L2051" s="68"/>
      <c r="M2051" s="63" t="str">
        <f>HYPERLINK("http://nsgreg.nga.mil/genc/view?v=869938&amp;end_month=12&amp;end_day=31&amp;end_year=2016","Correlation")</f>
        <v>Correlation</v>
      </c>
    </row>
    <row r="2052" spans="1:13" x14ac:dyDescent="0.2">
      <c r="A2052" s="113"/>
      <c r="B2052" s="58" t="s">
        <v>5871</v>
      </c>
      <c r="C2052" s="58" t="s">
        <v>5818</v>
      </c>
      <c r="D2052" s="58" t="s">
        <v>5870</v>
      </c>
      <c r="E2052" s="60" t="b">
        <v>1</v>
      </c>
      <c r="F2052" s="80" t="s">
        <v>797</v>
      </c>
      <c r="G2052" s="58" t="s">
        <v>5869</v>
      </c>
      <c r="H2052" s="58" t="s">
        <v>3577</v>
      </c>
      <c r="I2052" s="64" t="s">
        <v>5870</v>
      </c>
      <c r="J2052" s="66"/>
      <c r="K2052" s="66"/>
      <c r="L2052" s="68"/>
      <c r="M2052" s="63" t="str">
        <f>HYPERLINK("http://nsgreg.nga.mil/genc/view?v=869922&amp;end_month=12&amp;end_day=31&amp;end_year=2016","Correlation")</f>
        <v>Correlation</v>
      </c>
    </row>
    <row r="2053" spans="1:13" x14ac:dyDescent="0.2">
      <c r="A2053" s="114"/>
      <c r="B2053" s="71" t="s">
        <v>5874</v>
      </c>
      <c r="C2053" s="71" t="s">
        <v>5823</v>
      </c>
      <c r="D2053" s="71" t="s">
        <v>5873</v>
      </c>
      <c r="E2053" s="73" t="b">
        <v>1</v>
      </c>
      <c r="F2053" s="81" t="s">
        <v>797</v>
      </c>
      <c r="G2053" s="71" t="s">
        <v>5872</v>
      </c>
      <c r="H2053" s="71" t="s">
        <v>5823</v>
      </c>
      <c r="I2053" s="74" t="s">
        <v>5873</v>
      </c>
      <c r="J2053" s="76"/>
      <c r="K2053" s="76"/>
      <c r="L2053" s="82"/>
      <c r="M2053" s="77" t="str">
        <f>HYPERLINK("http://nsgreg.nga.mil/genc/view?v=869928&amp;end_month=12&amp;end_day=31&amp;end_year=2016","Correlation")</f>
        <v>Correlation</v>
      </c>
    </row>
    <row r="2054" spans="1:13" x14ac:dyDescent="0.2">
      <c r="A2054" s="112" t="s">
        <v>808</v>
      </c>
      <c r="B2054" s="50" t="s">
        <v>5951</v>
      </c>
      <c r="C2054" s="50" t="s">
        <v>2030</v>
      </c>
      <c r="D2054" s="50" t="s">
        <v>5952</v>
      </c>
      <c r="E2054" s="52" t="b">
        <v>1</v>
      </c>
      <c r="F2054" s="78" t="s">
        <v>808</v>
      </c>
      <c r="G2054" s="50" t="s">
        <v>5951</v>
      </c>
      <c r="H2054" s="50" t="s">
        <v>2030</v>
      </c>
      <c r="I2054" s="53" t="s">
        <v>5952</v>
      </c>
      <c r="J2054" s="55"/>
      <c r="K2054" s="55"/>
      <c r="L2054" s="79"/>
      <c r="M2054" s="56" t="str">
        <f>HYPERLINK("http://nsgreg.nga.mil/genc/view?v=869939&amp;end_month=12&amp;end_day=31&amp;end_year=2016","Correlation")</f>
        <v>Correlation</v>
      </c>
    </row>
    <row r="2055" spans="1:13" x14ac:dyDescent="0.2">
      <c r="A2055" s="113"/>
      <c r="B2055" s="58" t="s">
        <v>2029</v>
      </c>
      <c r="C2055" s="58" t="s">
        <v>2030</v>
      </c>
      <c r="D2055" s="58" t="s">
        <v>5953</v>
      </c>
      <c r="E2055" s="60" t="b">
        <v>1</v>
      </c>
      <c r="F2055" s="80" t="s">
        <v>808</v>
      </c>
      <c r="G2055" s="58" t="s">
        <v>2029</v>
      </c>
      <c r="H2055" s="58" t="s">
        <v>2030</v>
      </c>
      <c r="I2055" s="64" t="s">
        <v>5953</v>
      </c>
      <c r="J2055" s="66"/>
      <c r="K2055" s="66"/>
      <c r="L2055" s="68"/>
      <c r="M2055" s="63" t="str">
        <f>HYPERLINK("http://nsgreg.nga.mil/genc/view?v=869943&amp;end_month=12&amp;end_day=31&amp;end_year=2016","Correlation")</f>
        <v>Correlation</v>
      </c>
    </row>
    <row r="2056" spans="1:13" x14ac:dyDescent="0.2">
      <c r="A2056" s="113"/>
      <c r="B2056" s="58" t="s">
        <v>5954</v>
      </c>
      <c r="C2056" s="58" t="s">
        <v>2030</v>
      </c>
      <c r="D2056" s="58" t="s">
        <v>5955</v>
      </c>
      <c r="E2056" s="60" t="b">
        <v>1</v>
      </c>
      <c r="F2056" s="80" t="s">
        <v>808</v>
      </c>
      <c r="G2056" s="58" t="s">
        <v>5954</v>
      </c>
      <c r="H2056" s="58" t="s">
        <v>2030</v>
      </c>
      <c r="I2056" s="64" t="s">
        <v>5955</v>
      </c>
      <c r="J2056" s="66"/>
      <c r="K2056" s="66"/>
      <c r="L2056" s="68"/>
      <c r="M2056" s="63" t="str">
        <f>HYPERLINK("http://nsgreg.nga.mil/genc/view?v=869940&amp;end_month=12&amp;end_day=31&amp;end_year=2016","Correlation")</f>
        <v>Correlation</v>
      </c>
    </row>
    <row r="2057" spans="1:13" x14ac:dyDescent="0.2">
      <c r="A2057" s="113"/>
      <c r="B2057" s="58" t="s">
        <v>5956</v>
      </c>
      <c r="C2057" s="58" t="s">
        <v>2030</v>
      </c>
      <c r="D2057" s="58" t="s">
        <v>5957</v>
      </c>
      <c r="E2057" s="60" t="b">
        <v>1</v>
      </c>
      <c r="F2057" s="80" t="s">
        <v>808</v>
      </c>
      <c r="G2057" s="58" t="s">
        <v>5956</v>
      </c>
      <c r="H2057" s="58" t="s">
        <v>2030</v>
      </c>
      <c r="I2057" s="64" t="s">
        <v>5957</v>
      </c>
      <c r="J2057" s="66"/>
      <c r="K2057" s="66"/>
      <c r="L2057" s="68"/>
      <c r="M2057" s="63" t="str">
        <f>HYPERLINK("http://nsgreg.nga.mil/genc/view?v=869942&amp;end_month=12&amp;end_day=31&amp;end_year=2016","Correlation")</f>
        <v>Correlation</v>
      </c>
    </row>
    <row r="2058" spans="1:13" x14ac:dyDescent="0.2">
      <c r="A2058" s="113"/>
      <c r="B2058" s="58" t="s">
        <v>5958</v>
      </c>
      <c r="C2058" s="58" t="s">
        <v>2030</v>
      </c>
      <c r="D2058" s="58" t="s">
        <v>5959</v>
      </c>
      <c r="E2058" s="60" t="b">
        <v>1</v>
      </c>
      <c r="F2058" s="80" t="s">
        <v>808</v>
      </c>
      <c r="G2058" s="58" t="s">
        <v>5958</v>
      </c>
      <c r="H2058" s="58" t="s">
        <v>2030</v>
      </c>
      <c r="I2058" s="64" t="s">
        <v>5959</v>
      </c>
      <c r="J2058" s="66"/>
      <c r="K2058" s="66"/>
      <c r="L2058" s="68"/>
      <c r="M2058" s="63" t="str">
        <f>HYPERLINK("http://nsgreg.nga.mil/genc/view?v=869941&amp;end_month=12&amp;end_day=31&amp;end_year=2016","Correlation")</f>
        <v>Correlation</v>
      </c>
    </row>
    <row r="2059" spans="1:13" x14ac:dyDescent="0.2">
      <c r="A2059" s="114"/>
      <c r="B2059" s="71" t="s">
        <v>5960</v>
      </c>
      <c r="C2059" s="71" t="s">
        <v>2030</v>
      </c>
      <c r="D2059" s="71" t="s">
        <v>5961</v>
      </c>
      <c r="E2059" s="73" t="b">
        <v>1</v>
      </c>
      <c r="F2059" s="81" t="s">
        <v>808</v>
      </c>
      <c r="G2059" s="71" t="s">
        <v>5960</v>
      </c>
      <c r="H2059" s="71" t="s">
        <v>2030</v>
      </c>
      <c r="I2059" s="74" t="s">
        <v>5961</v>
      </c>
      <c r="J2059" s="76"/>
      <c r="K2059" s="76"/>
      <c r="L2059" s="82"/>
      <c r="M2059" s="77" t="str">
        <f>HYPERLINK("http://nsgreg.nga.mil/genc/view?v=869944&amp;end_month=12&amp;end_day=31&amp;end_year=2016","Correlation")</f>
        <v>Correlation</v>
      </c>
    </row>
    <row r="2060" spans="1:13" x14ac:dyDescent="0.2">
      <c r="A2060" s="112" t="s">
        <v>812</v>
      </c>
      <c r="B2060" s="50" t="s">
        <v>5962</v>
      </c>
      <c r="C2060" s="50" t="s">
        <v>1728</v>
      </c>
      <c r="D2060" s="50" t="s">
        <v>5963</v>
      </c>
      <c r="E2060" s="52" t="b">
        <v>1</v>
      </c>
      <c r="F2060" s="78" t="s">
        <v>812</v>
      </c>
      <c r="G2060" s="50" t="s">
        <v>5962</v>
      </c>
      <c r="H2060" s="50" t="s">
        <v>1413</v>
      </c>
      <c r="I2060" s="53" t="s">
        <v>5963</v>
      </c>
      <c r="J2060" s="55"/>
      <c r="K2060" s="55"/>
      <c r="L2060" s="79"/>
      <c r="M2060" s="56" t="str">
        <f>HYPERLINK("http://nsgreg.nga.mil/genc/view?v=869855&amp;end_month=12&amp;end_day=31&amp;end_year=2016","Correlation")</f>
        <v>Correlation</v>
      </c>
    </row>
    <row r="2061" spans="1:13" x14ac:dyDescent="0.2">
      <c r="A2061" s="113"/>
      <c r="B2061" s="58" t="s">
        <v>5964</v>
      </c>
      <c r="C2061" s="58" t="s">
        <v>1681</v>
      </c>
      <c r="D2061" s="58" t="s">
        <v>5965</v>
      </c>
      <c r="E2061" s="60" t="b">
        <v>1</v>
      </c>
      <c r="F2061" s="80" t="s">
        <v>812</v>
      </c>
      <c r="G2061" s="58" t="s">
        <v>5964</v>
      </c>
      <c r="H2061" s="58" t="s">
        <v>1681</v>
      </c>
      <c r="I2061" s="64" t="s">
        <v>5965</v>
      </c>
      <c r="J2061" s="66"/>
      <c r="K2061" s="66"/>
      <c r="L2061" s="68"/>
      <c r="M2061" s="63" t="str">
        <f>HYPERLINK("http://nsgreg.nga.mil/genc/view?v=869857&amp;end_month=12&amp;end_day=31&amp;end_year=2016","Correlation")</f>
        <v>Correlation</v>
      </c>
    </row>
    <row r="2062" spans="1:13" x14ac:dyDescent="0.2">
      <c r="A2062" s="113"/>
      <c r="B2062" s="58" t="s">
        <v>5966</v>
      </c>
      <c r="C2062" s="58" t="s">
        <v>1728</v>
      </c>
      <c r="D2062" s="58" t="s">
        <v>5967</v>
      </c>
      <c r="E2062" s="60" t="b">
        <v>1</v>
      </c>
      <c r="F2062" s="80" t="s">
        <v>812</v>
      </c>
      <c r="G2062" s="58" t="s">
        <v>5966</v>
      </c>
      <c r="H2062" s="58" t="s">
        <v>1413</v>
      </c>
      <c r="I2062" s="64" t="s">
        <v>5967</v>
      </c>
      <c r="J2062" s="66"/>
      <c r="K2062" s="66"/>
      <c r="L2062" s="68"/>
      <c r="M2062" s="63" t="str">
        <f>HYPERLINK("http://nsgreg.nga.mil/genc/view?v=869856&amp;end_month=12&amp;end_day=31&amp;end_year=2016","Correlation")</f>
        <v>Correlation</v>
      </c>
    </row>
    <row r="2063" spans="1:13" x14ac:dyDescent="0.2">
      <c r="A2063" s="113"/>
      <c r="B2063" s="58" t="s">
        <v>5968</v>
      </c>
      <c r="C2063" s="58" t="s">
        <v>1728</v>
      </c>
      <c r="D2063" s="58" t="s">
        <v>5969</v>
      </c>
      <c r="E2063" s="60" t="b">
        <v>1</v>
      </c>
      <c r="F2063" s="80" t="s">
        <v>812</v>
      </c>
      <c r="G2063" s="58" t="s">
        <v>5968</v>
      </c>
      <c r="H2063" s="58" t="s">
        <v>1413</v>
      </c>
      <c r="I2063" s="64" t="s">
        <v>5969</v>
      </c>
      <c r="J2063" s="66"/>
      <c r="K2063" s="66"/>
      <c r="L2063" s="68"/>
      <c r="M2063" s="63" t="str">
        <f>HYPERLINK("http://nsgreg.nga.mil/genc/view?v=869859&amp;end_month=12&amp;end_day=31&amp;end_year=2016","Correlation")</f>
        <v>Correlation</v>
      </c>
    </row>
    <row r="2064" spans="1:13" x14ac:dyDescent="0.2">
      <c r="A2064" s="113"/>
      <c r="B2064" s="58" t="s">
        <v>5970</v>
      </c>
      <c r="C2064" s="58" t="s">
        <v>1728</v>
      </c>
      <c r="D2064" s="58" t="s">
        <v>5971</v>
      </c>
      <c r="E2064" s="60" t="b">
        <v>1</v>
      </c>
      <c r="F2064" s="80" t="s">
        <v>812</v>
      </c>
      <c r="G2064" s="58" t="s">
        <v>5970</v>
      </c>
      <c r="H2064" s="58" t="s">
        <v>1413</v>
      </c>
      <c r="I2064" s="64" t="s">
        <v>5971</v>
      </c>
      <c r="J2064" s="66"/>
      <c r="K2064" s="66"/>
      <c r="L2064" s="68"/>
      <c r="M2064" s="63" t="str">
        <f>HYPERLINK("http://nsgreg.nga.mil/genc/view?v=869860&amp;end_month=12&amp;end_day=31&amp;end_year=2016","Correlation")</f>
        <v>Correlation</v>
      </c>
    </row>
    <row r="2065" spans="1:13" x14ac:dyDescent="0.2">
      <c r="A2065" s="113"/>
      <c r="B2065" s="58" t="s">
        <v>5972</v>
      </c>
      <c r="C2065" s="58" t="s">
        <v>1681</v>
      </c>
      <c r="D2065" s="58" t="s">
        <v>5973</v>
      </c>
      <c r="E2065" s="60" t="b">
        <v>1</v>
      </c>
      <c r="F2065" s="80" t="s">
        <v>812</v>
      </c>
      <c r="G2065" s="58" t="s">
        <v>5972</v>
      </c>
      <c r="H2065" s="58" t="s">
        <v>1681</v>
      </c>
      <c r="I2065" s="64" t="s">
        <v>5973</v>
      </c>
      <c r="J2065" s="66"/>
      <c r="K2065" s="66"/>
      <c r="L2065" s="68"/>
      <c r="M2065" s="63" t="str">
        <f>HYPERLINK("http://nsgreg.nga.mil/genc/view?v=869858&amp;end_month=12&amp;end_day=31&amp;end_year=2016","Correlation")</f>
        <v>Correlation</v>
      </c>
    </row>
    <row r="2066" spans="1:13" x14ac:dyDescent="0.2">
      <c r="A2066" s="113"/>
      <c r="B2066" s="58" t="s">
        <v>5972</v>
      </c>
      <c r="C2066" s="58" t="s">
        <v>1728</v>
      </c>
      <c r="D2066" s="58" t="s">
        <v>5974</v>
      </c>
      <c r="E2066" s="60" t="b">
        <v>1</v>
      </c>
      <c r="F2066" s="80" t="s">
        <v>812</v>
      </c>
      <c r="G2066" s="58" t="s">
        <v>5972</v>
      </c>
      <c r="H2066" s="58" t="s">
        <v>1413</v>
      </c>
      <c r="I2066" s="64" t="s">
        <v>5974</v>
      </c>
      <c r="J2066" s="66"/>
      <c r="K2066" s="66"/>
      <c r="L2066" s="68"/>
      <c r="M2066" s="63" t="str">
        <f>HYPERLINK("http://nsgreg.nga.mil/genc/view?v=869861&amp;end_month=12&amp;end_day=31&amp;end_year=2016","Correlation")</f>
        <v>Correlation</v>
      </c>
    </row>
    <row r="2067" spans="1:13" x14ac:dyDescent="0.2">
      <c r="A2067" s="113"/>
      <c r="B2067" s="58" t="s">
        <v>5975</v>
      </c>
      <c r="C2067" s="58" t="s">
        <v>1728</v>
      </c>
      <c r="D2067" s="58" t="s">
        <v>5976</v>
      </c>
      <c r="E2067" s="60" t="b">
        <v>1</v>
      </c>
      <c r="F2067" s="80" t="s">
        <v>812</v>
      </c>
      <c r="G2067" s="58" t="s">
        <v>5975</v>
      </c>
      <c r="H2067" s="58" t="s">
        <v>1413</v>
      </c>
      <c r="I2067" s="64" t="s">
        <v>5976</v>
      </c>
      <c r="J2067" s="66"/>
      <c r="K2067" s="66"/>
      <c r="L2067" s="68"/>
      <c r="M2067" s="63" t="str">
        <f>HYPERLINK("http://nsgreg.nga.mil/genc/view?v=869862&amp;end_month=12&amp;end_day=31&amp;end_year=2016","Correlation")</f>
        <v>Correlation</v>
      </c>
    </row>
    <row r="2068" spans="1:13" x14ac:dyDescent="0.2">
      <c r="A2068" s="114"/>
      <c r="B2068" s="71" t="s">
        <v>5977</v>
      </c>
      <c r="C2068" s="71" t="s">
        <v>1728</v>
      </c>
      <c r="D2068" s="71" t="s">
        <v>5978</v>
      </c>
      <c r="E2068" s="73" t="b">
        <v>1</v>
      </c>
      <c r="F2068" s="81" t="s">
        <v>812</v>
      </c>
      <c r="G2068" s="71" t="s">
        <v>5977</v>
      </c>
      <c r="H2068" s="71" t="s">
        <v>1413</v>
      </c>
      <c r="I2068" s="74" t="s">
        <v>5978</v>
      </c>
      <c r="J2068" s="76"/>
      <c r="K2068" s="76"/>
      <c r="L2068" s="82"/>
      <c r="M2068" s="77" t="str">
        <f>HYPERLINK("http://nsgreg.nga.mil/genc/view?v=869863&amp;end_month=12&amp;end_day=31&amp;end_year=2016","Correlation")</f>
        <v>Correlation</v>
      </c>
    </row>
    <row r="2069" spans="1:13" x14ac:dyDescent="0.2">
      <c r="A2069" s="112" t="s">
        <v>820</v>
      </c>
      <c r="B2069" s="50" t="s">
        <v>5979</v>
      </c>
      <c r="C2069" s="50" t="s">
        <v>1413</v>
      </c>
      <c r="D2069" s="50" t="s">
        <v>5980</v>
      </c>
      <c r="E2069" s="52" t="b">
        <v>1</v>
      </c>
      <c r="F2069" s="78" t="s">
        <v>816</v>
      </c>
      <c r="G2069" s="50" t="s">
        <v>5979</v>
      </c>
      <c r="H2069" s="50" t="s">
        <v>1413</v>
      </c>
      <c r="I2069" s="53" t="s">
        <v>5980</v>
      </c>
      <c r="J2069" s="55"/>
      <c r="K2069" s="55"/>
      <c r="L2069" s="79"/>
      <c r="M2069" s="56" t="str">
        <f>HYPERLINK("http://nsgreg.nga.mil/genc/view?v=869962&amp;end_month=12&amp;end_day=31&amp;end_year=2016","Correlation")</f>
        <v>Correlation</v>
      </c>
    </row>
    <row r="2070" spans="1:13" x14ac:dyDescent="0.2">
      <c r="A2070" s="113"/>
      <c r="B2070" s="58" t="s">
        <v>5981</v>
      </c>
      <c r="C2070" s="58" t="s">
        <v>1413</v>
      </c>
      <c r="D2070" s="58" t="s">
        <v>5982</v>
      </c>
      <c r="E2070" s="60" t="b">
        <v>1</v>
      </c>
      <c r="F2070" s="80" t="s">
        <v>816</v>
      </c>
      <c r="G2070" s="58" t="s">
        <v>5981</v>
      </c>
      <c r="H2070" s="58" t="s">
        <v>1413</v>
      </c>
      <c r="I2070" s="64" t="s">
        <v>5982</v>
      </c>
      <c r="J2070" s="66"/>
      <c r="K2070" s="66"/>
      <c r="L2070" s="68"/>
      <c r="M2070" s="63" t="str">
        <f>HYPERLINK("http://nsgreg.nga.mil/genc/view?v=869963&amp;end_month=12&amp;end_day=31&amp;end_year=2016","Correlation")</f>
        <v>Correlation</v>
      </c>
    </row>
    <row r="2071" spans="1:13" x14ac:dyDescent="0.2">
      <c r="A2071" s="113"/>
      <c r="B2071" s="58" t="s">
        <v>5983</v>
      </c>
      <c r="C2071" s="58" t="s">
        <v>1413</v>
      </c>
      <c r="D2071" s="58" t="s">
        <v>5984</v>
      </c>
      <c r="E2071" s="60" t="b">
        <v>1</v>
      </c>
      <c r="F2071" s="80" t="s">
        <v>816</v>
      </c>
      <c r="G2071" s="58" t="s">
        <v>5983</v>
      </c>
      <c r="H2071" s="58" t="s">
        <v>1413</v>
      </c>
      <c r="I2071" s="64" t="s">
        <v>5984</v>
      </c>
      <c r="J2071" s="66"/>
      <c r="K2071" s="66"/>
      <c r="L2071" s="68"/>
      <c r="M2071" s="63" t="str">
        <f>HYPERLINK("http://nsgreg.nga.mil/genc/view?v=869964&amp;end_month=12&amp;end_day=31&amp;end_year=2016","Correlation")</f>
        <v>Correlation</v>
      </c>
    </row>
    <row r="2072" spans="1:13" x14ac:dyDescent="0.2">
      <c r="A2072" s="113"/>
      <c r="B2072" s="58" t="s">
        <v>5985</v>
      </c>
      <c r="C2072" s="58" t="s">
        <v>1413</v>
      </c>
      <c r="D2072" s="58" t="s">
        <v>5986</v>
      </c>
      <c r="E2072" s="60" t="b">
        <v>1</v>
      </c>
      <c r="F2072" s="80" t="s">
        <v>816</v>
      </c>
      <c r="G2072" s="58" t="s">
        <v>5985</v>
      </c>
      <c r="H2072" s="58" t="s">
        <v>1413</v>
      </c>
      <c r="I2072" s="64" t="s">
        <v>5986</v>
      </c>
      <c r="J2072" s="66"/>
      <c r="K2072" s="66"/>
      <c r="L2072" s="68"/>
      <c r="M2072" s="63" t="str">
        <f>HYPERLINK("http://nsgreg.nga.mil/genc/view?v=869965&amp;end_month=12&amp;end_day=31&amp;end_year=2016","Correlation")</f>
        <v>Correlation</v>
      </c>
    </row>
    <row r="2073" spans="1:13" x14ac:dyDescent="0.2">
      <c r="A2073" s="113"/>
      <c r="B2073" s="58" t="s">
        <v>5987</v>
      </c>
      <c r="C2073" s="58" t="s">
        <v>1413</v>
      </c>
      <c r="D2073" s="58" t="s">
        <v>5988</v>
      </c>
      <c r="E2073" s="60" t="b">
        <v>1</v>
      </c>
      <c r="F2073" s="80" t="s">
        <v>816</v>
      </c>
      <c r="G2073" s="58" t="s">
        <v>5987</v>
      </c>
      <c r="H2073" s="58" t="s">
        <v>1413</v>
      </c>
      <c r="I2073" s="64" t="s">
        <v>5988</v>
      </c>
      <c r="J2073" s="66"/>
      <c r="K2073" s="66"/>
      <c r="L2073" s="68"/>
      <c r="M2073" s="63" t="str">
        <f>HYPERLINK("http://nsgreg.nga.mil/genc/view?v=869966&amp;end_month=12&amp;end_day=31&amp;end_year=2016","Correlation")</f>
        <v>Correlation</v>
      </c>
    </row>
    <row r="2074" spans="1:13" x14ac:dyDescent="0.2">
      <c r="A2074" s="113"/>
      <c r="B2074" s="58" t="s">
        <v>5989</v>
      </c>
      <c r="C2074" s="58" t="s">
        <v>1413</v>
      </c>
      <c r="D2074" s="58" t="s">
        <v>5990</v>
      </c>
      <c r="E2074" s="60" t="b">
        <v>1</v>
      </c>
      <c r="F2074" s="80" t="s">
        <v>816</v>
      </c>
      <c r="G2074" s="58" t="s">
        <v>5989</v>
      </c>
      <c r="H2074" s="58" t="s">
        <v>1413</v>
      </c>
      <c r="I2074" s="64" t="s">
        <v>5990</v>
      </c>
      <c r="J2074" s="66"/>
      <c r="K2074" s="66"/>
      <c r="L2074" s="68"/>
      <c r="M2074" s="63" t="str">
        <f>HYPERLINK("http://nsgreg.nga.mil/genc/view?v=869967&amp;end_month=12&amp;end_day=31&amp;end_year=2016","Correlation")</f>
        <v>Correlation</v>
      </c>
    </row>
    <row r="2075" spans="1:13" x14ac:dyDescent="0.2">
      <c r="A2075" s="113"/>
      <c r="B2075" s="58" t="s">
        <v>5993</v>
      </c>
      <c r="C2075" s="58" t="s">
        <v>1413</v>
      </c>
      <c r="D2075" s="58" t="s">
        <v>5992</v>
      </c>
      <c r="E2075" s="60" t="b">
        <v>1</v>
      </c>
      <c r="F2075" s="80" t="s">
        <v>816</v>
      </c>
      <c r="G2075" s="58" t="s">
        <v>5991</v>
      </c>
      <c r="H2075" s="58" t="s">
        <v>1413</v>
      </c>
      <c r="I2075" s="64" t="s">
        <v>5992</v>
      </c>
      <c r="J2075" s="66"/>
      <c r="K2075" s="66"/>
      <c r="L2075" s="68"/>
      <c r="M2075" s="63" t="str">
        <f>HYPERLINK("http://nsgreg.nga.mil/genc/view?v=869968&amp;end_month=12&amp;end_day=31&amp;end_year=2016","Correlation")</f>
        <v>Correlation</v>
      </c>
    </row>
    <row r="2076" spans="1:13" x14ac:dyDescent="0.2">
      <c r="A2076" s="113"/>
      <c r="B2076" s="58" t="s">
        <v>5994</v>
      </c>
      <c r="C2076" s="58" t="s">
        <v>1413</v>
      </c>
      <c r="D2076" s="58" t="s">
        <v>5995</v>
      </c>
      <c r="E2076" s="60" t="b">
        <v>1</v>
      </c>
      <c r="F2076" s="80" t="s">
        <v>816</v>
      </c>
      <c r="G2076" s="58" t="s">
        <v>5994</v>
      </c>
      <c r="H2076" s="58" t="s">
        <v>1413</v>
      </c>
      <c r="I2076" s="64" t="s">
        <v>5995</v>
      </c>
      <c r="J2076" s="66"/>
      <c r="K2076" s="66"/>
      <c r="L2076" s="68"/>
      <c r="M2076" s="63" t="str">
        <f>HYPERLINK("http://nsgreg.nga.mil/genc/view?v=869969&amp;end_month=12&amp;end_day=31&amp;end_year=2016","Correlation")</f>
        <v>Correlation</v>
      </c>
    </row>
    <row r="2077" spans="1:13" x14ac:dyDescent="0.2">
      <c r="A2077" s="113"/>
      <c r="B2077" s="58" t="s">
        <v>5996</v>
      </c>
      <c r="C2077" s="58" t="s">
        <v>1413</v>
      </c>
      <c r="D2077" s="58" t="s">
        <v>5997</v>
      </c>
      <c r="E2077" s="60" t="b">
        <v>1</v>
      </c>
      <c r="F2077" s="80" t="s">
        <v>816</v>
      </c>
      <c r="G2077" s="58" t="s">
        <v>5996</v>
      </c>
      <c r="H2077" s="58" t="s">
        <v>1413</v>
      </c>
      <c r="I2077" s="64" t="s">
        <v>5997</v>
      </c>
      <c r="J2077" s="66"/>
      <c r="K2077" s="66"/>
      <c r="L2077" s="68"/>
      <c r="M2077" s="63" t="str">
        <f>HYPERLINK("http://nsgreg.nga.mil/genc/view?v=869970&amp;end_month=12&amp;end_day=31&amp;end_year=2016","Correlation")</f>
        <v>Correlation</v>
      </c>
    </row>
    <row r="2078" spans="1:13" x14ac:dyDescent="0.2">
      <c r="A2078" s="113"/>
      <c r="B2078" s="58" t="s">
        <v>5998</v>
      </c>
      <c r="C2078" s="58" t="s">
        <v>1413</v>
      </c>
      <c r="D2078" s="58" t="s">
        <v>5999</v>
      </c>
      <c r="E2078" s="60" t="b">
        <v>1</v>
      </c>
      <c r="F2078" s="80" t="s">
        <v>816</v>
      </c>
      <c r="G2078" s="58" t="s">
        <v>5998</v>
      </c>
      <c r="H2078" s="58" t="s">
        <v>1413</v>
      </c>
      <c r="I2078" s="64" t="s">
        <v>5999</v>
      </c>
      <c r="J2078" s="66"/>
      <c r="K2078" s="66"/>
      <c r="L2078" s="68"/>
      <c r="M2078" s="63" t="str">
        <f>HYPERLINK("http://nsgreg.nga.mil/genc/view?v=869971&amp;end_month=12&amp;end_day=31&amp;end_year=2016","Correlation")</f>
        <v>Correlation</v>
      </c>
    </row>
    <row r="2079" spans="1:13" x14ac:dyDescent="0.2">
      <c r="A2079" s="113"/>
      <c r="B2079" s="58" t="s">
        <v>6000</v>
      </c>
      <c r="C2079" s="58" t="s">
        <v>1413</v>
      </c>
      <c r="D2079" s="58" t="s">
        <v>6001</v>
      </c>
      <c r="E2079" s="60" t="b">
        <v>1</v>
      </c>
      <c r="F2079" s="80" t="s">
        <v>816</v>
      </c>
      <c r="G2079" s="58" t="s">
        <v>6000</v>
      </c>
      <c r="H2079" s="58" t="s">
        <v>1413</v>
      </c>
      <c r="I2079" s="64" t="s">
        <v>6001</v>
      </c>
      <c r="J2079" s="66"/>
      <c r="K2079" s="66"/>
      <c r="L2079" s="68"/>
      <c r="M2079" s="63" t="str">
        <f>HYPERLINK("http://nsgreg.nga.mil/genc/view?v=869972&amp;end_month=12&amp;end_day=31&amp;end_year=2016","Correlation")</f>
        <v>Correlation</v>
      </c>
    </row>
    <row r="2080" spans="1:13" x14ac:dyDescent="0.2">
      <c r="A2080" s="113"/>
      <c r="B2080" s="58" t="s">
        <v>6002</v>
      </c>
      <c r="C2080" s="58" t="s">
        <v>1413</v>
      </c>
      <c r="D2080" s="58" t="s">
        <v>6003</v>
      </c>
      <c r="E2080" s="60" t="b">
        <v>1</v>
      </c>
      <c r="F2080" s="80" t="s">
        <v>816</v>
      </c>
      <c r="G2080" s="58" t="s">
        <v>6002</v>
      </c>
      <c r="H2080" s="58" t="s">
        <v>1413</v>
      </c>
      <c r="I2080" s="64" t="s">
        <v>6003</v>
      </c>
      <c r="J2080" s="66"/>
      <c r="K2080" s="66"/>
      <c r="L2080" s="68"/>
      <c r="M2080" s="63" t="str">
        <f>HYPERLINK("http://nsgreg.nga.mil/genc/view?v=869973&amp;end_month=12&amp;end_day=31&amp;end_year=2016","Correlation")</f>
        <v>Correlation</v>
      </c>
    </row>
    <row r="2081" spans="1:13" x14ac:dyDescent="0.2">
      <c r="A2081" s="113"/>
      <c r="B2081" s="58" t="s">
        <v>6004</v>
      </c>
      <c r="C2081" s="58" t="s">
        <v>2925</v>
      </c>
      <c r="D2081" s="58" t="s">
        <v>6005</v>
      </c>
      <c r="E2081" s="60" t="b">
        <v>1</v>
      </c>
      <c r="F2081" s="80" t="s">
        <v>816</v>
      </c>
      <c r="G2081" s="58" t="s">
        <v>6004</v>
      </c>
      <c r="H2081" s="58" t="s">
        <v>2925</v>
      </c>
      <c r="I2081" s="64" t="s">
        <v>6005</v>
      </c>
      <c r="J2081" s="66"/>
      <c r="K2081" s="66"/>
      <c r="L2081" s="68"/>
      <c r="M2081" s="63" t="str">
        <f>HYPERLINK("http://nsgreg.nga.mil/genc/view?v=869975&amp;end_month=12&amp;end_day=31&amp;end_year=2016","Correlation")</f>
        <v>Correlation</v>
      </c>
    </row>
    <row r="2082" spans="1:13" x14ac:dyDescent="0.2">
      <c r="A2082" s="113"/>
      <c r="B2082" s="58" t="s">
        <v>6004</v>
      </c>
      <c r="C2082" s="58" t="s">
        <v>1413</v>
      </c>
      <c r="D2082" s="58" t="s">
        <v>6006</v>
      </c>
      <c r="E2082" s="60" t="b">
        <v>1</v>
      </c>
      <c r="F2082" s="80" t="s">
        <v>816</v>
      </c>
      <c r="G2082" s="58" t="s">
        <v>6004</v>
      </c>
      <c r="H2082" s="58" t="s">
        <v>1413</v>
      </c>
      <c r="I2082" s="64" t="s">
        <v>6006</v>
      </c>
      <c r="J2082" s="66"/>
      <c r="K2082" s="66"/>
      <c r="L2082" s="68"/>
      <c r="M2082" s="63" t="str">
        <f>HYPERLINK("http://nsgreg.nga.mil/genc/view?v=869974&amp;end_month=12&amp;end_day=31&amp;end_year=2016","Correlation")</f>
        <v>Correlation</v>
      </c>
    </row>
    <row r="2083" spans="1:13" x14ac:dyDescent="0.2">
      <c r="A2083" s="113"/>
      <c r="B2083" s="58" t="s">
        <v>6007</v>
      </c>
      <c r="C2083" s="58" t="s">
        <v>1413</v>
      </c>
      <c r="D2083" s="58" t="s">
        <v>6008</v>
      </c>
      <c r="E2083" s="60" t="b">
        <v>1</v>
      </c>
      <c r="F2083" s="80" t="s">
        <v>816</v>
      </c>
      <c r="G2083" s="58" t="s">
        <v>6007</v>
      </c>
      <c r="H2083" s="58" t="s">
        <v>1413</v>
      </c>
      <c r="I2083" s="64" t="s">
        <v>6008</v>
      </c>
      <c r="J2083" s="66"/>
      <c r="K2083" s="66"/>
      <c r="L2083" s="68"/>
      <c r="M2083" s="63" t="str">
        <f>HYPERLINK("http://nsgreg.nga.mil/genc/view?v=869976&amp;end_month=12&amp;end_day=31&amp;end_year=2016","Correlation")</f>
        <v>Correlation</v>
      </c>
    </row>
    <row r="2084" spans="1:13" x14ac:dyDescent="0.2">
      <c r="A2084" s="113"/>
      <c r="B2084" s="58" t="s">
        <v>6009</v>
      </c>
      <c r="C2084" s="58" t="s">
        <v>1413</v>
      </c>
      <c r="D2084" s="58" t="s">
        <v>6010</v>
      </c>
      <c r="E2084" s="60" t="b">
        <v>1</v>
      </c>
      <c r="F2084" s="80" t="s">
        <v>816</v>
      </c>
      <c r="G2084" s="58" t="s">
        <v>6009</v>
      </c>
      <c r="H2084" s="58" t="s">
        <v>1413</v>
      </c>
      <c r="I2084" s="64" t="s">
        <v>6010</v>
      </c>
      <c r="J2084" s="66"/>
      <c r="K2084" s="66"/>
      <c r="L2084" s="68"/>
      <c r="M2084" s="63" t="str">
        <f>HYPERLINK("http://nsgreg.nga.mil/genc/view?v=869979&amp;end_month=12&amp;end_day=31&amp;end_year=2016","Correlation")</f>
        <v>Correlation</v>
      </c>
    </row>
    <row r="2085" spans="1:13" x14ac:dyDescent="0.2">
      <c r="A2085" s="113"/>
      <c r="B2085" s="58" t="s">
        <v>6011</v>
      </c>
      <c r="C2085" s="58" t="s">
        <v>1413</v>
      </c>
      <c r="D2085" s="58" t="s">
        <v>6012</v>
      </c>
      <c r="E2085" s="60" t="b">
        <v>1</v>
      </c>
      <c r="F2085" s="80" t="s">
        <v>816</v>
      </c>
      <c r="G2085" s="58" t="s">
        <v>6011</v>
      </c>
      <c r="H2085" s="58" t="s">
        <v>1413</v>
      </c>
      <c r="I2085" s="64" t="s">
        <v>6012</v>
      </c>
      <c r="J2085" s="66"/>
      <c r="K2085" s="66"/>
      <c r="L2085" s="68"/>
      <c r="M2085" s="63" t="str">
        <f>HYPERLINK("http://nsgreg.nga.mil/genc/view?v=869977&amp;end_month=12&amp;end_day=31&amp;end_year=2016","Correlation")</f>
        <v>Correlation</v>
      </c>
    </row>
    <row r="2086" spans="1:13" x14ac:dyDescent="0.2">
      <c r="A2086" s="114"/>
      <c r="B2086" s="71" t="s">
        <v>6013</v>
      </c>
      <c r="C2086" s="71" t="s">
        <v>1413</v>
      </c>
      <c r="D2086" s="71" t="s">
        <v>6014</v>
      </c>
      <c r="E2086" s="73" t="b">
        <v>1</v>
      </c>
      <c r="F2086" s="81" t="s">
        <v>816</v>
      </c>
      <c r="G2086" s="71" t="s">
        <v>6013</v>
      </c>
      <c r="H2086" s="71" t="s">
        <v>1413</v>
      </c>
      <c r="I2086" s="74" t="s">
        <v>6014</v>
      </c>
      <c r="J2086" s="76"/>
      <c r="K2086" s="76"/>
      <c r="L2086" s="82"/>
      <c r="M2086" s="77" t="str">
        <f>HYPERLINK("http://nsgreg.nga.mil/genc/view?v=869978&amp;end_month=12&amp;end_day=31&amp;end_year=2016","Correlation")</f>
        <v>Correlation</v>
      </c>
    </row>
    <row r="2087" spans="1:13" x14ac:dyDescent="0.2">
      <c r="A2087" s="112" t="s">
        <v>821</v>
      </c>
      <c r="B2087" s="50" t="s">
        <v>6017</v>
      </c>
      <c r="C2087" s="50" t="s">
        <v>1816</v>
      </c>
      <c r="D2087" s="50" t="s">
        <v>6016</v>
      </c>
      <c r="E2087" s="52" t="b">
        <v>1</v>
      </c>
      <c r="F2087" s="78" t="s">
        <v>821</v>
      </c>
      <c r="G2087" s="50" t="s">
        <v>6015</v>
      </c>
      <c r="H2087" s="50" t="s">
        <v>1816</v>
      </c>
      <c r="I2087" s="53" t="s">
        <v>6016</v>
      </c>
      <c r="J2087" s="55"/>
      <c r="K2087" s="55"/>
      <c r="L2087" s="79"/>
      <c r="M2087" s="56" t="str">
        <f>HYPERLINK("http://nsgreg.nga.mil/genc/view?v=870160&amp;end_month=12&amp;end_day=31&amp;end_year=2016","Correlation")</f>
        <v>Correlation</v>
      </c>
    </row>
    <row r="2088" spans="1:13" x14ac:dyDescent="0.2">
      <c r="A2088" s="113"/>
      <c r="B2088" s="58" t="s">
        <v>6020</v>
      </c>
      <c r="C2088" s="58" t="s">
        <v>1816</v>
      </c>
      <c r="D2088" s="58" t="s">
        <v>6019</v>
      </c>
      <c r="E2088" s="60" t="b">
        <v>1</v>
      </c>
      <c r="F2088" s="80" t="s">
        <v>821</v>
      </c>
      <c r="G2088" s="58" t="s">
        <v>6018</v>
      </c>
      <c r="H2088" s="58" t="s">
        <v>1816</v>
      </c>
      <c r="I2088" s="64" t="s">
        <v>6019</v>
      </c>
      <c r="J2088" s="66"/>
      <c r="K2088" s="66"/>
      <c r="L2088" s="68"/>
      <c r="M2088" s="63" t="str">
        <f>HYPERLINK("http://nsgreg.nga.mil/genc/view?v=870150&amp;end_month=12&amp;end_day=31&amp;end_year=2016","Correlation")</f>
        <v>Correlation</v>
      </c>
    </row>
    <row r="2089" spans="1:13" x14ac:dyDescent="0.2">
      <c r="A2089" s="113"/>
      <c r="B2089" s="58" t="s">
        <v>6023</v>
      </c>
      <c r="C2089" s="58" t="s">
        <v>1816</v>
      </c>
      <c r="D2089" s="58" t="s">
        <v>6022</v>
      </c>
      <c r="E2089" s="60" t="b">
        <v>1</v>
      </c>
      <c r="F2089" s="80" t="s">
        <v>821</v>
      </c>
      <c r="G2089" s="58" t="s">
        <v>6021</v>
      </c>
      <c r="H2089" s="58" t="s">
        <v>1816</v>
      </c>
      <c r="I2089" s="64" t="s">
        <v>6022</v>
      </c>
      <c r="J2089" s="66"/>
      <c r="K2089" s="66"/>
      <c r="L2089" s="68"/>
      <c r="M2089" s="63" t="str">
        <f>HYPERLINK("http://nsgreg.nga.mil/genc/view?v=870151&amp;end_month=12&amp;end_day=31&amp;end_year=2016","Correlation")</f>
        <v>Correlation</v>
      </c>
    </row>
    <row r="2090" spans="1:13" x14ac:dyDescent="0.2">
      <c r="A2090" s="113"/>
      <c r="B2090" s="58" t="s">
        <v>6026</v>
      </c>
      <c r="C2090" s="58" t="s">
        <v>1816</v>
      </c>
      <c r="D2090" s="58" t="s">
        <v>6025</v>
      </c>
      <c r="E2090" s="60" t="b">
        <v>1</v>
      </c>
      <c r="F2090" s="80" t="s">
        <v>821</v>
      </c>
      <c r="G2090" s="58" t="s">
        <v>6024</v>
      </c>
      <c r="H2090" s="58" t="s">
        <v>1816</v>
      </c>
      <c r="I2090" s="64" t="s">
        <v>6025</v>
      </c>
      <c r="J2090" s="66"/>
      <c r="K2090" s="66"/>
      <c r="L2090" s="68"/>
      <c r="M2090" s="63" t="str">
        <f>HYPERLINK("http://nsgreg.nga.mil/genc/view?v=870152&amp;end_month=12&amp;end_day=31&amp;end_year=2016","Correlation")</f>
        <v>Correlation</v>
      </c>
    </row>
    <row r="2091" spans="1:13" x14ac:dyDescent="0.2">
      <c r="A2091" s="113"/>
      <c r="B2091" s="58" t="s">
        <v>6029</v>
      </c>
      <c r="C2091" s="58" t="s">
        <v>1816</v>
      </c>
      <c r="D2091" s="58" t="s">
        <v>6028</v>
      </c>
      <c r="E2091" s="60" t="b">
        <v>1</v>
      </c>
      <c r="F2091" s="80" t="s">
        <v>821</v>
      </c>
      <c r="G2091" s="58" t="s">
        <v>6027</v>
      </c>
      <c r="H2091" s="58" t="s">
        <v>1816</v>
      </c>
      <c r="I2091" s="64" t="s">
        <v>6028</v>
      </c>
      <c r="J2091" s="66"/>
      <c r="K2091" s="66"/>
      <c r="L2091" s="68"/>
      <c r="M2091" s="63" t="str">
        <f>HYPERLINK("http://nsgreg.nga.mil/genc/view?v=870153&amp;end_month=12&amp;end_day=31&amp;end_year=2016","Correlation")</f>
        <v>Correlation</v>
      </c>
    </row>
    <row r="2092" spans="1:13" x14ac:dyDescent="0.2">
      <c r="A2092" s="113"/>
      <c r="B2092" s="58" t="s">
        <v>6032</v>
      </c>
      <c r="C2092" s="58" t="s">
        <v>1816</v>
      </c>
      <c r="D2092" s="58" t="s">
        <v>6031</v>
      </c>
      <c r="E2092" s="60" t="b">
        <v>1</v>
      </c>
      <c r="F2092" s="80" t="s">
        <v>821</v>
      </c>
      <c r="G2092" s="58" t="s">
        <v>6030</v>
      </c>
      <c r="H2092" s="58" t="s">
        <v>1816</v>
      </c>
      <c r="I2092" s="64" t="s">
        <v>6031</v>
      </c>
      <c r="J2092" s="66"/>
      <c r="K2092" s="66"/>
      <c r="L2092" s="68"/>
      <c r="M2092" s="63" t="str">
        <f>HYPERLINK("http://nsgreg.nga.mil/genc/view?v=870154&amp;end_month=12&amp;end_day=31&amp;end_year=2016","Correlation")</f>
        <v>Correlation</v>
      </c>
    </row>
    <row r="2093" spans="1:13" x14ac:dyDescent="0.2">
      <c r="A2093" s="113"/>
      <c r="B2093" s="58" t="s">
        <v>6035</v>
      </c>
      <c r="C2093" s="58" t="s">
        <v>1816</v>
      </c>
      <c r="D2093" s="58" t="s">
        <v>6034</v>
      </c>
      <c r="E2093" s="60" t="b">
        <v>1</v>
      </c>
      <c r="F2093" s="80" t="s">
        <v>821</v>
      </c>
      <c r="G2093" s="58" t="s">
        <v>6033</v>
      </c>
      <c r="H2093" s="58" t="s">
        <v>1816</v>
      </c>
      <c r="I2093" s="64" t="s">
        <v>6034</v>
      </c>
      <c r="J2093" s="66"/>
      <c r="K2093" s="66"/>
      <c r="L2093" s="68"/>
      <c r="M2093" s="63" t="str">
        <f>HYPERLINK("http://nsgreg.nga.mil/genc/view?v=870155&amp;end_month=12&amp;end_day=31&amp;end_year=2016","Correlation")</f>
        <v>Correlation</v>
      </c>
    </row>
    <row r="2094" spans="1:13" x14ac:dyDescent="0.2">
      <c r="A2094" s="113"/>
      <c r="B2094" s="58" t="s">
        <v>6038</v>
      </c>
      <c r="C2094" s="58" t="s">
        <v>1816</v>
      </c>
      <c r="D2094" s="58" t="s">
        <v>6037</v>
      </c>
      <c r="E2094" s="60" t="b">
        <v>1</v>
      </c>
      <c r="F2094" s="80" t="s">
        <v>821</v>
      </c>
      <c r="G2094" s="58" t="s">
        <v>6036</v>
      </c>
      <c r="H2094" s="58" t="s">
        <v>1816</v>
      </c>
      <c r="I2094" s="64" t="s">
        <v>6037</v>
      </c>
      <c r="J2094" s="66"/>
      <c r="K2094" s="66"/>
      <c r="L2094" s="68"/>
      <c r="M2094" s="63" t="str">
        <f>HYPERLINK("http://nsgreg.nga.mil/genc/view?v=870156&amp;end_month=12&amp;end_day=31&amp;end_year=2016","Correlation")</f>
        <v>Correlation</v>
      </c>
    </row>
    <row r="2095" spans="1:13" x14ac:dyDescent="0.2">
      <c r="A2095" s="113"/>
      <c r="B2095" s="58" t="s">
        <v>6041</v>
      </c>
      <c r="C2095" s="58" t="s">
        <v>1816</v>
      </c>
      <c r="D2095" s="58" t="s">
        <v>6040</v>
      </c>
      <c r="E2095" s="60" t="b">
        <v>1</v>
      </c>
      <c r="F2095" s="80" t="s">
        <v>821</v>
      </c>
      <c r="G2095" s="58" t="s">
        <v>6039</v>
      </c>
      <c r="H2095" s="58" t="s">
        <v>1816</v>
      </c>
      <c r="I2095" s="64" t="s">
        <v>6040</v>
      </c>
      <c r="J2095" s="66"/>
      <c r="K2095" s="66"/>
      <c r="L2095" s="68"/>
      <c r="M2095" s="63" t="str">
        <f>HYPERLINK("http://nsgreg.nga.mil/genc/view?v=870157&amp;end_month=12&amp;end_day=31&amp;end_year=2016","Correlation")</f>
        <v>Correlation</v>
      </c>
    </row>
    <row r="2096" spans="1:13" x14ac:dyDescent="0.2">
      <c r="A2096" s="113"/>
      <c r="B2096" s="58" t="s">
        <v>6044</v>
      </c>
      <c r="C2096" s="58" t="s">
        <v>1816</v>
      </c>
      <c r="D2096" s="58" t="s">
        <v>6043</v>
      </c>
      <c r="E2096" s="60" t="b">
        <v>1</v>
      </c>
      <c r="F2096" s="80" t="s">
        <v>821</v>
      </c>
      <c r="G2096" s="58" t="s">
        <v>6042</v>
      </c>
      <c r="H2096" s="58" t="s">
        <v>1816</v>
      </c>
      <c r="I2096" s="64" t="s">
        <v>6043</v>
      </c>
      <c r="J2096" s="66"/>
      <c r="K2096" s="66"/>
      <c r="L2096" s="68"/>
      <c r="M2096" s="63" t="str">
        <f>HYPERLINK("http://nsgreg.nga.mil/genc/view?v=870158&amp;end_month=12&amp;end_day=31&amp;end_year=2016","Correlation")</f>
        <v>Correlation</v>
      </c>
    </row>
    <row r="2097" spans="1:13" x14ac:dyDescent="0.2">
      <c r="A2097" s="113"/>
      <c r="B2097" s="58" t="s">
        <v>6047</v>
      </c>
      <c r="C2097" s="58" t="s">
        <v>1816</v>
      </c>
      <c r="D2097" s="58" t="s">
        <v>6046</v>
      </c>
      <c r="E2097" s="60" t="b">
        <v>1</v>
      </c>
      <c r="F2097" s="80" t="s">
        <v>821</v>
      </c>
      <c r="G2097" s="58" t="s">
        <v>6045</v>
      </c>
      <c r="H2097" s="58" t="s">
        <v>1816</v>
      </c>
      <c r="I2097" s="64" t="s">
        <v>6046</v>
      </c>
      <c r="J2097" s="66"/>
      <c r="K2097" s="66"/>
      <c r="L2097" s="68"/>
      <c r="M2097" s="63" t="str">
        <f>HYPERLINK("http://nsgreg.nga.mil/genc/view?v=870159&amp;end_month=12&amp;end_day=31&amp;end_year=2016","Correlation")</f>
        <v>Correlation</v>
      </c>
    </row>
    <row r="2098" spans="1:13" x14ac:dyDescent="0.2">
      <c r="A2098" s="113"/>
      <c r="B2098" s="58" t="s">
        <v>6050</v>
      </c>
      <c r="C2098" s="58" t="s">
        <v>1816</v>
      </c>
      <c r="D2098" s="58" t="s">
        <v>6049</v>
      </c>
      <c r="E2098" s="60" t="b">
        <v>1</v>
      </c>
      <c r="F2098" s="80" t="s">
        <v>821</v>
      </c>
      <c r="G2098" s="58" t="s">
        <v>6048</v>
      </c>
      <c r="H2098" s="58" t="s">
        <v>1816</v>
      </c>
      <c r="I2098" s="64" t="s">
        <v>6049</v>
      </c>
      <c r="J2098" s="66"/>
      <c r="K2098" s="66"/>
      <c r="L2098" s="68"/>
      <c r="M2098" s="63" t="str">
        <f>HYPERLINK("http://nsgreg.nga.mil/genc/view?v=870161&amp;end_month=12&amp;end_day=31&amp;end_year=2016","Correlation")</f>
        <v>Correlation</v>
      </c>
    </row>
    <row r="2099" spans="1:13" x14ac:dyDescent="0.2">
      <c r="A2099" s="113"/>
      <c r="B2099" s="58" t="s">
        <v>6053</v>
      </c>
      <c r="C2099" s="58" t="s">
        <v>1816</v>
      </c>
      <c r="D2099" s="58" t="s">
        <v>6052</v>
      </c>
      <c r="E2099" s="60" t="b">
        <v>1</v>
      </c>
      <c r="F2099" s="80" t="s">
        <v>821</v>
      </c>
      <c r="G2099" s="58" t="s">
        <v>6051</v>
      </c>
      <c r="H2099" s="58" t="s">
        <v>1816</v>
      </c>
      <c r="I2099" s="64" t="s">
        <v>6052</v>
      </c>
      <c r="J2099" s="66"/>
      <c r="K2099" s="66"/>
      <c r="L2099" s="68"/>
      <c r="M2099" s="63" t="str">
        <f>HYPERLINK("http://nsgreg.nga.mil/genc/view?v=870162&amp;end_month=12&amp;end_day=31&amp;end_year=2016","Correlation")</f>
        <v>Correlation</v>
      </c>
    </row>
    <row r="2100" spans="1:13" x14ac:dyDescent="0.2">
      <c r="A2100" s="113"/>
      <c r="B2100" s="58" t="s">
        <v>6056</v>
      </c>
      <c r="C2100" s="58" t="s">
        <v>1816</v>
      </c>
      <c r="D2100" s="58" t="s">
        <v>6055</v>
      </c>
      <c r="E2100" s="60" t="b">
        <v>1</v>
      </c>
      <c r="F2100" s="80" t="s">
        <v>821</v>
      </c>
      <c r="G2100" s="58" t="s">
        <v>6054</v>
      </c>
      <c r="H2100" s="58" t="s">
        <v>1816</v>
      </c>
      <c r="I2100" s="64" t="s">
        <v>6055</v>
      </c>
      <c r="J2100" s="66"/>
      <c r="K2100" s="66"/>
      <c r="L2100" s="68"/>
      <c r="M2100" s="63" t="str">
        <f>HYPERLINK("http://nsgreg.nga.mil/genc/view?v=870163&amp;end_month=12&amp;end_day=31&amp;end_year=2016","Correlation")</f>
        <v>Correlation</v>
      </c>
    </row>
    <row r="2101" spans="1:13" x14ac:dyDescent="0.2">
      <c r="A2101" s="113"/>
      <c r="B2101" s="58" t="s">
        <v>6059</v>
      </c>
      <c r="C2101" s="58" t="s">
        <v>1816</v>
      </c>
      <c r="D2101" s="58" t="s">
        <v>6058</v>
      </c>
      <c r="E2101" s="60" t="b">
        <v>1</v>
      </c>
      <c r="F2101" s="80" t="s">
        <v>821</v>
      </c>
      <c r="G2101" s="58" t="s">
        <v>6057</v>
      </c>
      <c r="H2101" s="58" t="s">
        <v>1816</v>
      </c>
      <c r="I2101" s="64" t="s">
        <v>6058</v>
      </c>
      <c r="J2101" s="66"/>
      <c r="K2101" s="66"/>
      <c r="L2101" s="68"/>
      <c r="M2101" s="63" t="str">
        <f>HYPERLINK("http://nsgreg.nga.mil/genc/view?v=870164&amp;end_month=12&amp;end_day=31&amp;end_year=2016","Correlation")</f>
        <v>Correlation</v>
      </c>
    </row>
    <row r="2102" spans="1:13" x14ac:dyDescent="0.2">
      <c r="A2102" s="113"/>
      <c r="B2102" s="58" t="s">
        <v>6062</v>
      </c>
      <c r="C2102" s="58" t="s">
        <v>1816</v>
      </c>
      <c r="D2102" s="58" t="s">
        <v>6061</v>
      </c>
      <c r="E2102" s="60" t="b">
        <v>1</v>
      </c>
      <c r="F2102" s="80" t="s">
        <v>821</v>
      </c>
      <c r="G2102" s="58" t="s">
        <v>6060</v>
      </c>
      <c r="H2102" s="58" t="s">
        <v>1816</v>
      </c>
      <c r="I2102" s="64" t="s">
        <v>6061</v>
      </c>
      <c r="J2102" s="66"/>
      <c r="K2102" s="66"/>
      <c r="L2102" s="68"/>
      <c r="M2102" s="63" t="str">
        <f>HYPERLINK("http://nsgreg.nga.mil/genc/view?v=870165&amp;end_month=12&amp;end_day=31&amp;end_year=2016","Correlation")</f>
        <v>Correlation</v>
      </c>
    </row>
    <row r="2103" spans="1:13" x14ac:dyDescent="0.2">
      <c r="A2103" s="113"/>
      <c r="B2103" s="58" t="s">
        <v>6065</v>
      </c>
      <c r="C2103" s="58" t="s">
        <v>1816</v>
      </c>
      <c r="D2103" s="58" t="s">
        <v>6064</v>
      </c>
      <c r="E2103" s="60" t="b">
        <v>1</v>
      </c>
      <c r="F2103" s="80" t="s">
        <v>821</v>
      </c>
      <c r="G2103" s="58" t="s">
        <v>6063</v>
      </c>
      <c r="H2103" s="58" t="s">
        <v>1816</v>
      </c>
      <c r="I2103" s="64" t="s">
        <v>6064</v>
      </c>
      <c r="J2103" s="66"/>
      <c r="K2103" s="66"/>
      <c r="L2103" s="68"/>
      <c r="M2103" s="63" t="str">
        <f>HYPERLINK("http://nsgreg.nga.mil/genc/view?v=870166&amp;end_month=12&amp;end_day=31&amp;end_year=2016","Correlation")</f>
        <v>Correlation</v>
      </c>
    </row>
    <row r="2104" spans="1:13" x14ac:dyDescent="0.2">
      <c r="A2104" s="113"/>
      <c r="B2104" s="58" t="s">
        <v>6068</v>
      </c>
      <c r="C2104" s="58" t="s">
        <v>1816</v>
      </c>
      <c r="D2104" s="58" t="s">
        <v>6067</v>
      </c>
      <c r="E2104" s="60" t="b">
        <v>1</v>
      </c>
      <c r="F2104" s="80" t="s">
        <v>821</v>
      </c>
      <c r="G2104" s="58" t="s">
        <v>6066</v>
      </c>
      <c r="H2104" s="58" t="s">
        <v>1816</v>
      </c>
      <c r="I2104" s="64" t="s">
        <v>6067</v>
      </c>
      <c r="J2104" s="66"/>
      <c r="K2104" s="66"/>
      <c r="L2104" s="68"/>
      <c r="M2104" s="63" t="str">
        <f>HYPERLINK("http://nsgreg.nga.mil/genc/view?v=870167&amp;end_month=12&amp;end_day=31&amp;end_year=2016","Correlation")</f>
        <v>Correlation</v>
      </c>
    </row>
    <row r="2105" spans="1:13" x14ac:dyDescent="0.2">
      <c r="A2105" s="113"/>
      <c r="B2105" s="58" t="s">
        <v>6071</v>
      </c>
      <c r="C2105" s="58" t="s">
        <v>1816</v>
      </c>
      <c r="D2105" s="58" t="s">
        <v>6070</v>
      </c>
      <c r="E2105" s="60" t="b">
        <v>1</v>
      </c>
      <c r="F2105" s="80" t="s">
        <v>821</v>
      </c>
      <c r="G2105" s="58" t="s">
        <v>6069</v>
      </c>
      <c r="H2105" s="58" t="s">
        <v>1816</v>
      </c>
      <c r="I2105" s="64" t="s">
        <v>6070</v>
      </c>
      <c r="J2105" s="66"/>
      <c r="K2105" s="66"/>
      <c r="L2105" s="68"/>
      <c r="M2105" s="63" t="str">
        <f>HYPERLINK("http://nsgreg.nga.mil/genc/view?v=870168&amp;end_month=12&amp;end_day=31&amp;end_year=2016","Correlation")</f>
        <v>Correlation</v>
      </c>
    </row>
    <row r="2106" spans="1:13" x14ac:dyDescent="0.2">
      <c r="A2106" s="113"/>
      <c r="B2106" s="58" t="s">
        <v>6074</v>
      </c>
      <c r="C2106" s="58" t="s">
        <v>1816</v>
      </c>
      <c r="D2106" s="58" t="s">
        <v>6073</v>
      </c>
      <c r="E2106" s="60" t="b">
        <v>1</v>
      </c>
      <c r="F2106" s="80" t="s">
        <v>821</v>
      </c>
      <c r="G2106" s="58" t="s">
        <v>6072</v>
      </c>
      <c r="H2106" s="58" t="s">
        <v>1816</v>
      </c>
      <c r="I2106" s="64" t="s">
        <v>6073</v>
      </c>
      <c r="J2106" s="66"/>
      <c r="K2106" s="66"/>
      <c r="L2106" s="68"/>
      <c r="M2106" s="63" t="str">
        <f>HYPERLINK("http://nsgreg.nga.mil/genc/view?v=870169&amp;end_month=12&amp;end_day=31&amp;end_year=2016","Correlation")</f>
        <v>Correlation</v>
      </c>
    </row>
    <row r="2107" spans="1:13" x14ac:dyDescent="0.2">
      <c r="A2107" s="113"/>
      <c r="B2107" s="58" t="s">
        <v>6077</v>
      </c>
      <c r="C2107" s="58" t="s">
        <v>1816</v>
      </c>
      <c r="D2107" s="58" t="s">
        <v>6076</v>
      </c>
      <c r="E2107" s="60" t="b">
        <v>1</v>
      </c>
      <c r="F2107" s="80" t="s">
        <v>821</v>
      </c>
      <c r="G2107" s="58" t="s">
        <v>6075</v>
      </c>
      <c r="H2107" s="58" t="s">
        <v>1816</v>
      </c>
      <c r="I2107" s="64" t="s">
        <v>6076</v>
      </c>
      <c r="J2107" s="66"/>
      <c r="K2107" s="66"/>
      <c r="L2107" s="68"/>
      <c r="M2107" s="63" t="str">
        <f>HYPERLINK("http://nsgreg.nga.mil/genc/view?v=870171&amp;end_month=12&amp;end_day=31&amp;end_year=2016","Correlation")</f>
        <v>Correlation</v>
      </c>
    </row>
    <row r="2108" spans="1:13" x14ac:dyDescent="0.2">
      <c r="A2108" s="113"/>
      <c r="B2108" s="58" t="s">
        <v>6080</v>
      </c>
      <c r="C2108" s="58" t="s">
        <v>1816</v>
      </c>
      <c r="D2108" s="58" t="s">
        <v>6079</v>
      </c>
      <c r="E2108" s="60" t="b">
        <v>1</v>
      </c>
      <c r="F2108" s="80" t="s">
        <v>821</v>
      </c>
      <c r="G2108" s="58" t="s">
        <v>6078</v>
      </c>
      <c r="H2108" s="58" t="s">
        <v>1816</v>
      </c>
      <c r="I2108" s="64" t="s">
        <v>6079</v>
      </c>
      <c r="J2108" s="66"/>
      <c r="K2108" s="66"/>
      <c r="L2108" s="68"/>
      <c r="M2108" s="63" t="str">
        <f>HYPERLINK("http://nsgreg.nga.mil/genc/view?v=870170&amp;end_month=12&amp;end_day=31&amp;end_year=2016","Correlation")</f>
        <v>Correlation</v>
      </c>
    </row>
    <row r="2109" spans="1:13" x14ac:dyDescent="0.2">
      <c r="A2109" s="113"/>
      <c r="B2109" s="58" t="s">
        <v>6083</v>
      </c>
      <c r="C2109" s="58" t="s">
        <v>1816</v>
      </c>
      <c r="D2109" s="58" t="s">
        <v>6082</v>
      </c>
      <c r="E2109" s="60" t="b">
        <v>1</v>
      </c>
      <c r="F2109" s="80" t="s">
        <v>821</v>
      </c>
      <c r="G2109" s="58" t="s">
        <v>6081</v>
      </c>
      <c r="H2109" s="58" t="s">
        <v>1816</v>
      </c>
      <c r="I2109" s="64" t="s">
        <v>6082</v>
      </c>
      <c r="J2109" s="66"/>
      <c r="K2109" s="66"/>
      <c r="L2109" s="68"/>
      <c r="M2109" s="63" t="str">
        <f>HYPERLINK("http://nsgreg.nga.mil/genc/view?v=870172&amp;end_month=12&amp;end_day=31&amp;end_year=2016","Correlation")</f>
        <v>Correlation</v>
      </c>
    </row>
    <row r="2110" spans="1:13" x14ac:dyDescent="0.2">
      <c r="A2110" s="113"/>
      <c r="B2110" s="58" t="s">
        <v>6086</v>
      </c>
      <c r="C2110" s="58" t="s">
        <v>1816</v>
      </c>
      <c r="D2110" s="58" t="s">
        <v>6085</v>
      </c>
      <c r="E2110" s="60" t="b">
        <v>1</v>
      </c>
      <c r="F2110" s="80" t="s">
        <v>821</v>
      </c>
      <c r="G2110" s="58" t="s">
        <v>6084</v>
      </c>
      <c r="H2110" s="58" t="s">
        <v>1816</v>
      </c>
      <c r="I2110" s="64" t="s">
        <v>6085</v>
      </c>
      <c r="J2110" s="66"/>
      <c r="K2110" s="66"/>
      <c r="L2110" s="68"/>
      <c r="M2110" s="63" t="str">
        <f>HYPERLINK("http://nsgreg.nga.mil/genc/view?v=870173&amp;end_month=12&amp;end_day=31&amp;end_year=2016","Correlation")</f>
        <v>Correlation</v>
      </c>
    </row>
    <row r="2111" spans="1:13" x14ac:dyDescent="0.2">
      <c r="A2111" s="113"/>
      <c r="B2111" s="58" t="s">
        <v>6087</v>
      </c>
      <c r="C2111" s="58" t="s">
        <v>6088</v>
      </c>
      <c r="D2111" s="58" t="s">
        <v>6089</v>
      </c>
      <c r="E2111" s="60" t="b">
        <v>1</v>
      </c>
      <c r="F2111" s="80" t="s">
        <v>821</v>
      </c>
      <c r="G2111" s="58" t="s">
        <v>6087</v>
      </c>
      <c r="H2111" s="58" t="s">
        <v>6088</v>
      </c>
      <c r="I2111" s="64" t="s">
        <v>6089</v>
      </c>
      <c r="J2111" s="66"/>
      <c r="K2111" s="66"/>
      <c r="L2111" s="68"/>
      <c r="M2111" s="63" t="str">
        <f>HYPERLINK("http://nsgreg.nga.mil/genc/view?v=870260&amp;end_month=12&amp;end_day=31&amp;end_year=2016","Correlation")</f>
        <v>Correlation</v>
      </c>
    </row>
    <row r="2112" spans="1:13" x14ac:dyDescent="0.2">
      <c r="A2112" s="113"/>
      <c r="B2112" s="58" t="s">
        <v>6092</v>
      </c>
      <c r="C2112" s="58" t="s">
        <v>1816</v>
      </c>
      <c r="D2112" s="58" t="s">
        <v>6091</v>
      </c>
      <c r="E2112" s="60" t="b">
        <v>1</v>
      </c>
      <c r="F2112" s="80" t="s">
        <v>821</v>
      </c>
      <c r="G2112" s="58" t="s">
        <v>6090</v>
      </c>
      <c r="H2112" s="58" t="s">
        <v>1816</v>
      </c>
      <c r="I2112" s="64" t="s">
        <v>6091</v>
      </c>
      <c r="J2112" s="66"/>
      <c r="K2112" s="66"/>
      <c r="L2112" s="68"/>
      <c r="M2112" s="63" t="str">
        <f>HYPERLINK("http://nsgreg.nga.mil/genc/view?v=870174&amp;end_month=12&amp;end_day=31&amp;end_year=2016","Correlation")</f>
        <v>Correlation</v>
      </c>
    </row>
    <row r="2113" spans="1:13" x14ac:dyDescent="0.2">
      <c r="A2113" s="113"/>
      <c r="B2113" s="58" t="s">
        <v>6095</v>
      </c>
      <c r="C2113" s="58" t="s">
        <v>1816</v>
      </c>
      <c r="D2113" s="58" t="s">
        <v>6094</v>
      </c>
      <c r="E2113" s="60" t="b">
        <v>1</v>
      </c>
      <c r="F2113" s="80" t="s">
        <v>821</v>
      </c>
      <c r="G2113" s="58" t="s">
        <v>6093</v>
      </c>
      <c r="H2113" s="58" t="s">
        <v>1816</v>
      </c>
      <c r="I2113" s="64" t="s">
        <v>6094</v>
      </c>
      <c r="J2113" s="66"/>
      <c r="K2113" s="66"/>
      <c r="L2113" s="68"/>
      <c r="M2113" s="63" t="str">
        <f>HYPERLINK("http://nsgreg.nga.mil/genc/view?v=870175&amp;end_month=12&amp;end_day=31&amp;end_year=2016","Correlation")</f>
        <v>Correlation</v>
      </c>
    </row>
    <row r="2114" spans="1:13" x14ac:dyDescent="0.2">
      <c r="A2114" s="113"/>
      <c r="B2114" s="58" t="s">
        <v>6098</v>
      </c>
      <c r="C2114" s="58" t="s">
        <v>1816</v>
      </c>
      <c r="D2114" s="58" t="s">
        <v>6097</v>
      </c>
      <c r="E2114" s="60" t="b">
        <v>1</v>
      </c>
      <c r="F2114" s="80" t="s">
        <v>821</v>
      </c>
      <c r="G2114" s="58" t="s">
        <v>6096</v>
      </c>
      <c r="H2114" s="58" t="s">
        <v>1816</v>
      </c>
      <c r="I2114" s="64" t="s">
        <v>6097</v>
      </c>
      <c r="J2114" s="66"/>
      <c r="K2114" s="66"/>
      <c r="L2114" s="68"/>
      <c r="M2114" s="63" t="str">
        <f>HYPERLINK("http://nsgreg.nga.mil/genc/view?v=870176&amp;end_month=12&amp;end_day=31&amp;end_year=2016","Correlation")</f>
        <v>Correlation</v>
      </c>
    </row>
    <row r="2115" spans="1:13" x14ac:dyDescent="0.2">
      <c r="A2115" s="113"/>
      <c r="B2115" s="58" t="s">
        <v>6101</v>
      </c>
      <c r="C2115" s="58" t="s">
        <v>1816</v>
      </c>
      <c r="D2115" s="58" t="s">
        <v>6100</v>
      </c>
      <c r="E2115" s="60" t="b">
        <v>1</v>
      </c>
      <c r="F2115" s="80" t="s">
        <v>821</v>
      </c>
      <c r="G2115" s="58" t="s">
        <v>6099</v>
      </c>
      <c r="H2115" s="58" t="s">
        <v>1816</v>
      </c>
      <c r="I2115" s="64" t="s">
        <v>6100</v>
      </c>
      <c r="J2115" s="66"/>
      <c r="K2115" s="66"/>
      <c r="L2115" s="68"/>
      <c r="M2115" s="63" t="str">
        <f>HYPERLINK("http://nsgreg.nga.mil/genc/view?v=870177&amp;end_month=12&amp;end_day=31&amp;end_year=2016","Correlation")</f>
        <v>Correlation</v>
      </c>
    </row>
    <row r="2116" spans="1:13" x14ac:dyDescent="0.2">
      <c r="A2116" s="113"/>
      <c r="B2116" s="58" t="s">
        <v>6104</v>
      </c>
      <c r="C2116" s="58" t="s">
        <v>1816</v>
      </c>
      <c r="D2116" s="58" t="s">
        <v>6103</v>
      </c>
      <c r="E2116" s="60" t="b">
        <v>1</v>
      </c>
      <c r="F2116" s="80" t="s">
        <v>821</v>
      </c>
      <c r="G2116" s="58" t="s">
        <v>6102</v>
      </c>
      <c r="H2116" s="58" t="s">
        <v>1816</v>
      </c>
      <c r="I2116" s="64" t="s">
        <v>6103</v>
      </c>
      <c r="J2116" s="66"/>
      <c r="K2116" s="66"/>
      <c r="L2116" s="68"/>
      <c r="M2116" s="63" t="str">
        <f>HYPERLINK("http://nsgreg.nga.mil/genc/view?v=870178&amp;end_month=12&amp;end_day=31&amp;end_year=2016","Correlation")</f>
        <v>Correlation</v>
      </c>
    </row>
    <row r="2117" spans="1:13" x14ac:dyDescent="0.2">
      <c r="A2117" s="113"/>
      <c r="B2117" s="58" t="s">
        <v>6107</v>
      </c>
      <c r="C2117" s="58" t="s">
        <v>1816</v>
      </c>
      <c r="D2117" s="58" t="s">
        <v>6106</v>
      </c>
      <c r="E2117" s="60" t="b">
        <v>1</v>
      </c>
      <c r="F2117" s="80" t="s">
        <v>821</v>
      </c>
      <c r="G2117" s="58" t="s">
        <v>6105</v>
      </c>
      <c r="H2117" s="58" t="s">
        <v>1816</v>
      </c>
      <c r="I2117" s="64" t="s">
        <v>6106</v>
      </c>
      <c r="J2117" s="66"/>
      <c r="K2117" s="66"/>
      <c r="L2117" s="68"/>
      <c r="M2117" s="63" t="str">
        <f>HYPERLINK("http://nsgreg.nga.mil/genc/view?v=870179&amp;end_month=12&amp;end_day=31&amp;end_year=2016","Correlation")</f>
        <v>Correlation</v>
      </c>
    </row>
    <row r="2118" spans="1:13" x14ac:dyDescent="0.2">
      <c r="A2118" s="113"/>
      <c r="B2118" s="58" t="s">
        <v>6110</v>
      </c>
      <c r="C2118" s="58" t="s">
        <v>1816</v>
      </c>
      <c r="D2118" s="58" t="s">
        <v>6109</v>
      </c>
      <c r="E2118" s="60" t="b">
        <v>1</v>
      </c>
      <c r="F2118" s="80" t="s">
        <v>821</v>
      </c>
      <c r="G2118" s="58" t="s">
        <v>6108</v>
      </c>
      <c r="H2118" s="58" t="s">
        <v>1816</v>
      </c>
      <c r="I2118" s="64" t="s">
        <v>6109</v>
      </c>
      <c r="J2118" s="66"/>
      <c r="K2118" s="66"/>
      <c r="L2118" s="68"/>
      <c r="M2118" s="63" t="str">
        <f>HYPERLINK("http://nsgreg.nga.mil/genc/view?v=870180&amp;end_month=12&amp;end_day=31&amp;end_year=2016","Correlation")</f>
        <v>Correlation</v>
      </c>
    </row>
    <row r="2119" spans="1:13" x14ac:dyDescent="0.2">
      <c r="A2119" s="113"/>
      <c r="B2119" s="58" t="s">
        <v>6113</v>
      </c>
      <c r="C2119" s="58" t="s">
        <v>1816</v>
      </c>
      <c r="D2119" s="58" t="s">
        <v>6112</v>
      </c>
      <c r="E2119" s="60" t="b">
        <v>1</v>
      </c>
      <c r="F2119" s="80" t="s">
        <v>821</v>
      </c>
      <c r="G2119" s="58" t="s">
        <v>6111</v>
      </c>
      <c r="H2119" s="58" t="s">
        <v>1816</v>
      </c>
      <c r="I2119" s="64" t="s">
        <v>6112</v>
      </c>
      <c r="J2119" s="66"/>
      <c r="K2119" s="66"/>
      <c r="L2119" s="68"/>
      <c r="M2119" s="63" t="str">
        <f>HYPERLINK("http://nsgreg.nga.mil/genc/view?v=870181&amp;end_month=12&amp;end_day=31&amp;end_year=2016","Correlation")</f>
        <v>Correlation</v>
      </c>
    </row>
    <row r="2120" spans="1:13" x14ac:dyDescent="0.2">
      <c r="A2120" s="113"/>
      <c r="B2120" s="58" t="s">
        <v>6116</v>
      </c>
      <c r="C2120" s="58" t="s">
        <v>1816</v>
      </c>
      <c r="D2120" s="58" t="s">
        <v>6115</v>
      </c>
      <c r="E2120" s="60" t="b">
        <v>1</v>
      </c>
      <c r="F2120" s="80" t="s">
        <v>821</v>
      </c>
      <c r="G2120" s="58" t="s">
        <v>6114</v>
      </c>
      <c r="H2120" s="58" t="s">
        <v>1816</v>
      </c>
      <c r="I2120" s="64" t="s">
        <v>6115</v>
      </c>
      <c r="J2120" s="66"/>
      <c r="K2120" s="66"/>
      <c r="L2120" s="68"/>
      <c r="M2120" s="63" t="str">
        <f>HYPERLINK("http://nsgreg.nga.mil/genc/view?v=870182&amp;end_month=12&amp;end_day=31&amp;end_year=2016","Correlation")</f>
        <v>Correlation</v>
      </c>
    </row>
    <row r="2121" spans="1:13" x14ac:dyDescent="0.2">
      <c r="A2121" s="113"/>
      <c r="B2121" s="58" t="s">
        <v>6119</v>
      </c>
      <c r="C2121" s="58" t="s">
        <v>1816</v>
      </c>
      <c r="D2121" s="58" t="s">
        <v>6118</v>
      </c>
      <c r="E2121" s="60" t="b">
        <v>1</v>
      </c>
      <c r="F2121" s="80" t="s">
        <v>821</v>
      </c>
      <c r="G2121" s="58" t="s">
        <v>6117</v>
      </c>
      <c r="H2121" s="58" t="s">
        <v>1816</v>
      </c>
      <c r="I2121" s="64" t="s">
        <v>6118</v>
      </c>
      <c r="J2121" s="66"/>
      <c r="K2121" s="66"/>
      <c r="L2121" s="68"/>
      <c r="M2121" s="63" t="str">
        <f>HYPERLINK("http://nsgreg.nga.mil/genc/view?v=870183&amp;end_month=12&amp;end_day=31&amp;end_year=2016","Correlation")</f>
        <v>Correlation</v>
      </c>
    </row>
    <row r="2122" spans="1:13" x14ac:dyDescent="0.2">
      <c r="A2122" s="113"/>
      <c r="B2122" s="58" t="s">
        <v>6122</v>
      </c>
      <c r="C2122" s="58" t="s">
        <v>1816</v>
      </c>
      <c r="D2122" s="58" t="s">
        <v>6121</v>
      </c>
      <c r="E2122" s="60" t="b">
        <v>1</v>
      </c>
      <c r="F2122" s="80" t="s">
        <v>821</v>
      </c>
      <c r="G2122" s="58" t="s">
        <v>6120</v>
      </c>
      <c r="H2122" s="58" t="s">
        <v>1816</v>
      </c>
      <c r="I2122" s="64" t="s">
        <v>6121</v>
      </c>
      <c r="J2122" s="66"/>
      <c r="K2122" s="66"/>
      <c r="L2122" s="68"/>
      <c r="M2122" s="63" t="str">
        <f>HYPERLINK("http://nsgreg.nga.mil/genc/view?v=870184&amp;end_month=12&amp;end_day=31&amp;end_year=2016","Correlation")</f>
        <v>Correlation</v>
      </c>
    </row>
    <row r="2123" spans="1:13" x14ac:dyDescent="0.2">
      <c r="A2123" s="113"/>
      <c r="B2123" s="58" t="s">
        <v>6125</v>
      </c>
      <c r="C2123" s="58" t="s">
        <v>1816</v>
      </c>
      <c r="D2123" s="58" t="s">
        <v>6124</v>
      </c>
      <c r="E2123" s="60" t="b">
        <v>1</v>
      </c>
      <c r="F2123" s="80" t="s">
        <v>821</v>
      </c>
      <c r="G2123" s="58" t="s">
        <v>6123</v>
      </c>
      <c r="H2123" s="58" t="s">
        <v>1816</v>
      </c>
      <c r="I2123" s="64" t="s">
        <v>6124</v>
      </c>
      <c r="J2123" s="66"/>
      <c r="K2123" s="66"/>
      <c r="L2123" s="68"/>
      <c r="M2123" s="63" t="str">
        <f>HYPERLINK("http://nsgreg.nga.mil/genc/view?v=870185&amp;end_month=12&amp;end_day=31&amp;end_year=2016","Correlation")</f>
        <v>Correlation</v>
      </c>
    </row>
    <row r="2124" spans="1:13" x14ac:dyDescent="0.2">
      <c r="A2124" s="113"/>
      <c r="B2124" s="58" t="s">
        <v>6128</v>
      </c>
      <c r="C2124" s="58" t="s">
        <v>1816</v>
      </c>
      <c r="D2124" s="58" t="s">
        <v>6127</v>
      </c>
      <c r="E2124" s="60" t="b">
        <v>1</v>
      </c>
      <c r="F2124" s="80" t="s">
        <v>821</v>
      </c>
      <c r="G2124" s="58" t="s">
        <v>6126</v>
      </c>
      <c r="H2124" s="58" t="s">
        <v>1816</v>
      </c>
      <c r="I2124" s="64" t="s">
        <v>6127</v>
      </c>
      <c r="J2124" s="66"/>
      <c r="K2124" s="66"/>
      <c r="L2124" s="68"/>
      <c r="M2124" s="63" t="str">
        <f>HYPERLINK("http://nsgreg.nga.mil/genc/view?v=870186&amp;end_month=12&amp;end_day=31&amp;end_year=2016","Correlation")</f>
        <v>Correlation</v>
      </c>
    </row>
    <row r="2125" spans="1:13" x14ac:dyDescent="0.2">
      <c r="A2125" s="113"/>
      <c r="B2125" s="58" t="s">
        <v>6131</v>
      </c>
      <c r="C2125" s="58" t="s">
        <v>1816</v>
      </c>
      <c r="D2125" s="58" t="s">
        <v>6130</v>
      </c>
      <c r="E2125" s="60" t="b">
        <v>1</v>
      </c>
      <c r="F2125" s="80" t="s">
        <v>821</v>
      </c>
      <c r="G2125" s="58" t="s">
        <v>6129</v>
      </c>
      <c r="H2125" s="58" t="s">
        <v>1816</v>
      </c>
      <c r="I2125" s="64" t="s">
        <v>6130</v>
      </c>
      <c r="J2125" s="66"/>
      <c r="K2125" s="66"/>
      <c r="L2125" s="68"/>
      <c r="M2125" s="63" t="str">
        <f>HYPERLINK("http://nsgreg.nga.mil/genc/view?v=870187&amp;end_month=12&amp;end_day=31&amp;end_year=2016","Correlation")</f>
        <v>Correlation</v>
      </c>
    </row>
    <row r="2126" spans="1:13" x14ac:dyDescent="0.2">
      <c r="A2126" s="113"/>
      <c r="B2126" s="58" t="s">
        <v>6134</v>
      </c>
      <c r="C2126" s="58" t="s">
        <v>1816</v>
      </c>
      <c r="D2126" s="58" t="s">
        <v>6133</v>
      </c>
      <c r="E2126" s="60" t="b">
        <v>1</v>
      </c>
      <c r="F2126" s="80" t="s">
        <v>821</v>
      </c>
      <c r="G2126" s="58" t="s">
        <v>6132</v>
      </c>
      <c r="H2126" s="58" t="s">
        <v>1816</v>
      </c>
      <c r="I2126" s="64" t="s">
        <v>6133</v>
      </c>
      <c r="J2126" s="66"/>
      <c r="K2126" s="66"/>
      <c r="L2126" s="68"/>
      <c r="M2126" s="63" t="str">
        <f>HYPERLINK("http://nsgreg.nga.mil/genc/view?v=870188&amp;end_month=12&amp;end_day=31&amp;end_year=2016","Correlation")</f>
        <v>Correlation</v>
      </c>
    </row>
    <row r="2127" spans="1:13" x14ac:dyDescent="0.2">
      <c r="A2127" s="113"/>
      <c r="B2127" s="58" t="s">
        <v>6137</v>
      </c>
      <c r="C2127" s="58" t="s">
        <v>1816</v>
      </c>
      <c r="D2127" s="58" t="s">
        <v>6136</v>
      </c>
      <c r="E2127" s="60" t="b">
        <v>1</v>
      </c>
      <c r="F2127" s="80" t="s">
        <v>821</v>
      </c>
      <c r="G2127" s="58" t="s">
        <v>6135</v>
      </c>
      <c r="H2127" s="58" t="s">
        <v>1816</v>
      </c>
      <c r="I2127" s="64" t="s">
        <v>6136</v>
      </c>
      <c r="J2127" s="66"/>
      <c r="K2127" s="66"/>
      <c r="L2127" s="68"/>
      <c r="M2127" s="63" t="str">
        <f>HYPERLINK("http://nsgreg.nga.mil/genc/view?v=870189&amp;end_month=12&amp;end_day=31&amp;end_year=2016","Correlation")</f>
        <v>Correlation</v>
      </c>
    </row>
    <row r="2128" spans="1:13" x14ac:dyDescent="0.2">
      <c r="A2128" s="113"/>
      <c r="B2128" s="58" t="s">
        <v>6138</v>
      </c>
      <c r="C2128" s="58" t="s">
        <v>6088</v>
      </c>
      <c r="D2128" s="58" t="s">
        <v>6139</v>
      </c>
      <c r="E2128" s="60" t="b">
        <v>1</v>
      </c>
      <c r="F2128" s="80" t="s">
        <v>821</v>
      </c>
      <c r="G2128" s="58" t="s">
        <v>6138</v>
      </c>
      <c r="H2128" s="58" t="s">
        <v>6088</v>
      </c>
      <c r="I2128" s="64" t="s">
        <v>6139</v>
      </c>
      <c r="J2128" s="66"/>
      <c r="K2128" s="66"/>
      <c r="L2128" s="68"/>
      <c r="M2128" s="63" t="str">
        <f>HYPERLINK("http://nsgreg.nga.mil/genc/view?v=870262&amp;end_month=12&amp;end_day=31&amp;end_year=2016","Correlation")</f>
        <v>Correlation</v>
      </c>
    </row>
    <row r="2129" spans="1:13" x14ac:dyDescent="0.2">
      <c r="A2129" s="113"/>
      <c r="B2129" s="58" t="s">
        <v>6142</v>
      </c>
      <c r="C2129" s="58" t="s">
        <v>1816</v>
      </c>
      <c r="D2129" s="58" t="s">
        <v>6141</v>
      </c>
      <c r="E2129" s="60" t="b">
        <v>1</v>
      </c>
      <c r="F2129" s="80" t="s">
        <v>821</v>
      </c>
      <c r="G2129" s="58" t="s">
        <v>6140</v>
      </c>
      <c r="H2129" s="58" t="s">
        <v>1816</v>
      </c>
      <c r="I2129" s="64" t="s">
        <v>6141</v>
      </c>
      <c r="J2129" s="66"/>
      <c r="K2129" s="66"/>
      <c r="L2129" s="68"/>
      <c r="M2129" s="63" t="str">
        <f>HYPERLINK("http://nsgreg.nga.mil/genc/view?v=870191&amp;end_month=12&amp;end_day=31&amp;end_year=2016","Correlation")</f>
        <v>Correlation</v>
      </c>
    </row>
    <row r="2130" spans="1:13" x14ac:dyDescent="0.2">
      <c r="A2130" s="113"/>
      <c r="B2130" s="58" t="s">
        <v>6143</v>
      </c>
      <c r="C2130" s="58" t="s">
        <v>6088</v>
      </c>
      <c r="D2130" s="58" t="s">
        <v>6144</v>
      </c>
      <c r="E2130" s="60" t="b">
        <v>1</v>
      </c>
      <c r="F2130" s="80" t="s">
        <v>821</v>
      </c>
      <c r="G2130" s="58" t="s">
        <v>6143</v>
      </c>
      <c r="H2130" s="58" t="s">
        <v>6088</v>
      </c>
      <c r="I2130" s="64" t="s">
        <v>6144</v>
      </c>
      <c r="J2130" s="66"/>
      <c r="K2130" s="66"/>
      <c r="L2130" s="68"/>
      <c r="M2130" s="63" t="str">
        <f>HYPERLINK("http://nsgreg.nga.mil/genc/view?v=870261&amp;end_month=12&amp;end_day=31&amp;end_year=2016","Correlation")</f>
        <v>Correlation</v>
      </c>
    </row>
    <row r="2131" spans="1:13" x14ac:dyDescent="0.2">
      <c r="A2131" s="113"/>
      <c r="B2131" s="58" t="s">
        <v>6147</v>
      </c>
      <c r="C2131" s="58" t="s">
        <v>1816</v>
      </c>
      <c r="D2131" s="58" t="s">
        <v>6146</v>
      </c>
      <c r="E2131" s="60" t="b">
        <v>1</v>
      </c>
      <c r="F2131" s="80" t="s">
        <v>821</v>
      </c>
      <c r="G2131" s="58" t="s">
        <v>6145</v>
      </c>
      <c r="H2131" s="58" t="s">
        <v>1816</v>
      </c>
      <c r="I2131" s="64" t="s">
        <v>6146</v>
      </c>
      <c r="J2131" s="66"/>
      <c r="K2131" s="66"/>
      <c r="L2131" s="68"/>
      <c r="M2131" s="63" t="str">
        <f>HYPERLINK("http://nsgreg.nga.mil/genc/view?v=870190&amp;end_month=12&amp;end_day=31&amp;end_year=2016","Correlation")</f>
        <v>Correlation</v>
      </c>
    </row>
    <row r="2132" spans="1:13" x14ac:dyDescent="0.2">
      <c r="A2132" s="113"/>
      <c r="B2132" s="58" t="s">
        <v>6148</v>
      </c>
      <c r="C2132" s="58" t="s">
        <v>6088</v>
      </c>
      <c r="D2132" s="58" t="s">
        <v>6149</v>
      </c>
      <c r="E2132" s="60" t="b">
        <v>1</v>
      </c>
      <c r="F2132" s="80" t="s">
        <v>821</v>
      </c>
      <c r="G2132" s="58" t="s">
        <v>6148</v>
      </c>
      <c r="H2132" s="58" t="s">
        <v>6088</v>
      </c>
      <c r="I2132" s="64" t="s">
        <v>6149</v>
      </c>
      <c r="J2132" s="66"/>
      <c r="K2132" s="66"/>
      <c r="L2132" s="68"/>
      <c r="M2132" s="63" t="str">
        <f>HYPERLINK("http://nsgreg.nga.mil/genc/view?v=870263&amp;end_month=12&amp;end_day=31&amp;end_year=2016","Correlation")</f>
        <v>Correlation</v>
      </c>
    </row>
    <row r="2133" spans="1:13" x14ac:dyDescent="0.2">
      <c r="A2133" s="113"/>
      <c r="B2133" s="58" t="s">
        <v>6152</v>
      </c>
      <c r="C2133" s="58" t="s">
        <v>1816</v>
      </c>
      <c r="D2133" s="58" t="s">
        <v>6151</v>
      </c>
      <c r="E2133" s="60" t="b">
        <v>1</v>
      </c>
      <c r="F2133" s="80" t="s">
        <v>821</v>
      </c>
      <c r="G2133" s="58" t="s">
        <v>6150</v>
      </c>
      <c r="H2133" s="58" t="s">
        <v>1816</v>
      </c>
      <c r="I2133" s="64" t="s">
        <v>6151</v>
      </c>
      <c r="J2133" s="66"/>
      <c r="K2133" s="66"/>
      <c r="L2133" s="68"/>
      <c r="M2133" s="63" t="str">
        <f>HYPERLINK("http://nsgreg.nga.mil/genc/view?v=870192&amp;end_month=12&amp;end_day=31&amp;end_year=2016","Correlation")</f>
        <v>Correlation</v>
      </c>
    </row>
    <row r="2134" spans="1:13" x14ac:dyDescent="0.2">
      <c r="A2134" s="113"/>
      <c r="B2134" s="58" t="s">
        <v>6155</v>
      </c>
      <c r="C2134" s="58" t="s">
        <v>1816</v>
      </c>
      <c r="D2134" s="58" t="s">
        <v>6154</v>
      </c>
      <c r="E2134" s="60" t="b">
        <v>1</v>
      </c>
      <c r="F2134" s="80" t="s">
        <v>821</v>
      </c>
      <c r="G2134" s="58" t="s">
        <v>6153</v>
      </c>
      <c r="H2134" s="58" t="s">
        <v>1816</v>
      </c>
      <c r="I2134" s="64" t="s">
        <v>6154</v>
      </c>
      <c r="J2134" s="66"/>
      <c r="K2134" s="66"/>
      <c r="L2134" s="68"/>
      <c r="M2134" s="63" t="str">
        <f>HYPERLINK("http://nsgreg.nga.mil/genc/view?v=870193&amp;end_month=12&amp;end_day=31&amp;end_year=2016","Correlation")</f>
        <v>Correlation</v>
      </c>
    </row>
    <row r="2135" spans="1:13" x14ac:dyDescent="0.2">
      <c r="A2135" s="113"/>
      <c r="B2135" s="58" t="s">
        <v>6158</v>
      </c>
      <c r="C2135" s="58" t="s">
        <v>1816</v>
      </c>
      <c r="D2135" s="58" t="s">
        <v>6157</v>
      </c>
      <c r="E2135" s="60" t="b">
        <v>1</v>
      </c>
      <c r="F2135" s="80" t="s">
        <v>821</v>
      </c>
      <c r="G2135" s="58" t="s">
        <v>6156</v>
      </c>
      <c r="H2135" s="58" t="s">
        <v>1816</v>
      </c>
      <c r="I2135" s="64" t="s">
        <v>6157</v>
      </c>
      <c r="J2135" s="66"/>
      <c r="K2135" s="66"/>
      <c r="L2135" s="68"/>
      <c r="M2135" s="63" t="str">
        <f>HYPERLINK("http://nsgreg.nga.mil/genc/view?v=870200&amp;end_month=12&amp;end_day=31&amp;end_year=2016","Correlation")</f>
        <v>Correlation</v>
      </c>
    </row>
    <row r="2136" spans="1:13" x14ac:dyDescent="0.2">
      <c r="A2136" s="113"/>
      <c r="B2136" s="58" t="s">
        <v>6161</v>
      </c>
      <c r="C2136" s="58" t="s">
        <v>1816</v>
      </c>
      <c r="D2136" s="58" t="s">
        <v>6160</v>
      </c>
      <c r="E2136" s="60" t="b">
        <v>1</v>
      </c>
      <c r="F2136" s="80" t="s">
        <v>821</v>
      </c>
      <c r="G2136" s="58" t="s">
        <v>6159</v>
      </c>
      <c r="H2136" s="58" t="s">
        <v>1816</v>
      </c>
      <c r="I2136" s="64" t="s">
        <v>6160</v>
      </c>
      <c r="J2136" s="66"/>
      <c r="K2136" s="66"/>
      <c r="L2136" s="68"/>
      <c r="M2136" s="63" t="str">
        <f>HYPERLINK("http://nsgreg.nga.mil/genc/view?v=870201&amp;end_month=12&amp;end_day=31&amp;end_year=2016","Correlation")</f>
        <v>Correlation</v>
      </c>
    </row>
    <row r="2137" spans="1:13" x14ac:dyDescent="0.2">
      <c r="A2137" s="113"/>
      <c r="B2137" s="58" t="s">
        <v>6164</v>
      </c>
      <c r="C2137" s="58" t="s">
        <v>1816</v>
      </c>
      <c r="D2137" s="58" t="s">
        <v>6163</v>
      </c>
      <c r="E2137" s="60" t="b">
        <v>1</v>
      </c>
      <c r="F2137" s="80" t="s">
        <v>821</v>
      </c>
      <c r="G2137" s="58" t="s">
        <v>6162</v>
      </c>
      <c r="H2137" s="58" t="s">
        <v>1816</v>
      </c>
      <c r="I2137" s="64" t="s">
        <v>6163</v>
      </c>
      <c r="J2137" s="66"/>
      <c r="K2137" s="66"/>
      <c r="L2137" s="68"/>
      <c r="M2137" s="63" t="str">
        <f>HYPERLINK("http://nsgreg.nga.mil/genc/view?v=870194&amp;end_month=12&amp;end_day=31&amp;end_year=2016","Correlation")</f>
        <v>Correlation</v>
      </c>
    </row>
    <row r="2138" spans="1:13" x14ac:dyDescent="0.2">
      <c r="A2138" s="113"/>
      <c r="B2138" s="58" t="s">
        <v>6167</v>
      </c>
      <c r="C2138" s="58" t="s">
        <v>1816</v>
      </c>
      <c r="D2138" s="58" t="s">
        <v>6166</v>
      </c>
      <c r="E2138" s="60" t="b">
        <v>1</v>
      </c>
      <c r="F2138" s="80" t="s">
        <v>821</v>
      </c>
      <c r="G2138" s="58" t="s">
        <v>6165</v>
      </c>
      <c r="H2138" s="58" t="s">
        <v>1816</v>
      </c>
      <c r="I2138" s="64" t="s">
        <v>6166</v>
      </c>
      <c r="J2138" s="66"/>
      <c r="K2138" s="66"/>
      <c r="L2138" s="68"/>
      <c r="M2138" s="63" t="str">
        <f>HYPERLINK("http://nsgreg.nga.mil/genc/view?v=870195&amp;end_month=12&amp;end_day=31&amp;end_year=2016","Correlation")</f>
        <v>Correlation</v>
      </c>
    </row>
    <row r="2139" spans="1:13" x14ac:dyDescent="0.2">
      <c r="A2139" s="113"/>
      <c r="B2139" s="58" t="s">
        <v>6170</v>
      </c>
      <c r="C2139" s="58" t="s">
        <v>1816</v>
      </c>
      <c r="D2139" s="58" t="s">
        <v>6169</v>
      </c>
      <c r="E2139" s="60" t="b">
        <v>1</v>
      </c>
      <c r="F2139" s="80" t="s">
        <v>821</v>
      </c>
      <c r="G2139" s="58" t="s">
        <v>6168</v>
      </c>
      <c r="H2139" s="58" t="s">
        <v>1816</v>
      </c>
      <c r="I2139" s="64" t="s">
        <v>6169</v>
      </c>
      <c r="J2139" s="66"/>
      <c r="K2139" s="66"/>
      <c r="L2139" s="68"/>
      <c r="M2139" s="63" t="str">
        <f>HYPERLINK("http://nsgreg.nga.mil/genc/view?v=870196&amp;end_month=12&amp;end_day=31&amp;end_year=2016","Correlation")</f>
        <v>Correlation</v>
      </c>
    </row>
    <row r="2140" spans="1:13" x14ac:dyDescent="0.2">
      <c r="A2140" s="113"/>
      <c r="B2140" s="58" t="s">
        <v>6173</v>
      </c>
      <c r="C2140" s="58" t="s">
        <v>1816</v>
      </c>
      <c r="D2140" s="58" t="s">
        <v>6172</v>
      </c>
      <c r="E2140" s="60" t="b">
        <v>1</v>
      </c>
      <c r="F2140" s="80" t="s">
        <v>821</v>
      </c>
      <c r="G2140" s="58" t="s">
        <v>6171</v>
      </c>
      <c r="H2140" s="58" t="s">
        <v>1816</v>
      </c>
      <c r="I2140" s="64" t="s">
        <v>6172</v>
      </c>
      <c r="J2140" s="66"/>
      <c r="K2140" s="66"/>
      <c r="L2140" s="68"/>
      <c r="M2140" s="63" t="str">
        <f>HYPERLINK("http://nsgreg.nga.mil/genc/view?v=870197&amp;end_month=12&amp;end_day=31&amp;end_year=2016","Correlation")</f>
        <v>Correlation</v>
      </c>
    </row>
    <row r="2141" spans="1:13" x14ac:dyDescent="0.2">
      <c r="A2141" s="113"/>
      <c r="B2141" s="58" t="s">
        <v>6176</v>
      </c>
      <c r="C2141" s="58" t="s">
        <v>1816</v>
      </c>
      <c r="D2141" s="58" t="s">
        <v>6175</v>
      </c>
      <c r="E2141" s="60" t="b">
        <v>1</v>
      </c>
      <c r="F2141" s="80" t="s">
        <v>821</v>
      </c>
      <c r="G2141" s="58" t="s">
        <v>6174</v>
      </c>
      <c r="H2141" s="58" t="s">
        <v>1816</v>
      </c>
      <c r="I2141" s="64" t="s">
        <v>6175</v>
      </c>
      <c r="J2141" s="66"/>
      <c r="K2141" s="66"/>
      <c r="L2141" s="68"/>
      <c r="M2141" s="63" t="str">
        <f>HYPERLINK("http://nsgreg.nga.mil/genc/view?v=870198&amp;end_month=12&amp;end_day=31&amp;end_year=2016","Correlation")</f>
        <v>Correlation</v>
      </c>
    </row>
    <row r="2142" spans="1:13" x14ac:dyDescent="0.2">
      <c r="A2142" s="113"/>
      <c r="B2142" s="58" t="s">
        <v>6179</v>
      </c>
      <c r="C2142" s="58" t="s">
        <v>1816</v>
      </c>
      <c r="D2142" s="58" t="s">
        <v>6178</v>
      </c>
      <c r="E2142" s="60" t="b">
        <v>1</v>
      </c>
      <c r="F2142" s="80" t="s">
        <v>821</v>
      </c>
      <c r="G2142" s="58" t="s">
        <v>6177</v>
      </c>
      <c r="H2142" s="58" t="s">
        <v>1816</v>
      </c>
      <c r="I2142" s="64" t="s">
        <v>6178</v>
      </c>
      <c r="J2142" s="66"/>
      <c r="K2142" s="66"/>
      <c r="L2142" s="68"/>
      <c r="M2142" s="63" t="str">
        <f>HYPERLINK("http://nsgreg.nga.mil/genc/view?v=870199&amp;end_month=12&amp;end_day=31&amp;end_year=2016","Correlation")</f>
        <v>Correlation</v>
      </c>
    </row>
    <row r="2143" spans="1:13" x14ac:dyDescent="0.2">
      <c r="A2143" s="113"/>
      <c r="B2143" s="58" t="s">
        <v>6182</v>
      </c>
      <c r="C2143" s="58" t="s">
        <v>1816</v>
      </c>
      <c r="D2143" s="58" t="s">
        <v>6181</v>
      </c>
      <c r="E2143" s="60" t="b">
        <v>1</v>
      </c>
      <c r="F2143" s="80" t="s">
        <v>821</v>
      </c>
      <c r="G2143" s="58" t="s">
        <v>6180</v>
      </c>
      <c r="H2143" s="58" t="s">
        <v>1816</v>
      </c>
      <c r="I2143" s="64" t="s">
        <v>6181</v>
      </c>
      <c r="J2143" s="66"/>
      <c r="K2143" s="66"/>
      <c r="L2143" s="68"/>
      <c r="M2143" s="63" t="str">
        <f>HYPERLINK("http://nsgreg.nga.mil/genc/view?v=870202&amp;end_month=12&amp;end_day=31&amp;end_year=2016","Correlation")</f>
        <v>Correlation</v>
      </c>
    </row>
    <row r="2144" spans="1:13" x14ac:dyDescent="0.2">
      <c r="A2144" s="113"/>
      <c r="B2144" s="58" t="s">
        <v>6183</v>
      </c>
      <c r="C2144" s="58" t="s">
        <v>6088</v>
      </c>
      <c r="D2144" s="58" t="s">
        <v>6184</v>
      </c>
      <c r="E2144" s="60" t="b">
        <v>1</v>
      </c>
      <c r="F2144" s="80" t="s">
        <v>821</v>
      </c>
      <c r="G2144" s="58" t="s">
        <v>6183</v>
      </c>
      <c r="H2144" s="58" t="s">
        <v>6088</v>
      </c>
      <c r="I2144" s="64" t="s">
        <v>6184</v>
      </c>
      <c r="J2144" s="66"/>
      <c r="K2144" s="66"/>
      <c r="L2144" s="68"/>
      <c r="M2144" s="63" t="str">
        <f>HYPERLINK("http://nsgreg.nga.mil/genc/view?v=870264&amp;end_month=12&amp;end_day=31&amp;end_year=2016","Correlation")</f>
        <v>Correlation</v>
      </c>
    </row>
    <row r="2145" spans="1:13" x14ac:dyDescent="0.2">
      <c r="A2145" s="113"/>
      <c r="B2145" s="58" t="s">
        <v>6187</v>
      </c>
      <c r="C2145" s="58" t="s">
        <v>1816</v>
      </c>
      <c r="D2145" s="58" t="s">
        <v>6186</v>
      </c>
      <c r="E2145" s="60" t="b">
        <v>1</v>
      </c>
      <c r="F2145" s="80" t="s">
        <v>821</v>
      </c>
      <c r="G2145" s="58" t="s">
        <v>6185</v>
      </c>
      <c r="H2145" s="58" t="s">
        <v>1816</v>
      </c>
      <c r="I2145" s="64" t="s">
        <v>6186</v>
      </c>
      <c r="J2145" s="66"/>
      <c r="K2145" s="66"/>
      <c r="L2145" s="68"/>
      <c r="M2145" s="63" t="str">
        <f>HYPERLINK("http://nsgreg.nga.mil/genc/view?v=870204&amp;end_month=12&amp;end_day=31&amp;end_year=2016","Correlation")</f>
        <v>Correlation</v>
      </c>
    </row>
    <row r="2146" spans="1:13" x14ac:dyDescent="0.2">
      <c r="A2146" s="113"/>
      <c r="B2146" s="58" t="s">
        <v>6190</v>
      </c>
      <c r="C2146" s="58" t="s">
        <v>1816</v>
      </c>
      <c r="D2146" s="58" t="s">
        <v>6189</v>
      </c>
      <c r="E2146" s="60" t="b">
        <v>1</v>
      </c>
      <c r="F2146" s="80" t="s">
        <v>821</v>
      </c>
      <c r="G2146" s="58" t="s">
        <v>6188</v>
      </c>
      <c r="H2146" s="58" t="s">
        <v>1816</v>
      </c>
      <c r="I2146" s="64" t="s">
        <v>6189</v>
      </c>
      <c r="J2146" s="66"/>
      <c r="K2146" s="66"/>
      <c r="L2146" s="68"/>
      <c r="M2146" s="63" t="str">
        <f>HYPERLINK("http://nsgreg.nga.mil/genc/view?v=870203&amp;end_month=12&amp;end_day=31&amp;end_year=2016","Correlation")</f>
        <v>Correlation</v>
      </c>
    </row>
    <row r="2147" spans="1:13" x14ac:dyDescent="0.2">
      <c r="A2147" s="113"/>
      <c r="B2147" s="58" t="s">
        <v>6193</v>
      </c>
      <c r="C2147" s="58" t="s">
        <v>1816</v>
      </c>
      <c r="D2147" s="58" t="s">
        <v>6192</v>
      </c>
      <c r="E2147" s="60" t="b">
        <v>1</v>
      </c>
      <c r="F2147" s="80" t="s">
        <v>821</v>
      </c>
      <c r="G2147" s="58" t="s">
        <v>6191</v>
      </c>
      <c r="H2147" s="58" t="s">
        <v>1816</v>
      </c>
      <c r="I2147" s="64" t="s">
        <v>6192</v>
      </c>
      <c r="J2147" s="66"/>
      <c r="K2147" s="66"/>
      <c r="L2147" s="68"/>
      <c r="M2147" s="63" t="str">
        <f>HYPERLINK("http://nsgreg.nga.mil/genc/view?v=870205&amp;end_month=12&amp;end_day=31&amp;end_year=2016","Correlation")</f>
        <v>Correlation</v>
      </c>
    </row>
    <row r="2148" spans="1:13" x14ac:dyDescent="0.2">
      <c r="A2148" s="113"/>
      <c r="B2148" s="58" t="s">
        <v>6196</v>
      </c>
      <c r="C2148" s="58" t="s">
        <v>1816</v>
      </c>
      <c r="D2148" s="58" t="s">
        <v>6195</v>
      </c>
      <c r="E2148" s="60" t="b">
        <v>1</v>
      </c>
      <c r="F2148" s="80" t="s">
        <v>821</v>
      </c>
      <c r="G2148" s="58" t="s">
        <v>6194</v>
      </c>
      <c r="H2148" s="58" t="s">
        <v>1816</v>
      </c>
      <c r="I2148" s="64" t="s">
        <v>6195</v>
      </c>
      <c r="J2148" s="66"/>
      <c r="K2148" s="66"/>
      <c r="L2148" s="68"/>
      <c r="M2148" s="63" t="str">
        <f>HYPERLINK("http://nsgreg.nga.mil/genc/view?v=870206&amp;end_month=12&amp;end_day=31&amp;end_year=2016","Correlation")</f>
        <v>Correlation</v>
      </c>
    </row>
    <row r="2149" spans="1:13" x14ac:dyDescent="0.2">
      <c r="A2149" s="113"/>
      <c r="B2149" s="58" t="s">
        <v>6199</v>
      </c>
      <c r="C2149" s="58" t="s">
        <v>1816</v>
      </c>
      <c r="D2149" s="58" t="s">
        <v>6198</v>
      </c>
      <c r="E2149" s="60" t="b">
        <v>1</v>
      </c>
      <c r="F2149" s="80" t="s">
        <v>821</v>
      </c>
      <c r="G2149" s="58" t="s">
        <v>6197</v>
      </c>
      <c r="H2149" s="58" t="s">
        <v>1816</v>
      </c>
      <c r="I2149" s="64" t="s">
        <v>6198</v>
      </c>
      <c r="J2149" s="66"/>
      <c r="K2149" s="66"/>
      <c r="L2149" s="68"/>
      <c r="M2149" s="63" t="str">
        <f>HYPERLINK("http://nsgreg.nga.mil/genc/view?v=870207&amp;end_month=12&amp;end_day=31&amp;end_year=2016","Correlation")</f>
        <v>Correlation</v>
      </c>
    </row>
    <row r="2150" spans="1:13" x14ac:dyDescent="0.2">
      <c r="A2150" s="113"/>
      <c r="B2150" s="58" t="s">
        <v>6202</v>
      </c>
      <c r="C2150" s="58" t="s">
        <v>1816</v>
      </c>
      <c r="D2150" s="58" t="s">
        <v>6201</v>
      </c>
      <c r="E2150" s="60" t="b">
        <v>1</v>
      </c>
      <c r="F2150" s="80" t="s">
        <v>821</v>
      </c>
      <c r="G2150" s="58" t="s">
        <v>6200</v>
      </c>
      <c r="H2150" s="58" t="s">
        <v>1816</v>
      </c>
      <c r="I2150" s="64" t="s">
        <v>6201</v>
      </c>
      <c r="J2150" s="66"/>
      <c r="K2150" s="66"/>
      <c r="L2150" s="68"/>
      <c r="M2150" s="63" t="str">
        <f>HYPERLINK("http://nsgreg.nga.mil/genc/view?v=870208&amp;end_month=12&amp;end_day=31&amp;end_year=2016","Correlation")</f>
        <v>Correlation</v>
      </c>
    </row>
    <row r="2151" spans="1:13" x14ac:dyDescent="0.2">
      <c r="A2151" s="113"/>
      <c r="B2151" s="58" t="s">
        <v>6205</v>
      </c>
      <c r="C2151" s="58" t="s">
        <v>1816</v>
      </c>
      <c r="D2151" s="58" t="s">
        <v>6204</v>
      </c>
      <c r="E2151" s="60" t="b">
        <v>1</v>
      </c>
      <c r="F2151" s="80" t="s">
        <v>821</v>
      </c>
      <c r="G2151" s="58" t="s">
        <v>6203</v>
      </c>
      <c r="H2151" s="58" t="s">
        <v>1816</v>
      </c>
      <c r="I2151" s="64" t="s">
        <v>6204</v>
      </c>
      <c r="J2151" s="66"/>
      <c r="K2151" s="66"/>
      <c r="L2151" s="68"/>
      <c r="M2151" s="63" t="str">
        <f>HYPERLINK("http://nsgreg.nga.mil/genc/view?v=870210&amp;end_month=12&amp;end_day=31&amp;end_year=2016","Correlation")</f>
        <v>Correlation</v>
      </c>
    </row>
    <row r="2152" spans="1:13" x14ac:dyDescent="0.2">
      <c r="A2152" s="113"/>
      <c r="B2152" s="58" t="s">
        <v>6208</v>
      </c>
      <c r="C2152" s="58" t="s">
        <v>1816</v>
      </c>
      <c r="D2152" s="58" t="s">
        <v>6207</v>
      </c>
      <c r="E2152" s="60" t="b">
        <v>1</v>
      </c>
      <c r="F2152" s="80" t="s">
        <v>821</v>
      </c>
      <c r="G2152" s="58" t="s">
        <v>6206</v>
      </c>
      <c r="H2152" s="58" t="s">
        <v>1816</v>
      </c>
      <c r="I2152" s="64" t="s">
        <v>6207</v>
      </c>
      <c r="J2152" s="66"/>
      <c r="K2152" s="66"/>
      <c r="L2152" s="68"/>
      <c r="M2152" s="63" t="str">
        <f>HYPERLINK("http://nsgreg.nga.mil/genc/view?v=870211&amp;end_month=12&amp;end_day=31&amp;end_year=2016","Correlation")</f>
        <v>Correlation</v>
      </c>
    </row>
    <row r="2153" spans="1:13" x14ac:dyDescent="0.2">
      <c r="A2153" s="113"/>
      <c r="B2153" s="58" t="s">
        <v>6211</v>
      </c>
      <c r="C2153" s="58" t="s">
        <v>1816</v>
      </c>
      <c r="D2153" s="58" t="s">
        <v>6210</v>
      </c>
      <c r="E2153" s="60" t="b">
        <v>1</v>
      </c>
      <c r="F2153" s="80" t="s">
        <v>821</v>
      </c>
      <c r="G2153" s="58" t="s">
        <v>6209</v>
      </c>
      <c r="H2153" s="58" t="s">
        <v>1816</v>
      </c>
      <c r="I2153" s="64" t="s">
        <v>6210</v>
      </c>
      <c r="J2153" s="66"/>
      <c r="K2153" s="66"/>
      <c r="L2153" s="68"/>
      <c r="M2153" s="63" t="str">
        <f>HYPERLINK("http://nsgreg.nga.mil/genc/view?v=870209&amp;end_month=12&amp;end_day=31&amp;end_year=2016","Correlation")</f>
        <v>Correlation</v>
      </c>
    </row>
    <row r="2154" spans="1:13" x14ac:dyDescent="0.2">
      <c r="A2154" s="113"/>
      <c r="B2154" s="58" t="s">
        <v>6214</v>
      </c>
      <c r="C2154" s="58" t="s">
        <v>1816</v>
      </c>
      <c r="D2154" s="58" t="s">
        <v>6213</v>
      </c>
      <c r="E2154" s="60" t="b">
        <v>1</v>
      </c>
      <c r="F2154" s="80" t="s">
        <v>821</v>
      </c>
      <c r="G2154" s="58" t="s">
        <v>6212</v>
      </c>
      <c r="H2154" s="58" t="s">
        <v>1816</v>
      </c>
      <c r="I2154" s="64" t="s">
        <v>6213</v>
      </c>
      <c r="J2154" s="66"/>
      <c r="K2154" s="66"/>
      <c r="L2154" s="68"/>
      <c r="M2154" s="63" t="str">
        <f>HYPERLINK("http://nsgreg.nga.mil/genc/view?v=870212&amp;end_month=12&amp;end_day=31&amp;end_year=2016","Correlation")</f>
        <v>Correlation</v>
      </c>
    </row>
    <row r="2155" spans="1:13" x14ac:dyDescent="0.2">
      <c r="A2155" s="113"/>
      <c r="B2155" s="58" t="s">
        <v>6217</v>
      </c>
      <c r="C2155" s="58" t="s">
        <v>1816</v>
      </c>
      <c r="D2155" s="58" t="s">
        <v>6216</v>
      </c>
      <c r="E2155" s="60" t="b">
        <v>1</v>
      </c>
      <c r="F2155" s="80" t="s">
        <v>821</v>
      </c>
      <c r="G2155" s="58" t="s">
        <v>6215</v>
      </c>
      <c r="H2155" s="58" t="s">
        <v>1816</v>
      </c>
      <c r="I2155" s="64" t="s">
        <v>6216</v>
      </c>
      <c r="J2155" s="66"/>
      <c r="K2155" s="66"/>
      <c r="L2155" s="68"/>
      <c r="M2155" s="63" t="str">
        <f>HYPERLINK("http://nsgreg.nga.mil/genc/view?v=870213&amp;end_month=12&amp;end_day=31&amp;end_year=2016","Correlation")</f>
        <v>Correlation</v>
      </c>
    </row>
    <row r="2156" spans="1:13" x14ac:dyDescent="0.2">
      <c r="A2156" s="113"/>
      <c r="B2156" s="58" t="s">
        <v>6220</v>
      </c>
      <c r="C2156" s="58" t="s">
        <v>1816</v>
      </c>
      <c r="D2156" s="58" t="s">
        <v>6219</v>
      </c>
      <c r="E2156" s="60" t="b">
        <v>1</v>
      </c>
      <c r="F2156" s="80" t="s">
        <v>821</v>
      </c>
      <c r="G2156" s="58" t="s">
        <v>6218</v>
      </c>
      <c r="H2156" s="58" t="s">
        <v>1816</v>
      </c>
      <c r="I2156" s="64" t="s">
        <v>6219</v>
      </c>
      <c r="J2156" s="66"/>
      <c r="K2156" s="66"/>
      <c r="L2156" s="68"/>
      <c r="M2156" s="63" t="str">
        <f>HYPERLINK("http://nsgreg.nga.mil/genc/view?v=870214&amp;end_month=12&amp;end_day=31&amp;end_year=2016","Correlation")</f>
        <v>Correlation</v>
      </c>
    </row>
    <row r="2157" spans="1:13" x14ac:dyDescent="0.2">
      <c r="A2157" s="113"/>
      <c r="B2157" s="58" t="s">
        <v>6223</v>
      </c>
      <c r="C2157" s="58" t="s">
        <v>1816</v>
      </c>
      <c r="D2157" s="58" t="s">
        <v>6222</v>
      </c>
      <c r="E2157" s="60" t="b">
        <v>1</v>
      </c>
      <c r="F2157" s="80" t="s">
        <v>821</v>
      </c>
      <c r="G2157" s="58" t="s">
        <v>6221</v>
      </c>
      <c r="H2157" s="58" t="s">
        <v>1816</v>
      </c>
      <c r="I2157" s="64" t="s">
        <v>6222</v>
      </c>
      <c r="J2157" s="66"/>
      <c r="K2157" s="66"/>
      <c r="L2157" s="68"/>
      <c r="M2157" s="63" t="str">
        <f>HYPERLINK("http://nsgreg.nga.mil/genc/view?v=870215&amp;end_month=12&amp;end_day=31&amp;end_year=2016","Correlation")</f>
        <v>Correlation</v>
      </c>
    </row>
    <row r="2158" spans="1:13" x14ac:dyDescent="0.2">
      <c r="A2158" s="113"/>
      <c r="B2158" s="58" t="s">
        <v>6226</v>
      </c>
      <c r="C2158" s="58" t="s">
        <v>1816</v>
      </c>
      <c r="D2158" s="58" t="s">
        <v>6225</v>
      </c>
      <c r="E2158" s="60" t="b">
        <v>1</v>
      </c>
      <c r="F2158" s="80" t="s">
        <v>821</v>
      </c>
      <c r="G2158" s="58" t="s">
        <v>6224</v>
      </c>
      <c r="H2158" s="58" t="s">
        <v>1816</v>
      </c>
      <c r="I2158" s="64" t="s">
        <v>6225</v>
      </c>
      <c r="J2158" s="66"/>
      <c r="K2158" s="66"/>
      <c r="L2158" s="68"/>
      <c r="M2158" s="63" t="str">
        <f>HYPERLINK("http://nsgreg.nga.mil/genc/view?v=870216&amp;end_month=12&amp;end_day=31&amp;end_year=2016","Correlation")</f>
        <v>Correlation</v>
      </c>
    </row>
    <row r="2159" spans="1:13" x14ac:dyDescent="0.2">
      <c r="A2159" s="113"/>
      <c r="B2159" s="58" t="s">
        <v>6229</v>
      </c>
      <c r="C2159" s="58" t="s">
        <v>1816</v>
      </c>
      <c r="D2159" s="58" t="s">
        <v>6228</v>
      </c>
      <c r="E2159" s="60" t="b">
        <v>1</v>
      </c>
      <c r="F2159" s="80" t="s">
        <v>821</v>
      </c>
      <c r="G2159" s="58" t="s">
        <v>6227</v>
      </c>
      <c r="H2159" s="58" t="s">
        <v>1816</v>
      </c>
      <c r="I2159" s="64" t="s">
        <v>6228</v>
      </c>
      <c r="J2159" s="66"/>
      <c r="K2159" s="66"/>
      <c r="L2159" s="68"/>
      <c r="M2159" s="63" t="str">
        <f>HYPERLINK("http://nsgreg.nga.mil/genc/view?v=870217&amp;end_month=12&amp;end_day=31&amp;end_year=2016","Correlation")</f>
        <v>Correlation</v>
      </c>
    </row>
    <row r="2160" spans="1:13" x14ac:dyDescent="0.2">
      <c r="A2160" s="113"/>
      <c r="B2160" s="58" t="s">
        <v>6232</v>
      </c>
      <c r="C2160" s="58" t="s">
        <v>1816</v>
      </c>
      <c r="D2160" s="58" t="s">
        <v>6231</v>
      </c>
      <c r="E2160" s="60" t="b">
        <v>1</v>
      </c>
      <c r="F2160" s="80" t="s">
        <v>821</v>
      </c>
      <c r="G2160" s="58" t="s">
        <v>6230</v>
      </c>
      <c r="H2160" s="58" t="s">
        <v>1816</v>
      </c>
      <c r="I2160" s="64" t="s">
        <v>6231</v>
      </c>
      <c r="J2160" s="66"/>
      <c r="K2160" s="66"/>
      <c r="L2160" s="68"/>
      <c r="M2160" s="63" t="str">
        <f>HYPERLINK("http://nsgreg.nga.mil/genc/view?v=870218&amp;end_month=12&amp;end_day=31&amp;end_year=2016","Correlation")</f>
        <v>Correlation</v>
      </c>
    </row>
    <row r="2161" spans="1:13" x14ac:dyDescent="0.2">
      <c r="A2161" s="113"/>
      <c r="B2161" s="58" t="s">
        <v>6235</v>
      </c>
      <c r="C2161" s="58" t="s">
        <v>1816</v>
      </c>
      <c r="D2161" s="58" t="s">
        <v>6234</v>
      </c>
      <c r="E2161" s="60" t="b">
        <v>1</v>
      </c>
      <c r="F2161" s="80" t="s">
        <v>821</v>
      </c>
      <c r="G2161" s="58" t="s">
        <v>6233</v>
      </c>
      <c r="H2161" s="58" t="s">
        <v>1816</v>
      </c>
      <c r="I2161" s="64" t="s">
        <v>6234</v>
      </c>
      <c r="J2161" s="66"/>
      <c r="K2161" s="66"/>
      <c r="L2161" s="68"/>
      <c r="M2161" s="63" t="str">
        <f>HYPERLINK("http://nsgreg.nga.mil/genc/view?v=870219&amp;end_month=12&amp;end_day=31&amp;end_year=2016","Correlation")</f>
        <v>Correlation</v>
      </c>
    </row>
    <row r="2162" spans="1:13" x14ac:dyDescent="0.2">
      <c r="A2162" s="113"/>
      <c r="B2162" s="58" t="s">
        <v>6238</v>
      </c>
      <c r="C2162" s="58" t="s">
        <v>1816</v>
      </c>
      <c r="D2162" s="58" t="s">
        <v>6237</v>
      </c>
      <c r="E2162" s="60" t="b">
        <v>1</v>
      </c>
      <c r="F2162" s="80" t="s">
        <v>821</v>
      </c>
      <c r="G2162" s="58" t="s">
        <v>6236</v>
      </c>
      <c r="H2162" s="58" t="s">
        <v>1816</v>
      </c>
      <c r="I2162" s="64" t="s">
        <v>6237</v>
      </c>
      <c r="J2162" s="66"/>
      <c r="K2162" s="66"/>
      <c r="L2162" s="68"/>
      <c r="M2162" s="63" t="str">
        <f>HYPERLINK("http://nsgreg.nga.mil/genc/view?v=870220&amp;end_month=12&amp;end_day=31&amp;end_year=2016","Correlation")</f>
        <v>Correlation</v>
      </c>
    </row>
    <row r="2163" spans="1:13" x14ac:dyDescent="0.2">
      <c r="A2163" s="113"/>
      <c r="B2163" s="58" t="s">
        <v>6241</v>
      </c>
      <c r="C2163" s="58" t="s">
        <v>1816</v>
      </c>
      <c r="D2163" s="58" t="s">
        <v>6240</v>
      </c>
      <c r="E2163" s="60" t="b">
        <v>1</v>
      </c>
      <c r="F2163" s="80" t="s">
        <v>821</v>
      </c>
      <c r="G2163" s="58" t="s">
        <v>6239</v>
      </c>
      <c r="H2163" s="58" t="s">
        <v>1816</v>
      </c>
      <c r="I2163" s="64" t="s">
        <v>6240</v>
      </c>
      <c r="J2163" s="66"/>
      <c r="K2163" s="66"/>
      <c r="L2163" s="68"/>
      <c r="M2163" s="63" t="str">
        <f>HYPERLINK("http://nsgreg.nga.mil/genc/view?v=870221&amp;end_month=12&amp;end_day=31&amp;end_year=2016","Correlation")</f>
        <v>Correlation</v>
      </c>
    </row>
    <row r="2164" spans="1:13" x14ac:dyDescent="0.2">
      <c r="A2164" s="113"/>
      <c r="B2164" s="58" t="s">
        <v>6244</v>
      </c>
      <c r="C2164" s="58" t="s">
        <v>1816</v>
      </c>
      <c r="D2164" s="58" t="s">
        <v>6243</v>
      </c>
      <c r="E2164" s="60" t="b">
        <v>1</v>
      </c>
      <c r="F2164" s="80" t="s">
        <v>821</v>
      </c>
      <c r="G2164" s="58" t="s">
        <v>6242</v>
      </c>
      <c r="H2164" s="58" t="s">
        <v>1816</v>
      </c>
      <c r="I2164" s="64" t="s">
        <v>6243</v>
      </c>
      <c r="J2164" s="66"/>
      <c r="K2164" s="66"/>
      <c r="L2164" s="68"/>
      <c r="M2164" s="63" t="str">
        <f>HYPERLINK("http://nsgreg.nga.mil/genc/view?v=870222&amp;end_month=12&amp;end_day=31&amp;end_year=2016","Correlation")</f>
        <v>Correlation</v>
      </c>
    </row>
    <row r="2165" spans="1:13" x14ac:dyDescent="0.2">
      <c r="A2165" s="113"/>
      <c r="B2165" s="58" t="s">
        <v>6247</v>
      </c>
      <c r="C2165" s="58" t="s">
        <v>1816</v>
      </c>
      <c r="D2165" s="58" t="s">
        <v>6246</v>
      </c>
      <c r="E2165" s="60" t="b">
        <v>1</v>
      </c>
      <c r="F2165" s="80" t="s">
        <v>821</v>
      </c>
      <c r="G2165" s="58" t="s">
        <v>6245</v>
      </c>
      <c r="H2165" s="58" t="s">
        <v>1816</v>
      </c>
      <c r="I2165" s="64" t="s">
        <v>6246</v>
      </c>
      <c r="J2165" s="66"/>
      <c r="K2165" s="66"/>
      <c r="L2165" s="68"/>
      <c r="M2165" s="63" t="str">
        <f>HYPERLINK("http://nsgreg.nga.mil/genc/view?v=870223&amp;end_month=12&amp;end_day=31&amp;end_year=2016","Correlation")</f>
        <v>Correlation</v>
      </c>
    </row>
    <row r="2166" spans="1:13" x14ac:dyDescent="0.2">
      <c r="A2166" s="113"/>
      <c r="B2166" s="58" t="s">
        <v>6250</v>
      </c>
      <c r="C2166" s="58" t="s">
        <v>1816</v>
      </c>
      <c r="D2166" s="58" t="s">
        <v>6249</v>
      </c>
      <c r="E2166" s="60" t="b">
        <v>1</v>
      </c>
      <c r="F2166" s="80" t="s">
        <v>821</v>
      </c>
      <c r="G2166" s="58" t="s">
        <v>6248</v>
      </c>
      <c r="H2166" s="58" t="s">
        <v>1816</v>
      </c>
      <c r="I2166" s="64" t="s">
        <v>6249</v>
      </c>
      <c r="J2166" s="66"/>
      <c r="K2166" s="66"/>
      <c r="L2166" s="68"/>
      <c r="M2166" s="63" t="str">
        <f>HYPERLINK("http://nsgreg.nga.mil/genc/view?v=870224&amp;end_month=12&amp;end_day=31&amp;end_year=2016","Correlation")</f>
        <v>Correlation</v>
      </c>
    </row>
    <row r="2167" spans="1:13" x14ac:dyDescent="0.2">
      <c r="A2167" s="113"/>
      <c r="B2167" s="58" t="s">
        <v>6253</v>
      </c>
      <c r="C2167" s="58" t="s">
        <v>1816</v>
      </c>
      <c r="D2167" s="58" t="s">
        <v>6252</v>
      </c>
      <c r="E2167" s="60" t="b">
        <v>1</v>
      </c>
      <c r="F2167" s="80" t="s">
        <v>821</v>
      </c>
      <c r="G2167" s="58" t="s">
        <v>6251</v>
      </c>
      <c r="H2167" s="58" t="s">
        <v>1816</v>
      </c>
      <c r="I2167" s="64" t="s">
        <v>6252</v>
      </c>
      <c r="J2167" s="66"/>
      <c r="K2167" s="66"/>
      <c r="L2167" s="68"/>
      <c r="M2167" s="63" t="str">
        <f>HYPERLINK("http://nsgreg.nga.mil/genc/view?v=870225&amp;end_month=12&amp;end_day=31&amp;end_year=2016","Correlation")</f>
        <v>Correlation</v>
      </c>
    </row>
    <row r="2168" spans="1:13" x14ac:dyDescent="0.2">
      <c r="A2168" s="113"/>
      <c r="B2168" s="58" t="s">
        <v>6254</v>
      </c>
      <c r="C2168" s="58" t="s">
        <v>6088</v>
      </c>
      <c r="D2168" s="58" t="s">
        <v>6255</v>
      </c>
      <c r="E2168" s="60" t="b">
        <v>1</v>
      </c>
      <c r="F2168" s="80" t="s">
        <v>821</v>
      </c>
      <c r="G2168" s="58" t="s">
        <v>6254</v>
      </c>
      <c r="H2168" s="58" t="s">
        <v>6088</v>
      </c>
      <c r="I2168" s="64" t="s">
        <v>6255</v>
      </c>
      <c r="J2168" s="66"/>
      <c r="K2168" s="66"/>
      <c r="L2168" s="68"/>
      <c r="M2168" s="63" t="str">
        <f>HYPERLINK("http://nsgreg.nga.mil/genc/view?v=870265&amp;end_month=12&amp;end_day=31&amp;end_year=2016","Correlation")</f>
        <v>Correlation</v>
      </c>
    </row>
    <row r="2169" spans="1:13" x14ac:dyDescent="0.2">
      <c r="A2169" s="113"/>
      <c r="B2169" s="58" t="s">
        <v>6258</v>
      </c>
      <c r="C2169" s="58" t="s">
        <v>1816</v>
      </c>
      <c r="D2169" s="58" t="s">
        <v>6257</v>
      </c>
      <c r="E2169" s="60" t="b">
        <v>1</v>
      </c>
      <c r="F2169" s="80" t="s">
        <v>821</v>
      </c>
      <c r="G2169" s="58" t="s">
        <v>6256</v>
      </c>
      <c r="H2169" s="58" t="s">
        <v>1816</v>
      </c>
      <c r="I2169" s="64" t="s">
        <v>6257</v>
      </c>
      <c r="J2169" s="66"/>
      <c r="K2169" s="66"/>
      <c r="L2169" s="68"/>
      <c r="M2169" s="63" t="str">
        <f>HYPERLINK("http://nsgreg.nga.mil/genc/view?v=870226&amp;end_month=12&amp;end_day=31&amp;end_year=2016","Correlation")</f>
        <v>Correlation</v>
      </c>
    </row>
    <row r="2170" spans="1:13" x14ac:dyDescent="0.2">
      <c r="A2170" s="113"/>
      <c r="B2170" s="58" t="s">
        <v>6261</v>
      </c>
      <c r="C2170" s="58" t="s">
        <v>1816</v>
      </c>
      <c r="D2170" s="58" t="s">
        <v>6260</v>
      </c>
      <c r="E2170" s="60" t="b">
        <v>1</v>
      </c>
      <c r="F2170" s="80" t="s">
        <v>821</v>
      </c>
      <c r="G2170" s="58" t="s">
        <v>6259</v>
      </c>
      <c r="H2170" s="58" t="s">
        <v>1816</v>
      </c>
      <c r="I2170" s="64" t="s">
        <v>6260</v>
      </c>
      <c r="J2170" s="66"/>
      <c r="K2170" s="66"/>
      <c r="L2170" s="68"/>
      <c r="M2170" s="63" t="str">
        <f>HYPERLINK("http://nsgreg.nga.mil/genc/view?v=870227&amp;end_month=12&amp;end_day=31&amp;end_year=2016","Correlation")</f>
        <v>Correlation</v>
      </c>
    </row>
    <row r="2171" spans="1:13" x14ac:dyDescent="0.2">
      <c r="A2171" s="113"/>
      <c r="B2171" s="58" t="s">
        <v>6262</v>
      </c>
      <c r="C2171" s="58" t="s">
        <v>6088</v>
      </c>
      <c r="D2171" s="58" t="s">
        <v>6263</v>
      </c>
      <c r="E2171" s="60" t="b">
        <v>1</v>
      </c>
      <c r="F2171" s="80" t="s">
        <v>821</v>
      </c>
      <c r="G2171" s="58" t="s">
        <v>6262</v>
      </c>
      <c r="H2171" s="58" t="s">
        <v>6088</v>
      </c>
      <c r="I2171" s="64" t="s">
        <v>6263</v>
      </c>
      <c r="J2171" s="66"/>
      <c r="K2171" s="66"/>
      <c r="L2171" s="68"/>
      <c r="M2171" s="63" t="str">
        <f>HYPERLINK("http://nsgreg.nga.mil/genc/view?v=870266&amp;end_month=12&amp;end_day=31&amp;end_year=2016","Correlation")</f>
        <v>Correlation</v>
      </c>
    </row>
    <row r="2172" spans="1:13" x14ac:dyDescent="0.2">
      <c r="A2172" s="113"/>
      <c r="B2172" s="58" t="s">
        <v>6266</v>
      </c>
      <c r="C2172" s="58" t="s">
        <v>1816</v>
      </c>
      <c r="D2172" s="58" t="s">
        <v>6265</v>
      </c>
      <c r="E2172" s="60" t="b">
        <v>1</v>
      </c>
      <c r="F2172" s="80" t="s">
        <v>821</v>
      </c>
      <c r="G2172" s="58" t="s">
        <v>6264</v>
      </c>
      <c r="H2172" s="58" t="s">
        <v>1816</v>
      </c>
      <c r="I2172" s="64" t="s">
        <v>6265</v>
      </c>
      <c r="J2172" s="66"/>
      <c r="K2172" s="66"/>
      <c r="L2172" s="68"/>
      <c r="M2172" s="63" t="str">
        <f>HYPERLINK("http://nsgreg.nga.mil/genc/view?v=870228&amp;end_month=12&amp;end_day=31&amp;end_year=2016","Correlation")</f>
        <v>Correlation</v>
      </c>
    </row>
    <row r="2173" spans="1:13" x14ac:dyDescent="0.2">
      <c r="A2173" s="113"/>
      <c r="B2173" s="58" t="s">
        <v>6269</v>
      </c>
      <c r="C2173" s="58" t="s">
        <v>1816</v>
      </c>
      <c r="D2173" s="58" t="s">
        <v>6268</v>
      </c>
      <c r="E2173" s="60" t="b">
        <v>1</v>
      </c>
      <c r="F2173" s="80" t="s">
        <v>821</v>
      </c>
      <c r="G2173" s="58" t="s">
        <v>6267</v>
      </c>
      <c r="H2173" s="58" t="s">
        <v>1816</v>
      </c>
      <c r="I2173" s="64" t="s">
        <v>6268</v>
      </c>
      <c r="J2173" s="66"/>
      <c r="K2173" s="66"/>
      <c r="L2173" s="68"/>
      <c r="M2173" s="63" t="str">
        <f>HYPERLINK("http://nsgreg.nga.mil/genc/view?v=870229&amp;end_month=12&amp;end_day=31&amp;end_year=2016","Correlation")</f>
        <v>Correlation</v>
      </c>
    </row>
    <row r="2174" spans="1:13" x14ac:dyDescent="0.2">
      <c r="A2174" s="113"/>
      <c r="B2174" s="58" t="s">
        <v>6272</v>
      </c>
      <c r="C2174" s="58" t="s">
        <v>1816</v>
      </c>
      <c r="D2174" s="58" t="s">
        <v>6271</v>
      </c>
      <c r="E2174" s="60" t="b">
        <v>1</v>
      </c>
      <c r="F2174" s="80" t="s">
        <v>821</v>
      </c>
      <c r="G2174" s="58" t="s">
        <v>6270</v>
      </c>
      <c r="H2174" s="58" t="s">
        <v>1816</v>
      </c>
      <c r="I2174" s="64" t="s">
        <v>6271</v>
      </c>
      <c r="J2174" s="66"/>
      <c r="K2174" s="66"/>
      <c r="L2174" s="68"/>
      <c r="M2174" s="63" t="str">
        <f>HYPERLINK("http://nsgreg.nga.mil/genc/view?v=870230&amp;end_month=12&amp;end_day=31&amp;end_year=2016","Correlation")</f>
        <v>Correlation</v>
      </c>
    </row>
    <row r="2175" spans="1:13" x14ac:dyDescent="0.2">
      <c r="A2175" s="113"/>
      <c r="B2175" s="58" t="s">
        <v>6275</v>
      </c>
      <c r="C2175" s="58" t="s">
        <v>1816</v>
      </c>
      <c r="D2175" s="58" t="s">
        <v>6274</v>
      </c>
      <c r="E2175" s="60" t="b">
        <v>1</v>
      </c>
      <c r="F2175" s="80" t="s">
        <v>821</v>
      </c>
      <c r="G2175" s="58" t="s">
        <v>6273</v>
      </c>
      <c r="H2175" s="58" t="s">
        <v>1816</v>
      </c>
      <c r="I2175" s="64" t="s">
        <v>6274</v>
      </c>
      <c r="J2175" s="66"/>
      <c r="K2175" s="66"/>
      <c r="L2175" s="68"/>
      <c r="M2175" s="63" t="str">
        <f>HYPERLINK("http://nsgreg.nga.mil/genc/view?v=870231&amp;end_month=12&amp;end_day=31&amp;end_year=2016","Correlation")</f>
        <v>Correlation</v>
      </c>
    </row>
    <row r="2176" spans="1:13" x14ac:dyDescent="0.2">
      <c r="A2176" s="113"/>
      <c r="B2176" s="58" t="s">
        <v>6278</v>
      </c>
      <c r="C2176" s="58" t="s">
        <v>1816</v>
      </c>
      <c r="D2176" s="58" t="s">
        <v>6277</v>
      </c>
      <c r="E2176" s="60" t="b">
        <v>1</v>
      </c>
      <c r="F2176" s="80" t="s">
        <v>821</v>
      </c>
      <c r="G2176" s="58" t="s">
        <v>6276</v>
      </c>
      <c r="H2176" s="58" t="s">
        <v>1816</v>
      </c>
      <c r="I2176" s="64" t="s">
        <v>6277</v>
      </c>
      <c r="J2176" s="66"/>
      <c r="K2176" s="66"/>
      <c r="L2176" s="68"/>
      <c r="M2176" s="63" t="str">
        <f>HYPERLINK("http://nsgreg.nga.mil/genc/view?v=870233&amp;end_month=12&amp;end_day=31&amp;end_year=2016","Correlation")</f>
        <v>Correlation</v>
      </c>
    </row>
    <row r="2177" spans="1:13" x14ac:dyDescent="0.2">
      <c r="A2177" s="113"/>
      <c r="B2177" s="58" t="s">
        <v>6281</v>
      </c>
      <c r="C2177" s="58" t="s">
        <v>1816</v>
      </c>
      <c r="D2177" s="58" t="s">
        <v>6280</v>
      </c>
      <c r="E2177" s="60" t="b">
        <v>1</v>
      </c>
      <c r="F2177" s="80" t="s">
        <v>821</v>
      </c>
      <c r="G2177" s="58" t="s">
        <v>6279</v>
      </c>
      <c r="H2177" s="58" t="s">
        <v>1816</v>
      </c>
      <c r="I2177" s="64" t="s">
        <v>6280</v>
      </c>
      <c r="J2177" s="66"/>
      <c r="K2177" s="66"/>
      <c r="L2177" s="68"/>
      <c r="M2177" s="63" t="str">
        <f>HYPERLINK("http://nsgreg.nga.mil/genc/view?v=870232&amp;end_month=12&amp;end_day=31&amp;end_year=2016","Correlation")</f>
        <v>Correlation</v>
      </c>
    </row>
    <row r="2178" spans="1:13" x14ac:dyDescent="0.2">
      <c r="A2178" s="113"/>
      <c r="B2178" s="58" t="s">
        <v>6284</v>
      </c>
      <c r="C2178" s="58" t="s">
        <v>1816</v>
      </c>
      <c r="D2178" s="58" t="s">
        <v>6283</v>
      </c>
      <c r="E2178" s="60" t="b">
        <v>1</v>
      </c>
      <c r="F2178" s="80" t="s">
        <v>821</v>
      </c>
      <c r="G2178" s="58" t="s">
        <v>6282</v>
      </c>
      <c r="H2178" s="58" t="s">
        <v>1816</v>
      </c>
      <c r="I2178" s="64" t="s">
        <v>6283</v>
      </c>
      <c r="J2178" s="66"/>
      <c r="K2178" s="66"/>
      <c r="L2178" s="68"/>
      <c r="M2178" s="63" t="str">
        <f>HYPERLINK("http://nsgreg.nga.mil/genc/view?v=870235&amp;end_month=12&amp;end_day=31&amp;end_year=2016","Correlation")</f>
        <v>Correlation</v>
      </c>
    </row>
    <row r="2179" spans="1:13" x14ac:dyDescent="0.2">
      <c r="A2179" s="113"/>
      <c r="B2179" s="58" t="s">
        <v>6287</v>
      </c>
      <c r="C2179" s="58" t="s">
        <v>1816</v>
      </c>
      <c r="D2179" s="58" t="s">
        <v>6286</v>
      </c>
      <c r="E2179" s="60" t="b">
        <v>1</v>
      </c>
      <c r="F2179" s="80" t="s">
        <v>821</v>
      </c>
      <c r="G2179" s="58" t="s">
        <v>6285</v>
      </c>
      <c r="H2179" s="58" t="s">
        <v>1816</v>
      </c>
      <c r="I2179" s="64" t="s">
        <v>6286</v>
      </c>
      <c r="J2179" s="66"/>
      <c r="K2179" s="66"/>
      <c r="L2179" s="68"/>
      <c r="M2179" s="63" t="str">
        <f>HYPERLINK("http://nsgreg.nga.mil/genc/view?v=870234&amp;end_month=12&amp;end_day=31&amp;end_year=2016","Correlation")</f>
        <v>Correlation</v>
      </c>
    </row>
    <row r="2180" spans="1:13" x14ac:dyDescent="0.2">
      <c r="A2180" s="113"/>
      <c r="B2180" s="58" t="s">
        <v>6290</v>
      </c>
      <c r="C2180" s="58" t="s">
        <v>1816</v>
      </c>
      <c r="D2180" s="58" t="s">
        <v>6289</v>
      </c>
      <c r="E2180" s="60" t="b">
        <v>1</v>
      </c>
      <c r="F2180" s="80" t="s">
        <v>821</v>
      </c>
      <c r="G2180" s="58" t="s">
        <v>6288</v>
      </c>
      <c r="H2180" s="58" t="s">
        <v>1816</v>
      </c>
      <c r="I2180" s="64" t="s">
        <v>6289</v>
      </c>
      <c r="J2180" s="66"/>
      <c r="K2180" s="66"/>
      <c r="L2180" s="68"/>
      <c r="M2180" s="63" t="str">
        <f>HYPERLINK("http://nsgreg.nga.mil/genc/view?v=870236&amp;end_month=12&amp;end_day=31&amp;end_year=2016","Correlation")</f>
        <v>Correlation</v>
      </c>
    </row>
    <row r="2181" spans="1:13" x14ac:dyDescent="0.2">
      <c r="A2181" s="113"/>
      <c r="B2181" s="58" t="s">
        <v>6293</v>
      </c>
      <c r="C2181" s="58" t="s">
        <v>1816</v>
      </c>
      <c r="D2181" s="58" t="s">
        <v>6292</v>
      </c>
      <c r="E2181" s="60" t="b">
        <v>1</v>
      </c>
      <c r="F2181" s="80" t="s">
        <v>821</v>
      </c>
      <c r="G2181" s="58" t="s">
        <v>6291</v>
      </c>
      <c r="H2181" s="58" t="s">
        <v>1816</v>
      </c>
      <c r="I2181" s="64" t="s">
        <v>6292</v>
      </c>
      <c r="J2181" s="66"/>
      <c r="K2181" s="66"/>
      <c r="L2181" s="68"/>
      <c r="M2181" s="63" t="str">
        <f>HYPERLINK("http://nsgreg.nga.mil/genc/view?v=870237&amp;end_month=12&amp;end_day=31&amp;end_year=2016","Correlation")</f>
        <v>Correlation</v>
      </c>
    </row>
    <row r="2182" spans="1:13" x14ac:dyDescent="0.2">
      <c r="A2182" s="113"/>
      <c r="B2182" s="58" t="s">
        <v>6296</v>
      </c>
      <c r="C2182" s="58" t="s">
        <v>1816</v>
      </c>
      <c r="D2182" s="58" t="s">
        <v>6295</v>
      </c>
      <c r="E2182" s="60" t="b">
        <v>1</v>
      </c>
      <c r="F2182" s="80" t="s">
        <v>821</v>
      </c>
      <c r="G2182" s="58" t="s">
        <v>6294</v>
      </c>
      <c r="H2182" s="58" t="s">
        <v>1816</v>
      </c>
      <c r="I2182" s="64" t="s">
        <v>6295</v>
      </c>
      <c r="J2182" s="66"/>
      <c r="K2182" s="66"/>
      <c r="L2182" s="68"/>
      <c r="M2182" s="63" t="str">
        <f>HYPERLINK("http://nsgreg.nga.mil/genc/view?v=870238&amp;end_month=12&amp;end_day=31&amp;end_year=2016","Correlation")</f>
        <v>Correlation</v>
      </c>
    </row>
    <row r="2183" spans="1:13" x14ac:dyDescent="0.2">
      <c r="A2183" s="113"/>
      <c r="B2183" s="58" t="s">
        <v>6299</v>
      </c>
      <c r="C2183" s="58" t="s">
        <v>1816</v>
      </c>
      <c r="D2183" s="58" t="s">
        <v>6298</v>
      </c>
      <c r="E2183" s="60" t="b">
        <v>1</v>
      </c>
      <c r="F2183" s="80" t="s">
        <v>821</v>
      </c>
      <c r="G2183" s="58" t="s">
        <v>6297</v>
      </c>
      <c r="H2183" s="58" t="s">
        <v>1816</v>
      </c>
      <c r="I2183" s="64" t="s">
        <v>6298</v>
      </c>
      <c r="J2183" s="66"/>
      <c r="K2183" s="66"/>
      <c r="L2183" s="68"/>
      <c r="M2183" s="63" t="str">
        <f>HYPERLINK("http://nsgreg.nga.mil/genc/view?v=870239&amp;end_month=12&amp;end_day=31&amp;end_year=2016","Correlation")</f>
        <v>Correlation</v>
      </c>
    </row>
    <row r="2184" spans="1:13" x14ac:dyDescent="0.2">
      <c r="A2184" s="113"/>
      <c r="B2184" s="58" t="s">
        <v>6302</v>
      </c>
      <c r="C2184" s="58" t="s">
        <v>1816</v>
      </c>
      <c r="D2184" s="58" t="s">
        <v>6301</v>
      </c>
      <c r="E2184" s="60" t="b">
        <v>1</v>
      </c>
      <c r="F2184" s="80" t="s">
        <v>821</v>
      </c>
      <c r="G2184" s="58" t="s">
        <v>6300</v>
      </c>
      <c r="H2184" s="58" t="s">
        <v>1816</v>
      </c>
      <c r="I2184" s="64" t="s">
        <v>6301</v>
      </c>
      <c r="J2184" s="66"/>
      <c r="K2184" s="66"/>
      <c r="L2184" s="68"/>
      <c r="M2184" s="63" t="str">
        <f>HYPERLINK("http://nsgreg.nga.mil/genc/view?v=870240&amp;end_month=12&amp;end_day=31&amp;end_year=2016","Correlation")</f>
        <v>Correlation</v>
      </c>
    </row>
    <row r="2185" spans="1:13" x14ac:dyDescent="0.2">
      <c r="A2185" s="113"/>
      <c r="B2185" s="58" t="s">
        <v>6305</v>
      </c>
      <c r="C2185" s="58" t="s">
        <v>1816</v>
      </c>
      <c r="D2185" s="58" t="s">
        <v>6304</v>
      </c>
      <c r="E2185" s="60" t="b">
        <v>1</v>
      </c>
      <c r="F2185" s="80" t="s">
        <v>821</v>
      </c>
      <c r="G2185" s="58" t="s">
        <v>6303</v>
      </c>
      <c r="H2185" s="58" t="s">
        <v>1816</v>
      </c>
      <c r="I2185" s="64" t="s">
        <v>6304</v>
      </c>
      <c r="J2185" s="66"/>
      <c r="K2185" s="66"/>
      <c r="L2185" s="68"/>
      <c r="M2185" s="63" t="str">
        <f>HYPERLINK("http://nsgreg.nga.mil/genc/view?v=870241&amp;end_month=12&amp;end_day=31&amp;end_year=2016","Correlation")</f>
        <v>Correlation</v>
      </c>
    </row>
    <row r="2186" spans="1:13" x14ac:dyDescent="0.2">
      <c r="A2186" s="113"/>
      <c r="B2186" s="58" t="s">
        <v>6308</v>
      </c>
      <c r="C2186" s="58" t="s">
        <v>1816</v>
      </c>
      <c r="D2186" s="58" t="s">
        <v>6307</v>
      </c>
      <c r="E2186" s="60" t="b">
        <v>1</v>
      </c>
      <c r="F2186" s="80" t="s">
        <v>821</v>
      </c>
      <c r="G2186" s="58" t="s">
        <v>6306</v>
      </c>
      <c r="H2186" s="58" t="s">
        <v>1816</v>
      </c>
      <c r="I2186" s="64" t="s">
        <v>6307</v>
      </c>
      <c r="J2186" s="66"/>
      <c r="K2186" s="66"/>
      <c r="L2186" s="68"/>
      <c r="M2186" s="63" t="str">
        <f>HYPERLINK("http://nsgreg.nga.mil/genc/view?v=870242&amp;end_month=12&amp;end_day=31&amp;end_year=2016","Correlation")</f>
        <v>Correlation</v>
      </c>
    </row>
    <row r="2187" spans="1:13" x14ac:dyDescent="0.2">
      <c r="A2187" s="113"/>
      <c r="B2187" s="58" t="s">
        <v>6311</v>
      </c>
      <c r="C2187" s="58" t="s">
        <v>1816</v>
      </c>
      <c r="D2187" s="58" t="s">
        <v>6310</v>
      </c>
      <c r="E2187" s="60" t="b">
        <v>1</v>
      </c>
      <c r="F2187" s="80" t="s">
        <v>821</v>
      </c>
      <c r="G2187" s="58" t="s">
        <v>6309</v>
      </c>
      <c r="H2187" s="58" t="s">
        <v>1816</v>
      </c>
      <c r="I2187" s="64" t="s">
        <v>6310</v>
      </c>
      <c r="J2187" s="66"/>
      <c r="K2187" s="66"/>
      <c r="L2187" s="68"/>
      <c r="M2187" s="63" t="str">
        <f>HYPERLINK("http://nsgreg.nga.mil/genc/view?v=870243&amp;end_month=12&amp;end_day=31&amp;end_year=2016","Correlation")</f>
        <v>Correlation</v>
      </c>
    </row>
    <row r="2188" spans="1:13" x14ac:dyDescent="0.2">
      <c r="A2188" s="113"/>
      <c r="B2188" s="58" t="s">
        <v>6314</v>
      </c>
      <c r="C2188" s="58" t="s">
        <v>1816</v>
      </c>
      <c r="D2188" s="58" t="s">
        <v>6313</v>
      </c>
      <c r="E2188" s="60" t="b">
        <v>1</v>
      </c>
      <c r="F2188" s="80" t="s">
        <v>821</v>
      </c>
      <c r="G2188" s="58" t="s">
        <v>6312</v>
      </c>
      <c r="H2188" s="58" t="s">
        <v>1816</v>
      </c>
      <c r="I2188" s="64" t="s">
        <v>6313</v>
      </c>
      <c r="J2188" s="66"/>
      <c r="K2188" s="66"/>
      <c r="L2188" s="68"/>
      <c r="M2188" s="63" t="str">
        <f>HYPERLINK("http://nsgreg.nga.mil/genc/view?v=870244&amp;end_month=12&amp;end_day=31&amp;end_year=2016","Correlation")</f>
        <v>Correlation</v>
      </c>
    </row>
    <row r="2189" spans="1:13" x14ac:dyDescent="0.2">
      <c r="A2189" s="113"/>
      <c r="B2189" s="58" t="s">
        <v>6317</v>
      </c>
      <c r="C2189" s="58" t="s">
        <v>1816</v>
      </c>
      <c r="D2189" s="58" t="s">
        <v>6316</v>
      </c>
      <c r="E2189" s="60" t="b">
        <v>1</v>
      </c>
      <c r="F2189" s="80" t="s">
        <v>821</v>
      </c>
      <c r="G2189" s="58" t="s">
        <v>6315</v>
      </c>
      <c r="H2189" s="58" t="s">
        <v>1816</v>
      </c>
      <c r="I2189" s="64" t="s">
        <v>6316</v>
      </c>
      <c r="J2189" s="66"/>
      <c r="K2189" s="66"/>
      <c r="L2189" s="68"/>
      <c r="M2189" s="63" t="str">
        <f>HYPERLINK("http://nsgreg.nga.mil/genc/view?v=870245&amp;end_month=12&amp;end_day=31&amp;end_year=2016","Correlation")</f>
        <v>Correlation</v>
      </c>
    </row>
    <row r="2190" spans="1:13" x14ac:dyDescent="0.2">
      <c r="A2190" s="113"/>
      <c r="B2190" s="58" t="s">
        <v>6320</v>
      </c>
      <c r="C2190" s="58" t="s">
        <v>1816</v>
      </c>
      <c r="D2190" s="58" t="s">
        <v>6319</v>
      </c>
      <c r="E2190" s="60" t="b">
        <v>1</v>
      </c>
      <c r="F2190" s="80" t="s">
        <v>821</v>
      </c>
      <c r="G2190" s="58" t="s">
        <v>6318</v>
      </c>
      <c r="H2190" s="58" t="s">
        <v>1816</v>
      </c>
      <c r="I2190" s="64" t="s">
        <v>6319</v>
      </c>
      <c r="J2190" s="66"/>
      <c r="K2190" s="66"/>
      <c r="L2190" s="68"/>
      <c r="M2190" s="63" t="str">
        <f>HYPERLINK("http://nsgreg.nga.mil/genc/view?v=870246&amp;end_month=12&amp;end_day=31&amp;end_year=2016","Correlation")</f>
        <v>Correlation</v>
      </c>
    </row>
    <row r="2191" spans="1:13" x14ac:dyDescent="0.2">
      <c r="A2191" s="113"/>
      <c r="B2191" s="58" t="s">
        <v>6323</v>
      </c>
      <c r="C2191" s="58" t="s">
        <v>1816</v>
      </c>
      <c r="D2191" s="58" t="s">
        <v>6322</v>
      </c>
      <c r="E2191" s="60" t="b">
        <v>1</v>
      </c>
      <c r="F2191" s="80" t="s">
        <v>821</v>
      </c>
      <c r="G2191" s="58" t="s">
        <v>6321</v>
      </c>
      <c r="H2191" s="58" t="s">
        <v>1816</v>
      </c>
      <c r="I2191" s="64" t="s">
        <v>6322</v>
      </c>
      <c r="J2191" s="66"/>
      <c r="K2191" s="66"/>
      <c r="L2191" s="68"/>
      <c r="M2191" s="63" t="str">
        <f>HYPERLINK("http://nsgreg.nga.mil/genc/view?v=870247&amp;end_month=12&amp;end_day=31&amp;end_year=2016","Correlation")</f>
        <v>Correlation</v>
      </c>
    </row>
    <row r="2192" spans="1:13" x14ac:dyDescent="0.2">
      <c r="A2192" s="113"/>
      <c r="B2192" s="58" t="s">
        <v>6326</v>
      </c>
      <c r="C2192" s="58" t="s">
        <v>1816</v>
      </c>
      <c r="D2192" s="58" t="s">
        <v>6325</v>
      </c>
      <c r="E2192" s="60" t="b">
        <v>1</v>
      </c>
      <c r="F2192" s="80" t="s">
        <v>821</v>
      </c>
      <c r="G2192" s="58" t="s">
        <v>6324</v>
      </c>
      <c r="H2192" s="58" t="s">
        <v>1816</v>
      </c>
      <c r="I2192" s="64" t="s">
        <v>6325</v>
      </c>
      <c r="J2192" s="66"/>
      <c r="K2192" s="66"/>
      <c r="L2192" s="68"/>
      <c r="M2192" s="63" t="str">
        <f>HYPERLINK("http://nsgreg.nga.mil/genc/view?v=870248&amp;end_month=12&amp;end_day=31&amp;end_year=2016","Correlation")</f>
        <v>Correlation</v>
      </c>
    </row>
    <row r="2193" spans="1:13" x14ac:dyDescent="0.2">
      <c r="A2193" s="113"/>
      <c r="B2193" s="58" t="s">
        <v>6329</v>
      </c>
      <c r="C2193" s="58" t="s">
        <v>1816</v>
      </c>
      <c r="D2193" s="58" t="s">
        <v>6328</v>
      </c>
      <c r="E2193" s="60" t="b">
        <v>1</v>
      </c>
      <c r="F2193" s="80" t="s">
        <v>821</v>
      </c>
      <c r="G2193" s="58" t="s">
        <v>6327</v>
      </c>
      <c r="H2193" s="58" t="s">
        <v>1816</v>
      </c>
      <c r="I2193" s="64" t="s">
        <v>6328</v>
      </c>
      <c r="J2193" s="66"/>
      <c r="K2193" s="66"/>
      <c r="L2193" s="68"/>
      <c r="M2193" s="63" t="str">
        <f>HYPERLINK("http://nsgreg.nga.mil/genc/view?v=870249&amp;end_month=12&amp;end_day=31&amp;end_year=2016","Correlation")</f>
        <v>Correlation</v>
      </c>
    </row>
    <row r="2194" spans="1:13" x14ac:dyDescent="0.2">
      <c r="A2194" s="113"/>
      <c r="B2194" s="58" t="s">
        <v>6332</v>
      </c>
      <c r="C2194" s="58" t="s">
        <v>1816</v>
      </c>
      <c r="D2194" s="58" t="s">
        <v>6331</v>
      </c>
      <c r="E2194" s="60" t="b">
        <v>1</v>
      </c>
      <c r="F2194" s="80" t="s">
        <v>821</v>
      </c>
      <c r="G2194" s="58" t="s">
        <v>6330</v>
      </c>
      <c r="H2194" s="58" t="s">
        <v>1816</v>
      </c>
      <c r="I2194" s="64" t="s">
        <v>6331</v>
      </c>
      <c r="J2194" s="66"/>
      <c r="K2194" s="66"/>
      <c r="L2194" s="68"/>
      <c r="M2194" s="63" t="str">
        <f>HYPERLINK("http://nsgreg.nga.mil/genc/view?v=870250&amp;end_month=12&amp;end_day=31&amp;end_year=2016","Correlation")</f>
        <v>Correlation</v>
      </c>
    </row>
    <row r="2195" spans="1:13" x14ac:dyDescent="0.2">
      <c r="A2195" s="113"/>
      <c r="B2195" s="58" t="s">
        <v>6333</v>
      </c>
      <c r="C2195" s="58" t="s">
        <v>6088</v>
      </c>
      <c r="D2195" s="58" t="s">
        <v>6334</v>
      </c>
      <c r="E2195" s="60" t="b">
        <v>1</v>
      </c>
      <c r="F2195" s="80" t="s">
        <v>821</v>
      </c>
      <c r="G2195" s="58" t="s">
        <v>6333</v>
      </c>
      <c r="H2195" s="58" t="s">
        <v>6088</v>
      </c>
      <c r="I2195" s="64" t="s">
        <v>6334</v>
      </c>
      <c r="J2195" s="66"/>
      <c r="K2195" s="66"/>
      <c r="L2195" s="68"/>
      <c r="M2195" s="63" t="str">
        <f>HYPERLINK("http://nsgreg.nga.mil/genc/view?v=870268&amp;end_month=12&amp;end_day=31&amp;end_year=2016","Correlation")</f>
        <v>Correlation</v>
      </c>
    </row>
    <row r="2196" spans="1:13" x14ac:dyDescent="0.2">
      <c r="A2196" s="113"/>
      <c r="B2196" s="58" t="s">
        <v>6337</v>
      </c>
      <c r="C2196" s="58" t="s">
        <v>1816</v>
      </c>
      <c r="D2196" s="58" t="s">
        <v>6336</v>
      </c>
      <c r="E2196" s="60" t="b">
        <v>1</v>
      </c>
      <c r="F2196" s="80" t="s">
        <v>821</v>
      </c>
      <c r="G2196" s="58" t="s">
        <v>6335</v>
      </c>
      <c r="H2196" s="58" t="s">
        <v>1816</v>
      </c>
      <c r="I2196" s="64" t="s">
        <v>6336</v>
      </c>
      <c r="J2196" s="66"/>
      <c r="K2196" s="66"/>
      <c r="L2196" s="68"/>
      <c r="M2196" s="63" t="str">
        <f>HYPERLINK("http://nsgreg.nga.mil/genc/view?v=870251&amp;end_month=12&amp;end_day=31&amp;end_year=2016","Correlation")</f>
        <v>Correlation</v>
      </c>
    </row>
    <row r="2197" spans="1:13" x14ac:dyDescent="0.2">
      <c r="A2197" s="113"/>
      <c r="B2197" s="58" t="s">
        <v>6340</v>
      </c>
      <c r="C2197" s="58" t="s">
        <v>1816</v>
      </c>
      <c r="D2197" s="58" t="s">
        <v>6339</v>
      </c>
      <c r="E2197" s="60" t="b">
        <v>1</v>
      </c>
      <c r="F2197" s="80" t="s">
        <v>821</v>
      </c>
      <c r="G2197" s="58" t="s">
        <v>6338</v>
      </c>
      <c r="H2197" s="58" t="s">
        <v>1816</v>
      </c>
      <c r="I2197" s="64" t="s">
        <v>6339</v>
      </c>
      <c r="J2197" s="66"/>
      <c r="K2197" s="66"/>
      <c r="L2197" s="68"/>
      <c r="M2197" s="63" t="str">
        <f>HYPERLINK("http://nsgreg.nga.mil/genc/view?v=870252&amp;end_month=12&amp;end_day=31&amp;end_year=2016","Correlation")</f>
        <v>Correlation</v>
      </c>
    </row>
    <row r="2198" spans="1:13" x14ac:dyDescent="0.2">
      <c r="A2198" s="113"/>
      <c r="B2198" s="58" t="s">
        <v>6343</v>
      </c>
      <c r="C2198" s="58" t="s">
        <v>1816</v>
      </c>
      <c r="D2198" s="58" t="s">
        <v>6342</v>
      </c>
      <c r="E2198" s="60" t="b">
        <v>1</v>
      </c>
      <c r="F2198" s="80" t="s">
        <v>821</v>
      </c>
      <c r="G2198" s="58" t="s">
        <v>6341</v>
      </c>
      <c r="H2198" s="58" t="s">
        <v>1816</v>
      </c>
      <c r="I2198" s="64" t="s">
        <v>6342</v>
      </c>
      <c r="J2198" s="66"/>
      <c r="K2198" s="66"/>
      <c r="L2198" s="68"/>
      <c r="M2198" s="63" t="str">
        <f>HYPERLINK("http://nsgreg.nga.mil/genc/view?v=870253&amp;end_month=12&amp;end_day=31&amp;end_year=2016","Correlation")</f>
        <v>Correlation</v>
      </c>
    </row>
    <row r="2199" spans="1:13" x14ac:dyDescent="0.2">
      <c r="A2199" s="113"/>
      <c r="B2199" s="58" t="s">
        <v>6346</v>
      </c>
      <c r="C2199" s="58" t="s">
        <v>1816</v>
      </c>
      <c r="D2199" s="58" t="s">
        <v>6345</v>
      </c>
      <c r="E2199" s="60" t="b">
        <v>1</v>
      </c>
      <c r="F2199" s="80" t="s">
        <v>821</v>
      </c>
      <c r="G2199" s="58" t="s">
        <v>6344</v>
      </c>
      <c r="H2199" s="58" t="s">
        <v>1816</v>
      </c>
      <c r="I2199" s="64" t="s">
        <v>6345</v>
      </c>
      <c r="J2199" s="66"/>
      <c r="K2199" s="66"/>
      <c r="L2199" s="68"/>
      <c r="M2199" s="63" t="str">
        <f>HYPERLINK("http://nsgreg.nga.mil/genc/view?v=870254&amp;end_month=12&amp;end_day=31&amp;end_year=2016","Correlation")</f>
        <v>Correlation</v>
      </c>
    </row>
    <row r="2200" spans="1:13" x14ac:dyDescent="0.2">
      <c r="A2200" s="113"/>
      <c r="B2200" s="58" t="s">
        <v>6347</v>
      </c>
      <c r="C2200" s="58" t="s">
        <v>6088</v>
      </c>
      <c r="D2200" s="58" t="s">
        <v>6348</v>
      </c>
      <c r="E2200" s="60" t="b">
        <v>1</v>
      </c>
      <c r="F2200" s="80" t="s">
        <v>821</v>
      </c>
      <c r="G2200" s="58" t="s">
        <v>6347</v>
      </c>
      <c r="H2200" s="58" t="s">
        <v>6088</v>
      </c>
      <c r="I2200" s="64" t="s">
        <v>6348</v>
      </c>
      <c r="J2200" s="66"/>
      <c r="K2200" s="66"/>
      <c r="L2200" s="68"/>
      <c r="M2200" s="63" t="str">
        <f>HYPERLINK("http://nsgreg.nga.mil/genc/view?v=870267&amp;end_month=12&amp;end_day=31&amp;end_year=2016","Correlation")</f>
        <v>Correlation</v>
      </c>
    </row>
    <row r="2201" spans="1:13" x14ac:dyDescent="0.2">
      <c r="A2201" s="113"/>
      <c r="B2201" s="58" t="s">
        <v>6351</v>
      </c>
      <c r="C2201" s="58" t="s">
        <v>1816</v>
      </c>
      <c r="D2201" s="58" t="s">
        <v>6350</v>
      </c>
      <c r="E2201" s="60" t="b">
        <v>1</v>
      </c>
      <c r="F2201" s="80" t="s">
        <v>821</v>
      </c>
      <c r="G2201" s="58" t="s">
        <v>6349</v>
      </c>
      <c r="H2201" s="58" t="s">
        <v>1816</v>
      </c>
      <c r="I2201" s="64" t="s">
        <v>6350</v>
      </c>
      <c r="J2201" s="66"/>
      <c r="K2201" s="66"/>
      <c r="L2201" s="68"/>
      <c r="M2201" s="63" t="str">
        <f>HYPERLINK("http://nsgreg.nga.mil/genc/view?v=870255&amp;end_month=12&amp;end_day=31&amp;end_year=2016","Correlation")</f>
        <v>Correlation</v>
      </c>
    </row>
    <row r="2202" spans="1:13" x14ac:dyDescent="0.2">
      <c r="A2202" s="113"/>
      <c r="B2202" s="58" t="s">
        <v>6354</v>
      </c>
      <c r="C2202" s="58" t="s">
        <v>1816</v>
      </c>
      <c r="D2202" s="58" t="s">
        <v>6353</v>
      </c>
      <c r="E2202" s="60" t="b">
        <v>1</v>
      </c>
      <c r="F2202" s="80" t="s">
        <v>821</v>
      </c>
      <c r="G2202" s="58" t="s">
        <v>6352</v>
      </c>
      <c r="H2202" s="58" t="s">
        <v>1816</v>
      </c>
      <c r="I2202" s="64" t="s">
        <v>6353</v>
      </c>
      <c r="J2202" s="66"/>
      <c r="K2202" s="66"/>
      <c r="L2202" s="68"/>
      <c r="M2202" s="63" t="str">
        <f>HYPERLINK("http://nsgreg.nga.mil/genc/view?v=870256&amp;end_month=12&amp;end_day=31&amp;end_year=2016","Correlation")</f>
        <v>Correlation</v>
      </c>
    </row>
    <row r="2203" spans="1:13" x14ac:dyDescent="0.2">
      <c r="A2203" s="113"/>
      <c r="B2203" s="58" t="s">
        <v>6357</v>
      </c>
      <c r="C2203" s="58" t="s">
        <v>1816</v>
      </c>
      <c r="D2203" s="58" t="s">
        <v>6356</v>
      </c>
      <c r="E2203" s="60" t="b">
        <v>1</v>
      </c>
      <c r="F2203" s="80" t="s">
        <v>821</v>
      </c>
      <c r="G2203" s="58" t="s">
        <v>6355</v>
      </c>
      <c r="H2203" s="58" t="s">
        <v>1816</v>
      </c>
      <c r="I2203" s="64" t="s">
        <v>6356</v>
      </c>
      <c r="J2203" s="66"/>
      <c r="K2203" s="66"/>
      <c r="L2203" s="68"/>
      <c r="M2203" s="63" t="str">
        <f>HYPERLINK("http://nsgreg.nga.mil/genc/view?v=870257&amp;end_month=12&amp;end_day=31&amp;end_year=2016","Correlation")</f>
        <v>Correlation</v>
      </c>
    </row>
    <row r="2204" spans="1:13" x14ac:dyDescent="0.2">
      <c r="A2204" s="113"/>
      <c r="B2204" s="58" t="s">
        <v>6360</v>
      </c>
      <c r="C2204" s="58" t="s">
        <v>1816</v>
      </c>
      <c r="D2204" s="58" t="s">
        <v>6359</v>
      </c>
      <c r="E2204" s="60" t="b">
        <v>1</v>
      </c>
      <c r="F2204" s="80" t="s">
        <v>821</v>
      </c>
      <c r="G2204" s="58" t="s">
        <v>6358</v>
      </c>
      <c r="H2204" s="58" t="s">
        <v>1816</v>
      </c>
      <c r="I2204" s="64" t="s">
        <v>6359</v>
      </c>
      <c r="J2204" s="66"/>
      <c r="K2204" s="66"/>
      <c r="L2204" s="68"/>
      <c r="M2204" s="63" t="str">
        <f>HYPERLINK("http://nsgreg.nga.mil/genc/view?v=870258&amp;end_month=12&amp;end_day=31&amp;end_year=2016","Correlation")</f>
        <v>Correlation</v>
      </c>
    </row>
    <row r="2205" spans="1:13" x14ac:dyDescent="0.2">
      <c r="A2205" s="114"/>
      <c r="B2205" s="71" t="s">
        <v>6363</v>
      </c>
      <c r="C2205" s="71" t="s">
        <v>1816</v>
      </c>
      <c r="D2205" s="71" t="s">
        <v>6362</v>
      </c>
      <c r="E2205" s="73" t="b">
        <v>1</v>
      </c>
      <c r="F2205" s="81" t="s">
        <v>821</v>
      </c>
      <c r="G2205" s="71" t="s">
        <v>6361</v>
      </c>
      <c r="H2205" s="71" t="s">
        <v>1816</v>
      </c>
      <c r="I2205" s="74" t="s">
        <v>6362</v>
      </c>
      <c r="J2205" s="76"/>
      <c r="K2205" s="76"/>
      <c r="L2205" s="82"/>
      <c r="M2205" s="77" t="str">
        <f>HYPERLINK("http://nsgreg.nga.mil/genc/view?v=870259&amp;end_month=12&amp;end_day=31&amp;end_year=2016","Correlation")</f>
        <v>Correlation</v>
      </c>
    </row>
    <row r="2206" spans="1:13" x14ac:dyDescent="0.2">
      <c r="A2206" s="112" t="s">
        <v>825</v>
      </c>
      <c r="B2206" s="50" t="s">
        <v>6364</v>
      </c>
      <c r="C2206" s="50" t="s">
        <v>2030</v>
      </c>
      <c r="D2206" s="50" t="s">
        <v>6365</v>
      </c>
      <c r="E2206" s="52" t="b">
        <v>1</v>
      </c>
      <c r="F2206" s="78" t="s">
        <v>825</v>
      </c>
      <c r="G2206" s="50" t="s">
        <v>6364</v>
      </c>
      <c r="H2206" s="50" t="s">
        <v>2030</v>
      </c>
      <c r="I2206" s="53" t="s">
        <v>6365</v>
      </c>
      <c r="J2206" s="55"/>
      <c r="K2206" s="55"/>
      <c r="L2206" s="79"/>
      <c r="M2206" s="56" t="str">
        <f>HYPERLINK("http://nsgreg.nga.mil/genc/view?v=869980&amp;end_month=12&amp;end_day=31&amp;end_year=2016","Correlation")</f>
        <v>Correlation</v>
      </c>
    </row>
    <row r="2207" spans="1:13" x14ac:dyDescent="0.2">
      <c r="A2207" s="113"/>
      <c r="B2207" s="58" t="s">
        <v>6366</v>
      </c>
      <c r="C2207" s="58" t="s">
        <v>2030</v>
      </c>
      <c r="D2207" s="58" t="s">
        <v>6367</v>
      </c>
      <c r="E2207" s="60" t="b">
        <v>1</v>
      </c>
      <c r="F2207" s="80" t="s">
        <v>825</v>
      </c>
      <c r="G2207" s="58" t="s">
        <v>6366</v>
      </c>
      <c r="H2207" s="58" t="s">
        <v>2030</v>
      </c>
      <c r="I2207" s="64" t="s">
        <v>6367</v>
      </c>
      <c r="J2207" s="66"/>
      <c r="K2207" s="66"/>
      <c r="L2207" s="68"/>
      <c r="M2207" s="63" t="str">
        <f>HYPERLINK("http://nsgreg.nga.mil/genc/view?v=869983&amp;end_month=12&amp;end_day=31&amp;end_year=2016","Correlation")</f>
        <v>Correlation</v>
      </c>
    </row>
    <row r="2208" spans="1:13" x14ac:dyDescent="0.2">
      <c r="A2208" s="113"/>
      <c r="B2208" s="58" t="s">
        <v>6368</v>
      </c>
      <c r="C2208" s="58" t="s">
        <v>2030</v>
      </c>
      <c r="D2208" s="58" t="s">
        <v>6369</v>
      </c>
      <c r="E2208" s="60" t="b">
        <v>1</v>
      </c>
      <c r="F2208" s="80" t="s">
        <v>825</v>
      </c>
      <c r="G2208" s="58" t="s">
        <v>6368</v>
      </c>
      <c r="H2208" s="58" t="s">
        <v>2030</v>
      </c>
      <c r="I2208" s="64" t="s">
        <v>6369</v>
      </c>
      <c r="J2208" s="66"/>
      <c r="K2208" s="66"/>
      <c r="L2208" s="68"/>
      <c r="M2208" s="63" t="str">
        <f>HYPERLINK("http://nsgreg.nga.mil/genc/view?v=869984&amp;end_month=12&amp;end_day=31&amp;end_year=2016","Correlation")</f>
        <v>Correlation</v>
      </c>
    </row>
    <row r="2209" spans="1:13" x14ac:dyDescent="0.2">
      <c r="A2209" s="113"/>
      <c r="B2209" s="58" t="s">
        <v>6370</v>
      </c>
      <c r="C2209" s="58" t="s">
        <v>2030</v>
      </c>
      <c r="D2209" s="58" t="s">
        <v>6371</v>
      </c>
      <c r="E2209" s="60" t="b">
        <v>1</v>
      </c>
      <c r="F2209" s="80" t="s">
        <v>825</v>
      </c>
      <c r="G2209" s="58" t="s">
        <v>6370</v>
      </c>
      <c r="H2209" s="58" t="s">
        <v>2030</v>
      </c>
      <c r="I2209" s="64" t="s">
        <v>6371</v>
      </c>
      <c r="J2209" s="66"/>
      <c r="K2209" s="66"/>
      <c r="L2209" s="68"/>
      <c r="M2209" s="63" t="str">
        <f>HYPERLINK("http://nsgreg.nga.mil/genc/view?v=869982&amp;end_month=12&amp;end_day=31&amp;end_year=2016","Correlation")</f>
        <v>Correlation</v>
      </c>
    </row>
    <row r="2210" spans="1:13" x14ac:dyDescent="0.2">
      <c r="A2210" s="113"/>
      <c r="B2210" s="58" t="s">
        <v>6372</v>
      </c>
      <c r="C2210" s="58" t="s">
        <v>2030</v>
      </c>
      <c r="D2210" s="58" t="s">
        <v>6373</v>
      </c>
      <c r="E2210" s="60" t="b">
        <v>1</v>
      </c>
      <c r="F2210" s="80" t="s">
        <v>825</v>
      </c>
      <c r="G2210" s="58" t="s">
        <v>6372</v>
      </c>
      <c r="H2210" s="58" t="s">
        <v>2030</v>
      </c>
      <c r="I2210" s="64" t="s">
        <v>6373</v>
      </c>
      <c r="J2210" s="66"/>
      <c r="K2210" s="66"/>
      <c r="L2210" s="68"/>
      <c r="M2210" s="63" t="str">
        <f>HYPERLINK("http://nsgreg.nga.mil/genc/view?v=869981&amp;end_month=12&amp;end_day=31&amp;end_year=2016","Correlation")</f>
        <v>Correlation</v>
      </c>
    </row>
    <row r="2211" spans="1:13" x14ac:dyDescent="0.2">
      <c r="A2211" s="113"/>
      <c r="B2211" s="58" t="s">
        <v>6374</v>
      </c>
      <c r="C2211" s="58" t="s">
        <v>2030</v>
      </c>
      <c r="D2211" s="58" t="s">
        <v>6375</v>
      </c>
      <c r="E2211" s="60" t="b">
        <v>1</v>
      </c>
      <c r="F2211" s="80" t="s">
        <v>825</v>
      </c>
      <c r="G2211" s="58" t="s">
        <v>6374</v>
      </c>
      <c r="H2211" s="58" t="s">
        <v>2030</v>
      </c>
      <c r="I2211" s="64" t="s">
        <v>6375</v>
      </c>
      <c r="J2211" s="66"/>
      <c r="K2211" s="66"/>
      <c r="L2211" s="68"/>
      <c r="M2211" s="63" t="str">
        <f>HYPERLINK("http://nsgreg.nga.mil/genc/view?v=869985&amp;end_month=12&amp;end_day=31&amp;end_year=2016","Correlation")</f>
        <v>Correlation</v>
      </c>
    </row>
    <row r="2212" spans="1:13" x14ac:dyDescent="0.2">
      <c r="A2212" s="113"/>
      <c r="B2212" s="58" t="s">
        <v>6376</v>
      </c>
      <c r="C2212" s="58" t="s">
        <v>2030</v>
      </c>
      <c r="D2212" s="58" t="s">
        <v>6377</v>
      </c>
      <c r="E2212" s="60" t="b">
        <v>1</v>
      </c>
      <c r="F2212" s="80" t="s">
        <v>825</v>
      </c>
      <c r="G2212" s="58" t="s">
        <v>6376</v>
      </c>
      <c r="H2212" s="58" t="s">
        <v>2030</v>
      </c>
      <c r="I2212" s="64" t="s">
        <v>6377</v>
      </c>
      <c r="J2212" s="66"/>
      <c r="K2212" s="66"/>
      <c r="L2212" s="68"/>
      <c r="M2212" s="63" t="str">
        <f>HYPERLINK("http://nsgreg.nga.mil/genc/view?v=869986&amp;end_month=12&amp;end_day=31&amp;end_year=2016","Correlation")</f>
        <v>Correlation</v>
      </c>
    </row>
    <row r="2213" spans="1:13" x14ac:dyDescent="0.2">
      <c r="A2213" s="114"/>
      <c r="B2213" s="71" t="s">
        <v>6378</v>
      </c>
      <c r="C2213" s="71" t="s">
        <v>2030</v>
      </c>
      <c r="D2213" s="71" t="s">
        <v>6379</v>
      </c>
      <c r="E2213" s="73" t="b">
        <v>1</v>
      </c>
      <c r="F2213" s="81" t="s">
        <v>825</v>
      </c>
      <c r="G2213" s="71" t="s">
        <v>6378</v>
      </c>
      <c r="H2213" s="71" t="s">
        <v>2030</v>
      </c>
      <c r="I2213" s="74" t="s">
        <v>6379</v>
      </c>
      <c r="J2213" s="76"/>
      <c r="K2213" s="76"/>
      <c r="L2213" s="82"/>
      <c r="M2213" s="77" t="str">
        <f>HYPERLINK("http://nsgreg.nga.mil/genc/view?v=869987&amp;end_month=12&amp;end_day=31&amp;end_year=2016","Correlation")</f>
        <v>Correlation</v>
      </c>
    </row>
    <row r="2214" spans="1:13" x14ac:dyDescent="0.2">
      <c r="A2214" s="112" t="s">
        <v>829</v>
      </c>
      <c r="B2214" s="50" t="s">
        <v>6380</v>
      </c>
      <c r="C2214" s="50" t="s">
        <v>1796</v>
      </c>
      <c r="D2214" s="50" t="s">
        <v>6381</v>
      </c>
      <c r="E2214" s="52" t="b">
        <v>1</v>
      </c>
      <c r="F2214" s="78" t="s">
        <v>829</v>
      </c>
      <c r="G2214" s="50" t="s">
        <v>6380</v>
      </c>
      <c r="H2214" s="50" t="s">
        <v>1796</v>
      </c>
      <c r="I2214" s="53" t="s">
        <v>6381</v>
      </c>
      <c r="J2214" s="55"/>
      <c r="K2214" s="55"/>
      <c r="L2214" s="79"/>
      <c r="M2214" s="56" t="str">
        <f>HYPERLINK("http://nsgreg.nga.mil/genc/view?v=870061&amp;end_month=12&amp;end_day=31&amp;end_year=2016","Correlation")</f>
        <v>Correlation</v>
      </c>
    </row>
    <row r="2215" spans="1:13" x14ac:dyDescent="0.2">
      <c r="A2215" s="113"/>
      <c r="B2215" s="58" t="s">
        <v>6382</v>
      </c>
      <c r="C2215" s="58" t="s">
        <v>1796</v>
      </c>
      <c r="D2215" s="58" t="s">
        <v>6383</v>
      </c>
      <c r="E2215" s="60" t="b">
        <v>1</v>
      </c>
      <c r="F2215" s="80" t="s">
        <v>829</v>
      </c>
      <c r="G2215" s="58" t="s">
        <v>6382</v>
      </c>
      <c r="H2215" s="58" t="s">
        <v>1796</v>
      </c>
      <c r="I2215" s="64" t="s">
        <v>6383</v>
      </c>
      <c r="J2215" s="66"/>
      <c r="K2215" s="66"/>
      <c r="L2215" s="68"/>
      <c r="M2215" s="63" t="str">
        <f>HYPERLINK("http://nsgreg.nga.mil/genc/view?v=870059&amp;end_month=12&amp;end_day=31&amp;end_year=2016","Correlation")</f>
        <v>Correlation</v>
      </c>
    </row>
    <row r="2216" spans="1:13" x14ac:dyDescent="0.2">
      <c r="A2216" s="113"/>
      <c r="B2216" s="58" t="s">
        <v>6384</v>
      </c>
      <c r="C2216" s="58" t="s">
        <v>1796</v>
      </c>
      <c r="D2216" s="58" t="s">
        <v>6385</v>
      </c>
      <c r="E2216" s="60" t="b">
        <v>1</v>
      </c>
      <c r="F2216" s="80" t="s">
        <v>829</v>
      </c>
      <c r="G2216" s="58" t="s">
        <v>6384</v>
      </c>
      <c r="H2216" s="58" t="s">
        <v>1796</v>
      </c>
      <c r="I2216" s="64" t="s">
        <v>6385</v>
      </c>
      <c r="J2216" s="66"/>
      <c r="K2216" s="66"/>
      <c r="L2216" s="68"/>
      <c r="M2216" s="63" t="str">
        <f>HYPERLINK("http://nsgreg.nga.mil/genc/view?v=870060&amp;end_month=12&amp;end_day=31&amp;end_year=2016","Correlation")</f>
        <v>Correlation</v>
      </c>
    </row>
    <row r="2217" spans="1:13" x14ac:dyDescent="0.2">
      <c r="A2217" s="113"/>
      <c r="B2217" s="58" t="s">
        <v>6386</v>
      </c>
      <c r="C2217" s="58" t="s">
        <v>1796</v>
      </c>
      <c r="D2217" s="58" t="s">
        <v>6387</v>
      </c>
      <c r="E2217" s="60" t="b">
        <v>1</v>
      </c>
      <c r="F2217" s="80" t="s">
        <v>829</v>
      </c>
      <c r="G2217" s="58" t="s">
        <v>6386</v>
      </c>
      <c r="H2217" s="58" t="s">
        <v>1796</v>
      </c>
      <c r="I2217" s="64" t="s">
        <v>6387</v>
      </c>
      <c r="J2217" s="66"/>
      <c r="K2217" s="66"/>
      <c r="L2217" s="68"/>
      <c r="M2217" s="63" t="str">
        <f>HYPERLINK("http://nsgreg.nga.mil/genc/view?v=870062&amp;end_month=12&amp;end_day=31&amp;end_year=2016","Correlation")</f>
        <v>Correlation</v>
      </c>
    </row>
    <row r="2218" spans="1:13" x14ac:dyDescent="0.2">
      <c r="A2218" s="113"/>
      <c r="B2218" s="58" t="s">
        <v>6388</v>
      </c>
      <c r="C2218" s="58" t="s">
        <v>1796</v>
      </c>
      <c r="D2218" s="58" t="s">
        <v>6389</v>
      </c>
      <c r="E2218" s="60" t="b">
        <v>1</v>
      </c>
      <c r="F2218" s="80" t="s">
        <v>829</v>
      </c>
      <c r="G2218" s="58" t="s">
        <v>6388</v>
      </c>
      <c r="H2218" s="58" t="s">
        <v>1796</v>
      </c>
      <c r="I2218" s="64" t="s">
        <v>6389</v>
      </c>
      <c r="J2218" s="66"/>
      <c r="K2218" s="66"/>
      <c r="L2218" s="68"/>
      <c r="M2218" s="63" t="str">
        <f>HYPERLINK("http://nsgreg.nga.mil/genc/view?v=870058&amp;end_month=12&amp;end_day=31&amp;end_year=2016","Correlation")</f>
        <v>Correlation</v>
      </c>
    </row>
    <row r="2219" spans="1:13" x14ac:dyDescent="0.2">
      <c r="A2219" s="113"/>
      <c r="B2219" s="58" t="s">
        <v>6392</v>
      </c>
      <c r="C2219" s="58" t="s">
        <v>1796</v>
      </c>
      <c r="D2219" s="58" t="s">
        <v>6391</v>
      </c>
      <c r="E2219" s="60" t="b">
        <v>1</v>
      </c>
      <c r="F2219" s="80" t="s">
        <v>829</v>
      </c>
      <c r="G2219" s="58" t="s">
        <v>6390</v>
      </c>
      <c r="H2219" s="58" t="s">
        <v>1796</v>
      </c>
      <c r="I2219" s="64" t="s">
        <v>6391</v>
      </c>
      <c r="J2219" s="66"/>
      <c r="K2219" s="66"/>
      <c r="L2219" s="68"/>
      <c r="M2219" s="63" t="str">
        <f>HYPERLINK("http://nsgreg.nga.mil/genc/view?v=870063&amp;end_month=12&amp;end_day=31&amp;end_year=2016","Correlation")</f>
        <v>Correlation</v>
      </c>
    </row>
    <row r="2220" spans="1:13" x14ac:dyDescent="0.2">
      <c r="A2220" s="113"/>
      <c r="B2220" s="58" t="s">
        <v>6393</v>
      </c>
      <c r="C2220" s="58" t="s">
        <v>1796</v>
      </c>
      <c r="D2220" s="58" t="s">
        <v>6394</v>
      </c>
      <c r="E2220" s="60" t="b">
        <v>1</v>
      </c>
      <c r="F2220" s="80" t="s">
        <v>829</v>
      </c>
      <c r="G2220" s="58" t="s">
        <v>6393</v>
      </c>
      <c r="H2220" s="58" t="s">
        <v>1796</v>
      </c>
      <c r="I2220" s="64" t="s">
        <v>6394</v>
      </c>
      <c r="J2220" s="66"/>
      <c r="K2220" s="66"/>
      <c r="L2220" s="68"/>
      <c r="M2220" s="63" t="str">
        <f>HYPERLINK("http://nsgreg.nga.mil/genc/view?v=870066&amp;end_month=12&amp;end_day=31&amp;end_year=2016","Correlation")</f>
        <v>Correlation</v>
      </c>
    </row>
    <row r="2221" spans="1:13" x14ac:dyDescent="0.2">
      <c r="A2221" s="113"/>
      <c r="B2221" s="58" t="s">
        <v>6397</v>
      </c>
      <c r="C2221" s="58" t="s">
        <v>1796</v>
      </c>
      <c r="D2221" s="58" t="s">
        <v>6396</v>
      </c>
      <c r="E2221" s="60" t="b">
        <v>1</v>
      </c>
      <c r="F2221" s="80" t="s">
        <v>829</v>
      </c>
      <c r="G2221" s="58" t="s">
        <v>6395</v>
      </c>
      <c r="H2221" s="58" t="s">
        <v>1796</v>
      </c>
      <c r="I2221" s="64" t="s">
        <v>6396</v>
      </c>
      <c r="J2221" s="66"/>
      <c r="K2221" s="66"/>
      <c r="L2221" s="68"/>
      <c r="M2221" s="63" t="str">
        <f>HYPERLINK("http://nsgreg.nga.mil/genc/view?v=870065&amp;end_month=12&amp;end_day=31&amp;end_year=2016","Correlation")</f>
        <v>Correlation</v>
      </c>
    </row>
    <row r="2222" spans="1:13" x14ac:dyDescent="0.2">
      <c r="A2222" s="113"/>
      <c r="B2222" s="58" t="s">
        <v>6398</v>
      </c>
      <c r="C2222" s="58" t="s">
        <v>1796</v>
      </c>
      <c r="D2222" s="58" t="s">
        <v>6399</v>
      </c>
      <c r="E2222" s="60" t="b">
        <v>1</v>
      </c>
      <c r="F2222" s="80" t="s">
        <v>829</v>
      </c>
      <c r="G2222" s="58" t="s">
        <v>6398</v>
      </c>
      <c r="H2222" s="58" t="s">
        <v>1796</v>
      </c>
      <c r="I2222" s="64" t="s">
        <v>6399</v>
      </c>
      <c r="J2222" s="66"/>
      <c r="K2222" s="66"/>
      <c r="L2222" s="68"/>
      <c r="M2222" s="63" t="str">
        <f>HYPERLINK("http://nsgreg.nga.mil/genc/view?v=870064&amp;end_month=12&amp;end_day=31&amp;end_year=2016","Correlation")</f>
        <v>Correlation</v>
      </c>
    </row>
    <row r="2223" spans="1:13" x14ac:dyDescent="0.2">
      <c r="A2223" s="114"/>
      <c r="B2223" s="71" t="s">
        <v>6400</v>
      </c>
      <c r="C2223" s="71" t="s">
        <v>1796</v>
      </c>
      <c r="D2223" s="71" t="s">
        <v>6401</v>
      </c>
      <c r="E2223" s="73" t="b">
        <v>1</v>
      </c>
      <c r="F2223" s="81" t="s">
        <v>829</v>
      </c>
      <c r="G2223" s="71" t="s">
        <v>6400</v>
      </c>
      <c r="H2223" s="71" t="s">
        <v>1796</v>
      </c>
      <c r="I2223" s="74" t="s">
        <v>6401</v>
      </c>
      <c r="J2223" s="76"/>
      <c r="K2223" s="76"/>
      <c r="L2223" s="82"/>
      <c r="M2223" s="77" t="str">
        <f>HYPERLINK("http://nsgreg.nga.mil/genc/view?v=870067&amp;end_month=12&amp;end_day=31&amp;end_year=2016","Correlation")</f>
        <v>Correlation</v>
      </c>
    </row>
    <row r="2224" spans="1:13" x14ac:dyDescent="0.2">
      <c r="A2224" s="112" t="s">
        <v>833</v>
      </c>
      <c r="B2224" s="50" t="s">
        <v>6402</v>
      </c>
      <c r="C2224" s="50" t="s">
        <v>1483</v>
      </c>
      <c r="D2224" s="50" t="s">
        <v>6403</v>
      </c>
      <c r="E2224" s="52" t="b">
        <v>1</v>
      </c>
      <c r="F2224" s="78" t="s">
        <v>833</v>
      </c>
      <c r="G2224" s="50" t="s">
        <v>6402</v>
      </c>
      <c r="H2224" s="50" t="s">
        <v>1483</v>
      </c>
      <c r="I2224" s="53" t="s">
        <v>6403</v>
      </c>
      <c r="J2224" s="55"/>
      <c r="K2224" s="55"/>
      <c r="L2224" s="79"/>
      <c r="M2224" s="56" t="str">
        <f>HYPERLINK("http://nsgreg.nga.mil/genc/view?v=870044&amp;end_month=12&amp;end_day=31&amp;end_year=2016","Correlation")</f>
        <v>Correlation</v>
      </c>
    </row>
    <row r="2225" spans="1:13" x14ac:dyDescent="0.2">
      <c r="A2225" s="113"/>
      <c r="B2225" s="58" t="s">
        <v>6404</v>
      </c>
      <c r="C2225" s="58" t="s">
        <v>1483</v>
      </c>
      <c r="D2225" s="58" t="s">
        <v>6405</v>
      </c>
      <c r="E2225" s="60" t="b">
        <v>1</v>
      </c>
      <c r="F2225" s="80" t="s">
        <v>833</v>
      </c>
      <c r="G2225" s="58" t="s">
        <v>6404</v>
      </c>
      <c r="H2225" s="58" t="s">
        <v>1483</v>
      </c>
      <c r="I2225" s="64" t="s">
        <v>6405</v>
      </c>
      <c r="J2225" s="66"/>
      <c r="K2225" s="66"/>
      <c r="L2225" s="68"/>
      <c r="M2225" s="63" t="str">
        <f>HYPERLINK("http://nsgreg.nga.mil/genc/view?v=870043&amp;end_month=12&amp;end_day=31&amp;end_year=2016","Correlation")</f>
        <v>Correlation</v>
      </c>
    </row>
    <row r="2226" spans="1:13" x14ac:dyDescent="0.2">
      <c r="A2226" s="113"/>
      <c r="B2226" s="58" t="s">
        <v>6406</v>
      </c>
      <c r="C2226" s="58" t="s">
        <v>1483</v>
      </c>
      <c r="D2226" s="58" t="s">
        <v>6407</v>
      </c>
      <c r="E2226" s="60" t="b">
        <v>1</v>
      </c>
      <c r="F2226" s="80" t="s">
        <v>833</v>
      </c>
      <c r="G2226" s="58" t="s">
        <v>6406</v>
      </c>
      <c r="H2226" s="58" t="s">
        <v>1483</v>
      </c>
      <c r="I2226" s="64" t="s">
        <v>6407</v>
      </c>
      <c r="J2226" s="66"/>
      <c r="K2226" s="66"/>
      <c r="L2226" s="68"/>
      <c r="M2226" s="63" t="str">
        <f>HYPERLINK("http://nsgreg.nga.mil/genc/view?v=870049&amp;end_month=12&amp;end_day=31&amp;end_year=2016","Correlation")</f>
        <v>Correlation</v>
      </c>
    </row>
    <row r="2227" spans="1:13" x14ac:dyDescent="0.2">
      <c r="A2227" s="113"/>
      <c r="B2227" s="58" t="s">
        <v>6408</v>
      </c>
      <c r="C2227" s="58" t="s">
        <v>1483</v>
      </c>
      <c r="D2227" s="58" t="s">
        <v>6409</v>
      </c>
      <c r="E2227" s="60" t="b">
        <v>1</v>
      </c>
      <c r="F2227" s="80" t="s">
        <v>833</v>
      </c>
      <c r="G2227" s="58" t="s">
        <v>6408</v>
      </c>
      <c r="H2227" s="58" t="s">
        <v>1483</v>
      </c>
      <c r="I2227" s="64" t="s">
        <v>6409</v>
      </c>
      <c r="J2227" s="66"/>
      <c r="K2227" s="66"/>
      <c r="L2227" s="68"/>
      <c r="M2227" s="63" t="str">
        <f>HYPERLINK("http://nsgreg.nga.mil/genc/view?v=870046&amp;end_month=12&amp;end_day=31&amp;end_year=2016","Correlation")</f>
        <v>Correlation</v>
      </c>
    </row>
    <row r="2228" spans="1:13" x14ac:dyDescent="0.2">
      <c r="A2228" s="113"/>
      <c r="B2228" s="58" t="s">
        <v>6410</v>
      </c>
      <c r="C2228" s="58" t="s">
        <v>1483</v>
      </c>
      <c r="D2228" s="58" t="s">
        <v>6411</v>
      </c>
      <c r="E2228" s="60" t="b">
        <v>1</v>
      </c>
      <c r="F2228" s="80" t="s">
        <v>833</v>
      </c>
      <c r="G2228" s="58" t="s">
        <v>6410</v>
      </c>
      <c r="H2228" s="58" t="s">
        <v>1483</v>
      </c>
      <c r="I2228" s="64" t="s">
        <v>6411</v>
      </c>
      <c r="J2228" s="66"/>
      <c r="K2228" s="66"/>
      <c r="L2228" s="68"/>
      <c r="M2228" s="63" t="str">
        <f>HYPERLINK("http://nsgreg.nga.mil/genc/view?v=870045&amp;end_month=12&amp;end_day=31&amp;end_year=2016","Correlation")</f>
        <v>Correlation</v>
      </c>
    </row>
    <row r="2229" spans="1:13" x14ac:dyDescent="0.2">
      <c r="A2229" s="113"/>
      <c r="B2229" s="58" t="s">
        <v>6412</v>
      </c>
      <c r="C2229" s="58" t="s">
        <v>1483</v>
      </c>
      <c r="D2229" s="58" t="s">
        <v>6413</v>
      </c>
      <c r="E2229" s="60" t="b">
        <v>1</v>
      </c>
      <c r="F2229" s="80" t="s">
        <v>833</v>
      </c>
      <c r="G2229" s="58" t="s">
        <v>6412</v>
      </c>
      <c r="H2229" s="58" t="s">
        <v>1483</v>
      </c>
      <c r="I2229" s="64" t="s">
        <v>6413</v>
      </c>
      <c r="J2229" s="66"/>
      <c r="K2229" s="66"/>
      <c r="L2229" s="68"/>
      <c r="M2229" s="63" t="str">
        <f>HYPERLINK("http://nsgreg.nga.mil/genc/view?v=870047&amp;end_month=12&amp;end_day=31&amp;end_year=2016","Correlation")</f>
        <v>Correlation</v>
      </c>
    </row>
    <row r="2230" spans="1:13" x14ac:dyDescent="0.2">
      <c r="A2230" s="113"/>
      <c r="B2230" s="58" t="s">
        <v>6414</v>
      </c>
      <c r="C2230" s="58" t="s">
        <v>1483</v>
      </c>
      <c r="D2230" s="58" t="s">
        <v>6415</v>
      </c>
      <c r="E2230" s="60" t="b">
        <v>1</v>
      </c>
      <c r="F2230" s="80" t="s">
        <v>833</v>
      </c>
      <c r="G2230" s="58" t="s">
        <v>6414</v>
      </c>
      <c r="H2230" s="58" t="s">
        <v>1483</v>
      </c>
      <c r="I2230" s="64" t="s">
        <v>6415</v>
      </c>
      <c r="J2230" s="66"/>
      <c r="K2230" s="66"/>
      <c r="L2230" s="68"/>
      <c r="M2230" s="63" t="str">
        <f>HYPERLINK("http://nsgreg.nga.mil/genc/view?v=870048&amp;end_month=12&amp;end_day=31&amp;end_year=2016","Correlation")</f>
        <v>Correlation</v>
      </c>
    </row>
    <row r="2231" spans="1:13" x14ac:dyDescent="0.2">
      <c r="A2231" s="113"/>
      <c r="B2231" s="58" t="s">
        <v>6416</v>
      </c>
      <c r="C2231" s="58" t="s">
        <v>1483</v>
      </c>
      <c r="D2231" s="58" t="s">
        <v>6417</v>
      </c>
      <c r="E2231" s="60" t="b">
        <v>1</v>
      </c>
      <c r="F2231" s="80" t="s">
        <v>833</v>
      </c>
      <c r="G2231" s="58" t="s">
        <v>6416</v>
      </c>
      <c r="H2231" s="58" t="s">
        <v>1483</v>
      </c>
      <c r="I2231" s="64" t="s">
        <v>6417</v>
      </c>
      <c r="J2231" s="66"/>
      <c r="K2231" s="66"/>
      <c r="L2231" s="68"/>
      <c r="M2231" s="63" t="str">
        <f>HYPERLINK("http://nsgreg.nga.mil/genc/view?v=870050&amp;end_month=12&amp;end_day=31&amp;end_year=2016","Correlation")</f>
        <v>Correlation</v>
      </c>
    </row>
    <row r="2232" spans="1:13" x14ac:dyDescent="0.2">
      <c r="A2232" s="113"/>
      <c r="B2232" s="58" t="s">
        <v>6418</v>
      </c>
      <c r="C2232" s="58" t="s">
        <v>1483</v>
      </c>
      <c r="D2232" s="58" t="s">
        <v>6419</v>
      </c>
      <c r="E2232" s="60" t="b">
        <v>1</v>
      </c>
      <c r="F2232" s="80" t="s">
        <v>833</v>
      </c>
      <c r="G2232" s="58" t="s">
        <v>6418</v>
      </c>
      <c r="H2232" s="58" t="s">
        <v>1483</v>
      </c>
      <c r="I2232" s="64" t="s">
        <v>6419</v>
      </c>
      <c r="J2232" s="66"/>
      <c r="K2232" s="66"/>
      <c r="L2232" s="68"/>
      <c r="M2232" s="63" t="str">
        <f>HYPERLINK("http://nsgreg.nga.mil/genc/view?v=870051&amp;end_month=12&amp;end_day=31&amp;end_year=2016","Correlation")</f>
        <v>Correlation</v>
      </c>
    </row>
    <row r="2233" spans="1:13" x14ac:dyDescent="0.2">
      <c r="A2233" s="113"/>
      <c r="B2233" s="58" t="s">
        <v>6420</v>
      </c>
      <c r="C2233" s="58" t="s">
        <v>1483</v>
      </c>
      <c r="D2233" s="58" t="s">
        <v>6421</v>
      </c>
      <c r="E2233" s="60" t="b">
        <v>1</v>
      </c>
      <c r="F2233" s="80" t="s">
        <v>833</v>
      </c>
      <c r="G2233" s="58" t="s">
        <v>6420</v>
      </c>
      <c r="H2233" s="58" t="s">
        <v>1483</v>
      </c>
      <c r="I2233" s="64" t="s">
        <v>6421</v>
      </c>
      <c r="J2233" s="66"/>
      <c r="K2233" s="66"/>
      <c r="L2233" s="68"/>
      <c r="M2233" s="63" t="str">
        <f>HYPERLINK("http://nsgreg.nga.mil/genc/view?v=870053&amp;end_month=12&amp;end_day=31&amp;end_year=2016","Correlation")</f>
        <v>Correlation</v>
      </c>
    </row>
    <row r="2234" spans="1:13" x14ac:dyDescent="0.2">
      <c r="A2234" s="113"/>
      <c r="B2234" s="58" t="s">
        <v>6422</v>
      </c>
      <c r="C2234" s="58" t="s">
        <v>1483</v>
      </c>
      <c r="D2234" s="58" t="s">
        <v>6423</v>
      </c>
      <c r="E2234" s="60" t="b">
        <v>1</v>
      </c>
      <c r="F2234" s="80" t="s">
        <v>833</v>
      </c>
      <c r="G2234" s="58" t="s">
        <v>6422</v>
      </c>
      <c r="H2234" s="58" t="s">
        <v>1483</v>
      </c>
      <c r="I2234" s="64" t="s">
        <v>6423</v>
      </c>
      <c r="J2234" s="66"/>
      <c r="K2234" s="66"/>
      <c r="L2234" s="68"/>
      <c r="M2234" s="63" t="str">
        <f>HYPERLINK("http://nsgreg.nga.mil/genc/view?v=870052&amp;end_month=12&amp;end_day=31&amp;end_year=2016","Correlation")</f>
        <v>Correlation</v>
      </c>
    </row>
    <row r="2235" spans="1:13" x14ac:dyDescent="0.2">
      <c r="A2235" s="113"/>
      <c r="B2235" s="58" t="s">
        <v>6424</v>
      </c>
      <c r="C2235" s="58" t="s">
        <v>1483</v>
      </c>
      <c r="D2235" s="58" t="s">
        <v>6425</v>
      </c>
      <c r="E2235" s="60" t="b">
        <v>1</v>
      </c>
      <c r="F2235" s="80" t="s">
        <v>833</v>
      </c>
      <c r="G2235" s="58" t="s">
        <v>6424</v>
      </c>
      <c r="H2235" s="58" t="s">
        <v>1483</v>
      </c>
      <c r="I2235" s="64" t="s">
        <v>6425</v>
      </c>
      <c r="J2235" s="66"/>
      <c r="K2235" s="66"/>
      <c r="L2235" s="68"/>
      <c r="M2235" s="63" t="str">
        <f>HYPERLINK("http://nsgreg.nga.mil/genc/view?v=870054&amp;end_month=12&amp;end_day=31&amp;end_year=2016","Correlation")</f>
        <v>Correlation</v>
      </c>
    </row>
    <row r="2236" spans="1:13" x14ac:dyDescent="0.2">
      <c r="A2236" s="113"/>
      <c r="B2236" s="58" t="s">
        <v>6426</v>
      </c>
      <c r="C2236" s="58" t="s">
        <v>1483</v>
      </c>
      <c r="D2236" s="58" t="s">
        <v>6427</v>
      </c>
      <c r="E2236" s="60" t="b">
        <v>1</v>
      </c>
      <c r="F2236" s="80" t="s">
        <v>833</v>
      </c>
      <c r="G2236" s="58" t="s">
        <v>6426</v>
      </c>
      <c r="H2236" s="58" t="s">
        <v>1483</v>
      </c>
      <c r="I2236" s="64" t="s">
        <v>6427</v>
      </c>
      <c r="J2236" s="66"/>
      <c r="K2236" s="66"/>
      <c r="L2236" s="68"/>
      <c r="M2236" s="63" t="str">
        <f>HYPERLINK("http://nsgreg.nga.mil/genc/view?v=870056&amp;end_month=12&amp;end_day=31&amp;end_year=2016","Correlation")</f>
        <v>Correlation</v>
      </c>
    </row>
    <row r="2237" spans="1:13" x14ac:dyDescent="0.2">
      <c r="A2237" s="113"/>
      <c r="B2237" s="58" t="s">
        <v>6428</v>
      </c>
      <c r="C2237" s="58" t="s">
        <v>1483</v>
      </c>
      <c r="D2237" s="58" t="s">
        <v>6429</v>
      </c>
      <c r="E2237" s="60" t="b">
        <v>1</v>
      </c>
      <c r="F2237" s="80" t="s">
        <v>833</v>
      </c>
      <c r="G2237" s="58" t="s">
        <v>6428</v>
      </c>
      <c r="H2237" s="58" t="s">
        <v>1483</v>
      </c>
      <c r="I2237" s="64" t="s">
        <v>6429</v>
      </c>
      <c r="J2237" s="66"/>
      <c r="K2237" s="66"/>
      <c r="L2237" s="68"/>
      <c r="M2237" s="63" t="str">
        <f>HYPERLINK("http://nsgreg.nga.mil/genc/view?v=870055&amp;end_month=12&amp;end_day=31&amp;end_year=2016","Correlation")</f>
        <v>Correlation</v>
      </c>
    </row>
    <row r="2238" spans="1:13" x14ac:dyDescent="0.2">
      <c r="A2238" s="114"/>
      <c r="B2238" s="71" t="s">
        <v>6430</v>
      </c>
      <c r="C2238" s="71" t="s">
        <v>1483</v>
      </c>
      <c r="D2238" s="71" t="s">
        <v>6431</v>
      </c>
      <c r="E2238" s="73" t="b">
        <v>1</v>
      </c>
      <c r="F2238" s="81" t="s">
        <v>833</v>
      </c>
      <c r="G2238" s="71" t="s">
        <v>6430</v>
      </c>
      <c r="H2238" s="71" t="s">
        <v>1483</v>
      </c>
      <c r="I2238" s="74" t="s">
        <v>6431</v>
      </c>
      <c r="J2238" s="76"/>
      <c r="K2238" s="76"/>
      <c r="L2238" s="82"/>
      <c r="M2238" s="77" t="str">
        <f>HYPERLINK("http://nsgreg.nga.mil/genc/view?v=870057&amp;end_month=12&amp;end_day=31&amp;end_year=2016","Correlation")</f>
        <v>Correlation</v>
      </c>
    </row>
    <row r="2239" spans="1:13" x14ac:dyDescent="0.2">
      <c r="A2239" s="112" t="s">
        <v>837</v>
      </c>
      <c r="B2239" s="50" t="s">
        <v>6432</v>
      </c>
      <c r="C2239" s="50" t="s">
        <v>6433</v>
      </c>
      <c r="D2239" s="50" t="s">
        <v>6434</v>
      </c>
      <c r="E2239" s="52" t="b">
        <v>1</v>
      </c>
      <c r="F2239" s="78" t="s">
        <v>837</v>
      </c>
      <c r="G2239" s="50" t="s">
        <v>6432</v>
      </c>
      <c r="H2239" s="50" t="s">
        <v>6433</v>
      </c>
      <c r="I2239" s="53" t="s">
        <v>6434</v>
      </c>
      <c r="J2239" s="55"/>
      <c r="K2239" s="55"/>
      <c r="L2239" s="79"/>
      <c r="M2239" s="56" t="str">
        <f>HYPERLINK("http://nsgreg.nga.mil/genc/view?v=870270&amp;end_month=12&amp;end_day=31&amp;end_year=2016","Correlation")</f>
        <v>Correlation</v>
      </c>
    </row>
    <row r="2240" spans="1:13" x14ac:dyDescent="0.2">
      <c r="A2240" s="113"/>
      <c r="B2240" s="58" t="s">
        <v>6436</v>
      </c>
      <c r="C2240" s="58" t="s">
        <v>6433</v>
      </c>
      <c r="D2240" s="58" t="s">
        <v>6437</v>
      </c>
      <c r="E2240" s="60" t="b">
        <v>1</v>
      </c>
      <c r="F2240" s="80" t="s">
        <v>837</v>
      </c>
      <c r="G2240" s="58" t="s">
        <v>6436</v>
      </c>
      <c r="H2240" s="58" t="s">
        <v>6433</v>
      </c>
      <c r="I2240" s="64" t="s">
        <v>6437</v>
      </c>
      <c r="J2240" s="66"/>
      <c r="K2240" s="66"/>
      <c r="L2240" s="68"/>
      <c r="M2240" s="63" t="str">
        <f>HYPERLINK("http://nsgreg.nga.mil/genc/view?v=870273&amp;end_month=12&amp;end_day=31&amp;end_year=2016","Correlation")</f>
        <v>Correlation</v>
      </c>
    </row>
    <row r="2241" spans="1:13" x14ac:dyDescent="0.2">
      <c r="A2241" s="113"/>
      <c r="B2241" s="58" t="s">
        <v>6438</v>
      </c>
      <c r="C2241" s="58" t="s">
        <v>6433</v>
      </c>
      <c r="D2241" s="58" t="s">
        <v>6439</v>
      </c>
      <c r="E2241" s="60" t="b">
        <v>1</v>
      </c>
      <c r="F2241" s="80" t="s">
        <v>837</v>
      </c>
      <c r="G2241" s="58" t="s">
        <v>6438</v>
      </c>
      <c r="H2241" s="58" t="s">
        <v>6433</v>
      </c>
      <c r="I2241" s="64" t="s">
        <v>6439</v>
      </c>
      <c r="J2241" s="66"/>
      <c r="K2241" s="66"/>
      <c r="L2241" s="68"/>
      <c r="M2241" s="63" t="str">
        <f>HYPERLINK("http://nsgreg.nga.mil/genc/view?v=870274&amp;end_month=12&amp;end_day=31&amp;end_year=2016","Correlation")</f>
        <v>Correlation</v>
      </c>
    </row>
    <row r="2242" spans="1:13" x14ac:dyDescent="0.2">
      <c r="A2242" s="113"/>
      <c r="B2242" s="58" t="s">
        <v>6440</v>
      </c>
      <c r="C2242" s="58" t="s">
        <v>6433</v>
      </c>
      <c r="D2242" s="58" t="s">
        <v>6441</v>
      </c>
      <c r="E2242" s="60" t="b">
        <v>1</v>
      </c>
      <c r="F2242" s="80" t="s">
        <v>837</v>
      </c>
      <c r="G2242" s="58" t="s">
        <v>6440</v>
      </c>
      <c r="H2242" s="58" t="s">
        <v>6433</v>
      </c>
      <c r="I2242" s="64" t="s">
        <v>6441</v>
      </c>
      <c r="J2242" s="66"/>
      <c r="K2242" s="66"/>
      <c r="L2242" s="68"/>
      <c r="M2242" s="63" t="str">
        <f>HYPERLINK("http://nsgreg.nga.mil/genc/view?v=870275&amp;end_month=12&amp;end_day=31&amp;end_year=2016","Correlation")</f>
        <v>Correlation</v>
      </c>
    </row>
    <row r="2243" spans="1:13" x14ac:dyDescent="0.2">
      <c r="A2243" s="113"/>
      <c r="B2243" s="58" t="s">
        <v>6442</v>
      </c>
      <c r="C2243" s="58" t="s">
        <v>6433</v>
      </c>
      <c r="D2243" s="58" t="s">
        <v>6443</v>
      </c>
      <c r="E2243" s="60" t="b">
        <v>1</v>
      </c>
      <c r="F2243" s="80" t="s">
        <v>837</v>
      </c>
      <c r="G2243" s="58" t="s">
        <v>6442</v>
      </c>
      <c r="H2243" s="58" t="s">
        <v>6433</v>
      </c>
      <c r="I2243" s="64" t="s">
        <v>6443</v>
      </c>
      <c r="J2243" s="66"/>
      <c r="K2243" s="66"/>
      <c r="L2243" s="68"/>
      <c r="M2243" s="63" t="str">
        <f>HYPERLINK("http://nsgreg.nga.mil/genc/view?v=870276&amp;end_month=12&amp;end_day=31&amp;end_year=2016","Correlation")</f>
        <v>Correlation</v>
      </c>
    </row>
    <row r="2244" spans="1:13" x14ac:dyDescent="0.2">
      <c r="A2244" s="113"/>
      <c r="B2244" s="58" t="s">
        <v>6444</v>
      </c>
      <c r="C2244" s="58" t="s">
        <v>6433</v>
      </c>
      <c r="D2244" s="58" t="s">
        <v>6445</v>
      </c>
      <c r="E2244" s="60" t="b">
        <v>1</v>
      </c>
      <c r="F2244" s="80" t="s">
        <v>837</v>
      </c>
      <c r="G2244" s="58" t="s">
        <v>6444</v>
      </c>
      <c r="H2244" s="58" t="s">
        <v>6433</v>
      </c>
      <c r="I2244" s="64" t="s">
        <v>6445</v>
      </c>
      <c r="J2244" s="66"/>
      <c r="K2244" s="66"/>
      <c r="L2244" s="68"/>
      <c r="M2244" s="63" t="str">
        <f>HYPERLINK("http://nsgreg.nga.mil/genc/view?v=870277&amp;end_month=12&amp;end_day=31&amp;end_year=2016","Correlation")</f>
        <v>Correlation</v>
      </c>
    </row>
    <row r="2245" spans="1:13" x14ac:dyDescent="0.2">
      <c r="A2245" s="113"/>
      <c r="B2245" s="58" t="s">
        <v>6446</v>
      </c>
      <c r="C2245" s="58" t="s">
        <v>6433</v>
      </c>
      <c r="D2245" s="58" t="s">
        <v>6447</v>
      </c>
      <c r="E2245" s="60" t="b">
        <v>1</v>
      </c>
      <c r="F2245" s="80" t="s">
        <v>837</v>
      </c>
      <c r="G2245" s="58" t="s">
        <v>6446</v>
      </c>
      <c r="H2245" s="58" t="s">
        <v>6433</v>
      </c>
      <c r="I2245" s="64" t="s">
        <v>6447</v>
      </c>
      <c r="J2245" s="66"/>
      <c r="K2245" s="66"/>
      <c r="L2245" s="68"/>
      <c r="M2245" s="63" t="str">
        <f>HYPERLINK("http://nsgreg.nga.mil/genc/view?v=870280&amp;end_month=12&amp;end_day=31&amp;end_year=2016","Correlation")</f>
        <v>Correlation</v>
      </c>
    </row>
    <row r="2246" spans="1:13" x14ac:dyDescent="0.2">
      <c r="A2246" s="113"/>
      <c r="B2246" s="58" t="s">
        <v>6448</v>
      </c>
      <c r="C2246" s="58" t="s">
        <v>6433</v>
      </c>
      <c r="D2246" s="58" t="s">
        <v>6449</v>
      </c>
      <c r="E2246" s="60" t="b">
        <v>1</v>
      </c>
      <c r="F2246" s="80" t="s">
        <v>837</v>
      </c>
      <c r="G2246" s="58" t="s">
        <v>6448</v>
      </c>
      <c r="H2246" s="58" t="s">
        <v>6433</v>
      </c>
      <c r="I2246" s="64" t="s">
        <v>6449</v>
      </c>
      <c r="J2246" s="66"/>
      <c r="K2246" s="66"/>
      <c r="L2246" s="68"/>
      <c r="M2246" s="63" t="str">
        <f>HYPERLINK("http://nsgreg.nga.mil/genc/view?v=870278&amp;end_month=12&amp;end_day=31&amp;end_year=2016","Correlation")</f>
        <v>Correlation</v>
      </c>
    </row>
    <row r="2247" spans="1:13" x14ac:dyDescent="0.2">
      <c r="A2247" s="113"/>
      <c r="B2247" s="58" t="s">
        <v>6450</v>
      </c>
      <c r="C2247" s="58" t="s">
        <v>6433</v>
      </c>
      <c r="D2247" s="58" t="s">
        <v>6451</v>
      </c>
      <c r="E2247" s="60" t="b">
        <v>1</v>
      </c>
      <c r="F2247" s="80" t="s">
        <v>837</v>
      </c>
      <c r="G2247" s="58" t="s">
        <v>6450</v>
      </c>
      <c r="H2247" s="58" t="s">
        <v>6433</v>
      </c>
      <c r="I2247" s="64" t="s">
        <v>6451</v>
      </c>
      <c r="J2247" s="66"/>
      <c r="K2247" s="66"/>
      <c r="L2247" s="68"/>
      <c r="M2247" s="63" t="str">
        <f>HYPERLINK("http://nsgreg.nga.mil/genc/view?v=870287&amp;end_month=12&amp;end_day=31&amp;end_year=2016","Correlation")</f>
        <v>Correlation</v>
      </c>
    </row>
    <row r="2248" spans="1:13" x14ac:dyDescent="0.2">
      <c r="A2248" s="113"/>
      <c r="B2248" s="58" t="s">
        <v>6452</v>
      </c>
      <c r="C2248" s="58" t="s">
        <v>6433</v>
      </c>
      <c r="D2248" s="58" t="s">
        <v>6453</v>
      </c>
      <c r="E2248" s="60" t="b">
        <v>1</v>
      </c>
      <c r="F2248" s="80" t="s">
        <v>837</v>
      </c>
      <c r="G2248" s="58" t="s">
        <v>6452</v>
      </c>
      <c r="H2248" s="58" t="s">
        <v>6433</v>
      </c>
      <c r="I2248" s="64" t="s">
        <v>6453</v>
      </c>
      <c r="J2248" s="66"/>
      <c r="K2248" s="66"/>
      <c r="L2248" s="68"/>
      <c r="M2248" s="63" t="str">
        <f>HYPERLINK("http://nsgreg.nga.mil/genc/view?v=870283&amp;end_month=12&amp;end_day=31&amp;end_year=2016","Correlation")</f>
        <v>Correlation</v>
      </c>
    </row>
    <row r="2249" spans="1:13" x14ac:dyDescent="0.2">
      <c r="A2249" s="113"/>
      <c r="B2249" s="58" t="s">
        <v>6454</v>
      </c>
      <c r="C2249" s="58" t="s">
        <v>6433</v>
      </c>
      <c r="D2249" s="58" t="s">
        <v>6455</v>
      </c>
      <c r="E2249" s="60" t="b">
        <v>1</v>
      </c>
      <c r="F2249" s="80" t="s">
        <v>837</v>
      </c>
      <c r="G2249" s="58" t="s">
        <v>6454</v>
      </c>
      <c r="H2249" s="58" t="s">
        <v>6433</v>
      </c>
      <c r="I2249" s="64" t="s">
        <v>6455</v>
      </c>
      <c r="J2249" s="66"/>
      <c r="K2249" s="66"/>
      <c r="L2249" s="68"/>
      <c r="M2249" s="63" t="str">
        <f>HYPERLINK("http://nsgreg.nga.mil/genc/view?v=870290&amp;end_month=12&amp;end_day=31&amp;end_year=2016","Correlation")</f>
        <v>Correlation</v>
      </c>
    </row>
    <row r="2250" spans="1:13" x14ac:dyDescent="0.2">
      <c r="A2250" s="113"/>
      <c r="B2250" s="58" t="s">
        <v>6456</v>
      </c>
      <c r="C2250" s="58" t="s">
        <v>6433</v>
      </c>
      <c r="D2250" s="58" t="s">
        <v>6457</v>
      </c>
      <c r="E2250" s="60" t="b">
        <v>1</v>
      </c>
      <c r="F2250" s="80" t="s">
        <v>837</v>
      </c>
      <c r="G2250" s="58" t="s">
        <v>6456</v>
      </c>
      <c r="H2250" s="58" t="s">
        <v>6433</v>
      </c>
      <c r="I2250" s="64" t="s">
        <v>6457</v>
      </c>
      <c r="J2250" s="66"/>
      <c r="K2250" s="66"/>
      <c r="L2250" s="68"/>
      <c r="M2250" s="63" t="str">
        <f>HYPERLINK("http://nsgreg.nga.mil/genc/view?v=870269&amp;end_month=12&amp;end_day=31&amp;end_year=2016","Correlation")</f>
        <v>Correlation</v>
      </c>
    </row>
    <row r="2251" spans="1:13" x14ac:dyDescent="0.2">
      <c r="A2251" s="113"/>
      <c r="B2251" s="58" t="s">
        <v>6458</v>
      </c>
      <c r="C2251" s="58" t="s">
        <v>6433</v>
      </c>
      <c r="D2251" s="58" t="s">
        <v>6459</v>
      </c>
      <c r="E2251" s="60" t="b">
        <v>1</v>
      </c>
      <c r="F2251" s="80" t="s">
        <v>837</v>
      </c>
      <c r="G2251" s="58" t="s">
        <v>6458</v>
      </c>
      <c r="H2251" s="58" t="s">
        <v>6433</v>
      </c>
      <c r="I2251" s="64" t="s">
        <v>6459</v>
      </c>
      <c r="J2251" s="66"/>
      <c r="K2251" s="66"/>
      <c r="L2251" s="68"/>
      <c r="M2251" s="63" t="str">
        <f>HYPERLINK("http://nsgreg.nga.mil/genc/view?v=870271&amp;end_month=12&amp;end_day=31&amp;end_year=2016","Correlation")</f>
        <v>Correlation</v>
      </c>
    </row>
    <row r="2252" spans="1:13" x14ac:dyDescent="0.2">
      <c r="A2252" s="113"/>
      <c r="B2252" s="58" t="s">
        <v>6460</v>
      </c>
      <c r="C2252" s="58" t="s">
        <v>6433</v>
      </c>
      <c r="D2252" s="58" t="s">
        <v>6461</v>
      </c>
      <c r="E2252" s="60" t="b">
        <v>1</v>
      </c>
      <c r="F2252" s="80" t="s">
        <v>837</v>
      </c>
      <c r="G2252" s="58" t="s">
        <v>6460</v>
      </c>
      <c r="H2252" s="58" t="s">
        <v>6433</v>
      </c>
      <c r="I2252" s="64" t="s">
        <v>6461</v>
      </c>
      <c r="J2252" s="66"/>
      <c r="K2252" s="66"/>
      <c r="L2252" s="68"/>
      <c r="M2252" s="63" t="str">
        <f>HYPERLINK("http://nsgreg.nga.mil/genc/view?v=870272&amp;end_month=12&amp;end_day=31&amp;end_year=2016","Correlation")</f>
        <v>Correlation</v>
      </c>
    </row>
    <row r="2253" spans="1:13" x14ac:dyDescent="0.2">
      <c r="A2253" s="113"/>
      <c r="B2253" s="58" t="s">
        <v>6462</v>
      </c>
      <c r="C2253" s="58" t="s">
        <v>6433</v>
      </c>
      <c r="D2253" s="58" t="s">
        <v>6463</v>
      </c>
      <c r="E2253" s="60" t="b">
        <v>1</v>
      </c>
      <c r="F2253" s="80" t="s">
        <v>837</v>
      </c>
      <c r="G2253" s="58" t="s">
        <v>6462</v>
      </c>
      <c r="H2253" s="58" t="s">
        <v>6433</v>
      </c>
      <c r="I2253" s="64" t="s">
        <v>6463</v>
      </c>
      <c r="J2253" s="66"/>
      <c r="K2253" s="66"/>
      <c r="L2253" s="68"/>
      <c r="M2253" s="63" t="str">
        <f>HYPERLINK("http://nsgreg.nga.mil/genc/view?v=870279&amp;end_month=12&amp;end_day=31&amp;end_year=2016","Correlation")</f>
        <v>Correlation</v>
      </c>
    </row>
    <row r="2254" spans="1:13" x14ac:dyDescent="0.2">
      <c r="A2254" s="113"/>
      <c r="B2254" s="58" t="s">
        <v>6464</v>
      </c>
      <c r="C2254" s="58" t="s">
        <v>6433</v>
      </c>
      <c r="D2254" s="58" t="s">
        <v>6465</v>
      </c>
      <c r="E2254" s="60" t="b">
        <v>1</v>
      </c>
      <c r="F2254" s="80" t="s">
        <v>837</v>
      </c>
      <c r="G2254" s="58" t="s">
        <v>6464</v>
      </c>
      <c r="H2254" s="58" t="s">
        <v>6433</v>
      </c>
      <c r="I2254" s="64" t="s">
        <v>6465</v>
      </c>
      <c r="J2254" s="66"/>
      <c r="K2254" s="66"/>
      <c r="L2254" s="68"/>
      <c r="M2254" s="63" t="str">
        <f>HYPERLINK("http://nsgreg.nga.mil/genc/view?v=870281&amp;end_month=12&amp;end_day=31&amp;end_year=2016","Correlation")</f>
        <v>Correlation</v>
      </c>
    </row>
    <row r="2255" spans="1:13" x14ac:dyDescent="0.2">
      <c r="A2255" s="113"/>
      <c r="B2255" s="58" t="s">
        <v>6466</v>
      </c>
      <c r="C2255" s="58" t="s">
        <v>6433</v>
      </c>
      <c r="D2255" s="58" t="s">
        <v>6467</v>
      </c>
      <c r="E2255" s="60" t="b">
        <v>1</v>
      </c>
      <c r="F2255" s="80" t="s">
        <v>837</v>
      </c>
      <c r="G2255" s="58" t="s">
        <v>6466</v>
      </c>
      <c r="H2255" s="58" t="s">
        <v>6433</v>
      </c>
      <c r="I2255" s="64" t="s">
        <v>6467</v>
      </c>
      <c r="J2255" s="66"/>
      <c r="K2255" s="66"/>
      <c r="L2255" s="68"/>
      <c r="M2255" s="63" t="str">
        <f>HYPERLINK("http://nsgreg.nga.mil/genc/view?v=870282&amp;end_month=12&amp;end_day=31&amp;end_year=2016","Correlation")</f>
        <v>Correlation</v>
      </c>
    </row>
    <row r="2256" spans="1:13" x14ac:dyDescent="0.2">
      <c r="A2256" s="113"/>
      <c r="B2256" s="58" t="s">
        <v>6468</v>
      </c>
      <c r="C2256" s="58" t="s">
        <v>6433</v>
      </c>
      <c r="D2256" s="58" t="s">
        <v>6469</v>
      </c>
      <c r="E2256" s="60" t="b">
        <v>1</v>
      </c>
      <c r="F2256" s="80" t="s">
        <v>837</v>
      </c>
      <c r="G2256" s="58" t="s">
        <v>6468</v>
      </c>
      <c r="H2256" s="58" t="s">
        <v>6433</v>
      </c>
      <c r="I2256" s="64" t="s">
        <v>6469</v>
      </c>
      <c r="J2256" s="66"/>
      <c r="K2256" s="66"/>
      <c r="L2256" s="68"/>
      <c r="M2256" s="63" t="str">
        <f>HYPERLINK("http://nsgreg.nga.mil/genc/view?v=870284&amp;end_month=12&amp;end_day=31&amp;end_year=2016","Correlation")</f>
        <v>Correlation</v>
      </c>
    </row>
    <row r="2257" spans="1:13" x14ac:dyDescent="0.2">
      <c r="A2257" s="113"/>
      <c r="B2257" s="58" t="s">
        <v>6470</v>
      </c>
      <c r="C2257" s="58" t="s">
        <v>6433</v>
      </c>
      <c r="D2257" s="58" t="s">
        <v>6471</v>
      </c>
      <c r="E2257" s="60" t="b">
        <v>1</v>
      </c>
      <c r="F2257" s="80" t="s">
        <v>837</v>
      </c>
      <c r="G2257" s="58" t="s">
        <v>6470</v>
      </c>
      <c r="H2257" s="58" t="s">
        <v>6433</v>
      </c>
      <c r="I2257" s="64" t="s">
        <v>6471</v>
      </c>
      <c r="J2257" s="66"/>
      <c r="K2257" s="66"/>
      <c r="L2257" s="68"/>
      <c r="M2257" s="63" t="str">
        <f>HYPERLINK("http://nsgreg.nga.mil/genc/view?v=870285&amp;end_month=12&amp;end_day=31&amp;end_year=2016","Correlation")</f>
        <v>Correlation</v>
      </c>
    </row>
    <row r="2258" spans="1:13" x14ac:dyDescent="0.2">
      <c r="A2258" s="113"/>
      <c r="B2258" s="58" t="s">
        <v>6472</v>
      </c>
      <c r="C2258" s="58" t="s">
        <v>6433</v>
      </c>
      <c r="D2258" s="58" t="s">
        <v>6473</v>
      </c>
      <c r="E2258" s="60" t="b">
        <v>1</v>
      </c>
      <c r="F2258" s="80" t="s">
        <v>837</v>
      </c>
      <c r="G2258" s="58" t="s">
        <v>6472</v>
      </c>
      <c r="H2258" s="58" t="s">
        <v>6433</v>
      </c>
      <c r="I2258" s="64" t="s">
        <v>6473</v>
      </c>
      <c r="J2258" s="66"/>
      <c r="K2258" s="66"/>
      <c r="L2258" s="68"/>
      <c r="M2258" s="63" t="str">
        <f>HYPERLINK("http://nsgreg.nga.mil/genc/view?v=870286&amp;end_month=12&amp;end_day=31&amp;end_year=2016","Correlation")</f>
        <v>Correlation</v>
      </c>
    </row>
    <row r="2259" spans="1:13" x14ac:dyDescent="0.2">
      <c r="A2259" s="113"/>
      <c r="B2259" s="58" t="s">
        <v>6474</v>
      </c>
      <c r="C2259" s="58" t="s">
        <v>6433</v>
      </c>
      <c r="D2259" s="58" t="s">
        <v>6475</v>
      </c>
      <c r="E2259" s="60" t="b">
        <v>1</v>
      </c>
      <c r="F2259" s="80" t="s">
        <v>837</v>
      </c>
      <c r="G2259" s="58" t="s">
        <v>6474</v>
      </c>
      <c r="H2259" s="58" t="s">
        <v>6433</v>
      </c>
      <c r="I2259" s="64" t="s">
        <v>6475</v>
      </c>
      <c r="J2259" s="66"/>
      <c r="K2259" s="66"/>
      <c r="L2259" s="68"/>
      <c r="M2259" s="63" t="str">
        <f>HYPERLINK("http://nsgreg.nga.mil/genc/view?v=870288&amp;end_month=12&amp;end_day=31&amp;end_year=2016","Correlation")</f>
        <v>Correlation</v>
      </c>
    </row>
    <row r="2260" spans="1:13" x14ac:dyDescent="0.2">
      <c r="A2260" s="114"/>
      <c r="B2260" s="71" t="s">
        <v>6476</v>
      </c>
      <c r="C2260" s="71" t="s">
        <v>6433</v>
      </c>
      <c r="D2260" s="71" t="s">
        <v>6477</v>
      </c>
      <c r="E2260" s="73" t="b">
        <v>1</v>
      </c>
      <c r="F2260" s="81" t="s">
        <v>837</v>
      </c>
      <c r="G2260" s="71" t="s">
        <v>6476</v>
      </c>
      <c r="H2260" s="71" t="s">
        <v>6433</v>
      </c>
      <c r="I2260" s="74" t="s">
        <v>6477</v>
      </c>
      <c r="J2260" s="76"/>
      <c r="K2260" s="76"/>
      <c r="L2260" s="82"/>
      <c r="M2260" s="77" t="str">
        <f>HYPERLINK("http://nsgreg.nga.mil/genc/view?v=870289&amp;end_month=12&amp;end_day=31&amp;end_year=2016","Correlation")</f>
        <v>Correlation</v>
      </c>
    </row>
    <row r="2261" spans="1:13" x14ac:dyDescent="0.2">
      <c r="A2261" s="112" t="s">
        <v>841</v>
      </c>
      <c r="B2261" s="50" t="s">
        <v>6478</v>
      </c>
      <c r="C2261" s="50" t="s">
        <v>2928</v>
      </c>
      <c r="D2261" s="50" t="s">
        <v>6479</v>
      </c>
      <c r="E2261" s="52" t="b">
        <v>1</v>
      </c>
      <c r="F2261" s="78" t="s">
        <v>841</v>
      </c>
      <c r="G2261" s="50" t="s">
        <v>6478</v>
      </c>
      <c r="H2261" s="50" t="s">
        <v>2928</v>
      </c>
      <c r="I2261" s="53" t="s">
        <v>6479</v>
      </c>
      <c r="J2261" s="55"/>
      <c r="K2261" s="55"/>
      <c r="L2261" s="79"/>
      <c r="M2261" s="56" t="str">
        <f>HYPERLINK("http://nsgreg.nga.mil/genc/view?v=869998&amp;end_month=12&amp;end_day=31&amp;end_year=2016","Correlation")</f>
        <v>Correlation</v>
      </c>
    </row>
    <row r="2262" spans="1:13" x14ac:dyDescent="0.2">
      <c r="A2262" s="113"/>
      <c r="B2262" s="58" t="s">
        <v>6480</v>
      </c>
      <c r="C2262" s="58" t="s">
        <v>2928</v>
      </c>
      <c r="D2262" s="58" t="s">
        <v>6481</v>
      </c>
      <c r="E2262" s="60" t="b">
        <v>1</v>
      </c>
      <c r="F2262" s="80" t="s">
        <v>841</v>
      </c>
      <c r="G2262" s="58" t="s">
        <v>6480</v>
      </c>
      <c r="H2262" s="58" t="s">
        <v>2928</v>
      </c>
      <c r="I2262" s="64" t="s">
        <v>6481</v>
      </c>
      <c r="J2262" s="66"/>
      <c r="K2262" s="66"/>
      <c r="L2262" s="68"/>
      <c r="M2262" s="63" t="str">
        <f>HYPERLINK("http://nsgreg.nga.mil/genc/view?v=869999&amp;end_month=12&amp;end_day=31&amp;end_year=2016","Correlation")</f>
        <v>Correlation</v>
      </c>
    </row>
    <row r="2263" spans="1:13" x14ac:dyDescent="0.2">
      <c r="A2263" s="113"/>
      <c r="B2263" s="58" t="s">
        <v>6482</v>
      </c>
      <c r="C2263" s="58" t="s">
        <v>2928</v>
      </c>
      <c r="D2263" s="58" t="s">
        <v>6483</v>
      </c>
      <c r="E2263" s="60" t="b">
        <v>1</v>
      </c>
      <c r="F2263" s="80" t="s">
        <v>841</v>
      </c>
      <c r="G2263" s="58" t="s">
        <v>6482</v>
      </c>
      <c r="H2263" s="58" t="s">
        <v>2928</v>
      </c>
      <c r="I2263" s="64" t="s">
        <v>6483</v>
      </c>
      <c r="J2263" s="66"/>
      <c r="K2263" s="66"/>
      <c r="L2263" s="68"/>
      <c r="M2263" s="63" t="str">
        <f>HYPERLINK("http://nsgreg.nga.mil/genc/view?v=870000&amp;end_month=12&amp;end_day=31&amp;end_year=2016","Correlation")</f>
        <v>Correlation</v>
      </c>
    </row>
    <row r="2264" spans="1:13" x14ac:dyDescent="0.2">
      <c r="A2264" s="113"/>
      <c r="B2264" s="58" t="s">
        <v>6484</v>
      </c>
      <c r="C2264" s="58" t="s">
        <v>2928</v>
      </c>
      <c r="D2264" s="58" t="s">
        <v>6485</v>
      </c>
      <c r="E2264" s="60" t="b">
        <v>1</v>
      </c>
      <c r="F2264" s="80" t="s">
        <v>841</v>
      </c>
      <c r="G2264" s="58" t="s">
        <v>6484</v>
      </c>
      <c r="H2264" s="58" t="s">
        <v>2928</v>
      </c>
      <c r="I2264" s="64" t="s">
        <v>6485</v>
      </c>
      <c r="J2264" s="66"/>
      <c r="K2264" s="66"/>
      <c r="L2264" s="68"/>
      <c r="M2264" s="63" t="str">
        <f>HYPERLINK("http://nsgreg.nga.mil/genc/view?v=870001&amp;end_month=12&amp;end_day=31&amp;end_year=2016","Correlation")</f>
        <v>Correlation</v>
      </c>
    </row>
    <row r="2265" spans="1:13" x14ac:dyDescent="0.2">
      <c r="A2265" s="113"/>
      <c r="B2265" s="58" t="s">
        <v>6486</v>
      </c>
      <c r="C2265" s="58" t="s">
        <v>2928</v>
      </c>
      <c r="D2265" s="58" t="s">
        <v>6487</v>
      </c>
      <c r="E2265" s="60" t="b">
        <v>1</v>
      </c>
      <c r="F2265" s="80" t="s">
        <v>841</v>
      </c>
      <c r="G2265" s="58" t="s">
        <v>6486</v>
      </c>
      <c r="H2265" s="58" t="s">
        <v>2928</v>
      </c>
      <c r="I2265" s="64" t="s">
        <v>6487</v>
      </c>
      <c r="J2265" s="66"/>
      <c r="K2265" s="66"/>
      <c r="L2265" s="68"/>
      <c r="M2265" s="63" t="str">
        <f>HYPERLINK("http://nsgreg.nga.mil/genc/view?v=870002&amp;end_month=12&amp;end_day=31&amp;end_year=2016","Correlation")</f>
        <v>Correlation</v>
      </c>
    </row>
    <row r="2266" spans="1:13" x14ac:dyDescent="0.2">
      <c r="A2266" s="113"/>
      <c r="B2266" s="58" t="s">
        <v>6488</v>
      </c>
      <c r="C2266" s="58" t="s">
        <v>2928</v>
      </c>
      <c r="D2266" s="58" t="s">
        <v>6489</v>
      </c>
      <c r="E2266" s="60" t="b">
        <v>1</v>
      </c>
      <c r="F2266" s="80" t="s">
        <v>841</v>
      </c>
      <c r="G2266" s="58" t="s">
        <v>6488</v>
      </c>
      <c r="H2266" s="58" t="s">
        <v>2928</v>
      </c>
      <c r="I2266" s="64" t="s">
        <v>6489</v>
      </c>
      <c r="J2266" s="66"/>
      <c r="K2266" s="66"/>
      <c r="L2266" s="68"/>
      <c r="M2266" s="63" t="str">
        <f>HYPERLINK("http://nsgreg.nga.mil/genc/view?v=870003&amp;end_month=12&amp;end_day=31&amp;end_year=2016","Correlation")</f>
        <v>Correlation</v>
      </c>
    </row>
    <row r="2267" spans="1:13" x14ac:dyDescent="0.2">
      <c r="A2267" s="113"/>
      <c r="B2267" s="58" t="s">
        <v>6490</v>
      </c>
      <c r="C2267" s="58" t="s">
        <v>2928</v>
      </c>
      <c r="D2267" s="58" t="s">
        <v>6491</v>
      </c>
      <c r="E2267" s="60" t="b">
        <v>1</v>
      </c>
      <c r="F2267" s="80" t="s">
        <v>841</v>
      </c>
      <c r="G2267" s="58" t="s">
        <v>6490</v>
      </c>
      <c r="H2267" s="58" t="s">
        <v>2928</v>
      </c>
      <c r="I2267" s="64" t="s">
        <v>6491</v>
      </c>
      <c r="J2267" s="66"/>
      <c r="K2267" s="66"/>
      <c r="L2267" s="68"/>
      <c r="M2267" s="63" t="str">
        <f>HYPERLINK("http://nsgreg.nga.mil/genc/view?v=870004&amp;end_month=12&amp;end_day=31&amp;end_year=2016","Correlation")</f>
        <v>Correlation</v>
      </c>
    </row>
    <row r="2268" spans="1:13" x14ac:dyDescent="0.2">
      <c r="A2268" s="113"/>
      <c r="B2268" s="58" t="s">
        <v>6492</v>
      </c>
      <c r="C2268" s="58" t="s">
        <v>2928</v>
      </c>
      <c r="D2268" s="58" t="s">
        <v>6493</v>
      </c>
      <c r="E2268" s="60" t="b">
        <v>1</v>
      </c>
      <c r="F2268" s="80" t="s">
        <v>841</v>
      </c>
      <c r="G2268" s="58" t="s">
        <v>6492</v>
      </c>
      <c r="H2268" s="58" t="s">
        <v>2928</v>
      </c>
      <c r="I2268" s="64" t="s">
        <v>6493</v>
      </c>
      <c r="J2268" s="66"/>
      <c r="K2268" s="66"/>
      <c r="L2268" s="68"/>
      <c r="M2268" s="63" t="str">
        <f>HYPERLINK("http://nsgreg.nga.mil/genc/view?v=870005&amp;end_month=12&amp;end_day=31&amp;end_year=2016","Correlation")</f>
        <v>Correlation</v>
      </c>
    </row>
    <row r="2269" spans="1:13" x14ac:dyDescent="0.2">
      <c r="A2269" s="113"/>
      <c r="B2269" s="58" t="s">
        <v>6494</v>
      </c>
      <c r="C2269" s="58" t="s">
        <v>2928</v>
      </c>
      <c r="D2269" s="58" t="s">
        <v>6495</v>
      </c>
      <c r="E2269" s="60" t="b">
        <v>1</v>
      </c>
      <c r="F2269" s="80" t="s">
        <v>841</v>
      </c>
      <c r="G2269" s="58" t="s">
        <v>6494</v>
      </c>
      <c r="H2269" s="58" t="s">
        <v>2928</v>
      </c>
      <c r="I2269" s="64" t="s">
        <v>6495</v>
      </c>
      <c r="J2269" s="66"/>
      <c r="K2269" s="66"/>
      <c r="L2269" s="68"/>
      <c r="M2269" s="63" t="str">
        <f>HYPERLINK("http://nsgreg.nga.mil/genc/view?v=870006&amp;end_month=12&amp;end_day=31&amp;end_year=2016","Correlation")</f>
        <v>Correlation</v>
      </c>
    </row>
    <row r="2270" spans="1:13" x14ac:dyDescent="0.2">
      <c r="A2270" s="113"/>
      <c r="B2270" s="58" t="s">
        <v>6496</v>
      </c>
      <c r="C2270" s="58" t="s">
        <v>2928</v>
      </c>
      <c r="D2270" s="58" t="s">
        <v>6497</v>
      </c>
      <c r="E2270" s="60" t="b">
        <v>1</v>
      </c>
      <c r="F2270" s="80" t="s">
        <v>841</v>
      </c>
      <c r="G2270" s="58" t="s">
        <v>6496</v>
      </c>
      <c r="H2270" s="58" t="s">
        <v>2928</v>
      </c>
      <c r="I2270" s="64" t="s">
        <v>6497</v>
      </c>
      <c r="J2270" s="66"/>
      <c r="K2270" s="66"/>
      <c r="L2270" s="68"/>
      <c r="M2270" s="63" t="str">
        <f>HYPERLINK("http://nsgreg.nga.mil/genc/view?v=870007&amp;end_month=12&amp;end_day=31&amp;end_year=2016","Correlation")</f>
        <v>Correlation</v>
      </c>
    </row>
    <row r="2271" spans="1:13" x14ac:dyDescent="0.2">
      <c r="A2271" s="114"/>
      <c r="B2271" s="71" t="s">
        <v>6498</v>
      </c>
      <c r="C2271" s="71" t="s">
        <v>2928</v>
      </c>
      <c r="D2271" s="71" t="s">
        <v>6499</v>
      </c>
      <c r="E2271" s="73" t="b">
        <v>1</v>
      </c>
      <c r="F2271" s="81" t="s">
        <v>841</v>
      </c>
      <c r="G2271" s="71" t="s">
        <v>6498</v>
      </c>
      <c r="H2271" s="71" t="s">
        <v>2928</v>
      </c>
      <c r="I2271" s="74" t="s">
        <v>6499</v>
      </c>
      <c r="J2271" s="76"/>
      <c r="K2271" s="76"/>
      <c r="L2271" s="82"/>
      <c r="M2271" s="77" t="str">
        <f>HYPERLINK("http://nsgreg.nga.mil/genc/view?v=870008&amp;end_month=12&amp;end_day=31&amp;end_year=2016","Correlation")</f>
        <v>Correlation</v>
      </c>
    </row>
    <row r="2272" spans="1:13" x14ac:dyDescent="0.2">
      <c r="A2272" s="112" t="s">
        <v>845</v>
      </c>
      <c r="B2272" s="50" t="s">
        <v>6500</v>
      </c>
      <c r="C2272" s="50" t="s">
        <v>6501</v>
      </c>
      <c r="D2272" s="50" t="s">
        <v>6502</v>
      </c>
      <c r="E2272" s="52" t="b">
        <v>1</v>
      </c>
      <c r="F2272" s="78" t="s">
        <v>845</v>
      </c>
      <c r="G2272" s="50" t="s">
        <v>6500</v>
      </c>
      <c r="H2272" s="50" t="s">
        <v>6501</v>
      </c>
      <c r="I2272" s="53" t="s">
        <v>6502</v>
      </c>
      <c r="J2272" s="55"/>
      <c r="K2272" s="55"/>
      <c r="L2272" s="79"/>
      <c r="M2272" s="56" t="str">
        <f>HYPERLINK("http://nsgreg.nga.mil/genc/view?v=870068&amp;end_month=12&amp;end_day=31&amp;end_year=2016","Correlation")</f>
        <v>Correlation</v>
      </c>
    </row>
    <row r="2273" spans="1:13" x14ac:dyDescent="0.2">
      <c r="A2273" s="113"/>
      <c r="B2273" s="58" t="s">
        <v>6505</v>
      </c>
      <c r="C2273" s="58" t="s">
        <v>1483</v>
      </c>
      <c r="D2273" s="58" t="s">
        <v>6504</v>
      </c>
      <c r="E2273" s="60" t="b">
        <v>1</v>
      </c>
      <c r="F2273" s="80" t="s">
        <v>845</v>
      </c>
      <c r="G2273" s="58" t="s">
        <v>6503</v>
      </c>
      <c r="H2273" s="58" t="s">
        <v>1483</v>
      </c>
      <c r="I2273" s="64" t="s">
        <v>6504</v>
      </c>
      <c r="J2273" s="66"/>
      <c r="K2273" s="66"/>
      <c r="L2273" s="68"/>
      <c r="M2273" s="63" t="str">
        <f>HYPERLINK("http://nsgreg.nga.mil/genc/view?v=870128&amp;end_month=12&amp;end_day=31&amp;end_year=2016","Correlation")</f>
        <v>Correlation</v>
      </c>
    </row>
    <row r="2274" spans="1:13" x14ac:dyDescent="0.2">
      <c r="A2274" s="113"/>
      <c r="B2274" s="58" t="s">
        <v>6509</v>
      </c>
      <c r="C2274" s="58" t="s">
        <v>6507</v>
      </c>
      <c r="D2274" s="58" t="s">
        <v>6508</v>
      </c>
      <c r="E2274" s="60" t="b">
        <v>1</v>
      </c>
      <c r="F2274" s="80" t="s">
        <v>845</v>
      </c>
      <c r="G2274" s="58" t="s">
        <v>6506</v>
      </c>
      <c r="H2274" s="58" t="s">
        <v>6507</v>
      </c>
      <c r="I2274" s="64" t="s">
        <v>6508</v>
      </c>
      <c r="J2274" s="66"/>
      <c r="K2274" s="66"/>
      <c r="L2274" s="68"/>
      <c r="M2274" s="63" t="str">
        <f>HYPERLINK("http://nsgreg.nga.mil/genc/view?v=870069&amp;end_month=12&amp;end_day=31&amp;end_year=2016","Correlation")</f>
        <v>Correlation</v>
      </c>
    </row>
    <row r="2275" spans="1:13" x14ac:dyDescent="0.2">
      <c r="A2275" s="113"/>
      <c r="B2275" s="58" t="s">
        <v>6510</v>
      </c>
      <c r="C2275" s="58" t="s">
        <v>6501</v>
      </c>
      <c r="D2275" s="58" t="s">
        <v>6511</v>
      </c>
      <c r="E2275" s="60" t="b">
        <v>1</v>
      </c>
      <c r="F2275" s="80" t="s">
        <v>845</v>
      </c>
      <c r="G2275" s="58" t="s">
        <v>6510</v>
      </c>
      <c r="H2275" s="58" t="s">
        <v>6501</v>
      </c>
      <c r="I2275" s="64" t="s">
        <v>6511</v>
      </c>
      <c r="J2275" s="66"/>
      <c r="K2275" s="66"/>
      <c r="L2275" s="68"/>
      <c r="M2275" s="63" t="str">
        <f>HYPERLINK("http://nsgreg.nga.mil/genc/view?v=870070&amp;end_month=12&amp;end_day=31&amp;end_year=2016","Correlation")</f>
        <v>Correlation</v>
      </c>
    </row>
    <row r="2276" spans="1:13" x14ac:dyDescent="0.2">
      <c r="A2276" s="113"/>
      <c r="B2276" s="58" t="s">
        <v>6512</v>
      </c>
      <c r="C2276" s="58" t="s">
        <v>6501</v>
      </c>
      <c r="D2276" s="58" t="s">
        <v>6513</v>
      </c>
      <c r="E2276" s="60" t="b">
        <v>1</v>
      </c>
      <c r="F2276" s="80" t="s">
        <v>845</v>
      </c>
      <c r="G2276" s="58" t="s">
        <v>6512</v>
      </c>
      <c r="H2276" s="58" t="s">
        <v>6501</v>
      </c>
      <c r="I2276" s="64" t="s">
        <v>6513</v>
      </c>
      <c r="J2276" s="66"/>
      <c r="K2276" s="66"/>
      <c r="L2276" s="68"/>
      <c r="M2276" s="63" t="str">
        <f>HYPERLINK("http://nsgreg.nga.mil/genc/view?v=870071&amp;end_month=12&amp;end_day=31&amp;end_year=2016","Correlation")</f>
        <v>Correlation</v>
      </c>
    </row>
    <row r="2277" spans="1:13" x14ac:dyDescent="0.2">
      <c r="A2277" s="113"/>
      <c r="B2277" s="58" t="s">
        <v>6514</v>
      </c>
      <c r="C2277" s="58" t="s">
        <v>1816</v>
      </c>
      <c r="D2277" s="58" t="s">
        <v>6515</v>
      </c>
      <c r="E2277" s="60" t="b">
        <v>1</v>
      </c>
      <c r="F2277" s="80" t="s">
        <v>845</v>
      </c>
      <c r="G2277" s="58" t="s">
        <v>6514</v>
      </c>
      <c r="H2277" s="58" t="s">
        <v>1816</v>
      </c>
      <c r="I2277" s="64" t="s">
        <v>6515</v>
      </c>
      <c r="J2277" s="66"/>
      <c r="K2277" s="66"/>
      <c r="L2277" s="68"/>
      <c r="M2277" s="63" t="str">
        <f>HYPERLINK("http://nsgreg.nga.mil/genc/view?v=870072&amp;end_month=12&amp;end_day=31&amp;end_year=2016","Correlation")</f>
        <v>Correlation</v>
      </c>
    </row>
    <row r="2278" spans="1:13" x14ac:dyDescent="0.2">
      <c r="A2278" s="113"/>
      <c r="B2278" s="58" t="s">
        <v>6516</v>
      </c>
      <c r="C2278" s="58" t="s">
        <v>6501</v>
      </c>
      <c r="D2278" s="58" t="s">
        <v>6517</v>
      </c>
      <c r="E2278" s="60" t="b">
        <v>1</v>
      </c>
      <c r="F2278" s="80" t="s">
        <v>845</v>
      </c>
      <c r="G2278" s="58" t="s">
        <v>6516</v>
      </c>
      <c r="H2278" s="58" t="s">
        <v>6501</v>
      </c>
      <c r="I2278" s="64" t="s">
        <v>6517</v>
      </c>
      <c r="J2278" s="66"/>
      <c r="K2278" s="66"/>
      <c r="L2278" s="68"/>
      <c r="M2278" s="63" t="str">
        <f>HYPERLINK("http://nsgreg.nga.mil/genc/view?v=870073&amp;end_month=12&amp;end_day=31&amp;end_year=2016","Correlation")</f>
        <v>Correlation</v>
      </c>
    </row>
    <row r="2279" spans="1:13" x14ac:dyDescent="0.2">
      <c r="A2279" s="113"/>
      <c r="B2279" s="58" t="s">
        <v>6518</v>
      </c>
      <c r="C2279" s="58" t="s">
        <v>1816</v>
      </c>
      <c r="D2279" s="58" t="s">
        <v>6519</v>
      </c>
      <c r="E2279" s="60" t="b">
        <v>1</v>
      </c>
      <c r="F2279" s="80" t="s">
        <v>845</v>
      </c>
      <c r="G2279" s="58" t="s">
        <v>6518</v>
      </c>
      <c r="H2279" s="58" t="s">
        <v>1816</v>
      </c>
      <c r="I2279" s="64" t="s">
        <v>6519</v>
      </c>
      <c r="J2279" s="66"/>
      <c r="K2279" s="66"/>
      <c r="L2279" s="68"/>
      <c r="M2279" s="63" t="str">
        <f>HYPERLINK("http://nsgreg.nga.mil/genc/view?v=870074&amp;end_month=12&amp;end_day=31&amp;end_year=2016","Correlation")</f>
        <v>Correlation</v>
      </c>
    </row>
    <row r="2280" spans="1:13" x14ac:dyDescent="0.2">
      <c r="A2280" s="113"/>
      <c r="B2280" s="58" t="s">
        <v>6520</v>
      </c>
      <c r="C2280" s="58" t="s">
        <v>1816</v>
      </c>
      <c r="D2280" s="58" t="s">
        <v>6521</v>
      </c>
      <c r="E2280" s="60" t="b">
        <v>1</v>
      </c>
      <c r="F2280" s="80" t="s">
        <v>845</v>
      </c>
      <c r="G2280" s="58" t="s">
        <v>6520</v>
      </c>
      <c r="H2280" s="58" t="s">
        <v>1816</v>
      </c>
      <c r="I2280" s="64" t="s">
        <v>6521</v>
      </c>
      <c r="J2280" s="66"/>
      <c r="K2280" s="66"/>
      <c r="L2280" s="68"/>
      <c r="M2280" s="63" t="str">
        <f>HYPERLINK("http://nsgreg.nga.mil/genc/view?v=870075&amp;end_month=12&amp;end_day=31&amp;end_year=2016","Correlation")</f>
        <v>Correlation</v>
      </c>
    </row>
    <row r="2281" spans="1:13" x14ac:dyDescent="0.2">
      <c r="A2281" s="113"/>
      <c r="B2281" s="58" t="s">
        <v>6522</v>
      </c>
      <c r="C2281" s="58" t="s">
        <v>6501</v>
      </c>
      <c r="D2281" s="58" t="s">
        <v>6523</v>
      </c>
      <c r="E2281" s="60" t="b">
        <v>1</v>
      </c>
      <c r="F2281" s="80" t="s">
        <v>845</v>
      </c>
      <c r="G2281" s="58" t="s">
        <v>6522</v>
      </c>
      <c r="H2281" s="58" t="s">
        <v>6501</v>
      </c>
      <c r="I2281" s="64" t="s">
        <v>6523</v>
      </c>
      <c r="J2281" s="66"/>
      <c r="K2281" s="66"/>
      <c r="L2281" s="68"/>
      <c r="M2281" s="63" t="str">
        <f>HYPERLINK("http://nsgreg.nga.mil/genc/view?v=870076&amp;end_month=12&amp;end_day=31&amp;end_year=2016","Correlation")</f>
        <v>Correlation</v>
      </c>
    </row>
    <row r="2282" spans="1:13" x14ac:dyDescent="0.2">
      <c r="A2282" s="113"/>
      <c r="B2282" s="58" t="s">
        <v>6524</v>
      </c>
      <c r="C2282" s="58" t="s">
        <v>6501</v>
      </c>
      <c r="D2282" s="58" t="s">
        <v>6525</v>
      </c>
      <c r="E2282" s="60" t="b">
        <v>1</v>
      </c>
      <c r="F2282" s="80" t="s">
        <v>845</v>
      </c>
      <c r="G2282" s="58" t="s">
        <v>6524</v>
      </c>
      <c r="H2282" s="58" t="s">
        <v>6501</v>
      </c>
      <c r="I2282" s="64" t="s">
        <v>6525</v>
      </c>
      <c r="J2282" s="66"/>
      <c r="K2282" s="66"/>
      <c r="L2282" s="68"/>
      <c r="M2282" s="63" t="str">
        <f>HYPERLINK("http://nsgreg.nga.mil/genc/view?v=870077&amp;end_month=12&amp;end_day=31&amp;end_year=2016","Correlation")</f>
        <v>Correlation</v>
      </c>
    </row>
    <row r="2283" spans="1:13" x14ac:dyDescent="0.2">
      <c r="A2283" s="113"/>
      <c r="B2283" s="58" t="s">
        <v>6526</v>
      </c>
      <c r="C2283" s="58" t="s">
        <v>6501</v>
      </c>
      <c r="D2283" s="58" t="s">
        <v>6527</v>
      </c>
      <c r="E2283" s="60" t="b">
        <v>1</v>
      </c>
      <c r="F2283" s="80" t="s">
        <v>845</v>
      </c>
      <c r="G2283" s="58" t="s">
        <v>6526</v>
      </c>
      <c r="H2283" s="58" t="s">
        <v>6501</v>
      </c>
      <c r="I2283" s="64" t="s">
        <v>6527</v>
      </c>
      <c r="J2283" s="66"/>
      <c r="K2283" s="66"/>
      <c r="L2283" s="68"/>
      <c r="M2283" s="63" t="str">
        <f>HYPERLINK("http://nsgreg.nga.mil/genc/view?v=870078&amp;end_month=12&amp;end_day=31&amp;end_year=2016","Correlation")</f>
        <v>Correlation</v>
      </c>
    </row>
    <row r="2284" spans="1:13" x14ac:dyDescent="0.2">
      <c r="A2284" s="113"/>
      <c r="B2284" s="58" t="s">
        <v>6528</v>
      </c>
      <c r="C2284" s="58" t="s">
        <v>6501</v>
      </c>
      <c r="D2284" s="58" t="s">
        <v>6529</v>
      </c>
      <c r="E2284" s="60" t="b">
        <v>1</v>
      </c>
      <c r="F2284" s="80" t="s">
        <v>845</v>
      </c>
      <c r="G2284" s="58" t="s">
        <v>6528</v>
      </c>
      <c r="H2284" s="58" t="s">
        <v>6501</v>
      </c>
      <c r="I2284" s="64" t="s">
        <v>6529</v>
      </c>
      <c r="J2284" s="66"/>
      <c r="K2284" s="66"/>
      <c r="L2284" s="68"/>
      <c r="M2284" s="63" t="str">
        <f>HYPERLINK("http://nsgreg.nga.mil/genc/view?v=870079&amp;end_month=12&amp;end_day=31&amp;end_year=2016","Correlation")</f>
        <v>Correlation</v>
      </c>
    </row>
    <row r="2285" spans="1:13" x14ac:dyDescent="0.2">
      <c r="A2285" s="113"/>
      <c r="B2285" s="58" t="s">
        <v>6530</v>
      </c>
      <c r="C2285" s="58" t="s">
        <v>6501</v>
      </c>
      <c r="D2285" s="58" t="s">
        <v>6531</v>
      </c>
      <c r="E2285" s="60" t="b">
        <v>1</v>
      </c>
      <c r="F2285" s="80" t="s">
        <v>845</v>
      </c>
      <c r="G2285" s="58" t="s">
        <v>6530</v>
      </c>
      <c r="H2285" s="58" t="s">
        <v>6501</v>
      </c>
      <c r="I2285" s="64" t="s">
        <v>6531</v>
      </c>
      <c r="J2285" s="66"/>
      <c r="K2285" s="66"/>
      <c r="L2285" s="68"/>
      <c r="M2285" s="63" t="str">
        <f>HYPERLINK("http://nsgreg.nga.mil/genc/view?v=870080&amp;end_month=12&amp;end_day=31&amp;end_year=2016","Correlation")</f>
        <v>Correlation</v>
      </c>
    </row>
    <row r="2286" spans="1:13" x14ac:dyDescent="0.2">
      <c r="A2286" s="113"/>
      <c r="B2286" s="58" t="s">
        <v>6532</v>
      </c>
      <c r="C2286" s="58" t="s">
        <v>1816</v>
      </c>
      <c r="D2286" s="58" t="s">
        <v>6533</v>
      </c>
      <c r="E2286" s="60" t="b">
        <v>1</v>
      </c>
      <c r="F2286" s="80" t="s">
        <v>845</v>
      </c>
      <c r="G2286" s="58" t="s">
        <v>6532</v>
      </c>
      <c r="H2286" s="58" t="s">
        <v>1816</v>
      </c>
      <c r="I2286" s="64" t="s">
        <v>6533</v>
      </c>
      <c r="J2286" s="66"/>
      <c r="K2286" s="66"/>
      <c r="L2286" s="68"/>
      <c r="M2286" s="63" t="str">
        <f>HYPERLINK("http://nsgreg.nga.mil/genc/view?v=870081&amp;end_month=12&amp;end_day=31&amp;end_year=2016","Correlation")</f>
        <v>Correlation</v>
      </c>
    </row>
    <row r="2287" spans="1:13" x14ac:dyDescent="0.2">
      <c r="A2287" s="113"/>
      <c r="B2287" s="58" t="s">
        <v>6534</v>
      </c>
      <c r="C2287" s="58" t="s">
        <v>6501</v>
      </c>
      <c r="D2287" s="58" t="s">
        <v>6535</v>
      </c>
      <c r="E2287" s="60" t="b">
        <v>1</v>
      </c>
      <c r="F2287" s="80" t="s">
        <v>845</v>
      </c>
      <c r="G2287" s="58" t="s">
        <v>6534</v>
      </c>
      <c r="H2287" s="58" t="s">
        <v>6501</v>
      </c>
      <c r="I2287" s="64" t="s">
        <v>6535</v>
      </c>
      <c r="J2287" s="66"/>
      <c r="K2287" s="66"/>
      <c r="L2287" s="68"/>
      <c r="M2287" s="63" t="str">
        <f>HYPERLINK("http://nsgreg.nga.mil/genc/view?v=870083&amp;end_month=12&amp;end_day=31&amp;end_year=2016","Correlation")</f>
        <v>Correlation</v>
      </c>
    </row>
    <row r="2288" spans="1:13" x14ac:dyDescent="0.2">
      <c r="A2288" s="113"/>
      <c r="B2288" s="58" t="s">
        <v>6538</v>
      </c>
      <c r="C2288" s="58" t="s">
        <v>1483</v>
      </c>
      <c r="D2288" s="58" t="s">
        <v>6537</v>
      </c>
      <c r="E2288" s="60" t="b">
        <v>1</v>
      </c>
      <c r="F2288" s="80" t="s">
        <v>845</v>
      </c>
      <c r="G2288" s="58" t="s">
        <v>6536</v>
      </c>
      <c r="H2288" s="58" t="s">
        <v>1483</v>
      </c>
      <c r="I2288" s="64" t="s">
        <v>6537</v>
      </c>
      <c r="J2288" s="66"/>
      <c r="K2288" s="66"/>
      <c r="L2288" s="68"/>
      <c r="M2288" s="63" t="str">
        <f>HYPERLINK("http://nsgreg.nga.mil/genc/view?v=870130&amp;end_month=12&amp;end_day=31&amp;end_year=2016","Correlation")</f>
        <v>Correlation</v>
      </c>
    </row>
    <row r="2289" spans="1:13" x14ac:dyDescent="0.2">
      <c r="A2289" s="113"/>
      <c r="B2289" s="58" t="s">
        <v>6541</v>
      </c>
      <c r="C2289" s="58" t="s">
        <v>6507</v>
      </c>
      <c r="D2289" s="58" t="s">
        <v>6540</v>
      </c>
      <c r="E2289" s="60" t="b">
        <v>1</v>
      </c>
      <c r="F2289" s="80" t="s">
        <v>845</v>
      </c>
      <c r="G2289" s="58" t="s">
        <v>6539</v>
      </c>
      <c r="H2289" s="58" t="s">
        <v>6507</v>
      </c>
      <c r="I2289" s="64" t="s">
        <v>6540</v>
      </c>
      <c r="J2289" s="66"/>
      <c r="K2289" s="66"/>
      <c r="L2289" s="68"/>
      <c r="M2289" s="63" t="str">
        <f>HYPERLINK("http://nsgreg.nga.mil/genc/view?v=870082&amp;end_month=12&amp;end_day=31&amp;end_year=2016","Correlation")</f>
        <v>Correlation</v>
      </c>
    </row>
    <row r="2290" spans="1:13" x14ac:dyDescent="0.2">
      <c r="A2290" s="113"/>
      <c r="B2290" s="58" t="s">
        <v>6542</v>
      </c>
      <c r="C2290" s="58" t="s">
        <v>1816</v>
      </c>
      <c r="D2290" s="58" t="s">
        <v>6543</v>
      </c>
      <c r="E2290" s="60" t="b">
        <v>1</v>
      </c>
      <c r="F2290" s="80" t="s">
        <v>845</v>
      </c>
      <c r="G2290" s="58" t="s">
        <v>6542</v>
      </c>
      <c r="H2290" s="58" t="s">
        <v>1816</v>
      </c>
      <c r="I2290" s="64" t="s">
        <v>6543</v>
      </c>
      <c r="J2290" s="66"/>
      <c r="K2290" s="66"/>
      <c r="L2290" s="68"/>
      <c r="M2290" s="63" t="str">
        <f>HYPERLINK("http://nsgreg.nga.mil/genc/view?v=870084&amp;end_month=12&amp;end_day=31&amp;end_year=2016","Correlation")</f>
        <v>Correlation</v>
      </c>
    </row>
    <row r="2291" spans="1:13" x14ac:dyDescent="0.2">
      <c r="A2291" s="113"/>
      <c r="B2291" s="58" t="s">
        <v>6544</v>
      </c>
      <c r="C2291" s="58" t="s">
        <v>6501</v>
      </c>
      <c r="D2291" s="58" t="s">
        <v>6545</v>
      </c>
      <c r="E2291" s="60" t="b">
        <v>1</v>
      </c>
      <c r="F2291" s="80" t="s">
        <v>845</v>
      </c>
      <c r="G2291" s="58" t="s">
        <v>6544</v>
      </c>
      <c r="H2291" s="58" t="s">
        <v>6501</v>
      </c>
      <c r="I2291" s="64" t="s">
        <v>6545</v>
      </c>
      <c r="J2291" s="66"/>
      <c r="K2291" s="66"/>
      <c r="L2291" s="68"/>
      <c r="M2291" s="63" t="str">
        <f>HYPERLINK("http://nsgreg.nga.mil/genc/view?v=870085&amp;end_month=12&amp;end_day=31&amp;end_year=2016","Correlation")</f>
        <v>Correlation</v>
      </c>
    </row>
    <row r="2292" spans="1:13" x14ac:dyDescent="0.2">
      <c r="A2292" s="113"/>
      <c r="B2292" s="58" t="s">
        <v>6546</v>
      </c>
      <c r="C2292" s="58" t="s">
        <v>6501</v>
      </c>
      <c r="D2292" s="58" t="s">
        <v>6547</v>
      </c>
      <c r="E2292" s="60" t="b">
        <v>1</v>
      </c>
      <c r="F2292" s="80" t="s">
        <v>845</v>
      </c>
      <c r="G2292" s="58" t="s">
        <v>6546</v>
      </c>
      <c r="H2292" s="58" t="s">
        <v>6501</v>
      </c>
      <c r="I2292" s="64" t="s">
        <v>6547</v>
      </c>
      <c r="J2292" s="66"/>
      <c r="K2292" s="66"/>
      <c r="L2292" s="68"/>
      <c r="M2292" s="63" t="str">
        <f>HYPERLINK("http://nsgreg.nga.mil/genc/view?v=870086&amp;end_month=12&amp;end_day=31&amp;end_year=2016","Correlation")</f>
        <v>Correlation</v>
      </c>
    </row>
    <row r="2293" spans="1:13" x14ac:dyDescent="0.2">
      <c r="A2293" s="113"/>
      <c r="B2293" s="58" t="s">
        <v>6548</v>
      </c>
      <c r="C2293" s="58" t="s">
        <v>6501</v>
      </c>
      <c r="D2293" s="58" t="s">
        <v>6549</v>
      </c>
      <c r="E2293" s="60" t="b">
        <v>1</v>
      </c>
      <c r="F2293" s="80" t="s">
        <v>845</v>
      </c>
      <c r="G2293" s="58" t="s">
        <v>6548</v>
      </c>
      <c r="H2293" s="58" t="s">
        <v>6501</v>
      </c>
      <c r="I2293" s="64" t="s">
        <v>6549</v>
      </c>
      <c r="J2293" s="66"/>
      <c r="K2293" s="66"/>
      <c r="L2293" s="68"/>
      <c r="M2293" s="63" t="str">
        <f>HYPERLINK("http://nsgreg.nga.mil/genc/view?v=870088&amp;end_month=12&amp;end_day=31&amp;end_year=2016","Correlation")</f>
        <v>Correlation</v>
      </c>
    </row>
    <row r="2294" spans="1:13" x14ac:dyDescent="0.2">
      <c r="A2294" s="113"/>
      <c r="B2294" s="58" t="s">
        <v>6552</v>
      </c>
      <c r="C2294" s="58" t="s">
        <v>1483</v>
      </c>
      <c r="D2294" s="58" t="s">
        <v>6551</v>
      </c>
      <c r="E2294" s="60" t="b">
        <v>1</v>
      </c>
      <c r="F2294" s="80" t="s">
        <v>845</v>
      </c>
      <c r="G2294" s="58" t="s">
        <v>6550</v>
      </c>
      <c r="H2294" s="58" t="s">
        <v>1483</v>
      </c>
      <c r="I2294" s="64" t="s">
        <v>6551</v>
      </c>
      <c r="J2294" s="66"/>
      <c r="K2294" s="66"/>
      <c r="L2294" s="68"/>
      <c r="M2294" s="63" t="str">
        <f>HYPERLINK("http://nsgreg.nga.mil/genc/view?v=870129&amp;end_month=12&amp;end_day=31&amp;end_year=2016","Correlation")</f>
        <v>Correlation</v>
      </c>
    </row>
    <row r="2295" spans="1:13" x14ac:dyDescent="0.2">
      <c r="A2295" s="113"/>
      <c r="B2295" s="58" t="s">
        <v>6555</v>
      </c>
      <c r="C2295" s="58" t="s">
        <v>6507</v>
      </c>
      <c r="D2295" s="58" t="s">
        <v>6554</v>
      </c>
      <c r="E2295" s="60" t="b">
        <v>1</v>
      </c>
      <c r="F2295" s="80" t="s">
        <v>845</v>
      </c>
      <c r="G2295" s="58" t="s">
        <v>6553</v>
      </c>
      <c r="H2295" s="58" t="s">
        <v>6507</v>
      </c>
      <c r="I2295" s="64" t="s">
        <v>6554</v>
      </c>
      <c r="J2295" s="66"/>
      <c r="K2295" s="66"/>
      <c r="L2295" s="68"/>
      <c r="M2295" s="63" t="str">
        <f>HYPERLINK("http://nsgreg.nga.mil/genc/view?v=870087&amp;end_month=12&amp;end_day=31&amp;end_year=2016","Correlation")</f>
        <v>Correlation</v>
      </c>
    </row>
    <row r="2296" spans="1:13" x14ac:dyDescent="0.2">
      <c r="A2296" s="113"/>
      <c r="B2296" s="58" t="s">
        <v>6556</v>
      </c>
      <c r="C2296" s="58" t="s">
        <v>6501</v>
      </c>
      <c r="D2296" s="58" t="s">
        <v>6557</v>
      </c>
      <c r="E2296" s="60" t="b">
        <v>1</v>
      </c>
      <c r="F2296" s="80" t="s">
        <v>845</v>
      </c>
      <c r="G2296" s="58" t="s">
        <v>6556</v>
      </c>
      <c r="H2296" s="58" t="s">
        <v>6501</v>
      </c>
      <c r="I2296" s="64" t="s">
        <v>6557</v>
      </c>
      <c r="J2296" s="66"/>
      <c r="K2296" s="66"/>
      <c r="L2296" s="68"/>
      <c r="M2296" s="63" t="str">
        <f>HYPERLINK("http://nsgreg.nga.mil/genc/view?v=870089&amp;end_month=12&amp;end_day=31&amp;end_year=2016","Correlation")</f>
        <v>Correlation</v>
      </c>
    </row>
    <row r="2297" spans="1:13" x14ac:dyDescent="0.2">
      <c r="A2297" s="113"/>
      <c r="B2297" s="58" t="s">
        <v>6558</v>
      </c>
      <c r="C2297" s="58" t="s">
        <v>6501</v>
      </c>
      <c r="D2297" s="58" t="s">
        <v>6559</v>
      </c>
      <c r="E2297" s="60" t="b">
        <v>1</v>
      </c>
      <c r="F2297" s="80" t="s">
        <v>845</v>
      </c>
      <c r="G2297" s="58" t="s">
        <v>6558</v>
      </c>
      <c r="H2297" s="58" t="s">
        <v>6501</v>
      </c>
      <c r="I2297" s="64" t="s">
        <v>6559</v>
      </c>
      <c r="J2297" s="66"/>
      <c r="K2297" s="66"/>
      <c r="L2297" s="68"/>
      <c r="M2297" s="63" t="str">
        <f>HYPERLINK("http://nsgreg.nga.mil/genc/view?v=870090&amp;end_month=12&amp;end_day=31&amp;end_year=2016","Correlation")</f>
        <v>Correlation</v>
      </c>
    </row>
    <row r="2298" spans="1:13" x14ac:dyDescent="0.2">
      <c r="A2298" s="113"/>
      <c r="B2298" s="58" t="s">
        <v>6560</v>
      </c>
      <c r="C2298" s="58" t="s">
        <v>6501</v>
      </c>
      <c r="D2298" s="58" t="s">
        <v>6561</v>
      </c>
      <c r="E2298" s="60" t="b">
        <v>1</v>
      </c>
      <c r="F2298" s="80" t="s">
        <v>845</v>
      </c>
      <c r="G2298" s="58" t="s">
        <v>6560</v>
      </c>
      <c r="H2298" s="58" t="s">
        <v>6501</v>
      </c>
      <c r="I2298" s="64" t="s">
        <v>6561</v>
      </c>
      <c r="J2298" s="66"/>
      <c r="K2298" s="66"/>
      <c r="L2298" s="68"/>
      <c r="M2298" s="63" t="str">
        <f>HYPERLINK("http://nsgreg.nga.mil/genc/view?v=870091&amp;end_month=12&amp;end_day=31&amp;end_year=2016","Correlation")</f>
        <v>Correlation</v>
      </c>
    </row>
    <row r="2299" spans="1:13" x14ac:dyDescent="0.2">
      <c r="A2299" s="113"/>
      <c r="B2299" s="58" t="s">
        <v>6562</v>
      </c>
      <c r="C2299" s="58" t="s">
        <v>6501</v>
      </c>
      <c r="D2299" s="58" t="s">
        <v>6563</v>
      </c>
      <c r="E2299" s="60" t="b">
        <v>1</v>
      </c>
      <c r="F2299" s="80" t="s">
        <v>845</v>
      </c>
      <c r="G2299" s="58" t="s">
        <v>6562</v>
      </c>
      <c r="H2299" s="58" t="s">
        <v>6501</v>
      </c>
      <c r="I2299" s="64" t="s">
        <v>6563</v>
      </c>
      <c r="J2299" s="66"/>
      <c r="K2299" s="66"/>
      <c r="L2299" s="68"/>
      <c r="M2299" s="63" t="str">
        <f>HYPERLINK("http://nsgreg.nga.mil/genc/view?v=870092&amp;end_month=12&amp;end_day=31&amp;end_year=2016","Correlation")</f>
        <v>Correlation</v>
      </c>
    </row>
    <row r="2300" spans="1:13" x14ac:dyDescent="0.2">
      <c r="A2300" s="113"/>
      <c r="B2300" s="58" t="s">
        <v>6566</v>
      </c>
      <c r="C2300" s="58" t="s">
        <v>1483</v>
      </c>
      <c r="D2300" s="58" t="s">
        <v>6565</v>
      </c>
      <c r="E2300" s="60" t="b">
        <v>1</v>
      </c>
      <c r="F2300" s="80" t="s">
        <v>845</v>
      </c>
      <c r="G2300" s="58" t="s">
        <v>6564</v>
      </c>
      <c r="H2300" s="58" t="s">
        <v>1483</v>
      </c>
      <c r="I2300" s="64" t="s">
        <v>6565</v>
      </c>
      <c r="J2300" s="66"/>
      <c r="K2300" s="66"/>
      <c r="L2300" s="68"/>
      <c r="M2300" s="63" t="str">
        <f>HYPERLINK("http://nsgreg.nga.mil/genc/view?v=870131&amp;end_month=12&amp;end_day=31&amp;end_year=2016","Correlation")</f>
        <v>Correlation</v>
      </c>
    </row>
    <row r="2301" spans="1:13" x14ac:dyDescent="0.2">
      <c r="A2301" s="113"/>
      <c r="B2301" s="58" t="s">
        <v>6567</v>
      </c>
      <c r="C2301" s="58" t="s">
        <v>6501</v>
      </c>
      <c r="D2301" s="58" t="s">
        <v>6568</v>
      </c>
      <c r="E2301" s="60" t="b">
        <v>1</v>
      </c>
      <c r="F2301" s="80" t="s">
        <v>845</v>
      </c>
      <c r="G2301" s="58" t="s">
        <v>6567</v>
      </c>
      <c r="H2301" s="58" t="s">
        <v>6501</v>
      </c>
      <c r="I2301" s="64" t="s">
        <v>6568</v>
      </c>
      <c r="J2301" s="66"/>
      <c r="K2301" s="66"/>
      <c r="L2301" s="68"/>
      <c r="M2301" s="63" t="str">
        <f>HYPERLINK("http://nsgreg.nga.mil/genc/view?v=870093&amp;end_month=12&amp;end_day=31&amp;end_year=2016","Correlation")</f>
        <v>Correlation</v>
      </c>
    </row>
    <row r="2302" spans="1:13" x14ac:dyDescent="0.2">
      <c r="A2302" s="113"/>
      <c r="B2302" s="58" t="s">
        <v>6569</v>
      </c>
      <c r="C2302" s="58" t="s">
        <v>6501</v>
      </c>
      <c r="D2302" s="58" t="s">
        <v>6570</v>
      </c>
      <c r="E2302" s="60" t="b">
        <v>1</v>
      </c>
      <c r="F2302" s="80" t="s">
        <v>845</v>
      </c>
      <c r="G2302" s="58" t="s">
        <v>6569</v>
      </c>
      <c r="H2302" s="58" t="s">
        <v>6501</v>
      </c>
      <c r="I2302" s="64" t="s">
        <v>6570</v>
      </c>
      <c r="J2302" s="66"/>
      <c r="K2302" s="66"/>
      <c r="L2302" s="68"/>
      <c r="M2302" s="63" t="str">
        <f>HYPERLINK("http://nsgreg.nga.mil/genc/view?v=870094&amp;end_month=12&amp;end_day=31&amp;end_year=2016","Correlation")</f>
        <v>Correlation</v>
      </c>
    </row>
    <row r="2303" spans="1:13" x14ac:dyDescent="0.2">
      <c r="A2303" s="113"/>
      <c r="B2303" s="58" t="s">
        <v>6571</v>
      </c>
      <c r="C2303" s="58" t="s">
        <v>1816</v>
      </c>
      <c r="D2303" s="58" t="s">
        <v>6572</v>
      </c>
      <c r="E2303" s="60" t="b">
        <v>1</v>
      </c>
      <c r="F2303" s="80" t="s">
        <v>845</v>
      </c>
      <c r="G2303" s="58" t="s">
        <v>6571</v>
      </c>
      <c r="H2303" s="58" t="s">
        <v>1816</v>
      </c>
      <c r="I2303" s="64" t="s">
        <v>6572</v>
      </c>
      <c r="J2303" s="66"/>
      <c r="K2303" s="66"/>
      <c r="L2303" s="68"/>
      <c r="M2303" s="63" t="str">
        <f>HYPERLINK("http://nsgreg.nga.mil/genc/view?v=870095&amp;end_month=12&amp;end_day=31&amp;end_year=2016","Correlation")</f>
        <v>Correlation</v>
      </c>
    </row>
    <row r="2304" spans="1:13" x14ac:dyDescent="0.2">
      <c r="A2304" s="113"/>
      <c r="B2304" s="58" t="s">
        <v>6573</v>
      </c>
      <c r="C2304" s="58" t="s">
        <v>1816</v>
      </c>
      <c r="D2304" s="58" t="s">
        <v>6574</v>
      </c>
      <c r="E2304" s="60" t="b">
        <v>1</v>
      </c>
      <c r="F2304" s="80" t="s">
        <v>845</v>
      </c>
      <c r="G2304" s="58" t="s">
        <v>6573</v>
      </c>
      <c r="H2304" s="58" t="s">
        <v>1816</v>
      </c>
      <c r="I2304" s="64" t="s">
        <v>6574</v>
      </c>
      <c r="J2304" s="66"/>
      <c r="K2304" s="66"/>
      <c r="L2304" s="68"/>
      <c r="M2304" s="63" t="str">
        <f>HYPERLINK("http://nsgreg.nga.mil/genc/view?v=870096&amp;end_month=12&amp;end_day=31&amp;end_year=2016","Correlation")</f>
        <v>Correlation</v>
      </c>
    </row>
    <row r="2305" spans="1:13" x14ac:dyDescent="0.2">
      <c r="A2305" s="113"/>
      <c r="B2305" s="58" t="s">
        <v>6575</v>
      </c>
      <c r="C2305" s="58" t="s">
        <v>6501</v>
      </c>
      <c r="D2305" s="58" t="s">
        <v>6576</v>
      </c>
      <c r="E2305" s="60" t="b">
        <v>1</v>
      </c>
      <c r="F2305" s="80" t="s">
        <v>845</v>
      </c>
      <c r="G2305" s="58" t="s">
        <v>6575</v>
      </c>
      <c r="H2305" s="58" t="s">
        <v>6501</v>
      </c>
      <c r="I2305" s="64" t="s">
        <v>6576</v>
      </c>
      <c r="J2305" s="66"/>
      <c r="K2305" s="66"/>
      <c r="L2305" s="68"/>
      <c r="M2305" s="63" t="str">
        <f>HYPERLINK("http://nsgreg.nga.mil/genc/view?v=870097&amp;end_month=12&amp;end_day=31&amp;end_year=2016","Correlation")</f>
        <v>Correlation</v>
      </c>
    </row>
    <row r="2306" spans="1:13" x14ac:dyDescent="0.2">
      <c r="A2306" s="113"/>
      <c r="B2306" s="58" t="s">
        <v>6579</v>
      </c>
      <c r="C2306" s="58" t="s">
        <v>6507</v>
      </c>
      <c r="D2306" s="58" t="s">
        <v>6578</v>
      </c>
      <c r="E2306" s="60" t="b">
        <v>1</v>
      </c>
      <c r="F2306" s="80" t="s">
        <v>845</v>
      </c>
      <c r="G2306" s="58" t="s">
        <v>6577</v>
      </c>
      <c r="H2306" s="58" t="s">
        <v>6507</v>
      </c>
      <c r="I2306" s="64" t="s">
        <v>6578</v>
      </c>
      <c r="J2306" s="66"/>
      <c r="K2306" s="66"/>
      <c r="L2306" s="68"/>
      <c r="M2306" s="63" t="str">
        <f>HYPERLINK("http://nsgreg.nga.mil/genc/view?v=870098&amp;end_month=12&amp;end_day=31&amp;end_year=2016","Correlation")</f>
        <v>Correlation</v>
      </c>
    </row>
    <row r="2307" spans="1:13" x14ac:dyDescent="0.2">
      <c r="A2307" s="113"/>
      <c r="B2307" s="58" t="s">
        <v>6582</v>
      </c>
      <c r="C2307" s="58" t="s">
        <v>1483</v>
      </c>
      <c r="D2307" s="58" t="s">
        <v>6581</v>
      </c>
      <c r="E2307" s="60" t="b">
        <v>1</v>
      </c>
      <c r="F2307" s="80" t="s">
        <v>845</v>
      </c>
      <c r="G2307" s="58" t="s">
        <v>6580</v>
      </c>
      <c r="H2307" s="58" t="s">
        <v>1483</v>
      </c>
      <c r="I2307" s="64" t="s">
        <v>6581</v>
      </c>
      <c r="J2307" s="66"/>
      <c r="K2307" s="66"/>
      <c r="L2307" s="68"/>
      <c r="M2307" s="63" t="str">
        <f>HYPERLINK("http://nsgreg.nga.mil/genc/view?v=870132&amp;end_month=12&amp;end_day=31&amp;end_year=2016","Correlation")</f>
        <v>Correlation</v>
      </c>
    </row>
    <row r="2308" spans="1:13" x14ac:dyDescent="0.2">
      <c r="A2308" s="113"/>
      <c r="B2308" s="58" t="s">
        <v>6585</v>
      </c>
      <c r="C2308" s="58" t="s">
        <v>6507</v>
      </c>
      <c r="D2308" s="58" t="s">
        <v>6584</v>
      </c>
      <c r="E2308" s="60" t="b">
        <v>1</v>
      </c>
      <c r="F2308" s="80" t="s">
        <v>845</v>
      </c>
      <c r="G2308" s="58" t="s">
        <v>6583</v>
      </c>
      <c r="H2308" s="58" t="s">
        <v>6507</v>
      </c>
      <c r="I2308" s="64" t="s">
        <v>6584</v>
      </c>
      <c r="J2308" s="66"/>
      <c r="K2308" s="66"/>
      <c r="L2308" s="68"/>
      <c r="M2308" s="63" t="str">
        <f>HYPERLINK("http://nsgreg.nga.mil/genc/view?v=870099&amp;end_month=12&amp;end_day=31&amp;end_year=2016","Correlation")</f>
        <v>Correlation</v>
      </c>
    </row>
    <row r="2309" spans="1:13" x14ac:dyDescent="0.2">
      <c r="A2309" s="113"/>
      <c r="B2309" s="58" t="s">
        <v>6586</v>
      </c>
      <c r="C2309" s="58" t="s">
        <v>6501</v>
      </c>
      <c r="D2309" s="58" t="s">
        <v>6587</v>
      </c>
      <c r="E2309" s="60" t="b">
        <v>1</v>
      </c>
      <c r="F2309" s="80" t="s">
        <v>845</v>
      </c>
      <c r="G2309" s="58" t="s">
        <v>6586</v>
      </c>
      <c r="H2309" s="58" t="s">
        <v>6501</v>
      </c>
      <c r="I2309" s="64" t="s">
        <v>6587</v>
      </c>
      <c r="J2309" s="66"/>
      <c r="K2309" s="66"/>
      <c r="L2309" s="68"/>
      <c r="M2309" s="63" t="str">
        <f>HYPERLINK("http://nsgreg.nga.mil/genc/view?v=870100&amp;end_month=12&amp;end_day=31&amp;end_year=2016","Correlation")</f>
        <v>Correlation</v>
      </c>
    </row>
    <row r="2310" spans="1:13" x14ac:dyDescent="0.2">
      <c r="A2310" s="113"/>
      <c r="B2310" s="58" t="s">
        <v>6588</v>
      </c>
      <c r="C2310" s="58" t="s">
        <v>6501</v>
      </c>
      <c r="D2310" s="58" t="s">
        <v>6589</v>
      </c>
      <c r="E2310" s="60" t="b">
        <v>1</v>
      </c>
      <c r="F2310" s="80" t="s">
        <v>845</v>
      </c>
      <c r="G2310" s="58" t="s">
        <v>6588</v>
      </c>
      <c r="H2310" s="58" t="s">
        <v>6501</v>
      </c>
      <c r="I2310" s="64" t="s">
        <v>6589</v>
      </c>
      <c r="J2310" s="66"/>
      <c r="K2310" s="66"/>
      <c r="L2310" s="68"/>
      <c r="M2310" s="63" t="str">
        <f>HYPERLINK("http://nsgreg.nga.mil/genc/view?v=870101&amp;end_month=12&amp;end_day=31&amp;end_year=2016","Correlation")</f>
        <v>Correlation</v>
      </c>
    </row>
    <row r="2311" spans="1:13" x14ac:dyDescent="0.2">
      <c r="A2311" s="113"/>
      <c r="B2311" s="58" t="s">
        <v>6590</v>
      </c>
      <c r="C2311" s="58" t="s">
        <v>6501</v>
      </c>
      <c r="D2311" s="58" t="s">
        <v>6591</v>
      </c>
      <c r="E2311" s="60" t="b">
        <v>1</v>
      </c>
      <c r="F2311" s="80" t="s">
        <v>845</v>
      </c>
      <c r="G2311" s="58" t="s">
        <v>6590</v>
      </c>
      <c r="H2311" s="58" t="s">
        <v>6501</v>
      </c>
      <c r="I2311" s="64" t="s">
        <v>6591</v>
      </c>
      <c r="J2311" s="66"/>
      <c r="K2311" s="66"/>
      <c r="L2311" s="68"/>
      <c r="M2311" s="63" t="str">
        <f>HYPERLINK("http://nsgreg.nga.mil/genc/view?v=870102&amp;end_month=12&amp;end_day=31&amp;end_year=2016","Correlation")</f>
        <v>Correlation</v>
      </c>
    </row>
    <row r="2312" spans="1:13" x14ac:dyDescent="0.2">
      <c r="A2312" s="113"/>
      <c r="B2312" s="58" t="s">
        <v>6592</v>
      </c>
      <c r="C2312" s="58" t="s">
        <v>6501</v>
      </c>
      <c r="D2312" s="58" t="s">
        <v>6593</v>
      </c>
      <c r="E2312" s="60" t="b">
        <v>1</v>
      </c>
      <c r="F2312" s="80" t="s">
        <v>845</v>
      </c>
      <c r="G2312" s="58" t="s">
        <v>6592</v>
      </c>
      <c r="H2312" s="58" t="s">
        <v>6501</v>
      </c>
      <c r="I2312" s="64" t="s">
        <v>6593</v>
      </c>
      <c r="J2312" s="66"/>
      <c r="K2312" s="66"/>
      <c r="L2312" s="68"/>
      <c r="M2312" s="63" t="str">
        <f>HYPERLINK("http://nsgreg.nga.mil/genc/view?v=870103&amp;end_month=12&amp;end_day=31&amp;end_year=2016","Correlation")</f>
        <v>Correlation</v>
      </c>
    </row>
    <row r="2313" spans="1:13" x14ac:dyDescent="0.2">
      <c r="A2313" s="113"/>
      <c r="B2313" s="58" t="s">
        <v>6594</v>
      </c>
      <c r="C2313" s="58" t="s">
        <v>6501</v>
      </c>
      <c r="D2313" s="58" t="s">
        <v>6595</v>
      </c>
      <c r="E2313" s="60" t="b">
        <v>1</v>
      </c>
      <c r="F2313" s="80" t="s">
        <v>845</v>
      </c>
      <c r="G2313" s="58" t="s">
        <v>6594</v>
      </c>
      <c r="H2313" s="58" t="s">
        <v>6501</v>
      </c>
      <c r="I2313" s="64" t="s">
        <v>6595</v>
      </c>
      <c r="J2313" s="66"/>
      <c r="K2313" s="66"/>
      <c r="L2313" s="68"/>
      <c r="M2313" s="63" t="str">
        <f>HYPERLINK("http://nsgreg.nga.mil/genc/view?v=870104&amp;end_month=12&amp;end_day=31&amp;end_year=2016","Correlation")</f>
        <v>Correlation</v>
      </c>
    </row>
    <row r="2314" spans="1:13" x14ac:dyDescent="0.2">
      <c r="A2314" s="113"/>
      <c r="B2314" s="58" t="s">
        <v>6596</v>
      </c>
      <c r="C2314" s="58" t="s">
        <v>6501</v>
      </c>
      <c r="D2314" s="58" t="s">
        <v>6597</v>
      </c>
      <c r="E2314" s="60" t="b">
        <v>1</v>
      </c>
      <c r="F2314" s="80" t="s">
        <v>845</v>
      </c>
      <c r="G2314" s="58" t="s">
        <v>6596</v>
      </c>
      <c r="H2314" s="58" t="s">
        <v>6501</v>
      </c>
      <c r="I2314" s="64" t="s">
        <v>6597</v>
      </c>
      <c r="J2314" s="66"/>
      <c r="K2314" s="66"/>
      <c r="L2314" s="68"/>
      <c r="M2314" s="63" t="str">
        <f>HYPERLINK("http://nsgreg.nga.mil/genc/view?v=870105&amp;end_month=12&amp;end_day=31&amp;end_year=2016","Correlation")</f>
        <v>Correlation</v>
      </c>
    </row>
    <row r="2315" spans="1:13" x14ac:dyDescent="0.2">
      <c r="A2315" s="113"/>
      <c r="B2315" s="58" t="s">
        <v>6598</v>
      </c>
      <c r="C2315" s="58" t="s">
        <v>1816</v>
      </c>
      <c r="D2315" s="58" t="s">
        <v>6599</v>
      </c>
      <c r="E2315" s="60" t="b">
        <v>1</v>
      </c>
      <c r="F2315" s="80" t="s">
        <v>845</v>
      </c>
      <c r="G2315" s="58" t="s">
        <v>6598</v>
      </c>
      <c r="H2315" s="58" t="s">
        <v>1816</v>
      </c>
      <c r="I2315" s="64" t="s">
        <v>6599</v>
      </c>
      <c r="J2315" s="66"/>
      <c r="K2315" s="66"/>
      <c r="L2315" s="68"/>
      <c r="M2315" s="63" t="str">
        <f>HYPERLINK("http://nsgreg.nga.mil/genc/view?v=870106&amp;end_month=12&amp;end_day=31&amp;end_year=2016","Correlation")</f>
        <v>Correlation</v>
      </c>
    </row>
    <row r="2316" spans="1:13" x14ac:dyDescent="0.2">
      <c r="A2316" s="113"/>
      <c r="B2316" s="58" t="s">
        <v>6600</v>
      </c>
      <c r="C2316" s="58" t="s">
        <v>6501</v>
      </c>
      <c r="D2316" s="58" t="s">
        <v>6601</v>
      </c>
      <c r="E2316" s="60" t="b">
        <v>1</v>
      </c>
      <c r="F2316" s="80" t="s">
        <v>845</v>
      </c>
      <c r="G2316" s="58" t="s">
        <v>6600</v>
      </c>
      <c r="H2316" s="58" t="s">
        <v>6501</v>
      </c>
      <c r="I2316" s="64" t="s">
        <v>6601</v>
      </c>
      <c r="J2316" s="66"/>
      <c r="K2316" s="66"/>
      <c r="L2316" s="68"/>
      <c r="M2316" s="63" t="str">
        <f>HYPERLINK("http://nsgreg.nga.mil/genc/view?v=870107&amp;end_month=12&amp;end_day=31&amp;end_year=2016","Correlation")</f>
        <v>Correlation</v>
      </c>
    </row>
    <row r="2317" spans="1:13" x14ac:dyDescent="0.2">
      <c r="A2317" s="113"/>
      <c r="B2317" s="58" t="s">
        <v>6602</v>
      </c>
      <c r="C2317" s="58" t="s">
        <v>6501</v>
      </c>
      <c r="D2317" s="58" t="s">
        <v>6603</v>
      </c>
      <c r="E2317" s="60" t="b">
        <v>1</v>
      </c>
      <c r="F2317" s="80" t="s">
        <v>845</v>
      </c>
      <c r="G2317" s="58" t="s">
        <v>6602</v>
      </c>
      <c r="H2317" s="58" t="s">
        <v>6501</v>
      </c>
      <c r="I2317" s="64" t="s">
        <v>6603</v>
      </c>
      <c r="J2317" s="66"/>
      <c r="K2317" s="66"/>
      <c r="L2317" s="68"/>
      <c r="M2317" s="63" t="str">
        <f>HYPERLINK("http://nsgreg.nga.mil/genc/view?v=870108&amp;end_month=12&amp;end_day=31&amp;end_year=2016","Correlation")</f>
        <v>Correlation</v>
      </c>
    </row>
    <row r="2318" spans="1:13" x14ac:dyDescent="0.2">
      <c r="A2318" s="113"/>
      <c r="B2318" s="58" t="s">
        <v>6604</v>
      </c>
      <c r="C2318" s="58" t="s">
        <v>6501</v>
      </c>
      <c r="D2318" s="58" t="s">
        <v>6605</v>
      </c>
      <c r="E2318" s="60" t="b">
        <v>1</v>
      </c>
      <c r="F2318" s="80" t="s">
        <v>845</v>
      </c>
      <c r="G2318" s="58" t="s">
        <v>6604</v>
      </c>
      <c r="H2318" s="58" t="s">
        <v>6501</v>
      </c>
      <c r="I2318" s="64" t="s">
        <v>6605</v>
      </c>
      <c r="J2318" s="66"/>
      <c r="K2318" s="66"/>
      <c r="L2318" s="68"/>
      <c r="M2318" s="63" t="str">
        <f>HYPERLINK("http://nsgreg.nga.mil/genc/view?v=870109&amp;end_month=12&amp;end_day=31&amp;end_year=2016","Correlation")</f>
        <v>Correlation</v>
      </c>
    </row>
    <row r="2319" spans="1:13" x14ac:dyDescent="0.2">
      <c r="A2319" s="113"/>
      <c r="B2319" s="58" t="s">
        <v>6606</v>
      </c>
      <c r="C2319" s="58" t="s">
        <v>6501</v>
      </c>
      <c r="D2319" s="58" t="s">
        <v>6607</v>
      </c>
      <c r="E2319" s="60" t="b">
        <v>1</v>
      </c>
      <c r="F2319" s="80" t="s">
        <v>845</v>
      </c>
      <c r="G2319" s="58" t="s">
        <v>6606</v>
      </c>
      <c r="H2319" s="58" t="s">
        <v>6501</v>
      </c>
      <c r="I2319" s="64" t="s">
        <v>6607</v>
      </c>
      <c r="J2319" s="66"/>
      <c r="K2319" s="66"/>
      <c r="L2319" s="68"/>
      <c r="M2319" s="63" t="str">
        <f>HYPERLINK("http://nsgreg.nga.mil/genc/view?v=870111&amp;end_month=12&amp;end_day=31&amp;end_year=2016","Correlation")</f>
        <v>Correlation</v>
      </c>
    </row>
    <row r="2320" spans="1:13" x14ac:dyDescent="0.2">
      <c r="A2320" s="113"/>
      <c r="B2320" s="58" t="s">
        <v>6610</v>
      </c>
      <c r="C2320" s="58" t="s">
        <v>1483</v>
      </c>
      <c r="D2320" s="58" t="s">
        <v>6609</v>
      </c>
      <c r="E2320" s="60" t="b">
        <v>1</v>
      </c>
      <c r="F2320" s="80" t="s">
        <v>845</v>
      </c>
      <c r="G2320" s="58" t="s">
        <v>6608</v>
      </c>
      <c r="H2320" s="58" t="s">
        <v>1483</v>
      </c>
      <c r="I2320" s="64" t="s">
        <v>6609</v>
      </c>
      <c r="J2320" s="66"/>
      <c r="K2320" s="66"/>
      <c r="L2320" s="68"/>
      <c r="M2320" s="63" t="str">
        <f>HYPERLINK("http://nsgreg.nga.mil/genc/view?v=870133&amp;end_month=12&amp;end_day=31&amp;end_year=2016","Correlation")</f>
        <v>Correlation</v>
      </c>
    </row>
    <row r="2321" spans="1:13" x14ac:dyDescent="0.2">
      <c r="A2321" s="113"/>
      <c r="B2321" s="58" t="s">
        <v>6613</v>
      </c>
      <c r="C2321" s="58" t="s">
        <v>6507</v>
      </c>
      <c r="D2321" s="58" t="s">
        <v>6612</v>
      </c>
      <c r="E2321" s="60" t="b">
        <v>1</v>
      </c>
      <c r="F2321" s="80" t="s">
        <v>845</v>
      </c>
      <c r="G2321" s="58" t="s">
        <v>6611</v>
      </c>
      <c r="H2321" s="58" t="s">
        <v>6507</v>
      </c>
      <c r="I2321" s="64" t="s">
        <v>6612</v>
      </c>
      <c r="J2321" s="66"/>
      <c r="K2321" s="66"/>
      <c r="L2321" s="68"/>
      <c r="M2321" s="63" t="str">
        <f>HYPERLINK("http://nsgreg.nga.mil/genc/view?v=870110&amp;end_month=12&amp;end_day=31&amp;end_year=2016","Correlation")</f>
        <v>Correlation</v>
      </c>
    </row>
    <row r="2322" spans="1:13" x14ac:dyDescent="0.2">
      <c r="A2322" s="113"/>
      <c r="B2322" s="58" t="s">
        <v>6614</v>
      </c>
      <c r="C2322" s="58" t="s">
        <v>6501</v>
      </c>
      <c r="D2322" s="58" t="s">
        <v>6615</v>
      </c>
      <c r="E2322" s="60" t="b">
        <v>1</v>
      </c>
      <c r="F2322" s="80" t="s">
        <v>845</v>
      </c>
      <c r="G2322" s="58" t="s">
        <v>6614</v>
      </c>
      <c r="H2322" s="58" t="s">
        <v>6501</v>
      </c>
      <c r="I2322" s="64" t="s">
        <v>6615</v>
      </c>
      <c r="J2322" s="66"/>
      <c r="K2322" s="66"/>
      <c r="L2322" s="68"/>
      <c r="M2322" s="63" t="str">
        <f>HYPERLINK("http://nsgreg.nga.mil/genc/view?v=870112&amp;end_month=12&amp;end_day=31&amp;end_year=2016","Correlation")</f>
        <v>Correlation</v>
      </c>
    </row>
    <row r="2323" spans="1:13" x14ac:dyDescent="0.2">
      <c r="A2323" s="113"/>
      <c r="B2323" s="58" t="s">
        <v>6616</v>
      </c>
      <c r="C2323" s="58" t="s">
        <v>6501</v>
      </c>
      <c r="D2323" s="58" t="s">
        <v>6617</v>
      </c>
      <c r="E2323" s="60" t="b">
        <v>1</v>
      </c>
      <c r="F2323" s="80" t="s">
        <v>845</v>
      </c>
      <c r="G2323" s="58" t="s">
        <v>6616</v>
      </c>
      <c r="H2323" s="58" t="s">
        <v>6501</v>
      </c>
      <c r="I2323" s="64" t="s">
        <v>6617</v>
      </c>
      <c r="J2323" s="66"/>
      <c r="K2323" s="66"/>
      <c r="L2323" s="68"/>
      <c r="M2323" s="63" t="str">
        <f>HYPERLINK("http://nsgreg.nga.mil/genc/view?v=870113&amp;end_month=12&amp;end_day=31&amp;end_year=2016","Correlation")</f>
        <v>Correlation</v>
      </c>
    </row>
    <row r="2324" spans="1:13" x14ac:dyDescent="0.2">
      <c r="A2324" s="113"/>
      <c r="B2324" s="58" t="s">
        <v>6618</v>
      </c>
      <c r="C2324" s="58" t="s">
        <v>6501</v>
      </c>
      <c r="D2324" s="58" t="s">
        <v>6619</v>
      </c>
      <c r="E2324" s="60" t="b">
        <v>1</v>
      </c>
      <c r="F2324" s="80" t="s">
        <v>845</v>
      </c>
      <c r="G2324" s="58" t="s">
        <v>6618</v>
      </c>
      <c r="H2324" s="58" t="s">
        <v>6501</v>
      </c>
      <c r="I2324" s="64" t="s">
        <v>6619</v>
      </c>
      <c r="J2324" s="66"/>
      <c r="K2324" s="66"/>
      <c r="L2324" s="68"/>
      <c r="M2324" s="63" t="str">
        <f>HYPERLINK("http://nsgreg.nga.mil/genc/view?v=870114&amp;end_month=12&amp;end_day=31&amp;end_year=2016","Correlation")</f>
        <v>Correlation</v>
      </c>
    </row>
    <row r="2325" spans="1:13" x14ac:dyDescent="0.2">
      <c r="A2325" s="113"/>
      <c r="B2325" s="58" t="s">
        <v>6620</v>
      </c>
      <c r="C2325" s="58" t="s">
        <v>6501</v>
      </c>
      <c r="D2325" s="58" t="s">
        <v>6621</v>
      </c>
      <c r="E2325" s="60" t="b">
        <v>1</v>
      </c>
      <c r="F2325" s="80" t="s">
        <v>845</v>
      </c>
      <c r="G2325" s="58" t="s">
        <v>6620</v>
      </c>
      <c r="H2325" s="58" t="s">
        <v>6501</v>
      </c>
      <c r="I2325" s="64" t="s">
        <v>6621</v>
      </c>
      <c r="J2325" s="66"/>
      <c r="K2325" s="66"/>
      <c r="L2325" s="68"/>
      <c r="M2325" s="63" t="str">
        <f>HYPERLINK("http://nsgreg.nga.mil/genc/view?v=870115&amp;end_month=12&amp;end_day=31&amp;end_year=2016","Correlation")</f>
        <v>Correlation</v>
      </c>
    </row>
    <row r="2326" spans="1:13" x14ac:dyDescent="0.2">
      <c r="A2326" s="113"/>
      <c r="B2326" s="58" t="s">
        <v>6622</v>
      </c>
      <c r="C2326" s="58" t="s">
        <v>6501</v>
      </c>
      <c r="D2326" s="58" t="s">
        <v>6623</v>
      </c>
      <c r="E2326" s="60" t="b">
        <v>1</v>
      </c>
      <c r="F2326" s="80" t="s">
        <v>845</v>
      </c>
      <c r="G2326" s="58" t="s">
        <v>6622</v>
      </c>
      <c r="H2326" s="58" t="s">
        <v>6501</v>
      </c>
      <c r="I2326" s="64" t="s">
        <v>6623</v>
      </c>
      <c r="J2326" s="66"/>
      <c r="K2326" s="66"/>
      <c r="L2326" s="68"/>
      <c r="M2326" s="63" t="str">
        <f>HYPERLINK("http://nsgreg.nga.mil/genc/view?v=870116&amp;end_month=12&amp;end_day=31&amp;end_year=2016","Correlation")</f>
        <v>Correlation</v>
      </c>
    </row>
    <row r="2327" spans="1:13" x14ac:dyDescent="0.2">
      <c r="A2327" s="113"/>
      <c r="B2327" s="58" t="s">
        <v>6624</v>
      </c>
      <c r="C2327" s="58" t="s">
        <v>6501</v>
      </c>
      <c r="D2327" s="58" t="s">
        <v>6625</v>
      </c>
      <c r="E2327" s="60" t="b">
        <v>1</v>
      </c>
      <c r="F2327" s="80" t="s">
        <v>845</v>
      </c>
      <c r="G2327" s="58" t="s">
        <v>6624</v>
      </c>
      <c r="H2327" s="58" t="s">
        <v>6501</v>
      </c>
      <c r="I2327" s="64" t="s">
        <v>6625</v>
      </c>
      <c r="J2327" s="66"/>
      <c r="K2327" s="66"/>
      <c r="L2327" s="68"/>
      <c r="M2327" s="63" t="str">
        <f>HYPERLINK("http://nsgreg.nga.mil/genc/view?v=870117&amp;end_month=12&amp;end_day=31&amp;end_year=2016","Correlation")</f>
        <v>Correlation</v>
      </c>
    </row>
    <row r="2328" spans="1:13" x14ac:dyDescent="0.2">
      <c r="A2328" s="113"/>
      <c r="B2328" s="58" t="s">
        <v>6628</v>
      </c>
      <c r="C2328" s="58" t="s">
        <v>1483</v>
      </c>
      <c r="D2328" s="58" t="s">
        <v>6627</v>
      </c>
      <c r="E2328" s="60" t="b">
        <v>1</v>
      </c>
      <c r="F2328" s="80" t="s">
        <v>845</v>
      </c>
      <c r="G2328" s="58" t="s">
        <v>6626</v>
      </c>
      <c r="H2328" s="58" t="s">
        <v>1483</v>
      </c>
      <c r="I2328" s="64" t="s">
        <v>6627</v>
      </c>
      <c r="J2328" s="66"/>
      <c r="K2328" s="66"/>
      <c r="L2328" s="68"/>
      <c r="M2328" s="63" t="str">
        <f>HYPERLINK("http://nsgreg.nga.mil/genc/view?v=870134&amp;end_month=12&amp;end_day=31&amp;end_year=2016","Correlation")</f>
        <v>Correlation</v>
      </c>
    </row>
    <row r="2329" spans="1:13" x14ac:dyDescent="0.2">
      <c r="A2329" s="113"/>
      <c r="B2329" s="58" t="s">
        <v>6629</v>
      </c>
      <c r="C2329" s="58" t="s">
        <v>6501</v>
      </c>
      <c r="D2329" s="58" t="s">
        <v>6630</v>
      </c>
      <c r="E2329" s="60" t="b">
        <v>1</v>
      </c>
      <c r="F2329" s="80" t="s">
        <v>845</v>
      </c>
      <c r="G2329" s="58" t="s">
        <v>6629</v>
      </c>
      <c r="H2329" s="58" t="s">
        <v>6501</v>
      </c>
      <c r="I2329" s="64" t="s">
        <v>6630</v>
      </c>
      <c r="J2329" s="66"/>
      <c r="K2329" s="66"/>
      <c r="L2329" s="68"/>
      <c r="M2329" s="63" t="str">
        <f>HYPERLINK("http://nsgreg.nga.mil/genc/view?v=870118&amp;end_month=12&amp;end_day=31&amp;end_year=2016","Correlation")</f>
        <v>Correlation</v>
      </c>
    </row>
    <row r="2330" spans="1:13" x14ac:dyDescent="0.2">
      <c r="A2330" s="113"/>
      <c r="B2330" s="58" t="s">
        <v>6633</v>
      </c>
      <c r="C2330" s="58" t="s">
        <v>1483</v>
      </c>
      <c r="D2330" s="58" t="s">
        <v>6632</v>
      </c>
      <c r="E2330" s="60" t="b">
        <v>1</v>
      </c>
      <c r="F2330" s="80" t="s">
        <v>845</v>
      </c>
      <c r="G2330" s="58" t="s">
        <v>6631</v>
      </c>
      <c r="H2330" s="58" t="s">
        <v>1483</v>
      </c>
      <c r="I2330" s="64" t="s">
        <v>6632</v>
      </c>
      <c r="J2330" s="66"/>
      <c r="K2330" s="66"/>
      <c r="L2330" s="68"/>
      <c r="M2330" s="63" t="str">
        <f>HYPERLINK("http://nsgreg.nga.mil/genc/view?v=870135&amp;end_month=12&amp;end_day=31&amp;end_year=2016","Correlation")</f>
        <v>Correlation</v>
      </c>
    </row>
    <row r="2331" spans="1:13" x14ac:dyDescent="0.2">
      <c r="A2331" s="113"/>
      <c r="B2331" s="58" t="s">
        <v>6634</v>
      </c>
      <c r="C2331" s="58" t="s">
        <v>6501</v>
      </c>
      <c r="D2331" s="58" t="s">
        <v>6635</v>
      </c>
      <c r="E2331" s="60" t="b">
        <v>1</v>
      </c>
      <c r="F2331" s="80" t="s">
        <v>845</v>
      </c>
      <c r="G2331" s="58" t="s">
        <v>6634</v>
      </c>
      <c r="H2331" s="58" t="s">
        <v>6501</v>
      </c>
      <c r="I2331" s="64" t="s">
        <v>6635</v>
      </c>
      <c r="J2331" s="66"/>
      <c r="K2331" s="66"/>
      <c r="L2331" s="68"/>
      <c r="M2331" s="63" t="str">
        <f>HYPERLINK("http://nsgreg.nga.mil/genc/view?v=870119&amp;end_month=12&amp;end_day=31&amp;end_year=2016","Correlation")</f>
        <v>Correlation</v>
      </c>
    </row>
    <row r="2332" spans="1:13" x14ac:dyDescent="0.2">
      <c r="A2332" s="113"/>
      <c r="B2332" s="58" t="s">
        <v>6636</v>
      </c>
      <c r="C2332" s="58" t="s">
        <v>6501</v>
      </c>
      <c r="D2332" s="58" t="s">
        <v>6637</v>
      </c>
      <c r="E2332" s="60" t="b">
        <v>1</v>
      </c>
      <c r="F2332" s="80" t="s">
        <v>845</v>
      </c>
      <c r="G2332" s="58" t="s">
        <v>6636</v>
      </c>
      <c r="H2332" s="58" t="s">
        <v>6501</v>
      </c>
      <c r="I2332" s="64" t="s">
        <v>6637</v>
      </c>
      <c r="J2332" s="66"/>
      <c r="K2332" s="66"/>
      <c r="L2332" s="68"/>
      <c r="M2332" s="63" t="str">
        <f>HYPERLINK("http://nsgreg.nga.mil/genc/view?v=870120&amp;end_month=12&amp;end_day=31&amp;end_year=2016","Correlation")</f>
        <v>Correlation</v>
      </c>
    </row>
    <row r="2333" spans="1:13" x14ac:dyDescent="0.2">
      <c r="A2333" s="113"/>
      <c r="B2333" s="58" t="s">
        <v>6638</v>
      </c>
      <c r="C2333" s="58" t="s">
        <v>6501</v>
      </c>
      <c r="D2333" s="58" t="s">
        <v>6639</v>
      </c>
      <c r="E2333" s="60" t="b">
        <v>1</v>
      </c>
      <c r="F2333" s="80" t="s">
        <v>845</v>
      </c>
      <c r="G2333" s="58" t="s">
        <v>6638</v>
      </c>
      <c r="H2333" s="58" t="s">
        <v>6501</v>
      </c>
      <c r="I2333" s="64" t="s">
        <v>6639</v>
      </c>
      <c r="J2333" s="66"/>
      <c r="K2333" s="66"/>
      <c r="L2333" s="68"/>
      <c r="M2333" s="63" t="str">
        <f>HYPERLINK("http://nsgreg.nga.mil/genc/view?v=870121&amp;end_month=12&amp;end_day=31&amp;end_year=2016","Correlation")</f>
        <v>Correlation</v>
      </c>
    </row>
    <row r="2334" spans="1:13" x14ac:dyDescent="0.2">
      <c r="A2334" s="113"/>
      <c r="B2334" s="58" t="s">
        <v>6642</v>
      </c>
      <c r="C2334" s="58" t="s">
        <v>1483</v>
      </c>
      <c r="D2334" s="58" t="s">
        <v>6641</v>
      </c>
      <c r="E2334" s="60" t="b">
        <v>1</v>
      </c>
      <c r="F2334" s="80" t="s">
        <v>845</v>
      </c>
      <c r="G2334" s="58" t="s">
        <v>6640</v>
      </c>
      <c r="H2334" s="58" t="s">
        <v>1483</v>
      </c>
      <c r="I2334" s="64" t="s">
        <v>6641</v>
      </c>
      <c r="J2334" s="66"/>
      <c r="K2334" s="66"/>
      <c r="L2334" s="68"/>
      <c r="M2334" s="63" t="str">
        <f>HYPERLINK("http://nsgreg.nga.mil/genc/view?v=870136&amp;end_month=12&amp;end_day=31&amp;end_year=2016","Correlation")</f>
        <v>Correlation</v>
      </c>
    </row>
    <row r="2335" spans="1:13" x14ac:dyDescent="0.2">
      <c r="A2335" s="113"/>
      <c r="B2335" s="58" t="s">
        <v>6643</v>
      </c>
      <c r="C2335" s="58" t="s">
        <v>6501</v>
      </c>
      <c r="D2335" s="58" t="s">
        <v>6644</v>
      </c>
      <c r="E2335" s="60" t="b">
        <v>1</v>
      </c>
      <c r="F2335" s="80" t="s">
        <v>845</v>
      </c>
      <c r="G2335" s="58" t="s">
        <v>6643</v>
      </c>
      <c r="H2335" s="58" t="s">
        <v>6501</v>
      </c>
      <c r="I2335" s="64" t="s">
        <v>6644</v>
      </c>
      <c r="J2335" s="66"/>
      <c r="K2335" s="66"/>
      <c r="L2335" s="68"/>
      <c r="M2335" s="63" t="str">
        <f>HYPERLINK("http://nsgreg.nga.mil/genc/view?v=870122&amp;end_month=12&amp;end_day=31&amp;end_year=2016","Correlation")</f>
        <v>Correlation</v>
      </c>
    </row>
    <row r="2336" spans="1:13" x14ac:dyDescent="0.2">
      <c r="A2336" s="113"/>
      <c r="B2336" s="58" t="s">
        <v>6645</v>
      </c>
      <c r="C2336" s="58" t="s">
        <v>6501</v>
      </c>
      <c r="D2336" s="58" t="s">
        <v>6646</v>
      </c>
      <c r="E2336" s="60" t="b">
        <v>1</v>
      </c>
      <c r="F2336" s="80" t="s">
        <v>845</v>
      </c>
      <c r="G2336" s="58" t="s">
        <v>6645</v>
      </c>
      <c r="H2336" s="58" t="s">
        <v>6501</v>
      </c>
      <c r="I2336" s="64" t="s">
        <v>6646</v>
      </c>
      <c r="J2336" s="66"/>
      <c r="K2336" s="66"/>
      <c r="L2336" s="68"/>
      <c r="M2336" s="63" t="str">
        <f>HYPERLINK("http://nsgreg.nga.mil/genc/view?v=870123&amp;end_month=12&amp;end_day=31&amp;end_year=2016","Correlation")</f>
        <v>Correlation</v>
      </c>
    </row>
    <row r="2337" spans="1:13" x14ac:dyDescent="0.2">
      <c r="A2337" s="113"/>
      <c r="B2337" s="58" t="s">
        <v>6649</v>
      </c>
      <c r="C2337" s="58" t="s">
        <v>1483</v>
      </c>
      <c r="D2337" s="58" t="s">
        <v>6648</v>
      </c>
      <c r="E2337" s="60" t="b">
        <v>1</v>
      </c>
      <c r="F2337" s="80" t="s">
        <v>845</v>
      </c>
      <c r="G2337" s="58" t="s">
        <v>6647</v>
      </c>
      <c r="H2337" s="58" t="s">
        <v>1483</v>
      </c>
      <c r="I2337" s="64" t="s">
        <v>6648</v>
      </c>
      <c r="J2337" s="66"/>
      <c r="K2337" s="66"/>
      <c r="L2337" s="68"/>
      <c r="M2337" s="63" t="str">
        <f>HYPERLINK("http://nsgreg.nga.mil/genc/view?v=870137&amp;end_month=12&amp;end_day=31&amp;end_year=2016","Correlation")</f>
        <v>Correlation</v>
      </c>
    </row>
    <row r="2338" spans="1:13" x14ac:dyDescent="0.2">
      <c r="A2338" s="113"/>
      <c r="B2338" s="58" t="s">
        <v>6652</v>
      </c>
      <c r="C2338" s="58" t="s">
        <v>6507</v>
      </c>
      <c r="D2338" s="58" t="s">
        <v>6651</v>
      </c>
      <c r="E2338" s="60" t="b">
        <v>1</v>
      </c>
      <c r="F2338" s="80" t="s">
        <v>845</v>
      </c>
      <c r="G2338" s="58" t="s">
        <v>6650</v>
      </c>
      <c r="H2338" s="58" t="s">
        <v>6507</v>
      </c>
      <c r="I2338" s="64" t="s">
        <v>6651</v>
      </c>
      <c r="J2338" s="66"/>
      <c r="K2338" s="66"/>
      <c r="L2338" s="68"/>
      <c r="M2338" s="63" t="str">
        <f>HYPERLINK("http://nsgreg.nga.mil/genc/view?v=870124&amp;end_month=12&amp;end_day=31&amp;end_year=2016","Correlation")</f>
        <v>Correlation</v>
      </c>
    </row>
    <row r="2339" spans="1:13" x14ac:dyDescent="0.2">
      <c r="A2339" s="113"/>
      <c r="B2339" s="58" t="s">
        <v>6653</v>
      </c>
      <c r="C2339" s="58" t="s">
        <v>6501</v>
      </c>
      <c r="D2339" s="58" t="s">
        <v>6654</v>
      </c>
      <c r="E2339" s="60" t="b">
        <v>1</v>
      </c>
      <c r="F2339" s="80" t="s">
        <v>845</v>
      </c>
      <c r="G2339" s="58" t="s">
        <v>6653</v>
      </c>
      <c r="H2339" s="58" t="s">
        <v>6501</v>
      </c>
      <c r="I2339" s="64" t="s">
        <v>6654</v>
      </c>
      <c r="J2339" s="66"/>
      <c r="K2339" s="66"/>
      <c r="L2339" s="68"/>
      <c r="M2339" s="63" t="str">
        <f>HYPERLINK("http://nsgreg.nga.mil/genc/view?v=870125&amp;end_month=12&amp;end_day=31&amp;end_year=2016","Correlation")</f>
        <v>Correlation</v>
      </c>
    </row>
    <row r="2340" spans="1:13" x14ac:dyDescent="0.2">
      <c r="A2340" s="113"/>
      <c r="B2340" s="58" t="s">
        <v>6655</v>
      </c>
      <c r="C2340" s="58" t="s">
        <v>1816</v>
      </c>
      <c r="D2340" s="58" t="s">
        <v>6656</v>
      </c>
      <c r="E2340" s="60" t="b">
        <v>1</v>
      </c>
      <c r="F2340" s="80" t="s">
        <v>845</v>
      </c>
      <c r="G2340" s="58" t="s">
        <v>6655</v>
      </c>
      <c r="H2340" s="58" t="s">
        <v>1816</v>
      </c>
      <c r="I2340" s="64" t="s">
        <v>6656</v>
      </c>
      <c r="J2340" s="66"/>
      <c r="K2340" s="66"/>
      <c r="L2340" s="68"/>
      <c r="M2340" s="63" t="str">
        <f>HYPERLINK("http://nsgreg.nga.mil/genc/view?v=870126&amp;end_month=12&amp;end_day=31&amp;end_year=2016","Correlation")</f>
        <v>Correlation</v>
      </c>
    </row>
    <row r="2341" spans="1:13" x14ac:dyDescent="0.2">
      <c r="A2341" s="114"/>
      <c r="B2341" s="71" t="s">
        <v>6657</v>
      </c>
      <c r="C2341" s="71" t="s">
        <v>6501</v>
      </c>
      <c r="D2341" s="71" t="s">
        <v>6658</v>
      </c>
      <c r="E2341" s="73" t="b">
        <v>1</v>
      </c>
      <c r="F2341" s="81" t="s">
        <v>845</v>
      </c>
      <c r="G2341" s="71" t="s">
        <v>6657</v>
      </c>
      <c r="H2341" s="71" t="s">
        <v>6501</v>
      </c>
      <c r="I2341" s="74" t="s">
        <v>6658</v>
      </c>
      <c r="J2341" s="76"/>
      <c r="K2341" s="76"/>
      <c r="L2341" s="82"/>
      <c r="M2341" s="77" t="str">
        <f>HYPERLINK("http://nsgreg.nga.mil/genc/view?v=870127&amp;end_month=12&amp;end_day=31&amp;end_year=2016","Correlation")</f>
        <v>Correlation</v>
      </c>
    </row>
    <row r="2342" spans="1:13" x14ac:dyDescent="0.2">
      <c r="A2342" s="112" t="s">
        <v>849</v>
      </c>
      <c r="B2342" s="50" t="s">
        <v>6659</v>
      </c>
      <c r="C2342" s="50" t="s">
        <v>6660</v>
      </c>
      <c r="D2342" s="50" t="s">
        <v>6661</v>
      </c>
      <c r="E2342" s="52" t="b">
        <v>1</v>
      </c>
      <c r="F2342" s="78" t="s">
        <v>849</v>
      </c>
      <c r="G2342" s="50" t="s">
        <v>6659</v>
      </c>
      <c r="H2342" s="50" t="s">
        <v>6660</v>
      </c>
      <c r="I2342" s="53" t="s">
        <v>6661</v>
      </c>
      <c r="J2342" s="55"/>
      <c r="K2342" s="55"/>
      <c r="L2342" s="79"/>
      <c r="M2342" s="56" t="str">
        <f>HYPERLINK("http://nsgreg.nga.mil/genc/view?v=870138&amp;end_month=12&amp;end_day=31&amp;end_year=2016","Correlation")</f>
        <v>Correlation</v>
      </c>
    </row>
    <row r="2343" spans="1:13" x14ac:dyDescent="0.2">
      <c r="A2343" s="113"/>
      <c r="B2343" s="58" t="s">
        <v>6662</v>
      </c>
      <c r="C2343" s="58" t="s">
        <v>6660</v>
      </c>
      <c r="D2343" s="58" t="s">
        <v>6663</v>
      </c>
      <c r="E2343" s="60" t="b">
        <v>1</v>
      </c>
      <c r="F2343" s="80" t="s">
        <v>849</v>
      </c>
      <c r="G2343" s="58" t="s">
        <v>6662</v>
      </c>
      <c r="H2343" s="58" t="s">
        <v>6660</v>
      </c>
      <c r="I2343" s="64" t="s">
        <v>6663</v>
      </c>
      <c r="J2343" s="66"/>
      <c r="K2343" s="66"/>
      <c r="L2343" s="68"/>
      <c r="M2343" s="63" t="str">
        <f>HYPERLINK("http://nsgreg.nga.mil/genc/view?v=870139&amp;end_month=12&amp;end_day=31&amp;end_year=2016","Correlation")</f>
        <v>Correlation</v>
      </c>
    </row>
    <row r="2344" spans="1:13" x14ac:dyDescent="0.2">
      <c r="A2344" s="113"/>
      <c r="B2344" s="58" t="s">
        <v>6664</v>
      </c>
      <c r="C2344" s="58" t="s">
        <v>6660</v>
      </c>
      <c r="D2344" s="58" t="s">
        <v>6665</v>
      </c>
      <c r="E2344" s="60" t="b">
        <v>1</v>
      </c>
      <c r="F2344" s="80" t="s">
        <v>849</v>
      </c>
      <c r="G2344" s="58" t="s">
        <v>6664</v>
      </c>
      <c r="H2344" s="58" t="s">
        <v>6660</v>
      </c>
      <c r="I2344" s="64" t="s">
        <v>6665</v>
      </c>
      <c r="J2344" s="66"/>
      <c r="K2344" s="66"/>
      <c r="L2344" s="68"/>
      <c r="M2344" s="63" t="str">
        <f>HYPERLINK("http://nsgreg.nga.mil/genc/view?v=870140&amp;end_month=12&amp;end_day=31&amp;end_year=2016","Correlation")</f>
        <v>Correlation</v>
      </c>
    </row>
    <row r="2345" spans="1:13" x14ac:dyDescent="0.2">
      <c r="A2345" s="113"/>
      <c r="B2345" s="58" t="s">
        <v>6666</v>
      </c>
      <c r="C2345" s="58" t="s">
        <v>6660</v>
      </c>
      <c r="D2345" s="58" t="s">
        <v>6667</v>
      </c>
      <c r="E2345" s="60" t="b">
        <v>1</v>
      </c>
      <c r="F2345" s="80" t="s">
        <v>849</v>
      </c>
      <c r="G2345" s="58" t="s">
        <v>6666</v>
      </c>
      <c r="H2345" s="58" t="s">
        <v>6660</v>
      </c>
      <c r="I2345" s="64" t="s">
        <v>6667</v>
      </c>
      <c r="J2345" s="66"/>
      <c r="K2345" s="66"/>
      <c r="L2345" s="68"/>
      <c r="M2345" s="63" t="str">
        <f>HYPERLINK("http://nsgreg.nga.mil/genc/view?v=870141&amp;end_month=12&amp;end_day=31&amp;end_year=2016","Correlation")</f>
        <v>Correlation</v>
      </c>
    </row>
    <row r="2346" spans="1:13" x14ac:dyDescent="0.2">
      <c r="A2346" s="113"/>
      <c r="B2346" s="58" t="s">
        <v>6668</v>
      </c>
      <c r="C2346" s="58" t="s">
        <v>6660</v>
      </c>
      <c r="D2346" s="58" t="s">
        <v>6669</v>
      </c>
      <c r="E2346" s="60" t="b">
        <v>1</v>
      </c>
      <c r="F2346" s="80" t="s">
        <v>849</v>
      </c>
      <c r="G2346" s="58" t="s">
        <v>6668</v>
      </c>
      <c r="H2346" s="58" t="s">
        <v>6660</v>
      </c>
      <c r="I2346" s="64" t="s">
        <v>6669</v>
      </c>
      <c r="J2346" s="66"/>
      <c r="K2346" s="66"/>
      <c r="L2346" s="68"/>
      <c r="M2346" s="63" t="str">
        <f>HYPERLINK("http://nsgreg.nga.mil/genc/view?v=870142&amp;end_month=12&amp;end_day=31&amp;end_year=2016","Correlation")</f>
        <v>Correlation</v>
      </c>
    </row>
    <row r="2347" spans="1:13" x14ac:dyDescent="0.2">
      <c r="A2347" s="113"/>
      <c r="B2347" s="58" t="s">
        <v>6670</v>
      </c>
      <c r="C2347" s="58" t="s">
        <v>6660</v>
      </c>
      <c r="D2347" s="58" t="s">
        <v>6671</v>
      </c>
      <c r="E2347" s="60" t="b">
        <v>1</v>
      </c>
      <c r="F2347" s="80" t="s">
        <v>849</v>
      </c>
      <c r="G2347" s="58" t="s">
        <v>6670</v>
      </c>
      <c r="H2347" s="58" t="s">
        <v>6660</v>
      </c>
      <c r="I2347" s="64" t="s">
        <v>6671</v>
      </c>
      <c r="J2347" s="66"/>
      <c r="K2347" s="66"/>
      <c r="L2347" s="68"/>
      <c r="M2347" s="63" t="str">
        <f>HYPERLINK("http://nsgreg.nga.mil/genc/view?v=870143&amp;end_month=12&amp;end_day=31&amp;end_year=2016","Correlation")</f>
        <v>Correlation</v>
      </c>
    </row>
    <row r="2348" spans="1:13" x14ac:dyDescent="0.2">
      <c r="A2348" s="113"/>
      <c r="B2348" s="58" t="s">
        <v>2268</v>
      </c>
      <c r="C2348" s="58" t="s">
        <v>6660</v>
      </c>
      <c r="D2348" s="58" t="s">
        <v>6672</v>
      </c>
      <c r="E2348" s="60" t="b">
        <v>1</v>
      </c>
      <c r="F2348" s="80" t="s">
        <v>849</v>
      </c>
      <c r="G2348" s="58" t="s">
        <v>2268</v>
      </c>
      <c r="H2348" s="58" t="s">
        <v>6660</v>
      </c>
      <c r="I2348" s="64" t="s">
        <v>6672</v>
      </c>
      <c r="J2348" s="66"/>
      <c r="K2348" s="66"/>
      <c r="L2348" s="68"/>
      <c r="M2348" s="63" t="str">
        <f>HYPERLINK("http://nsgreg.nga.mil/genc/view?v=870144&amp;end_month=12&amp;end_day=31&amp;end_year=2016","Correlation")</f>
        <v>Correlation</v>
      </c>
    </row>
    <row r="2349" spans="1:13" x14ac:dyDescent="0.2">
      <c r="A2349" s="113"/>
      <c r="B2349" s="58" t="s">
        <v>6673</v>
      </c>
      <c r="C2349" s="58" t="s">
        <v>6660</v>
      </c>
      <c r="D2349" s="58" t="s">
        <v>6674</v>
      </c>
      <c r="E2349" s="60" t="b">
        <v>1</v>
      </c>
      <c r="F2349" s="80" t="s">
        <v>849</v>
      </c>
      <c r="G2349" s="58" t="s">
        <v>6673</v>
      </c>
      <c r="H2349" s="58" t="s">
        <v>6660</v>
      </c>
      <c r="I2349" s="64" t="s">
        <v>6674</v>
      </c>
      <c r="J2349" s="66"/>
      <c r="K2349" s="66"/>
      <c r="L2349" s="68"/>
      <c r="M2349" s="63" t="str">
        <f>HYPERLINK("http://nsgreg.nga.mil/genc/view?v=870145&amp;end_month=12&amp;end_day=31&amp;end_year=2016","Correlation")</f>
        <v>Correlation</v>
      </c>
    </row>
    <row r="2350" spans="1:13" x14ac:dyDescent="0.2">
      <c r="A2350" s="113"/>
      <c r="B2350" s="58" t="s">
        <v>6675</v>
      </c>
      <c r="C2350" s="58" t="s">
        <v>6660</v>
      </c>
      <c r="D2350" s="58" t="s">
        <v>6676</v>
      </c>
      <c r="E2350" s="60" t="b">
        <v>1</v>
      </c>
      <c r="F2350" s="80" t="s">
        <v>849</v>
      </c>
      <c r="G2350" s="58" t="s">
        <v>6675</v>
      </c>
      <c r="H2350" s="58" t="s">
        <v>6660</v>
      </c>
      <c r="I2350" s="64" t="s">
        <v>6676</v>
      </c>
      <c r="J2350" s="66"/>
      <c r="K2350" s="66"/>
      <c r="L2350" s="68"/>
      <c r="M2350" s="63" t="str">
        <f>HYPERLINK("http://nsgreg.nga.mil/genc/view?v=870146&amp;end_month=12&amp;end_day=31&amp;end_year=2016","Correlation")</f>
        <v>Correlation</v>
      </c>
    </row>
    <row r="2351" spans="1:13" x14ac:dyDescent="0.2">
      <c r="A2351" s="113"/>
      <c r="B2351" s="58" t="s">
        <v>6677</v>
      </c>
      <c r="C2351" s="58" t="s">
        <v>6660</v>
      </c>
      <c r="D2351" s="58" t="s">
        <v>6678</v>
      </c>
      <c r="E2351" s="60" t="b">
        <v>1</v>
      </c>
      <c r="F2351" s="80" t="s">
        <v>849</v>
      </c>
      <c r="G2351" s="58" t="s">
        <v>6677</v>
      </c>
      <c r="H2351" s="58" t="s">
        <v>6660</v>
      </c>
      <c r="I2351" s="64" t="s">
        <v>6678</v>
      </c>
      <c r="J2351" s="66"/>
      <c r="K2351" s="66"/>
      <c r="L2351" s="68"/>
      <c r="M2351" s="63" t="str">
        <f>HYPERLINK("http://nsgreg.nga.mil/genc/view?v=870147&amp;end_month=12&amp;end_day=31&amp;end_year=2016","Correlation")</f>
        <v>Correlation</v>
      </c>
    </row>
    <row r="2352" spans="1:13" x14ac:dyDescent="0.2">
      <c r="A2352" s="113"/>
      <c r="B2352" s="58" t="s">
        <v>6679</v>
      </c>
      <c r="C2352" s="58" t="s">
        <v>6660</v>
      </c>
      <c r="D2352" s="58" t="s">
        <v>6680</v>
      </c>
      <c r="E2352" s="60" t="b">
        <v>1</v>
      </c>
      <c r="F2352" s="80" t="s">
        <v>849</v>
      </c>
      <c r="G2352" s="58" t="s">
        <v>6679</v>
      </c>
      <c r="H2352" s="58" t="s">
        <v>6660</v>
      </c>
      <c r="I2352" s="64" t="s">
        <v>6680</v>
      </c>
      <c r="J2352" s="66"/>
      <c r="K2352" s="66"/>
      <c r="L2352" s="68"/>
      <c r="M2352" s="63" t="str">
        <f>HYPERLINK("http://nsgreg.nga.mil/genc/view?v=870148&amp;end_month=12&amp;end_day=31&amp;end_year=2016","Correlation")</f>
        <v>Correlation</v>
      </c>
    </row>
    <row r="2353" spans="1:13" x14ac:dyDescent="0.2">
      <c r="A2353" s="114"/>
      <c r="B2353" s="71" t="s">
        <v>6681</v>
      </c>
      <c r="C2353" s="71" t="s">
        <v>6660</v>
      </c>
      <c r="D2353" s="71" t="s">
        <v>6682</v>
      </c>
      <c r="E2353" s="73" t="b">
        <v>1</v>
      </c>
      <c r="F2353" s="81" t="s">
        <v>849</v>
      </c>
      <c r="G2353" s="71" t="s">
        <v>6681</v>
      </c>
      <c r="H2353" s="71" t="s">
        <v>6660</v>
      </c>
      <c r="I2353" s="74" t="s">
        <v>6682</v>
      </c>
      <c r="J2353" s="76"/>
      <c r="K2353" s="76"/>
      <c r="L2353" s="82"/>
      <c r="M2353" s="77" t="str">
        <f>HYPERLINK("http://nsgreg.nga.mil/genc/view?v=870149&amp;end_month=12&amp;end_day=31&amp;end_year=2016","Correlation")</f>
        <v>Correlation</v>
      </c>
    </row>
    <row r="2354" spans="1:13" x14ac:dyDescent="0.2">
      <c r="A2354" s="112" t="s">
        <v>864</v>
      </c>
      <c r="B2354" s="50" t="s">
        <v>6683</v>
      </c>
      <c r="C2354" s="50" t="s">
        <v>1816</v>
      </c>
      <c r="D2354" s="50" t="s">
        <v>6684</v>
      </c>
      <c r="E2354" s="52" t="b">
        <v>1</v>
      </c>
      <c r="F2354" s="78" t="s">
        <v>860</v>
      </c>
      <c r="G2354" s="50" t="s">
        <v>6683</v>
      </c>
      <c r="H2354" s="50" t="s">
        <v>1816</v>
      </c>
      <c r="I2354" s="53" t="s">
        <v>6684</v>
      </c>
      <c r="J2354" s="55"/>
      <c r="K2354" s="55"/>
      <c r="L2354" s="79"/>
      <c r="M2354" s="56" t="str">
        <f>HYPERLINK("http://nsgreg.nga.mil/genc/view?v=870479&amp;end_month=12&amp;end_day=31&amp;end_year=2016","Correlation")</f>
        <v>Correlation</v>
      </c>
    </row>
    <row r="2355" spans="1:13" x14ac:dyDescent="0.2">
      <c r="A2355" s="113"/>
      <c r="B2355" s="58" t="s">
        <v>6685</v>
      </c>
      <c r="C2355" s="58" t="s">
        <v>1816</v>
      </c>
      <c r="D2355" s="58" t="s">
        <v>6686</v>
      </c>
      <c r="E2355" s="60" t="b">
        <v>1</v>
      </c>
      <c r="F2355" s="80" t="s">
        <v>860</v>
      </c>
      <c r="G2355" s="58" t="s">
        <v>6685</v>
      </c>
      <c r="H2355" s="58" t="s">
        <v>1816</v>
      </c>
      <c r="I2355" s="64" t="s">
        <v>6686</v>
      </c>
      <c r="J2355" s="66"/>
      <c r="K2355" s="66"/>
      <c r="L2355" s="68"/>
      <c r="M2355" s="63" t="str">
        <f>HYPERLINK("http://nsgreg.nga.mil/genc/view?v=870480&amp;end_month=12&amp;end_day=31&amp;end_year=2016","Correlation")</f>
        <v>Correlation</v>
      </c>
    </row>
    <row r="2356" spans="1:13" x14ac:dyDescent="0.2">
      <c r="A2356" s="113"/>
      <c r="B2356" s="58" t="s">
        <v>6687</v>
      </c>
      <c r="C2356" s="58" t="s">
        <v>1816</v>
      </c>
      <c r="D2356" s="58" t="s">
        <v>6688</v>
      </c>
      <c r="E2356" s="60" t="b">
        <v>1</v>
      </c>
      <c r="F2356" s="80" t="s">
        <v>860</v>
      </c>
      <c r="G2356" s="58" t="s">
        <v>6687</v>
      </c>
      <c r="H2356" s="58" t="s">
        <v>1816</v>
      </c>
      <c r="I2356" s="64" t="s">
        <v>6688</v>
      </c>
      <c r="J2356" s="66"/>
      <c r="K2356" s="66"/>
      <c r="L2356" s="68"/>
      <c r="M2356" s="63" t="str">
        <f>HYPERLINK("http://nsgreg.nga.mil/genc/view?v=870481&amp;end_month=12&amp;end_day=31&amp;end_year=2016","Correlation")</f>
        <v>Correlation</v>
      </c>
    </row>
    <row r="2357" spans="1:13" x14ac:dyDescent="0.2">
      <c r="A2357" s="113"/>
      <c r="B2357" s="58" t="s">
        <v>6689</v>
      </c>
      <c r="C2357" s="58" t="s">
        <v>1816</v>
      </c>
      <c r="D2357" s="58" t="s">
        <v>6690</v>
      </c>
      <c r="E2357" s="60" t="b">
        <v>1</v>
      </c>
      <c r="F2357" s="80" t="s">
        <v>860</v>
      </c>
      <c r="G2357" s="58" t="s">
        <v>6689</v>
      </c>
      <c r="H2357" s="58" t="s">
        <v>1816</v>
      </c>
      <c r="I2357" s="64" t="s">
        <v>6690</v>
      </c>
      <c r="J2357" s="66"/>
      <c r="K2357" s="66"/>
      <c r="L2357" s="68"/>
      <c r="M2357" s="63" t="str">
        <f>HYPERLINK("http://nsgreg.nga.mil/genc/view?v=870482&amp;end_month=12&amp;end_day=31&amp;end_year=2016","Correlation")</f>
        <v>Correlation</v>
      </c>
    </row>
    <row r="2358" spans="1:13" x14ac:dyDescent="0.2">
      <c r="A2358" s="113"/>
      <c r="B2358" s="58" t="s">
        <v>6691</v>
      </c>
      <c r="C2358" s="58" t="s">
        <v>1816</v>
      </c>
      <c r="D2358" s="58" t="s">
        <v>6692</v>
      </c>
      <c r="E2358" s="60" t="b">
        <v>1</v>
      </c>
      <c r="F2358" s="80" t="s">
        <v>860</v>
      </c>
      <c r="G2358" s="58" t="s">
        <v>6691</v>
      </c>
      <c r="H2358" s="58" t="s">
        <v>1816</v>
      </c>
      <c r="I2358" s="64" t="s">
        <v>6692</v>
      </c>
      <c r="J2358" s="66"/>
      <c r="K2358" s="66"/>
      <c r="L2358" s="68"/>
      <c r="M2358" s="63" t="str">
        <f>HYPERLINK("http://nsgreg.nga.mil/genc/view?v=870483&amp;end_month=12&amp;end_day=31&amp;end_year=2016","Correlation")</f>
        <v>Correlation</v>
      </c>
    </row>
    <row r="2359" spans="1:13" x14ac:dyDescent="0.2">
      <c r="A2359" s="113"/>
      <c r="B2359" s="58" t="s">
        <v>6693</v>
      </c>
      <c r="C2359" s="58" t="s">
        <v>1816</v>
      </c>
      <c r="D2359" s="58" t="s">
        <v>6694</v>
      </c>
      <c r="E2359" s="60" t="b">
        <v>1</v>
      </c>
      <c r="F2359" s="80" t="s">
        <v>860</v>
      </c>
      <c r="G2359" s="58" t="s">
        <v>6693</v>
      </c>
      <c r="H2359" s="58" t="s">
        <v>1816</v>
      </c>
      <c r="I2359" s="64" t="s">
        <v>6694</v>
      </c>
      <c r="J2359" s="66"/>
      <c r="K2359" s="66"/>
      <c r="L2359" s="68"/>
      <c r="M2359" s="63" t="str">
        <f>HYPERLINK("http://nsgreg.nga.mil/genc/view?v=870484&amp;end_month=12&amp;end_day=31&amp;end_year=2016","Correlation")</f>
        <v>Correlation</v>
      </c>
    </row>
    <row r="2360" spans="1:13" x14ac:dyDescent="0.2">
      <c r="A2360" s="113"/>
      <c r="B2360" s="58" t="s">
        <v>6695</v>
      </c>
      <c r="C2360" s="58" t="s">
        <v>1816</v>
      </c>
      <c r="D2360" s="58" t="s">
        <v>6696</v>
      </c>
      <c r="E2360" s="60" t="b">
        <v>1</v>
      </c>
      <c r="F2360" s="80" t="s">
        <v>860</v>
      </c>
      <c r="G2360" s="58" t="s">
        <v>6695</v>
      </c>
      <c r="H2360" s="58" t="s">
        <v>1816</v>
      </c>
      <c r="I2360" s="64" t="s">
        <v>6696</v>
      </c>
      <c r="J2360" s="66"/>
      <c r="K2360" s="66"/>
      <c r="L2360" s="68"/>
      <c r="M2360" s="63" t="str">
        <f>HYPERLINK("http://nsgreg.nga.mil/genc/view?v=870485&amp;end_month=12&amp;end_day=31&amp;end_year=2016","Correlation")</f>
        <v>Correlation</v>
      </c>
    </row>
    <row r="2361" spans="1:13" x14ac:dyDescent="0.2">
      <c r="A2361" s="113"/>
      <c r="B2361" s="58" t="s">
        <v>6697</v>
      </c>
      <c r="C2361" s="58" t="s">
        <v>1816</v>
      </c>
      <c r="D2361" s="58" t="s">
        <v>6698</v>
      </c>
      <c r="E2361" s="60" t="b">
        <v>1</v>
      </c>
      <c r="F2361" s="80" t="s">
        <v>860</v>
      </c>
      <c r="G2361" s="58" t="s">
        <v>6697</v>
      </c>
      <c r="H2361" s="58" t="s">
        <v>1816</v>
      </c>
      <c r="I2361" s="64" t="s">
        <v>6698</v>
      </c>
      <c r="J2361" s="66"/>
      <c r="K2361" s="66"/>
      <c r="L2361" s="68"/>
      <c r="M2361" s="63" t="str">
        <f>HYPERLINK("http://nsgreg.nga.mil/genc/view?v=870545&amp;end_month=12&amp;end_day=31&amp;end_year=2016","Correlation")</f>
        <v>Correlation</v>
      </c>
    </row>
    <row r="2362" spans="1:13" x14ac:dyDescent="0.2">
      <c r="A2362" s="113"/>
      <c r="B2362" s="58" t="s">
        <v>6699</v>
      </c>
      <c r="C2362" s="58" t="s">
        <v>1816</v>
      </c>
      <c r="D2362" s="58" t="s">
        <v>6700</v>
      </c>
      <c r="E2362" s="60" t="b">
        <v>1</v>
      </c>
      <c r="F2362" s="80" t="s">
        <v>860</v>
      </c>
      <c r="G2362" s="58" t="s">
        <v>6699</v>
      </c>
      <c r="H2362" s="58" t="s">
        <v>1816</v>
      </c>
      <c r="I2362" s="64" t="s">
        <v>6700</v>
      </c>
      <c r="J2362" s="66"/>
      <c r="K2362" s="66"/>
      <c r="L2362" s="68"/>
      <c r="M2362" s="63" t="str">
        <f>HYPERLINK("http://nsgreg.nga.mil/genc/view?v=870544&amp;end_month=12&amp;end_day=31&amp;end_year=2016","Correlation")</f>
        <v>Correlation</v>
      </c>
    </row>
    <row r="2363" spans="1:13" x14ac:dyDescent="0.2">
      <c r="A2363" s="113"/>
      <c r="B2363" s="58" t="s">
        <v>6701</v>
      </c>
      <c r="C2363" s="58" t="s">
        <v>1816</v>
      </c>
      <c r="D2363" s="58" t="s">
        <v>6702</v>
      </c>
      <c r="E2363" s="60" t="b">
        <v>1</v>
      </c>
      <c r="F2363" s="80" t="s">
        <v>860</v>
      </c>
      <c r="G2363" s="58" t="s">
        <v>6701</v>
      </c>
      <c r="H2363" s="58" t="s">
        <v>1816</v>
      </c>
      <c r="I2363" s="64" t="s">
        <v>6702</v>
      </c>
      <c r="J2363" s="66"/>
      <c r="K2363" s="66"/>
      <c r="L2363" s="68"/>
      <c r="M2363" s="63" t="str">
        <f>HYPERLINK("http://nsgreg.nga.mil/genc/view?v=870546&amp;end_month=12&amp;end_day=31&amp;end_year=2016","Correlation")</f>
        <v>Correlation</v>
      </c>
    </row>
    <row r="2364" spans="1:13" x14ac:dyDescent="0.2">
      <c r="A2364" s="113"/>
      <c r="B2364" s="58" t="s">
        <v>6705</v>
      </c>
      <c r="C2364" s="58" t="s">
        <v>1816</v>
      </c>
      <c r="D2364" s="58" t="s">
        <v>6704</v>
      </c>
      <c r="E2364" s="60" t="b">
        <v>1</v>
      </c>
      <c r="F2364" s="80" t="s">
        <v>860</v>
      </c>
      <c r="G2364" s="58" t="s">
        <v>6703</v>
      </c>
      <c r="H2364" s="58" t="s">
        <v>1816</v>
      </c>
      <c r="I2364" s="64" t="s">
        <v>6704</v>
      </c>
      <c r="J2364" s="66"/>
      <c r="K2364" s="66"/>
      <c r="L2364" s="68"/>
      <c r="M2364" s="63" t="str">
        <f>HYPERLINK("http://nsgreg.nga.mil/genc/view?v=870547&amp;end_month=12&amp;end_day=31&amp;end_year=2016","Correlation")</f>
        <v>Correlation</v>
      </c>
    </row>
    <row r="2365" spans="1:13" x14ac:dyDescent="0.2">
      <c r="A2365" s="113"/>
      <c r="B2365" s="58" t="s">
        <v>6706</v>
      </c>
      <c r="C2365" s="58" t="s">
        <v>1816</v>
      </c>
      <c r="D2365" s="58" t="s">
        <v>6707</v>
      </c>
      <c r="E2365" s="60" t="b">
        <v>1</v>
      </c>
      <c r="F2365" s="80" t="s">
        <v>860</v>
      </c>
      <c r="G2365" s="58" t="s">
        <v>6706</v>
      </c>
      <c r="H2365" s="58" t="s">
        <v>1816</v>
      </c>
      <c r="I2365" s="64" t="s">
        <v>6707</v>
      </c>
      <c r="J2365" s="66"/>
      <c r="K2365" s="66"/>
      <c r="L2365" s="68"/>
      <c r="M2365" s="63" t="str">
        <f>HYPERLINK("http://nsgreg.nga.mil/genc/view?v=870495&amp;end_month=12&amp;end_day=31&amp;end_year=2016","Correlation")</f>
        <v>Correlation</v>
      </c>
    </row>
    <row r="2366" spans="1:13" x14ac:dyDescent="0.2">
      <c r="A2366" s="113"/>
      <c r="B2366" s="58" t="s">
        <v>6708</v>
      </c>
      <c r="C2366" s="58" t="s">
        <v>1816</v>
      </c>
      <c r="D2366" s="58" t="s">
        <v>6709</v>
      </c>
      <c r="E2366" s="60" t="b">
        <v>1</v>
      </c>
      <c r="F2366" s="80" t="s">
        <v>860</v>
      </c>
      <c r="G2366" s="58" t="s">
        <v>6708</v>
      </c>
      <c r="H2366" s="58" t="s">
        <v>1816</v>
      </c>
      <c r="I2366" s="64" t="s">
        <v>6709</v>
      </c>
      <c r="J2366" s="66"/>
      <c r="K2366" s="66"/>
      <c r="L2366" s="68"/>
      <c r="M2366" s="63" t="str">
        <f>HYPERLINK("http://nsgreg.nga.mil/genc/view?v=870496&amp;end_month=12&amp;end_day=31&amp;end_year=2016","Correlation")</f>
        <v>Correlation</v>
      </c>
    </row>
    <row r="2367" spans="1:13" x14ac:dyDescent="0.2">
      <c r="A2367" s="113"/>
      <c r="B2367" s="58" t="s">
        <v>6710</v>
      </c>
      <c r="C2367" s="58" t="s">
        <v>1816</v>
      </c>
      <c r="D2367" s="58" t="s">
        <v>6711</v>
      </c>
      <c r="E2367" s="60" t="b">
        <v>1</v>
      </c>
      <c r="F2367" s="80" t="s">
        <v>860</v>
      </c>
      <c r="G2367" s="58" t="s">
        <v>6710</v>
      </c>
      <c r="H2367" s="58" t="s">
        <v>1816</v>
      </c>
      <c r="I2367" s="64" t="s">
        <v>6711</v>
      </c>
      <c r="J2367" s="66"/>
      <c r="K2367" s="66"/>
      <c r="L2367" s="68"/>
      <c r="M2367" s="63" t="str">
        <f>HYPERLINK("http://nsgreg.nga.mil/genc/view?v=870497&amp;end_month=12&amp;end_day=31&amp;end_year=2016","Correlation")</f>
        <v>Correlation</v>
      </c>
    </row>
    <row r="2368" spans="1:13" x14ac:dyDescent="0.2">
      <c r="A2368" s="113"/>
      <c r="B2368" s="58" t="s">
        <v>6712</v>
      </c>
      <c r="C2368" s="58" t="s">
        <v>1816</v>
      </c>
      <c r="D2368" s="58" t="s">
        <v>6713</v>
      </c>
      <c r="E2368" s="60" t="b">
        <v>1</v>
      </c>
      <c r="F2368" s="80" t="s">
        <v>860</v>
      </c>
      <c r="G2368" s="58" t="s">
        <v>6712</v>
      </c>
      <c r="H2368" s="58" t="s">
        <v>1816</v>
      </c>
      <c r="I2368" s="64" t="s">
        <v>6713</v>
      </c>
      <c r="J2368" s="66"/>
      <c r="K2368" s="66"/>
      <c r="L2368" s="68"/>
      <c r="M2368" s="63" t="str">
        <f>HYPERLINK("http://nsgreg.nga.mil/genc/view?v=870499&amp;end_month=12&amp;end_day=31&amp;end_year=2016","Correlation")</f>
        <v>Correlation</v>
      </c>
    </row>
    <row r="2369" spans="1:13" x14ac:dyDescent="0.2">
      <c r="A2369" s="113"/>
      <c r="B2369" s="58" t="s">
        <v>6714</v>
      </c>
      <c r="C2369" s="58" t="s">
        <v>1816</v>
      </c>
      <c r="D2369" s="58" t="s">
        <v>6715</v>
      </c>
      <c r="E2369" s="60" t="b">
        <v>1</v>
      </c>
      <c r="F2369" s="80" t="s">
        <v>860</v>
      </c>
      <c r="G2369" s="58" t="s">
        <v>6714</v>
      </c>
      <c r="H2369" s="58" t="s">
        <v>1816</v>
      </c>
      <c r="I2369" s="64" t="s">
        <v>6715</v>
      </c>
      <c r="J2369" s="66"/>
      <c r="K2369" s="66"/>
      <c r="L2369" s="68"/>
      <c r="M2369" s="63" t="str">
        <f>HYPERLINK("http://nsgreg.nga.mil/genc/view?v=870498&amp;end_month=12&amp;end_day=31&amp;end_year=2016","Correlation")</f>
        <v>Correlation</v>
      </c>
    </row>
    <row r="2370" spans="1:13" x14ac:dyDescent="0.2">
      <c r="A2370" s="113"/>
      <c r="B2370" s="58" t="s">
        <v>6716</v>
      </c>
      <c r="C2370" s="58" t="s">
        <v>1816</v>
      </c>
      <c r="D2370" s="58" t="s">
        <v>6717</v>
      </c>
      <c r="E2370" s="60" t="b">
        <v>1</v>
      </c>
      <c r="F2370" s="80" t="s">
        <v>860</v>
      </c>
      <c r="G2370" s="58" t="s">
        <v>6716</v>
      </c>
      <c r="H2370" s="58" t="s">
        <v>1816</v>
      </c>
      <c r="I2370" s="64" t="s">
        <v>6717</v>
      </c>
      <c r="J2370" s="66"/>
      <c r="K2370" s="66"/>
      <c r="L2370" s="68"/>
      <c r="M2370" s="63" t="str">
        <f>HYPERLINK("http://nsgreg.nga.mil/genc/view?v=870500&amp;end_month=12&amp;end_day=31&amp;end_year=2016","Correlation")</f>
        <v>Correlation</v>
      </c>
    </row>
    <row r="2371" spans="1:13" x14ac:dyDescent="0.2">
      <c r="A2371" s="113"/>
      <c r="B2371" s="58" t="s">
        <v>6718</v>
      </c>
      <c r="C2371" s="58" t="s">
        <v>1816</v>
      </c>
      <c r="D2371" s="58" t="s">
        <v>6719</v>
      </c>
      <c r="E2371" s="60" t="b">
        <v>1</v>
      </c>
      <c r="F2371" s="80" t="s">
        <v>860</v>
      </c>
      <c r="G2371" s="58" t="s">
        <v>6718</v>
      </c>
      <c r="H2371" s="58" t="s">
        <v>1816</v>
      </c>
      <c r="I2371" s="64" t="s">
        <v>6719</v>
      </c>
      <c r="J2371" s="66"/>
      <c r="K2371" s="66"/>
      <c r="L2371" s="68"/>
      <c r="M2371" s="63" t="str">
        <f>HYPERLINK("http://nsgreg.nga.mil/genc/view?v=870501&amp;end_month=12&amp;end_day=31&amp;end_year=2016","Correlation")</f>
        <v>Correlation</v>
      </c>
    </row>
    <row r="2372" spans="1:13" x14ac:dyDescent="0.2">
      <c r="A2372" s="113"/>
      <c r="B2372" s="58" t="s">
        <v>6720</v>
      </c>
      <c r="C2372" s="58" t="s">
        <v>1816</v>
      </c>
      <c r="D2372" s="58" t="s">
        <v>6721</v>
      </c>
      <c r="E2372" s="60" t="b">
        <v>1</v>
      </c>
      <c r="F2372" s="80" t="s">
        <v>860</v>
      </c>
      <c r="G2372" s="58" t="s">
        <v>6720</v>
      </c>
      <c r="H2372" s="58" t="s">
        <v>1816</v>
      </c>
      <c r="I2372" s="64" t="s">
        <v>6721</v>
      </c>
      <c r="J2372" s="66"/>
      <c r="K2372" s="66"/>
      <c r="L2372" s="68"/>
      <c r="M2372" s="63" t="str">
        <f>HYPERLINK("http://nsgreg.nga.mil/genc/view?v=870492&amp;end_month=12&amp;end_day=31&amp;end_year=2016","Correlation")</f>
        <v>Correlation</v>
      </c>
    </row>
    <row r="2373" spans="1:13" x14ac:dyDescent="0.2">
      <c r="A2373" s="113"/>
      <c r="B2373" s="58" t="s">
        <v>6722</v>
      </c>
      <c r="C2373" s="58" t="s">
        <v>1816</v>
      </c>
      <c r="D2373" s="58" t="s">
        <v>6723</v>
      </c>
      <c r="E2373" s="60" t="b">
        <v>1</v>
      </c>
      <c r="F2373" s="80" t="s">
        <v>860</v>
      </c>
      <c r="G2373" s="58" t="s">
        <v>6722</v>
      </c>
      <c r="H2373" s="58" t="s">
        <v>1816</v>
      </c>
      <c r="I2373" s="64" t="s">
        <v>6723</v>
      </c>
      <c r="J2373" s="66"/>
      <c r="K2373" s="66"/>
      <c r="L2373" s="68"/>
      <c r="M2373" s="63" t="str">
        <f>HYPERLINK("http://nsgreg.nga.mil/genc/view?v=870493&amp;end_month=12&amp;end_day=31&amp;end_year=2016","Correlation")</f>
        <v>Correlation</v>
      </c>
    </row>
    <row r="2374" spans="1:13" x14ac:dyDescent="0.2">
      <c r="A2374" s="113"/>
      <c r="B2374" s="58" t="s">
        <v>6724</v>
      </c>
      <c r="C2374" s="58" t="s">
        <v>1816</v>
      </c>
      <c r="D2374" s="58" t="s">
        <v>6725</v>
      </c>
      <c r="E2374" s="60" t="b">
        <v>1</v>
      </c>
      <c r="F2374" s="80" t="s">
        <v>860</v>
      </c>
      <c r="G2374" s="58" t="s">
        <v>6724</v>
      </c>
      <c r="H2374" s="58" t="s">
        <v>1816</v>
      </c>
      <c r="I2374" s="64" t="s">
        <v>6725</v>
      </c>
      <c r="J2374" s="66"/>
      <c r="K2374" s="66"/>
      <c r="L2374" s="68"/>
      <c r="M2374" s="63" t="str">
        <f>HYPERLINK("http://nsgreg.nga.mil/genc/view?v=870494&amp;end_month=12&amp;end_day=31&amp;end_year=2016","Correlation")</f>
        <v>Correlation</v>
      </c>
    </row>
    <row r="2375" spans="1:13" x14ac:dyDescent="0.2">
      <c r="A2375" s="113"/>
      <c r="B2375" s="58" t="s">
        <v>6726</v>
      </c>
      <c r="C2375" s="58" t="s">
        <v>1816</v>
      </c>
      <c r="D2375" s="58" t="s">
        <v>6727</v>
      </c>
      <c r="E2375" s="60" t="b">
        <v>1</v>
      </c>
      <c r="F2375" s="80" t="s">
        <v>860</v>
      </c>
      <c r="G2375" s="58" t="s">
        <v>6726</v>
      </c>
      <c r="H2375" s="58" t="s">
        <v>1816</v>
      </c>
      <c r="I2375" s="64" t="s">
        <v>6727</v>
      </c>
      <c r="J2375" s="66"/>
      <c r="K2375" s="66"/>
      <c r="L2375" s="68"/>
      <c r="M2375" s="63" t="str">
        <f>HYPERLINK("http://nsgreg.nga.mil/genc/view?v=870505&amp;end_month=12&amp;end_day=31&amp;end_year=2016","Correlation")</f>
        <v>Correlation</v>
      </c>
    </row>
    <row r="2376" spans="1:13" x14ac:dyDescent="0.2">
      <c r="A2376" s="113"/>
      <c r="B2376" s="58" t="s">
        <v>6728</v>
      </c>
      <c r="C2376" s="58" t="s">
        <v>1816</v>
      </c>
      <c r="D2376" s="58" t="s">
        <v>6729</v>
      </c>
      <c r="E2376" s="60" t="b">
        <v>1</v>
      </c>
      <c r="F2376" s="80" t="s">
        <v>860</v>
      </c>
      <c r="G2376" s="58" t="s">
        <v>6728</v>
      </c>
      <c r="H2376" s="58" t="s">
        <v>1816</v>
      </c>
      <c r="I2376" s="64" t="s">
        <v>6729</v>
      </c>
      <c r="J2376" s="66"/>
      <c r="K2376" s="66"/>
      <c r="L2376" s="68"/>
      <c r="M2376" s="63" t="str">
        <f>HYPERLINK("http://nsgreg.nga.mil/genc/view?v=870506&amp;end_month=12&amp;end_day=31&amp;end_year=2016","Correlation")</f>
        <v>Correlation</v>
      </c>
    </row>
    <row r="2377" spans="1:13" x14ac:dyDescent="0.2">
      <c r="A2377" s="113"/>
      <c r="B2377" s="58" t="s">
        <v>6730</v>
      </c>
      <c r="C2377" s="58" t="s">
        <v>1816</v>
      </c>
      <c r="D2377" s="58" t="s">
        <v>6731</v>
      </c>
      <c r="E2377" s="60" t="b">
        <v>1</v>
      </c>
      <c r="F2377" s="80" t="s">
        <v>860</v>
      </c>
      <c r="G2377" s="58" t="s">
        <v>6730</v>
      </c>
      <c r="H2377" s="58" t="s">
        <v>1816</v>
      </c>
      <c r="I2377" s="64" t="s">
        <v>6731</v>
      </c>
      <c r="J2377" s="66"/>
      <c r="K2377" s="66"/>
      <c r="L2377" s="68"/>
      <c r="M2377" s="63" t="str">
        <f>HYPERLINK("http://nsgreg.nga.mil/genc/view?v=870508&amp;end_month=12&amp;end_day=31&amp;end_year=2016","Correlation")</f>
        <v>Correlation</v>
      </c>
    </row>
    <row r="2378" spans="1:13" x14ac:dyDescent="0.2">
      <c r="A2378" s="113"/>
      <c r="B2378" s="58" t="s">
        <v>6732</v>
      </c>
      <c r="C2378" s="58" t="s">
        <v>1816</v>
      </c>
      <c r="D2378" s="58" t="s">
        <v>6733</v>
      </c>
      <c r="E2378" s="60" t="b">
        <v>1</v>
      </c>
      <c r="F2378" s="80" t="s">
        <v>860</v>
      </c>
      <c r="G2378" s="58" t="s">
        <v>6732</v>
      </c>
      <c r="H2378" s="58" t="s">
        <v>1816</v>
      </c>
      <c r="I2378" s="64" t="s">
        <v>6733</v>
      </c>
      <c r="J2378" s="66"/>
      <c r="K2378" s="66"/>
      <c r="L2378" s="68"/>
      <c r="M2378" s="63" t="str">
        <f>HYPERLINK("http://nsgreg.nga.mil/genc/view?v=870507&amp;end_month=12&amp;end_day=31&amp;end_year=2016","Correlation")</f>
        <v>Correlation</v>
      </c>
    </row>
    <row r="2379" spans="1:13" x14ac:dyDescent="0.2">
      <c r="A2379" s="113"/>
      <c r="B2379" s="58" t="s">
        <v>6734</v>
      </c>
      <c r="C2379" s="58" t="s">
        <v>1816</v>
      </c>
      <c r="D2379" s="58" t="s">
        <v>6735</v>
      </c>
      <c r="E2379" s="60" t="b">
        <v>1</v>
      </c>
      <c r="F2379" s="80" t="s">
        <v>860</v>
      </c>
      <c r="G2379" s="58" t="s">
        <v>6734</v>
      </c>
      <c r="H2379" s="58" t="s">
        <v>1816</v>
      </c>
      <c r="I2379" s="64" t="s">
        <v>6735</v>
      </c>
      <c r="J2379" s="66"/>
      <c r="K2379" s="66"/>
      <c r="L2379" s="68"/>
      <c r="M2379" s="63" t="str">
        <f>HYPERLINK("http://nsgreg.nga.mil/genc/view?v=870509&amp;end_month=12&amp;end_day=31&amp;end_year=2016","Correlation")</f>
        <v>Correlation</v>
      </c>
    </row>
    <row r="2380" spans="1:13" x14ac:dyDescent="0.2">
      <c r="A2380" s="113"/>
      <c r="B2380" s="58" t="s">
        <v>6736</v>
      </c>
      <c r="C2380" s="58" t="s">
        <v>1816</v>
      </c>
      <c r="D2380" s="58" t="s">
        <v>6737</v>
      </c>
      <c r="E2380" s="60" t="b">
        <v>1</v>
      </c>
      <c r="F2380" s="80" t="s">
        <v>860</v>
      </c>
      <c r="G2380" s="58" t="s">
        <v>6736</v>
      </c>
      <c r="H2380" s="58" t="s">
        <v>1816</v>
      </c>
      <c r="I2380" s="64" t="s">
        <v>6737</v>
      </c>
      <c r="J2380" s="66"/>
      <c r="K2380" s="66"/>
      <c r="L2380" s="68"/>
      <c r="M2380" s="63" t="str">
        <f>HYPERLINK("http://nsgreg.nga.mil/genc/view?v=870511&amp;end_month=12&amp;end_day=31&amp;end_year=2016","Correlation")</f>
        <v>Correlation</v>
      </c>
    </row>
    <row r="2381" spans="1:13" x14ac:dyDescent="0.2">
      <c r="A2381" s="113"/>
      <c r="B2381" s="58" t="s">
        <v>6738</v>
      </c>
      <c r="C2381" s="58" t="s">
        <v>1816</v>
      </c>
      <c r="D2381" s="58" t="s">
        <v>6739</v>
      </c>
      <c r="E2381" s="60" t="b">
        <v>1</v>
      </c>
      <c r="F2381" s="80" t="s">
        <v>860</v>
      </c>
      <c r="G2381" s="58" t="s">
        <v>6738</v>
      </c>
      <c r="H2381" s="58" t="s">
        <v>1816</v>
      </c>
      <c r="I2381" s="64" t="s">
        <v>6739</v>
      </c>
      <c r="J2381" s="66"/>
      <c r="K2381" s="66"/>
      <c r="L2381" s="68"/>
      <c r="M2381" s="63" t="str">
        <f>HYPERLINK("http://nsgreg.nga.mil/genc/view?v=870510&amp;end_month=12&amp;end_day=31&amp;end_year=2016","Correlation")</f>
        <v>Correlation</v>
      </c>
    </row>
    <row r="2382" spans="1:13" x14ac:dyDescent="0.2">
      <c r="A2382" s="113"/>
      <c r="B2382" s="58" t="s">
        <v>6740</v>
      </c>
      <c r="C2382" s="58" t="s">
        <v>1816</v>
      </c>
      <c r="D2382" s="58" t="s">
        <v>6741</v>
      </c>
      <c r="E2382" s="60" t="b">
        <v>1</v>
      </c>
      <c r="F2382" s="80" t="s">
        <v>860</v>
      </c>
      <c r="G2382" s="58" t="s">
        <v>6740</v>
      </c>
      <c r="H2382" s="58" t="s">
        <v>1816</v>
      </c>
      <c r="I2382" s="64" t="s">
        <v>6741</v>
      </c>
      <c r="J2382" s="66"/>
      <c r="K2382" s="66"/>
      <c r="L2382" s="68"/>
      <c r="M2382" s="63" t="str">
        <f>HYPERLINK("http://nsgreg.nga.mil/genc/view?v=870512&amp;end_month=12&amp;end_day=31&amp;end_year=2016","Correlation")</f>
        <v>Correlation</v>
      </c>
    </row>
    <row r="2383" spans="1:13" x14ac:dyDescent="0.2">
      <c r="A2383" s="113"/>
      <c r="B2383" s="58" t="s">
        <v>6742</v>
      </c>
      <c r="C2383" s="58" t="s">
        <v>1816</v>
      </c>
      <c r="D2383" s="58" t="s">
        <v>6743</v>
      </c>
      <c r="E2383" s="60" t="b">
        <v>1</v>
      </c>
      <c r="F2383" s="80" t="s">
        <v>860</v>
      </c>
      <c r="G2383" s="58" t="s">
        <v>6742</v>
      </c>
      <c r="H2383" s="58" t="s">
        <v>1816</v>
      </c>
      <c r="I2383" s="64" t="s">
        <v>6743</v>
      </c>
      <c r="J2383" s="66"/>
      <c r="K2383" s="66"/>
      <c r="L2383" s="68"/>
      <c r="M2383" s="63" t="str">
        <f>HYPERLINK("http://nsgreg.nga.mil/genc/view?v=870513&amp;end_month=12&amp;end_day=31&amp;end_year=2016","Correlation")</f>
        <v>Correlation</v>
      </c>
    </row>
    <row r="2384" spans="1:13" x14ac:dyDescent="0.2">
      <c r="A2384" s="113"/>
      <c r="B2384" s="58" t="s">
        <v>6744</v>
      </c>
      <c r="C2384" s="58" t="s">
        <v>1816</v>
      </c>
      <c r="D2384" s="58" t="s">
        <v>6745</v>
      </c>
      <c r="E2384" s="60" t="b">
        <v>1</v>
      </c>
      <c r="F2384" s="80" t="s">
        <v>860</v>
      </c>
      <c r="G2384" s="58" t="s">
        <v>6744</v>
      </c>
      <c r="H2384" s="58" t="s">
        <v>1816</v>
      </c>
      <c r="I2384" s="64" t="s">
        <v>6745</v>
      </c>
      <c r="J2384" s="66"/>
      <c r="K2384" s="66"/>
      <c r="L2384" s="68"/>
      <c r="M2384" s="63" t="str">
        <f>HYPERLINK("http://nsgreg.nga.mil/genc/view?v=870514&amp;end_month=12&amp;end_day=31&amp;end_year=2016","Correlation")</f>
        <v>Correlation</v>
      </c>
    </row>
    <row r="2385" spans="1:13" x14ac:dyDescent="0.2">
      <c r="A2385" s="113"/>
      <c r="B2385" s="58" t="s">
        <v>6746</v>
      </c>
      <c r="C2385" s="58" t="s">
        <v>1816</v>
      </c>
      <c r="D2385" s="58" t="s">
        <v>6747</v>
      </c>
      <c r="E2385" s="60" t="b">
        <v>1</v>
      </c>
      <c r="F2385" s="80" t="s">
        <v>860</v>
      </c>
      <c r="G2385" s="58" t="s">
        <v>6746</v>
      </c>
      <c r="H2385" s="58" t="s">
        <v>1816</v>
      </c>
      <c r="I2385" s="64" t="s">
        <v>6747</v>
      </c>
      <c r="J2385" s="66"/>
      <c r="K2385" s="66"/>
      <c r="L2385" s="68"/>
      <c r="M2385" s="63" t="str">
        <f>HYPERLINK("http://nsgreg.nga.mil/genc/view?v=870515&amp;end_month=12&amp;end_day=31&amp;end_year=2016","Correlation")</f>
        <v>Correlation</v>
      </c>
    </row>
    <row r="2386" spans="1:13" x14ac:dyDescent="0.2">
      <c r="A2386" s="113"/>
      <c r="B2386" s="58" t="s">
        <v>6748</v>
      </c>
      <c r="C2386" s="58" t="s">
        <v>1816</v>
      </c>
      <c r="D2386" s="58" t="s">
        <v>6749</v>
      </c>
      <c r="E2386" s="60" t="b">
        <v>1</v>
      </c>
      <c r="F2386" s="80" t="s">
        <v>860</v>
      </c>
      <c r="G2386" s="58" t="s">
        <v>6748</v>
      </c>
      <c r="H2386" s="58" t="s">
        <v>1816</v>
      </c>
      <c r="I2386" s="64" t="s">
        <v>6749</v>
      </c>
      <c r="J2386" s="66"/>
      <c r="K2386" s="66"/>
      <c r="L2386" s="68"/>
      <c r="M2386" s="63" t="str">
        <f>HYPERLINK("http://nsgreg.nga.mil/genc/view?v=870516&amp;end_month=12&amp;end_day=31&amp;end_year=2016","Correlation")</f>
        <v>Correlation</v>
      </c>
    </row>
    <row r="2387" spans="1:13" x14ac:dyDescent="0.2">
      <c r="A2387" s="113"/>
      <c r="B2387" s="58" t="s">
        <v>6750</v>
      </c>
      <c r="C2387" s="58" t="s">
        <v>1816</v>
      </c>
      <c r="D2387" s="58" t="s">
        <v>6751</v>
      </c>
      <c r="E2387" s="60" t="b">
        <v>1</v>
      </c>
      <c r="F2387" s="80" t="s">
        <v>860</v>
      </c>
      <c r="G2387" s="58" t="s">
        <v>6750</v>
      </c>
      <c r="H2387" s="58" t="s">
        <v>1816</v>
      </c>
      <c r="I2387" s="64" t="s">
        <v>6751</v>
      </c>
      <c r="J2387" s="66"/>
      <c r="K2387" s="66"/>
      <c r="L2387" s="68"/>
      <c r="M2387" s="63" t="str">
        <f>HYPERLINK("http://nsgreg.nga.mil/genc/view?v=870517&amp;end_month=12&amp;end_day=31&amp;end_year=2016","Correlation")</f>
        <v>Correlation</v>
      </c>
    </row>
    <row r="2388" spans="1:13" x14ac:dyDescent="0.2">
      <c r="A2388" s="113"/>
      <c r="B2388" s="58" t="s">
        <v>6752</v>
      </c>
      <c r="C2388" s="58" t="s">
        <v>1816</v>
      </c>
      <c r="D2388" s="58" t="s">
        <v>6753</v>
      </c>
      <c r="E2388" s="60" t="b">
        <v>1</v>
      </c>
      <c r="F2388" s="80" t="s">
        <v>860</v>
      </c>
      <c r="G2388" s="58" t="s">
        <v>6752</v>
      </c>
      <c r="H2388" s="58" t="s">
        <v>1816</v>
      </c>
      <c r="I2388" s="64" t="s">
        <v>6753</v>
      </c>
      <c r="J2388" s="66"/>
      <c r="K2388" s="66"/>
      <c r="L2388" s="68"/>
      <c r="M2388" s="63" t="str">
        <f>HYPERLINK("http://nsgreg.nga.mil/genc/view?v=870518&amp;end_month=12&amp;end_day=31&amp;end_year=2016","Correlation")</f>
        <v>Correlation</v>
      </c>
    </row>
    <row r="2389" spans="1:13" x14ac:dyDescent="0.2">
      <c r="A2389" s="113"/>
      <c r="B2389" s="58" t="s">
        <v>6754</v>
      </c>
      <c r="C2389" s="58" t="s">
        <v>1816</v>
      </c>
      <c r="D2389" s="58" t="s">
        <v>6755</v>
      </c>
      <c r="E2389" s="60" t="b">
        <v>1</v>
      </c>
      <c r="F2389" s="80" t="s">
        <v>860</v>
      </c>
      <c r="G2389" s="58" t="s">
        <v>6754</v>
      </c>
      <c r="H2389" s="58" t="s">
        <v>1816</v>
      </c>
      <c r="I2389" s="64" t="s">
        <v>6755</v>
      </c>
      <c r="J2389" s="66"/>
      <c r="K2389" s="66"/>
      <c r="L2389" s="68"/>
      <c r="M2389" s="63" t="str">
        <f>HYPERLINK("http://nsgreg.nga.mil/genc/view?v=870520&amp;end_month=12&amp;end_day=31&amp;end_year=2016","Correlation")</f>
        <v>Correlation</v>
      </c>
    </row>
    <row r="2390" spans="1:13" x14ac:dyDescent="0.2">
      <c r="A2390" s="113"/>
      <c r="B2390" s="58" t="s">
        <v>6756</v>
      </c>
      <c r="C2390" s="58" t="s">
        <v>1816</v>
      </c>
      <c r="D2390" s="58" t="s">
        <v>6757</v>
      </c>
      <c r="E2390" s="60" t="b">
        <v>1</v>
      </c>
      <c r="F2390" s="80" t="s">
        <v>860</v>
      </c>
      <c r="G2390" s="58" t="s">
        <v>6756</v>
      </c>
      <c r="H2390" s="58" t="s">
        <v>1816</v>
      </c>
      <c r="I2390" s="64" t="s">
        <v>6757</v>
      </c>
      <c r="J2390" s="66"/>
      <c r="K2390" s="66"/>
      <c r="L2390" s="68"/>
      <c r="M2390" s="63" t="str">
        <f>HYPERLINK("http://nsgreg.nga.mil/genc/view?v=870521&amp;end_month=12&amp;end_day=31&amp;end_year=2016","Correlation")</f>
        <v>Correlation</v>
      </c>
    </row>
    <row r="2391" spans="1:13" x14ac:dyDescent="0.2">
      <c r="A2391" s="113"/>
      <c r="B2391" s="58" t="s">
        <v>6758</v>
      </c>
      <c r="C2391" s="58" t="s">
        <v>1816</v>
      </c>
      <c r="D2391" s="58" t="s">
        <v>6759</v>
      </c>
      <c r="E2391" s="60" t="b">
        <v>1</v>
      </c>
      <c r="F2391" s="80" t="s">
        <v>860</v>
      </c>
      <c r="G2391" s="58" t="s">
        <v>6758</v>
      </c>
      <c r="H2391" s="58" t="s">
        <v>1816</v>
      </c>
      <c r="I2391" s="64" t="s">
        <v>6759</v>
      </c>
      <c r="J2391" s="66"/>
      <c r="K2391" s="66"/>
      <c r="L2391" s="68"/>
      <c r="M2391" s="63" t="str">
        <f>HYPERLINK("http://nsgreg.nga.mil/genc/view?v=870519&amp;end_month=12&amp;end_day=31&amp;end_year=2016","Correlation")</f>
        <v>Correlation</v>
      </c>
    </row>
    <row r="2392" spans="1:13" x14ac:dyDescent="0.2">
      <c r="A2392" s="113"/>
      <c r="B2392" s="58" t="s">
        <v>6760</v>
      </c>
      <c r="C2392" s="58" t="s">
        <v>1816</v>
      </c>
      <c r="D2392" s="58" t="s">
        <v>6761</v>
      </c>
      <c r="E2392" s="60" t="b">
        <v>1</v>
      </c>
      <c r="F2392" s="80" t="s">
        <v>860</v>
      </c>
      <c r="G2392" s="58" t="s">
        <v>6760</v>
      </c>
      <c r="H2392" s="58" t="s">
        <v>1816</v>
      </c>
      <c r="I2392" s="64" t="s">
        <v>6761</v>
      </c>
      <c r="J2392" s="66"/>
      <c r="K2392" s="66"/>
      <c r="L2392" s="68"/>
      <c r="M2392" s="63" t="str">
        <f>HYPERLINK("http://nsgreg.nga.mil/genc/view?v=870522&amp;end_month=12&amp;end_day=31&amp;end_year=2016","Correlation")</f>
        <v>Correlation</v>
      </c>
    </row>
    <row r="2393" spans="1:13" x14ac:dyDescent="0.2">
      <c r="A2393" s="113"/>
      <c r="B2393" s="58" t="s">
        <v>6762</v>
      </c>
      <c r="C2393" s="58" t="s">
        <v>1816</v>
      </c>
      <c r="D2393" s="58" t="s">
        <v>6763</v>
      </c>
      <c r="E2393" s="60" t="b">
        <v>1</v>
      </c>
      <c r="F2393" s="80" t="s">
        <v>860</v>
      </c>
      <c r="G2393" s="58" t="s">
        <v>6762</v>
      </c>
      <c r="H2393" s="58" t="s">
        <v>1816</v>
      </c>
      <c r="I2393" s="64" t="s">
        <v>6763</v>
      </c>
      <c r="J2393" s="66"/>
      <c r="K2393" s="66"/>
      <c r="L2393" s="68"/>
      <c r="M2393" s="63" t="str">
        <f>HYPERLINK("http://nsgreg.nga.mil/genc/view?v=870523&amp;end_month=12&amp;end_day=31&amp;end_year=2016","Correlation")</f>
        <v>Correlation</v>
      </c>
    </row>
    <row r="2394" spans="1:13" x14ac:dyDescent="0.2">
      <c r="A2394" s="113"/>
      <c r="B2394" s="58" t="s">
        <v>6764</v>
      </c>
      <c r="C2394" s="58" t="s">
        <v>1816</v>
      </c>
      <c r="D2394" s="58" t="s">
        <v>6765</v>
      </c>
      <c r="E2394" s="60" t="b">
        <v>1</v>
      </c>
      <c r="F2394" s="80" t="s">
        <v>860</v>
      </c>
      <c r="G2394" s="58" t="s">
        <v>6764</v>
      </c>
      <c r="H2394" s="58" t="s">
        <v>1816</v>
      </c>
      <c r="I2394" s="64" t="s">
        <v>6765</v>
      </c>
      <c r="J2394" s="66"/>
      <c r="K2394" s="66"/>
      <c r="L2394" s="68"/>
      <c r="M2394" s="63" t="str">
        <f>HYPERLINK("http://nsgreg.nga.mil/genc/view?v=870524&amp;end_month=12&amp;end_day=31&amp;end_year=2016","Correlation")</f>
        <v>Correlation</v>
      </c>
    </row>
    <row r="2395" spans="1:13" x14ac:dyDescent="0.2">
      <c r="A2395" s="113"/>
      <c r="B2395" s="58" t="s">
        <v>6766</v>
      </c>
      <c r="C2395" s="58" t="s">
        <v>1816</v>
      </c>
      <c r="D2395" s="58" t="s">
        <v>6767</v>
      </c>
      <c r="E2395" s="60" t="b">
        <v>1</v>
      </c>
      <c r="F2395" s="80" t="s">
        <v>860</v>
      </c>
      <c r="G2395" s="58" t="s">
        <v>6766</v>
      </c>
      <c r="H2395" s="58" t="s">
        <v>1816</v>
      </c>
      <c r="I2395" s="64" t="s">
        <v>6767</v>
      </c>
      <c r="J2395" s="66"/>
      <c r="K2395" s="66"/>
      <c r="L2395" s="68"/>
      <c r="M2395" s="63" t="str">
        <f>HYPERLINK("http://nsgreg.nga.mil/genc/view?v=870525&amp;end_month=12&amp;end_day=31&amp;end_year=2016","Correlation")</f>
        <v>Correlation</v>
      </c>
    </row>
    <row r="2396" spans="1:13" x14ac:dyDescent="0.2">
      <c r="A2396" s="113"/>
      <c r="B2396" s="58" t="s">
        <v>6768</v>
      </c>
      <c r="C2396" s="58" t="s">
        <v>1816</v>
      </c>
      <c r="D2396" s="58" t="s">
        <v>6769</v>
      </c>
      <c r="E2396" s="60" t="b">
        <v>1</v>
      </c>
      <c r="F2396" s="80" t="s">
        <v>860</v>
      </c>
      <c r="G2396" s="58" t="s">
        <v>6768</v>
      </c>
      <c r="H2396" s="58" t="s">
        <v>1816</v>
      </c>
      <c r="I2396" s="64" t="s">
        <v>6769</v>
      </c>
      <c r="J2396" s="66"/>
      <c r="K2396" s="66"/>
      <c r="L2396" s="68"/>
      <c r="M2396" s="63" t="str">
        <f>HYPERLINK("http://nsgreg.nga.mil/genc/view?v=870526&amp;end_month=12&amp;end_day=31&amp;end_year=2016","Correlation")</f>
        <v>Correlation</v>
      </c>
    </row>
    <row r="2397" spans="1:13" x14ac:dyDescent="0.2">
      <c r="A2397" s="113"/>
      <c r="B2397" s="58" t="s">
        <v>6770</v>
      </c>
      <c r="C2397" s="58" t="s">
        <v>1816</v>
      </c>
      <c r="D2397" s="58" t="s">
        <v>6771</v>
      </c>
      <c r="E2397" s="60" t="b">
        <v>1</v>
      </c>
      <c r="F2397" s="80" t="s">
        <v>860</v>
      </c>
      <c r="G2397" s="58" t="s">
        <v>6770</v>
      </c>
      <c r="H2397" s="58" t="s">
        <v>1816</v>
      </c>
      <c r="I2397" s="64" t="s">
        <v>6771</v>
      </c>
      <c r="J2397" s="66"/>
      <c r="K2397" s="66"/>
      <c r="L2397" s="68"/>
      <c r="M2397" s="63" t="str">
        <f>HYPERLINK("http://nsgreg.nga.mil/genc/view?v=870528&amp;end_month=12&amp;end_day=31&amp;end_year=2016","Correlation")</f>
        <v>Correlation</v>
      </c>
    </row>
    <row r="2398" spans="1:13" x14ac:dyDescent="0.2">
      <c r="A2398" s="113"/>
      <c r="B2398" s="58" t="s">
        <v>6772</v>
      </c>
      <c r="C2398" s="58" t="s">
        <v>1816</v>
      </c>
      <c r="D2398" s="58" t="s">
        <v>6773</v>
      </c>
      <c r="E2398" s="60" t="b">
        <v>1</v>
      </c>
      <c r="F2398" s="80" t="s">
        <v>860</v>
      </c>
      <c r="G2398" s="58" t="s">
        <v>6772</v>
      </c>
      <c r="H2398" s="58" t="s">
        <v>1816</v>
      </c>
      <c r="I2398" s="64" t="s">
        <v>6773</v>
      </c>
      <c r="J2398" s="66"/>
      <c r="K2398" s="66"/>
      <c r="L2398" s="68"/>
      <c r="M2398" s="63" t="str">
        <f>HYPERLINK("http://nsgreg.nga.mil/genc/view?v=870527&amp;end_month=12&amp;end_day=31&amp;end_year=2016","Correlation")</f>
        <v>Correlation</v>
      </c>
    </row>
    <row r="2399" spans="1:13" x14ac:dyDescent="0.2">
      <c r="A2399" s="113"/>
      <c r="B2399" s="58" t="s">
        <v>6774</v>
      </c>
      <c r="C2399" s="58" t="s">
        <v>1816</v>
      </c>
      <c r="D2399" s="58" t="s">
        <v>6775</v>
      </c>
      <c r="E2399" s="60" t="b">
        <v>1</v>
      </c>
      <c r="F2399" s="80" t="s">
        <v>860</v>
      </c>
      <c r="G2399" s="58" t="s">
        <v>6774</v>
      </c>
      <c r="H2399" s="58" t="s">
        <v>1816</v>
      </c>
      <c r="I2399" s="64" t="s">
        <v>6775</v>
      </c>
      <c r="J2399" s="66"/>
      <c r="K2399" s="66"/>
      <c r="L2399" s="68"/>
      <c r="M2399" s="63" t="str">
        <f>HYPERLINK("http://nsgreg.nga.mil/genc/view?v=870529&amp;end_month=12&amp;end_day=31&amp;end_year=2016","Correlation")</f>
        <v>Correlation</v>
      </c>
    </row>
    <row r="2400" spans="1:13" x14ac:dyDescent="0.2">
      <c r="A2400" s="113"/>
      <c r="B2400" s="58" t="s">
        <v>6776</v>
      </c>
      <c r="C2400" s="58" t="s">
        <v>1816</v>
      </c>
      <c r="D2400" s="58" t="s">
        <v>6777</v>
      </c>
      <c r="E2400" s="60" t="b">
        <v>1</v>
      </c>
      <c r="F2400" s="80" t="s">
        <v>860</v>
      </c>
      <c r="G2400" s="58" t="s">
        <v>6776</v>
      </c>
      <c r="H2400" s="58" t="s">
        <v>1816</v>
      </c>
      <c r="I2400" s="64" t="s">
        <v>6777</v>
      </c>
      <c r="J2400" s="66"/>
      <c r="K2400" s="66"/>
      <c r="L2400" s="68"/>
      <c r="M2400" s="63" t="str">
        <f>HYPERLINK("http://nsgreg.nga.mil/genc/view?v=870530&amp;end_month=12&amp;end_day=31&amp;end_year=2016","Correlation")</f>
        <v>Correlation</v>
      </c>
    </row>
    <row r="2401" spans="1:13" x14ac:dyDescent="0.2">
      <c r="A2401" s="113"/>
      <c r="B2401" s="58" t="s">
        <v>6778</v>
      </c>
      <c r="C2401" s="58" t="s">
        <v>1816</v>
      </c>
      <c r="D2401" s="58" t="s">
        <v>6779</v>
      </c>
      <c r="E2401" s="60" t="b">
        <v>1</v>
      </c>
      <c r="F2401" s="80" t="s">
        <v>860</v>
      </c>
      <c r="G2401" s="58" t="s">
        <v>6778</v>
      </c>
      <c r="H2401" s="58" t="s">
        <v>1816</v>
      </c>
      <c r="I2401" s="64" t="s">
        <v>6779</v>
      </c>
      <c r="J2401" s="66"/>
      <c r="K2401" s="66"/>
      <c r="L2401" s="68"/>
      <c r="M2401" s="63" t="str">
        <f>HYPERLINK("http://nsgreg.nga.mil/genc/view?v=870531&amp;end_month=12&amp;end_day=31&amp;end_year=2016","Correlation")</f>
        <v>Correlation</v>
      </c>
    </row>
    <row r="2402" spans="1:13" x14ac:dyDescent="0.2">
      <c r="A2402" s="113"/>
      <c r="B2402" s="58" t="s">
        <v>6780</v>
      </c>
      <c r="C2402" s="58" t="s">
        <v>1816</v>
      </c>
      <c r="D2402" s="58" t="s">
        <v>6781</v>
      </c>
      <c r="E2402" s="60" t="b">
        <v>1</v>
      </c>
      <c r="F2402" s="80" t="s">
        <v>860</v>
      </c>
      <c r="G2402" s="58" t="s">
        <v>6780</v>
      </c>
      <c r="H2402" s="58" t="s">
        <v>1816</v>
      </c>
      <c r="I2402" s="64" t="s">
        <v>6781</v>
      </c>
      <c r="J2402" s="66"/>
      <c r="K2402" s="66"/>
      <c r="L2402" s="68"/>
      <c r="M2402" s="63" t="str">
        <f>HYPERLINK("http://nsgreg.nga.mil/genc/view?v=870532&amp;end_month=12&amp;end_day=31&amp;end_year=2016","Correlation")</f>
        <v>Correlation</v>
      </c>
    </row>
    <row r="2403" spans="1:13" x14ac:dyDescent="0.2">
      <c r="A2403" s="113"/>
      <c r="B2403" s="58" t="s">
        <v>6782</v>
      </c>
      <c r="C2403" s="58" t="s">
        <v>1816</v>
      </c>
      <c r="D2403" s="58" t="s">
        <v>6783</v>
      </c>
      <c r="E2403" s="60" t="b">
        <v>1</v>
      </c>
      <c r="F2403" s="80" t="s">
        <v>860</v>
      </c>
      <c r="G2403" s="58" t="s">
        <v>6782</v>
      </c>
      <c r="H2403" s="58" t="s">
        <v>1816</v>
      </c>
      <c r="I2403" s="64" t="s">
        <v>6783</v>
      </c>
      <c r="J2403" s="66"/>
      <c r="K2403" s="66"/>
      <c r="L2403" s="68"/>
      <c r="M2403" s="63" t="str">
        <f>HYPERLINK("http://nsgreg.nga.mil/genc/view?v=870533&amp;end_month=12&amp;end_day=31&amp;end_year=2016","Correlation")</f>
        <v>Correlation</v>
      </c>
    </row>
    <row r="2404" spans="1:13" x14ac:dyDescent="0.2">
      <c r="A2404" s="113"/>
      <c r="B2404" s="58" t="s">
        <v>6784</v>
      </c>
      <c r="C2404" s="58" t="s">
        <v>1816</v>
      </c>
      <c r="D2404" s="58" t="s">
        <v>6785</v>
      </c>
      <c r="E2404" s="60" t="b">
        <v>1</v>
      </c>
      <c r="F2404" s="80" t="s">
        <v>860</v>
      </c>
      <c r="G2404" s="58" t="s">
        <v>6784</v>
      </c>
      <c r="H2404" s="58" t="s">
        <v>1816</v>
      </c>
      <c r="I2404" s="64" t="s">
        <v>6785</v>
      </c>
      <c r="J2404" s="66"/>
      <c r="K2404" s="66"/>
      <c r="L2404" s="68"/>
      <c r="M2404" s="63" t="str">
        <f>HYPERLINK("http://nsgreg.nga.mil/genc/view?v=870534&amp;end_month=12&amp;end_day=31&amp;end_year=2016","Correlation")</f>
        <v>Correlation</v>
      </c>
    </row>
    <row r="2405" spans="1:13" x14ac:dyDescent="0.2">
      <c r="A2405" s="113"/>
      <c r="B2405" s="58" t="s">
        <v>6786</v>
      </c>
      <c r="C2405" s="58" t="s">
        <v>1816</v>
      </c>
      <c r="D2405" s="58" t="s">
        <v>6787</v>
      </c>
      <c r="E2405" s="60" t="b">
        <v>1</v>
      </c>
      <c r="F2405" s="80" t="s">
        <v>860</v>
      </c>
      <c r="G2405" s="58" t="s">
        <v>6786</v>
      </c>
      <c r="H2405" s="58" t="s">
        <v>1816</v>
      </c>
      <c r="I2405" s="64" t="s">
        <v>6787</v>
      </c>
      <c r="J2405" s="66"/>
      <c r="K2405" s="66"/>
      <c r="L2405" s="68"/>
      <c r="M2405" s="63" t="str">
        <f>HYPERLINK("http://nsgreg.nga.mil/genc/view?v=870535&amp;end_month=12&amp;end_day=31&amp;end_year=2016","Correlation")</f>
        <v>Correlation</v>
      </c>
    </row>
    <row r="2406" spans="1:13" x14ac:dyDescent="0.2">
      <c r="A2406" s="113"/>
      <c r="B2406" s="58" t="s">
        <v>6788</v>
      </c>
      <c r="C2406" s="58" t="s">
        <v>1816</v>
      </c>
      <c r="D2406" s="58" t="s">
        <v>6789</v>
      </c>
      <c r="E2406" s="60" t="b">
        <v>1</v>
      </c>
      <c r="F2406" s="80" t="s">
        <v>860</v>
      </c>
      <c r="G2406" s="58" t="s">
        <v>6788</v>
      </c>
      <c r="H2406" s="58" t="s">
        <v>1681</v>
      </c>
      <c r="I2406" s="64" t="s">
        <v>6789</v>
      </c>
      <c r="J2406" s="66"/>
      <c r="K2406" s="66"/>
      <c r="L2406" s="68"/>
      <c r="M2406" s="63" t="str">
        <f>HYPERLINK("http://nsgreg.nga.mil/genc/view?v=870549&amp;end_month=12&amp;end_day=31&amp;end_year=2016","Correlation")</f>
        <v>Correlation</v>
      </c>
    </row>
    <row r="2407" spans="1:13" x14ac:dyDescent="0.2">
      <c r="A2407" s="113"/>
      <c r="B2407" s="58" t="s">
        <v>6790</v>
      </c>
      <c r="C2407" s="58" t="s">
        <v>1816</v>
      </c>
      <c r="D2407" s="58" t="s">
        <v>6791</v>
      </c>
      <c r="E2407" s="60" t="b">
        <v>1</v>
      </c>
      <c r="F2407" s="80" t="s">
        <v>860</v>
      </c>
      <c r="G2407" s="58" t="s">
        <v>6790</v>
      </c>
      <c r="H2407" s="58" t="s">
        <v>1816</v>
      </c>
      <c r="I2407" s="64" t="s">
        <v>6791</v>
      </c>
      <c r="J2407" s="66"/>
      <c r="K2407" s="66"/>
      <c r="L2407" s="68"/>
      <c r="M2407" s="63" t="str">
        <f>HYPERLINK("http://nsgreg.nga.mil/genc/view?v=870537&amp;end_month=12&amp;end_day=31&amp;end_year=2016","Correlation")</f>
        <v>Correlation</v>
      </c>
    </row>
    <row r="2408" spans="1:13" x14ac:dyDescent="0.2">
      <c r="A2408" s="113"/>
      <c r="B2408" s="58" t="s">
        <v>6792</v>
      </c>
      <c r="C2408" s="58" t="s">
        <v>1816</v>
      </c>
      <c r="D2408" s="58" t="s">
        <v>6793</v>
      </c>
      <c r="E2408" s="60" t="b">
        <v>1</v>
      </c>
      <c r="F2408" s="80" t="s">
        <v>860</v>
      </c>
      <c r="G2408" s="58" t="s">
        <v>6792</v>
      </c>
      <c r="H2408" s="58" t="s">
        <v>1816</v>
      </c>
      <c r="I2408" s="64" t="s">
        <v>6793</v>
      </c>
      <c r="J2408" s="66"/>
      <c r="K2408" s="66"/>
      <c r="L2408" s="68"/>
      <c r="M2408" s="63" t="str">
        <f>HYPERLINK("http://nsgreg.nga.mil/genc/view?v=870538&amp;end_month=12&amp;end_day=31&amp;end_year=2016","Correlation")</f>
        <v>Correlation</v>
      </c>
    </row>
    <row r="2409" spans="1:13" x14ac:dyDescent="0.2">
      <c r="A2409" s="113"/>
      <c r="B2409" s="58" t="s">
        <v>6794</v>
      </c>
      <c r="C2409" s="58" t="s">
        <v>1816</v>
      </c>
      <c r="D2409" s="58" t="s">
        <v>6795</v>
      </c>
      <c r="E2409" s="60" t="b">
        <v>1</v>
      </c>
      <c r="F2409" s="80" t="s">
        <v>860</v>
      </c>
      <c r="G2409" s="58" t="s">
        <v>6794</v>
      </c>
      <c r="H2409" s="58" t="s">
        <v>1816</v>
      </c>
      <c r="I2409" s="64" t="s">
        <v>6795</v>
      </c>
      <c r="J2409" s="66"/>
      <c r="K2409" s="66"/>
      <c r="L2409" s="68"/>
      <c r="M2409" s="63" t="str">
        <f>HYPERLINK("http://nsgreg.nga.mil/genc/view?v=870548&amp;end_month=12&amp;end_day=31&amp;end_year=2016","Correlation")</f>
        <v>Correlation</v>
      </c>
    </row>
    <row r="2410" spans="1:13" x14ac:dyDescent="0.2">
      <c r="A2410" s="113"/>
      <c r="B2410" s="58" t="s">
        <v>6796</v>
      </c>
      <c r="C2410" s="58" t="s">
        <v>1816</v>
      </c>
      <c r="D2410" s="58" t="s">
        <v>6797</v>
      </c>
      <c r="E2410" s="60" t="b">
        <v>1</v>
      </c>
      <c r="F2410" s="80" t="s">
        <v>860</v>
      </c>
      <c r="G2410" s="58" t="s">
        <v>6796</v>
      </c>
      <c r="H2410" s="58" t="s">
        <v>1816</v>
      </c>
      <c r="I2410" s="64" t="s">
        <v>6797</v>
      </c>
      <c r="J2410" s="66"/>
      <c r="K2410" s="66"/>
      <c r="L2410" s="68"/>
      <c r="M2410" s="63" t="str">
        <f>HYPERLINK("http://nsgreg.nga.mil/genc/view?v=870539&amp;end_month=12&amp;end_day=31&amp;end_year=2016","Correlation")</f>
        <v>Correlation</v>
      </c>
    </row>
    <row r="2411" spans="1:13" x14ac:dyDescent="0.2">
      <c r="A2411" s="113"/>
      <c r="B2411" s="58" t="s">
        <v>6798</v>
      </c>
      <c r="C2411" s="58" t="s">
        <v>1816</v>
      </c>
      <c r="D2411" s="58" t="s">
        <v>6799</v>
      </c>
      <c r="E2411" s="60" t="b">
        <v>1</v>
      </c>
      <c r="F2411" s="80" t="s">
        <v>860</v>
      </c>
      <c r="G2411" s="58" t="s">
        <v>6798</v>
      </c>
      <c r="H2411" s="58" t="s">
        <v>1816</v>
      </c>
      <c r="I2411" s="64" t="s">
        <v>6799</v>
      </c>
      <c r="J2411" s="66"/>
      <c r="K2411" s="66"/>
      <c r="L2411" s="68"/>
      <c r="M2411" s="63" t="str">
        <f>HYPERLINK("http://nsgreg.nga.mil/genc/view?v=870540&amp;end_month=12&amp;end_day=31&amp;end_year=2016","Correlation")</f>
        <v>Correlation</v>
      </c>
    </row>
    <row r="2412" spans="1:13" x14ac:dyDescent="0.2">
      <c r="A2412" s="113"/>
      <c r="B2412" s="58" t="s">
        <v>6800</v>
      </c>
      <c r="C2412" s="58" t="s">
        <v>1816</v>
      </c>
      <c r="D2412" s="58" t="s">
        <v>6801</v>
      </c>
      <c r="E2412" s="60" t="b">
        <v>1</v>
      </c>
      <c r="F2412" s="80" t="s">
        <v>860</v>
      </c>
      <c r="G2412" s="58" t="s">
        <v>6800</v>
      </c>
      <c r="H2412" s="58" t="s">
        <v>1816</v>
      </c>
      <c r="I2412" s="64" t="s">
        <v>6801</v>
      </c>
      <c r="J2412" s="66"/>
      <c r="K2412" s="66"/>
      <c r="L2412" s="68"/>
      <c r="M2412" s="63" t="str">
        <f>HYPERLINK("http://nsgreg.nga.mil/genc/view?v=870541&amp;end_month=12&amp;end_day=31&amp;end_year=2016","Correlation")</f>
        <v>Correlation</v>
      </c>
    </row>
    <row r="2413" spans="1:13" x14ac:dyDescent="0.2">
      <c r="A2413" s="113"/>
      <c r="B2413" s="58" t="s">
        <v>6802</v>
      </c>
      <c r="C2413" s="58" t="s">
        <v>1816</v>
      </c>
      <c r="D2413" s="58" t="s">
        <v>6803</v>
      </c>
      <c r="E2413" s="60" t="b">
        <v>1</v>
      </c>
      <c r="F2413" s="80" t="s">
        <v>860</v>
      </c>
      <c r="G2413" s="58" t="s">
        <v>6802</v>
      </c>
      <c r="H2413" s="58" t="s">
        <v>1816</v>
      </c>
      <c r="I2413" s="64" t="s">
        <v>6803</v>
      </c>
      <c r="J2413" s="66"/>
      <c r="K2413" s="66"/>
      <c r="L2413" s="68"/>
      <c r="M2413" s="63" t="str">
        <f>HYPERLINK("http://nsgreg.nga.mil/genc/view?v=870536&amp;end_month=12&amp;end_day=31&amp;end_year=2016","Correlation")</f>
        <v>Correlation</v>
      </c>
    </row>
    <row r="2414" spans="1:13" x14ac:dyDescent="0.2">
      <c r="A2414" s="113"/>
      <c r="B2414" s="58" t="s">
        <v>6804</v>
      </c>
      <c r="C2414" s="58" t="s">
        <v>1816</v>
      </c>
      <c r="D2414" s="58" t="s">
        <v>6805</v>
      </c>
      <c r="E2414" s="60" t="b">
        <v>1</v>
      </c>
      <c r="F2414" s="80" t="s">
        <v>860</v>
      </c>
      <c r="G2414" s="58" t="s">
        <v>6804</v>
      </c>
      <c r="H2414" s="58" t="s">
        <v>1816</v>
      </c>
      <c r="I2414" s="64" t="s">
        <v>6805</v>
      </c>
      <c r="J2414" s="66"/>
      <c r="K2414" s="66"/>
      <c r="L2414" s="68"/>
      <c r="M2414" s="63" t="str">
        <f>HYPERLINK("http://nsgreg.nga.mil/genc/view?v=870542&amp;end_month=12&amp;end_day=31&amp;end_year=2016","Correlation")</f>
        <v>Correlation</v>
      </c>
    </row>
    <row r="2415" spans="1:13" x14ac:dyDescent="0.2">
      <c r="A2415" s="113"/>
      <c r="B2415" s="58" t="s">
        <v>6806</v>
      </c>
      <c r="C2415" s="58" t="s">
        <v>1816</v>
      </c>
      <c r="D2415" s="58" t="s">
        <v>6807</v>
      </c>
      <c r="E2415" s="60" t="b">
        <v>1</v>
      </c>
      <c r="F2415" s="80" t="s">
        <v>860</v>
      </c>
      <c r="G2415" s="58" t="s">
        <v>6806</v>
      </c>
      <c r="H2415" s="58" t="s">
        <v>1816</v>
      </c>
      <c r="I2415" s="64" t="s">
        <v>6807</v>
      </c>
      <c r="J2415" s="66"/>
      <c r="K2415" s="66"/>
      <c r="L2415" s="68"/>
      <c r="M2415" s="63" t="str">
        <f>HYPERLINK("http://nsgreg.nga.mil/genc/view?v=870543&amp;end_month=12&amp;end_day=31&amp;end_year=2016","Correlation")</f>
        <v>Correlation</v>
      </c>
    </row>
    <row r="2416" spans="1:13" x14ac:dyDescent="0.2">
      <c r="A2416" s="113"/>
      <c r="B2416" s="58" t="s">
        <v>6808</v>
      </c>
      <c r="C2416" s="58" t="s">
        <v>1816</v>
      </c>
      <c r="D2416" s="58" t="s">
        <v>6809</v>
      </c>
      <c r="E2416" s="60" t="b">
        <v>1</v>
      </c>
      <c r="F2416" s="80" t="s">
        <v>860</v>
      </c>
      <c r="G2416" s="58" t="s">
        <v>6808</v>
      </c>
      <c r="H2416" s="58" t="s">
        <v>1816</v>
      </c>
      <c r="I2416" s="64" t="s">
        <v>6809</v>
      </c>
      <c r="J2416" s="66"/>
      <c r="K2416" s="66"/>
      <c r="L2416" s="68"/>
      <c r="M2416" s="63" t="str">
        <f>HYPERLINK("http://nsgreg.nga.mil/genc/view?v=870486&amp;end_month=12&amp;end_day=31&amp;end_year=2016","Correlation")</f>
        <v>Correlation</v>
      </c>
    </row>
    <row r="2417" spans="1:13" x14ac:dyDescent="0.2">
      <c r="A2417" s="113"/>
      <c r="B2417" s="58" t="s">
        <v>6810</v>
      </c>
      <c r="C2417" s="58" t="s">
        <v>1816</v>
      </c>
      <c r="D2417" s="58" t="s">
        <v>6811</v>
      </c>
      <c r="E2417" s="60" t="b">
        <v>1</v>
      </c>
      <c r="F2417" s="80" t="s">
        <v>860</v>
      </c>
      <c r="G2417" s="58" t="s">
        <v>6810</v>
      </c>
      <c r="H2417" s="58" t="s">
        <v>1816</v>
      </c>
      <c r="I2417" s="64" t="s">
        <v>6811</v>
      </c>
      <c r="J2417" s="66"/>
      <c r="K2417" s="66"/>
      <c r="L2417" s="68"/>
      <c r="M2417" s="63" t="str">
        <f>HYPERLINK("http://nsgreg.nga.mil/genc/view?v=870487&amp;end_month=12&amp;end_day=31&amp;end_year=2016","Correlation")</f>
        <v>Correlation</v>
      </c>
    </row>
    <row r="2418" spans="1:13" x14ac:dyDescent="0.2">
      <c r="A2418" s="113"/>
      <c r="B2418" s="58" t="s">
        <v>6812</v>
      </c>
      <c r="C2418" s="58" t="s">
        <v>1816</v>
      </c>
      <c r="D2418" s="58" t="s">
        <v>6813</v>
      </c>
      <c r="E2418" s="60" t="b">
        <v>1</v>
      </c>
      <c r="F2418" s="80" t="s">
        <v>860</v>
      </c>
      <c r="G2418" s="58" t="s">
        <v>6812</v>
      </c>
      <c r="H2418" s="58" t="s">
        <v>1816</v>
      </c>
      <c r="I2418" s="64" t="s">
        <v>6813</v>
      </c>
      <c r="J2418" s="66"/>
      <c r="K2418" s="66"/>
      <c r="L2418" s="68"/>
      <c r="M2418" s="63" t="str">
        <f>HYPERLINK("http://nsgreg.nga.mil/genc/view?v=870489&amp;end_month=12&amp;end_day=31&amp;end_year=2016","Correlation")</f>
        <v>Correlation</v>
      </c>
    </row>
    <row r="2419" spans="1:13" x14ac:dyDescent="0.2">
      <c r="A2419" s="113"/>
      <c r="B2419" s="58" t="s">
        <v>6814</v>
      </c>
      <c r="C2419" s="58" t="s">
        <v>1816</v>
      </c>
      <c r="D2419" s="58" t="s">
        <v>6815</v>
      </c>
      <c r="E2419" s="60" t="b">
        <v>1</v>
      </c>
      <c r="F2419" s="80" t="s">
        <v>860</v>
      </c>
      <c r="G2419" s="58" t="s">
        <v>6814</v>
      </c>
      <c r="H2419" s="58" t="s">
        <v>1816</v>
      </c>
      <c r="I2419" s="64" t="s">
        <v>6815</v>
      </c>
      <c r="J2419" s="66"/>
      <c r="K2419" s="66"/>
      <c r="L2419" s="68"/>
      <c r="M2419" s="63" t="str">
        <f>HYPERLINK("http://nsgreg.nga.mil/genc/view?v=870488&amp;end_month=12&amp;end_day=31&amp;end_year=2016","Correlation")</f>
        <v>Correlation</v>
      </c>
    </row>
    <row r="2420" spans="1:13" x14ac:dyDescent="0.2">
      <c r="A2420" s="113"/>
      <c r="B2420" s="58" t="s">
        <v>6816</v>
      </c>
      <c r="C2420" s="58" t="s">
        <v>1816</v>
      </c>
      <c r="D2420" s="58" t="s">
        <v>6817</v>
      </c>
      <c r="E2420" s="60" t="b">
        <v>1</v>
      </c>
      <c r="F2420" s="80" t="s">
        <v>860</v>
      </c>
      <c r="G2420" s="58" t="s">
        <v>6816</v>
      </c>
      <c r="H2420" s="58" t="s">
        <v>1816</v>
      </c>
      <c r="I2420" s="64" t="s">
        <v>6817</v>
      </c>
      <c r="J2420" s="66"/>
      <c r="K2420" s="66"/>
      <c r="L2420" s="68"/>
      <c r="M2420" s="63" t="str">
        <f>HYPERLINK("http://nsgreg.nga.mil/genc/view?v=870490&amp;end_month=12&amp;end_day=31&amp;end_year=2016","Correlation")</f>
        <v>Correlation</v>
      </c>
    </row>
    <row r="2421" spans="1:13" x14ac:dyDescent="0.2">
      <c r="A2421" s="113"/>
      <c r="B2421" s="58" t="s">
        <v>6818</v>
      </c>
      <c r="C2421" s="58" t="s">
        <v>1816</v>
      </c>
      <c r="D2421" s="58" t="s">
        <v>6819</v>
      </c>
      <c r="E2421" s="60" t="b">
        <v>1</v>
      </c>
      <c r="F2421" s="80" t="s">
        <v>860</v>
      </c>
      <c r="G2421" s="58" t="s">
        <v>6818</v>
      </c>
      <c r="H2421" s="58" t="s">
        <v>1816</v>
      </c>
      <c r="I2421" s="64" t="s">
        <v>6819</v>
      </c>
      <c r="J2421" s="66"/>
      <c r="K2421" s="66"/>
      <c r="L2421" s="68"/>
      <c r="M2421" s="63" t="str">
        <f>HYPERLINK("http://nsgreg.nga.mil/genc/view?v=870491&amp;end_month=12&amp;end_day=31&amp;end_year=2016","Correlation")</f>
        <v>Correlation</v>
      </c>
    </row>
    <row r="2422" spans="1:13" x14ac:dyDescent="0.2">
      <c r="A2422" s="113"/>
      <c r="B2422" s="58" t="s">
        <v>6820</v>
      </c>
      <c r="C2422" s="58" t="s">
        <v>1816</v>
      </c>
      <c r="D2422" s="58" t="s">
        <v>6821</v>
      </c>
      <c r="E2422" s="60" t="b">
        <v>1</v>
      </c>
      <c r="F2422" s="80" t="s">
        <v>860</v>
      </c>
      <c r="G2422" s="58" t="s">
        <v>6820</v>
      </c>
      <c r="H2422" s="58" t="s">
        <v>1816</v>
      </c>
      <c r="I2422" s="64" t="s">
        <v>6821</v>
      </c>
      <c r="J2422" s="66"/>
      <c r="K2422" s="66"/>
      <c r="L2422" s="68"/>
      <c r="M2422" s="63" t="str">
        <f>HYPERLINK("http://nsgreg.nga.mil/genc/view?v=870503&amp;end_month=12&amp;end_day=31&amp;end_year=2016","Correlation")</f>
        <v>Correlation</v>
      </c>
    </row>
    <row r="2423" spans="1:13" x14ac:dyDescent="0.2">
      <c r="A2423" s="113"/>
      <c r="B2423" s="58" t="s">
        <v>6822</v>
      </c>
      <c r="C2423" s="58" t="s">
        <v>1816</v>
      </c>
      <c r="D2423" s="58" t="s">
        <v>6823</v>
      </c>
      <c r="E2423" s="60" t="b">
        <v>1</v>
      </c>
      <c r="F2423" s="80" t="s">
        <v>860</v>
      </c>
      <c r="G2423" s="58" t="s">
        <v>6822</v>
      </c>
      <c r="H2423" s="58" t="s">
        <v>1816</v>
      </c>
      <c r="I2423" s="64" t="s">
        <v>6823</v>
      </c>
      <c r="J2423" s="66"/>
      <c r="K2423" s="66"/>
      <c r="L2423" s="68"/>
      <c r="M2423" s="63" t="str">
        <f>HYPERLINK("http://nsgreg.nga.mil/genc/view?v=870502&amp;end_month=12&amp;end_day=31&amp;end_year=2016","Correlation")</f>
        <v>Correlation</v>
      </c>
    </row>
    <row r="2424" spans="1:13" x14ac:dyDescent="0.2">
      <c r="A2424" s="114"/>
      <c r="B2424" s="71" t="s">
        <v>6824</v>
      </c>
      <c r="C2424" s="71" t="s">
        <v>1816</v>
      </c>
      <c r="D2424" s="71" t="s">
        <v>6825</v>
      </c>
      <c r="E2424" s="73" t="b">
        <v>1</v>
      </c>
      <c r="F2424" s="81" t="s">
        <v>860</v>
      </c>
      <c r="G2424" s="71" t="s">
        <v>6824</v>
      </c>
      <c r="H2424" s="71" t="s">
        <v>1816</v>
      </c>
      <c r="I2424" s="74" t="s">
        <v>6825</v>
      </c>
      <c r="J2424" s="76"/>
      <c r="K2424" s="76"/>
      <c r="L2424" s="82"/>
      <c r="M2424" s="77" t="str">
        <f>HYPERLINK("http://nsgreg.nga.mil/genc/view?v=870504&amp;end_month=12&amp;end_day=31&amp;end_year=2016","Correlation")</f>
        <v>Correlation</v>
      </c>
    </row>
    <row r="2425" spans="1:13" x14ac:dyDescent="0.2">
      <c r="A2425" s="112" t="s">
        <v>865</v>
      </c>
      <c r="B2425" s="50" t="s">
        <v>6826</v>
      </c>
      <c r="C2425" s="50" t="s">
        <v>1413</v>
      </c>
      <c r="D2425" s="50" t="s">
        <v>6827</v>
      </c>
      <c r="E2425" s="52" t="b">
        <v>1</v>
      </c>
      <c r="F2425" s="78" t="s">
        <v>865</v>
      </c>
      <c r="G2425" s="50" t="s">
        <v>6826</v>
      </c>
      <c r="H2425" s="50" t="s">
        <v>1413</v>
      </c>
      <c r="I2425" s="53" t="s">
        <v>6827</v>
      </c>
      <c r="J2425" s="55"/>
      <c r="K2425" s="55"/>
      <c r="L2425" s="79"/>
      <c r="M2425" s="56" t="str">
        <f>HYPERLINK("http://nsgreg.nga.mil/genc/view?v=870451&amp;end_month=12&amp;end_day=31&amp;end_year=2016","Correlation")</f>
        <v>Correlation</v>
      </c>
    </row>
    <row r="2426" spans="1:13" x14ac:dyDescent="0.2">
      <c r="A2426" s="113"/>
      <c r="B2426" s="58" t="s">
        <v>6828</v>
      </c>
      <c r="C2426" s="58" t="s">
        <v>1413</v>
      </c>
      <c r="D2426" s="58" t="s">
        <v>6829</v>
      </c>
      <c r="E2426" s="60" t="b">
        <v>1</v>
      </c>
      <c r="F2426" s="80" t="s">
        <v>865</v>
      </c>
      <c r="G2426" s="58" t="s">
        <v>6828</v>
      </c>
      <c r="H2426" s="58" t="s">
        <v>1413</v>
      </c>
      <c r="I2426" s="64" t="s">
        <v>6829</v>
      </c>
      <c r="J2426" s="66"/>
      <c r="K2426" s="66"/>
      <c r="L2426" s="68"/>
      <c r="M2426" s="63" t="str">
        <f>HYPERLINK("http://nsgreg.nga.mil/genc/view?v=870448&amp;end_month=12&amp;end_day=31&amp;end_year=2016","Correlation")</f>
        <v>Correlation</v>
      </c>
    </row>
    <row r="2427" spans="1:13" x14ac:dyDescent="0.2">
      <c r="A2427" s="113"/>
      <c r="B2427" s="58" t="s">
        <v>6830</v>
      </c>
      <c r="C2427" s="58" t="s">
        <v>1413</v>
      </c>
      <c r="D2427" s="58" t="s">
        <v>6831</v>
      </c>
      <c r="E2427" s="60" t="b">
        <v>1</v>
      </c>
      <c r="F2427" s="80" t="s">
        <v>865</v>
      </c>
      <c r="G2427" s="58" t="s">
        <v>6830</v>
      </c>
      <c r="H2427" s="58" t="s">
        <v>1413</v>
      </c>
      <c r="I2427" s="64" t="s">
        <v>6831</v>
      </c>
      <c r="J2427" s="66"/>
      <c r="K2427" s="66"/>
      <c r="L2427" s="68"/>
      <c r="M2427" s="63" t="str">
        <f>HYPERLINK("http://nsgreg.nga.mil/genc/view?v=870449&amp;end_month=12&amp;end_day=31&amp;end_year=2016","Correlation")</f>
        <v>Correlation</v>
      </c>
    </row>
    <row r="2428" spans="1:13" x14ac:dyDescent="0.2">
      <c r="A2428" s="113"/>
      <c r="B2428" s="58" t="s">
        <v>6832</v>
      </c>
      <c r="C2428" s="58" t="s">
        <v>1413</v>
      </c>
      <c r="D2428" s="58" t="s">
        <v>6833</v>
      </c>
      <c r="E2428" s="60" t="b">
        <v>1</v>
      </c>
      <c r="F2428" s="80" t="s">
        <v>865</v>
      </c>
      <c r="G2428" s="58" t="s">
        <v>6832</v>
      </c>
      <c r="H2428" s="58" t="s">
        <v>1413</v>
      </c>
      <c r="I2428" s="64" t="s">
        <v>6833</v>
      </c>
      <c r="J2428" s="66"/>
      <c r="K2428" s="66"/>
      <c r="L2428" s="68"/>
      <c r="M2428" s="63" t="str">
        <f>HYPERLINK("http://nsgreg.nga.mil/genc/view?v=870450&amp;end_month=12&amp;end_day=31&amp;end_year=2016","Correlation")</f>
        <v>Correlation</v>
      </c>
    </row>
    <row r="2429" spans="1:13" x14ac:dyDescent="0.2">
      <c r="A2429" s="113"/>
      <c r="B2429" s="58" t="s">
        <v>6834</v>
      </c>
      <c r="C2429" s="58" t="s">
        <v>1413</v>
      </c>
      <c r="D2429" s="58" t="s">
        <v>6835</v>
      </c>
      <c r="E2429" s="60" t="b">
        <v>1</v>
      </c>
      <c r="F2429" s="80" t="s">
        <v>865</v>
      </c>
      <c r="G2429" s="58" t="s">
        <v>6834</v>
      </c>
      <c r="H2429" s="58" t="s">
        <v>1413</v>
      </c>
      <c r="I2429" s="64" t="s">
        <v>6835</v>
      </c>
      <c r="J2429" s="66"/>
      <c r="K2429" s="66"/>
      <c r="L2429" s="68"/>
      <c r="M2429" s="63" t="str">
        <f>HYPERLINK("http://nsgreg.nga.mil/genc/view?v=870447&amp;end_month=12&amp;end_day=31&amp;end_year=2016","Correlation")</f>
        <v>Correlation</v>
      </c>
    </row>
    <row r="2430" spans="1:13" x14ac:dyDescent="0.2">
      <c r="A2430" s="114"/>
      <c r="B2430" s="71" t="s">
        <v>6836</v>
      </c>
      <c r="C2430" s="71" t="s">
        <v>1413</v>
      </c>
      <c r="D2430" s="71" t="s">
        <v>6837</v>
      </c>
      <c r="E2430" s="73" t="b">
        <v>1</v>
      </c>
      <c r="F2430" s="81" t="s">
        <v>865</v>
      </c>
      <c r="G2430" s="71" t="s">
        <v>6836</v>
      </c>
      <c r="H2430" s="71" t="s">
        <v>1413</v>
      </c>
      <c r="I2430" s="74" t="s">
        <v>6837</v>
      </c>
      <c r="J2430" s="76"/>
      <c r="K2430" s="76"/>
      <c r="L2430" s="82"/>
      <c r="M2430" s="77" t="str">
        <f>HYPERLINK("http://nsgreg.nga.mil/genc/view?v=870452&amp;end_month=12&amp;end_day=31&amp;end_year=2016","Correlation")</f>
        <v>Correlation</v>
      </c>
    </row>
    <row r="2431" spans="1:13" x14ac:dyDescent="0.2">
      <c r="A2431" s="112" t="s">
        <v>869</v>
      </c>
      <c r="B2431" s="50" t="s">
        <v>6838</v>
      </c>
      <c r="C2431" s="50" t="s">
        <v>1796</v>
      </c>
      <c r="D2431" s="50" t="s">
        <v>6839</v>
      </c>
      <c r="E2431" s="52" t="b">
        <v>1</v>
      </c>
      <c r="F2431" s="78" t="s">
        <v>869</v>
      </c>
      <c r="G2431" s="50" t="s">
        <v>6838</v>
      </c>
      <c r="H2431" s="50" t="s">
        <v>1796</v>
      </c>
      <c r="I2431" s="53" t="s">
        <v>6839</v>
      </c>
      <c r="J2431" s="55"/>
      <c r="K2431" s="55"/>
      <c r="L2431" s="79"/>
      <c r="M2431" s="56" t="str">
        <f>HYPERLINK("http://nsgreg.nga.mil/genc/view?v=870724&amp;end_month=12&amp;end_day=31&amp;end_year=2016","Correlation")</f>
        <v>Correlation</v>
      </c>
    </row>
    <row r="2432" spans="1:13" x14ac:dyDescent="0.2">
      <c r="A2432" s="113"/>
      <c r="B2432" s="58" t="s">
        <v>6840</v>
      </c>
      <c r="C2432" s="58" t="s">
        <v>1796</v>
      </c>
      <c r="D2432" s="58" t="s">
        <v>6841</v>
      </c>
      <c r="E2432" s="60" t="b">
        <v>1</v>
      </c>
      <c r="F2432" s="80" t="s">
        <v>869</v>
      </c>
      <c r="G2432" s="58" t="s">
        <v>6840</v>
      </c>
      <c r="H2432" s="58" t="s">
        <v>1796</v>
      </c>
      <c r="I2432" s="64" t="s">
        <v>6841</v>
      </c>
      <c r="J2432" s="66"/>
      <c r="K2432" s="66"/>
      <c r="L2432" s="68"/>
      <c r="M2432" s="63" t="str">
        <f>HYPERLINK("http://nsgreg.nga.mil/genc/view?v=870725&amp;end_month=12&amp;end_day=31&amp;end_year=2016","Correlation")</f>
        <v>Correlation</v>
      </c>
    </row>
    <row r="2433" spans="1:13" x14ac:dyDescent="0.2">
      <c r="A2433" s="113"/>
      <c r="B2433" s="58" t="s">
        <v>6842</v>
      </c>
      <c r="C2433" s="58" t="s">
        <v>1728</v>
      </c>
      <c r="D2433" s="58" t="s">
        <v>6843</v>
      </c>
      <c r="E2433" s="60" t="b">
        <v>1</v>
      </c>
      <c r="F2433" s="80" t="s">
        <v>869</v>
      </c>
      <c r="G2433" s="58" t="s">
        <v>6842</v>
      </c>
      <c r="H2433" s="58" t="s">
        <v>1728</v>
      </c>
      <c r="I2433" s="64" t="s">
        <v>6843</v>
      </c>
      <c r="J2433" s="66"/>
      <c r="K2433" s="66"/>
      <c r="L2433" s="68"/>
      <c r="M2433" s="63" t="str">
        <f>HYPERLINK("http://nsgreg.nga.mil/genc/view?v=870726&amp;end_month=12&amp;end_day=31&amp;end_year=2016","Correlation")</f>
        <v>Correlation</v>
      </c>
    </row>
    <row r="2434" spans="1:13" x14ac:dyDescent="0.2">
      <c r="A2434" s="113"/>
      <c r="B2434" s="58" t="s">
        <v>6844</v>
      </c>
      <c r="C2434" s="58" t="s">
        <v>1796</v>
      </c>
      <c r="D2434" s="58" t="s">
        <v>6845</v>
      </c>
      <c r="E2434" s="60" t="b">
        <v>1</v>
      </c>
      <c r="F2434" s="80" t="s">
        <v>869</v>
      </c>
      <c r="G2434" s="58" t="s">
        <v>6844</v>
      </c>
      <c r="H2434" s="58" t="s">
        <v>1796</v>
      </c>
      <c r="I2434" s="64" t="s">
        <v>6845</v>
      </c>
      <c r="J2434" s="66"/>
      <c r="K2434" s="66"/>
      <c r="L2434" s="68"/>
      <c r="M2434" s="63" t="str">
        <f>HYPERLINK("http://nsgreg.nga.mil/genc/view?v=870727&amp;end_month=12&amp;end_day=31&amp;end_year=2016","Correlation")</f>
        <v>Correlation</v>
      </c>
    </row>
    <row r="2435" spans="1:13" x14ac:dyDescent="0.2">
      <c r="A2435" s="113"/>
      <c r="B2435" s="58" t="s">
        <v>6846</v>
      </c>
      <c r="C2435" s="58" t="s">
        <v>1796</v>
      </c>
      <c r="D2435" s="58" t="s">
        <v>6847</v>
      </c>
      <c r="E2435" s="60" t="b">
        <v>1</v>
      </c>
      <c r="F2435" s="80" t="s">
        <v>869</v>
      </c>
      <c r="G2435" s="58" t="s">
        <v>6846</v>
      </c>
      <c r="H2435" s="58" t="s">
        <v>1796</v>
      </c>
      <c r="I2435" s="64" t="s">
        <v>6847</v>
      </c>
      <c r="J2435" s="66"/>
      <c r="K2435" s="66"/>
      <c r="L2435" s="68"/>
      <c r="M2435" s="63" t="str">
        <f>HYPERLINK("http://nsgreg.nga.mil/genc/view?v=870728&amp;end_month=12&amp;end_day=31&amp;end_year=2016","Correlation")</f>
        <v>Correlation</v>
      </c>
    </row>
    <row r="2436" spans="1:13" x14ac:dyDescent="0.2">
      <c r="A2436" s="113"/>
      <c r="B2436" s="58" t="s">
        <v>6848</v>
      </c>
      <c r="C2436" s="58" t="s">
        <v>1796</v>
      </c>
      <c r="D2436" s="58" t="s">
        <v>6849</v>
      </c>
      <c r="E2436" s="60" t="b">
        <v>1</v>
      </c>
      <c r="F2436" s="80" t="s">
        <v>869</v>
      </c>
      <c r="G2436" s="58" t="s">
        <v>6848</v>
      </c>
      <c r="H2436" s="58" t="s">
        <v>1796</v>
      </c>
      <c r="I2436" s="64" t="s">
        <v>6849</v>
      </c>
      <c r="J2436" s="66"/>
      <c r="K2436" s="66"/>
      <c r="L2436" s="68"/>
      <c r="M2436" s="63" t="str">
        <f>HYPERLINK("http://nsgreg.nga.mil/genc/view?v=870729&amp;end_month=12&amp;end_day=31&amp;end_year=2016","Correlation")</f>
        <v>Correlation</v>
      </c>
    </row>
    <row r="2437" spans="1:13" x14ac:dyDescent="0.2">
      <c r="A2437" s="113"/>
      <c r="B2437" s="58" t="s">
        <v>6850</v>
      </c>
      <c r="C2437" s="58" t="s">
        <v>1796</v>
      </c>
      <c r="D2437" s="58" t="s">
        <v>6851</v>
      </c>
      <c r="E2437" s="60" t="b">
        <v>1</v>
      </c>
      <c r="F2437" s="80" t="s">
        <v>869</v>
      </c>
      <c r="G2437" s="58" t="s">
        <v>6850</v>
      </c>
      <c r="H2437" s="58" t="s">
        <v>1796</v>
      </c>
      <c r="I2437" s="64" t="s">
        <v>6851</v>
      </c>
      <c r="J2437" s="66"/>
      <c r="K2437" s="66"/>
      <c r="L2437" s="68"/>
      <c r="M2437" s="63" t="str">
        <f>HYPERLINK("http://nsgreg.nga.mil/genc/view?v=870730&amp;end_month=12&amp;end_day=31&amp;end_year=2016","Correlation")</f>
        <v>Correlation</v>
      </c>
    </row>
    <row r="2438" spans="1:13" x14ac:dyDescent="0.2">
      <c r="A2438" s="113"/>
      <c r="B2438" s="58" t="s">
        <v>6852</v>
      </c>
      <c r="C2438" s="58" t="s">
        <v>1796</v>
      </c>
      <c r="D2438" s="58" t="s">
        <v>6853</v>
      </c>
      <c r="E2438" s="60" t="b">
        <v>1</v>
      </c>
      <c r="F2438" s="80" t="s">
        <v>869</v>
      </c>
      <c r="G2438" s="58" t="s">
        <v>6852</v>
      </c>
      <c r="H2438" s="58" t="s">
        <v>1796</v>
      </c>
      <c r="I2438" s="64" t="s">
        <v>6853</v>
      </c>
      <c r="J2438" s="66"/>
      <c r="K2438" s="66"/>
      <c r="L2438" s="68"/>
      <c r="M2438" s="63" t="str">
        <f>HYPERLINK("http://nsgreg.nga.mil/genc/view?v=870731&amp;end_month=12&amp;end_day=31&amp;end_year=2016","Correlation")</f>
        <v>Correlation</v>
      </c>
    </row>
    <row r="2439" spans="1:13" x14ac:dyDescent="0.2">
      <c r="A2439" s="113"/>
      <c r="B2439" s="58" t="s">
        <v>6854</v>
      </c>
      <c r="C2439" s="58" t="s">
        <v>1796</v>
      </c>
      <c r="D2439" s="58" t="s">
        <v>6855</v>
      </c>
      <c r="E2439" s="60" t="b">
        <v>1</v>
      </c>
      <c r="F2439" s="80" t="s">
        <v>869</v>
      </c>
      <c r="G2439" s="58" t="s">
        <v>6854</v>
      </c>
      <c r="H2439" s="58" t="s">
        <v>1796</v>
      </c>
      <c r="I2439" s="64" t="s">
        <v>6855</v>
      </c>
      <c r="J2439" s="66"/>
      <c r="K2439" s="66"/>
      <c r="L2439" s="68"/>
      <c r="M2439" s="63" t="str">
        <f>HYPERLINK("http://nsgreg.nga.mil/genc/view?v=870732&amp;end_month=12&amp;end_day=31&amp;end_year=2016","Correlation")</f>
        <v>Correlation</v>
      </c>
    </row>
    <row r="2440" spans="1:13" x14ac:dyDescent="0.2">
      <c r="A2440" s="113"/>
      <c r="B2440" s="58" t="s">
        <v>6856</v>
      </c>
      <c r="C2440" s="58" t="s">
        <v>1796</v>
      </c>
      <c r="D2440" s="58" t="s">
        <v>6857</v>
      </c>
      <c r="E2440" s="60" t="b">
        <v>1</v>
      </c>
      <c r="F2440" s="80" t="s">
        <v>869</v>
      </c>
      <c r="G2440" s="58" t="s">
        <v>6856</v>
      </c>
      <c r="H2440" s="58" t="s">
        <v>1796</v>
      </c>
      <c r="I2440" s="64" t="s">
        <v>6857</v>
      </c>
      <c r="J2440" s="66"/>
      <c r="K2440" s="66"/>
      <c r="L2440" s="68"/>
      <c r="M2440" s="63" t="str">
        <f>HYPERLINK("http://nsgreg.nga.mil/genc/view?v=870733&amp;end_month=12&amp;end_day=31&amp;end_year=2016","Correlation")</f>
        <v>Correlation</v>
      </c>
    </row>
    <row r="2441" spans="1:13" x14ac:dyDescent="0.2">
      <c r="A2441" s="113"/>
      <c r="B2441" s="58" t="s">
        <v>6858</v>
      </c>
      <c r="C2441" s="58" t="s">
        <v>1796</v>
      </c>
      <c r="D2441" s="58" t="s">
        <v>6859</v>
      </c>
      <c r="E2441" s="60" t="b">
        <v>1</v>
      </c>
      <c r="F2441" s="80" t="s">
        <v>869</v>
      </c>
      <c r="G2441" s="58" t="s">
        <v>6858</v>
      </c>
      <c r="H2441" s="58" t="s">
        <v>1796</v>
      </c>
      <c r="I2441" s="64" t="s">
        <v>6859</v>
      </c>
      <c r="J2441" s="66"/>
      <c r="K2441" s="66"/>
      <c r="L2441" s="68"/>
      <c r="M2441" s="63" t="str">
        <f>HYPERLINK("http://nsgreg.nga.mil/genc/view?v=870735&amp;end_month=12&amp;end_day=31&amp;end_year=2016","Correlation")</f>
        <v>Correlation</v>
      </c>
    </row>
    <row r="2442" spans="1:13" x14ac:dyDescent="0.2">
      <c r="A2442" s="113"/>
      <c r="B2442" s="58" t="s">
        <v>6860</v>
      </c>
      <c r="C2442" s="58" t="s">
        <v>1796</v>
      </c>
      <c r="D2442" s="58" t="s">
        <v>6861</v>
      </c>
      <c r="E2442" s="60" t="b">
        <v>1</v>
      </c>
      <c r="F2442" s="80" t="s">
        <v>869</v>
      </c>
      <c r="G2442" s="58" t="s">
        <v>6860</v>
      </c>
      <c r="H2442" s="58" t="s">
        <v>1796</v>
      </c>
      <c r="I2442" s="64" t="s">
        <v>6861</v>
      </c>
      <c r="J2442" s="66"/>
      <c r="K2442" s="66"/>
      <c r="L2442" s="68"/>
      <c r="M2442" s="63" t="str">
        <f>HYPERLINK("http://nsgreg.nga.mil/genc/view?v=870734&amp;end_month=12&amp;end_day=31&amp;end_year=2016","Correlation")</f>
        <v>Correlation</v>
      </c>
    </row>
    <row r="2443" spans="1:13" x14ac:dyDescent="0.2">
      <c r="A2443" s="113"/>
      <c r="B2443" s="58" t="s">
        <v>6862</v>
      </c>
      <c r="C2443" s="58" t="s">
        <v>1796</v>
      </c>
      <c r="D2443" s="58" t="s">
        <v>6863</v>
      </c>
      <c r="E2443" s="60" t="b">
        <v>1</v>
      </c>
      <c r="F2443" s="80" t="s">
        <v>869</v>
      </c>
      <c r="G2443" s="58" t="s">
        <v>6862</v>
      </c>
      <c r="H2443" s="58" t="s">
        <v>1796</v>
      </c>
      <c r="I2443" s="64" t="s">
        <v>6863</v>
      </c>
      <c r="J2443" s="66"/>
      <c r="K2443" s="66"/>
      <c r="L2443" s="68"/>
      <c r="M2443" s="63" t="str">
        <f>HYPERLINK("http://nsgreg.nga.mil/genc/view?v=870738&amp;end_month=12&amp;end_day=31&amp;end_year=2016","Correlation")</f>
        <v>Correlation</v>
      </c>
    </row>
    <row r="2444" spans="1:13" x14ac:dyDescent="0.2">
      <c r="A2444" s="113"/>
      <c r="B2444" s="58" t="s">
        <v>6864</v>
      </c>
      <c r="C2444" s="58" t="s">
        <v>1796</v>
      </c>
      <c r="D2444" s="58" t="s">
        <v>6865</v>
      </c>
      <c r="E2444" s="60" t="b">
        <v>1</v>
      </c>
      <c r="F2444" s="80" t="s">
        <v>869</v>
      </c>
      <c r="G2444" s="58" t="s">
        <v>6864</v>
      </c>
      <c r="H2444" s="58" t="s">
        <v>1796</v>
      </c>
      <c r="I2444" s="64" t="s">
        <v>6865</v>
      </c>
      <c r="J2444" s="66"/>
      <c r="K2444" s="66"/>
      <c r="L2444" s="68"/>
      <c r="M2444" s="63" t="str">
        <f>HYPERLINK("http://nsgreg.nga.mil/genc/view?v=870737&amp;end_month=12&amp;end_day=31&amp;end_year=2016","Correlation")</f>
        <v>Correlation</v>
      </c>
    </row>
    <row r="2445" spans="1:13" x14ac:dyDescent="0.2">
      <c r="A2445" s="113"/>
      <c r="B2445" s="58" t="s">
        <v>6866</v>
      </c>
      <c r="C2445" s="58" t="s">
        <v>1796</v>
      </c>
      <c r="D2445" s="58" t="s">
        <v>6867</v>
      </c>
      <c r="E2445" s="60" t="b">
        <v>1</v>
      </c>
      <c r="F2445" s="80" t="s">
        <v>869</v>
      </c>
      <c r="G2445" s="58" t="s">
        <v>6866</v>
      </c>
      <c r="H2445" s="58" t="s">
        <v>1796</v>
      </c>
      <c r="I2445" s="64" t="s">
        <v>6867</v>
      </c>
      <c r="J2445" s="66"/>
      <c r="K2445" s="66"/>
      <c r="L2445" s="68"/>
      <c r="M2445" s="63" t="str">
        <f>HYPERLINK("http://nsgreg.nga.mil/genc/view?v=870736&amp;end_month=12&amp;end_day=31&amp;end_year=2016","Correlation")</f>
        <v>Correlation</v>
      </c>
    </row>
    <row r="2446" spans="1:13" x14ac:dyDescent="0.2">
      <c r="A2446" s="113"/>
      <c r="B2446" s="58" t="s">
        <v>6868</v>
      </c>
      <c r="C2446" s="58" t="s">
        <v>1796</v>
      </c>
      <c r="D2446" s="58" t="s">
        <v>6869</v>
      </c>
      <c r="E2446" s="60" t="b">
        <v>1</v>
      </c>
      <c r="F2446" s="80" t="s">
        <v>869</v>
      </c>
      <c r="G2446" s="58" t="s">
        <v>6868</v>
      </c>
      <c r="H2446" s="58" t="s">
        <v>1796</v>
      </c>
      <c r="I2446" s="64" t="s">
        <v>6869</v>
      </c>
      <c r="J2446" s="66"/>
      <c r="K2446" s="66"/>
      <c r="L2446" s="68"/>
      <c r="M2446" s="63" t="str">
        <f>HYPERLINK("http://nsgreg.nga.mil/genc/view?v=870739&amp;end_month=12&amp;end_day=31&amp;end_year=2016","Correlation")</f>
        <v>Correlation</v>
      </c>
    </row>
    <row r="2447" spans="1:13" x14ac:dyDescent="0.2">
      <c r="A2447" s="113"/>
      <c r="B2447" s="58" t="s">
        <v>6870</v>
      </c>
      <c r="C2447" s="58" t="s">
        <v>1796</v>
      </c>
      <c r="D2447" s="58" t="s">
        <v>6871</v>
      </c>
      <c r="E2447" s="60" t="b">
        <v>1</v>
      </c>
      <c r="F2447" s="80" t="s">
        <v>869</v>
      </c>
      <c r="G2447" s="58" t="s">
        <v>6870</v>
      </c>
      <c r="H2447" s="58" t="s">
        <v>1796</v>
      </c>
      <c r="I2447" s="64" t="s">
        <v>6871</v>
      </c>
      <c r="J2447" s="66"/>
      <c r="K2447" s="66"/>
      <c r="L2447" s="68"/>
      <c r="M2447" s="63" t="str">
        <f>HYPERLINK("http://nsgreg.nga.mil/genc/view?v=870740&amp;end_month=12&amp;end_day=31&amp;end_year=2016","Correlation")</f>
        <v>Correlation</v>
      </c>
    </row>
    <row r="2448" spans="1:13" x14ac:dyDescent="0.2">
      <c r="A2448" s="113"/>
      <c r="B2448" s="58" t="s">
        <v>6872</v>
      </c>
      <c r="C2448" s="58" t="s">
        <v>1796</v>
      </c>
      <c r="D2448" s="58" t="s">
        <v>6873</v>
      </c>
      <c r="E2448" s="60" t="b">
        <v>1</v>
      </c>
      <c r="F2448" s="80" t="s">
        <v>869</v>
      </c>
      <c r="G2448" s="58" t="s">
        <v>6872</v>
      </c>
      <c r="H2448" s="58" t="s">
        <v>1796</v>
      </c>
      <c r="I2448" s="64" t="s">
        <v>6873</v>
      </c>
      <c r="J2448" s="66"/>
      <c r="K2448" s="66"/>
      <c r="L2448" s="68"/>
      <c r="M2448" s="63" t="str">
        <f>HYPERLINK("http://nsgreg.nga.mil/genc/view?v=870741&amp;end_month=12&amp;end_day=31&amp;end_year=2016","Correlation")</f>
        <v>Correlation</v>
      </c>
    </row>
    <row r="2449" spans="1:13" x14ac:dyDescent="0.2">
      <c r="A2449" s="113"/>
      <c r="B2449" s="58" t="s">
        <v>6874</v>
      </c>
      <c r="C2449" s="58" t="s">
        <v>1796</v>
      </c>
      <c r="D2449" s="58" t="s">
        <v>6875</v>
      </c>
      <c r="E2449" s="60" t="b">
        <v>1</v>
      </c>
      <c r="F2449" s="80" t="s">
        <v>869</v>
      </c>
      <c r="G2449" s="58" t="s">
        <v>6874</v>
      </c>
      <c r="H2449" s="58" t="s">
        <v>1796</v>
      </c>
      <c r="I2449" s="64" t="s">
        <v>6875</v>
      </c>
      <c r="J2449" s="66"/>
      <c r="K2449" s="66"/>
      <c r="L2449" s="68"/>
      <c r="M2449" s="63" t="str">
        <f>HYPERLINK("http://nsgreg.nga.mil/genc/view?v=870744&amp;end_month=12&amp;end_day=31&amp;end_year=2016","Correlation")</f>
        <v>Correlation</v>
      </c>
    </row>
    <row r="2450" spans="1:13" x14ac:dyDescent="0.2">
      <c r="A2450" s="113"/>
      <c r="B2450" s="58" t="s">
        <v>6876</v>
      </c>
      <c r="C2450" s="58" t="s">
        <v>1796</v>
      </c>
      <c r="D2450" s="58" t="s">
        <v>6877</v>
      </c>
      <c r="E2450" s="60" t="b">
        <v>1</v>
      </c>
      <c r="F2450" s="80" t="s">
        <v>869</v>
      </c>
      <c r="G2450" s="58" t="s">
        <v>6876</v>
      </c>
      <c r="H2450" s="58" t="s">
        <v>1796</v>
      </c>
      <c r="I2450" s="64" t="s">
        <v>6877</v>
      </c>
      <c r="J2450" s="66"/>
      <c r="K2450" s="66"/>
      <c r="L2450" s="68"/>
      <c r="M2450" s="63" t="str">
        <f>HYPERLINK("http://nsgreg.nga.mil/genc/view?v=870743&amp;end_month=12&amp;end_day=31&amp;end_year=2016","Correlation")</f>
        <v>Correlation</v>
      </c>
    </row>
    <row r="2451" spans="1:13" x14ac:dyDescent="0.2">
      <c r="A2451" s="113"/>
      <c r="B2451" s="58" t="s">
        <v>6878</v>
      </c>
      <c r="C2451" s="58" t="s">
        <v>1796</v>
      </c>
      <c r="D2451" s="58" t="s">
        <v>6879</v>
      </c>
      <c r="E2451" s="60" t="b">
        <v>1</v>
      </c>
      <c r="F2451" s="80" t="s">
        <v>869</v>
      </c>
      <c r="G2451" s="58" t="s">
        <v>6878</v>
      </c>
      <c r="H2451" s="58" t="s">
        <v>1796</v>
      </c>
      <c r="I2451" s="64" t="s">
        <v>6879</v>
      </c>
      <c r="J2451" s="66"/>
      <c r="K2451" s="66"/>
      <c r="L2451" s="68"/>
      <c r="M2451" s="63" t="str">
        <f>HYPERLINK("http://nsgreg.nga.mil/genc/view?v=870746&amp;end_month=12&amp;end_day=31&amp;end_year=2016","Correlation")</f>
        <v>Correlation</v>
      </c>
    </row>
    <row r="2452" spans="1:13" x14ac:dyDescent="0.2">
      <c r="A2452" s="113"/>
      <c r="B2452" s="58" t="s">
        <v>6880</v>
      </c>
      <c r="C2452" s="58" t="s">
        <v>1728</v>
      </c>
      <c r="D2452" s="58" t="s">
        <v>6881</v>
      </c>
      <c r="E2452" s="60" t="b">
        <v>1</v>
      </c>
      <c r="F2452" s="80" t="s">
        <v>869</v>
      </c>
      <c r="G2452" s="58" t="s">
        <v>6880</v>
      </c>
      <c r="H2452" s="58" t="s">
        <v>1728</v>
      </c>
      <c r="I2452" s="64" t="s">
        <v>6881</v>
      </c>
      <c r="J2452" s="66"/>
      <c r="K2452" s="66"/>
      <c r="L2452" s="68"/>
      <c r="M2452" s="63" t="str">
        <f>HYPERLINK("http://nsgreg.nga.mil/genc/view?v=870742&amp;end_month=12&amp;end_day=31&amp;end_year=2016","Correlation")</f>
        <v>Correlation</v>
      </c>
    </row>
    <row r="2453" spans="1:13" x14ac:dyDescent="0.2">
      <c r="A2453" s="113"/>
      <c r="B2453" s="58" t="s">
        <v>6882</v>
      </c>
      <c r="C2453" s="58" t="s">
        <v>1796</v>
      </c>
      <c r="D2453" s="58" t="s">
        <v>6883</v>
      </c>
      <c r="E2453" s="60" t="b">
        <v>1</v>
      </c>
      <c r="F2453" s="80" t="s">
        <v>869</v>
      </c>
      <c r="G2453" s="58" t="s">
        <v>6882</v>
      </c>
      <c r="H2453" s="58" t="s">
        <v>1796</v>
      </c>
      <c r="I2453" s="64" t="s">
        <v>6883</v>
      </c>
      <c r="J2453" s="66"/>
      <c r="K2453" s="66"/>
      <c r="L2453" s="68"/>
      <c r="M2453" s="63" t="str">
        <f>HYPERLINK("http://nsgreg.nga.mil/genc/view?v=870747&amp;end_month=12&amp;end_day=31&amp;end_year=2016","Correlation")</f>
        <v>Correlation</v>
      </c>
    </row>
    <row r="2454" spans="1:13" x14ac:dyDescent="0.2">
      <c r="A2454" s="113"/>
      <c r="B2454" s="58" t="s">
        <v>6884</v>
      </c>
      <c r="C2454" s="58" t="s">
        <v>1796</v>
      </c>
      <c r="D2454" s="58" t="s">
        <v>6885</v>
      </c>
      <c r="E2454" s="60" t="b">
        <v>1</v>
      </c>
      <c r="F2454" s="80" t="s">
        <v>869</v>
      </c>
      <c r="G2454" s="58" t="s">
        <v>6884</v>
      </c>
      <c r="H2454" s="58" t="s">
        <v>1796</v>
      </c>
      <c r="I2454" s="64" t="s">
        <v>6885</v>
      </c>
      <c r="J2454" s="66"/>
      <c r="K2454" s="66"/>
      <c r="L2454" s="68"/>
      <c r="M2454" s="63" t="str">
        <f>HYPERLINK("http://nsgreg.nga.mil/genc/view?v=870748&amp;end_month=12&amp;end_day=31&amp;end_year=2016","Correlation")</f>
        <v>Correlation</v>
      </c>
    </row>
    <row r="2455" spans="1:13" x14ac:dyDescent="0.2">
      <c r="A2455" s="113"/>
      <c r="B2455" s="58" t="s">
        <v>6886</v>
      </c>
      <c r="C2455" s="58" t="s">
        <v>1796</v>
      </c>
      <c r="D2455" s="58" t="s">
        <v>6887</v>
      </c>
      <c r="E2455" s="60" t="b">
        <v>1</v>
      </c>
      <c r="F2455" s="80" t="s">
        <v>869</v>
      </c>
      <c r="G2455" s="58" t="s">
        <v>6886</v>
      </c>
      <c r="H2455" s="58" t="s">
        <v>1796</v>
      </c>
      <c r="I2455" s="64" t="s">
        <v>6887</v>
      </c>
      <c r="J2455" s="66"/>
      <c r="K2455" s="66"/>
      <c r="L2455" s="68"/>
      <c r="M2455" s="63" t="str">
        <f>HYPERLINK("http://nsgreg.nga.mil/genc/view?v=870745&amp;end_month=12&amp;end_day=31&amp;end_year=2016","Correlation")</f>
        <v>Correlation</v>
      </c>
    </row>
    <row r="2456" spans="1:13" x14ac:dyDescent="0.2">
      <c r="A2456" s="113"/>
      <c r="B2456" s="58" t="s">
        <v>6888</v>
      </c>
      <c r="C2456" s="58" t="s">
        <v>1796</v>
      </c>
      <c r="D2456" s="58" t="s">
        <v>6889</v>
      </c>
      <c r="E2456" s="60" t="b">
        <v>1</v>
      </c>
      <c r="F2456" s="80" t="s">
        <v>869</v>
      </c>
      <c r="G2456" s="58" t="s">
        <v>6888</v>
      </c>
      <c r="H2456" s="58" t="s">
        <v>1796</v>
      </c>
      <c r="I2456" s="64" t="s">
        <v>6889</v>
      </c>
      <c r="J2456" s="66"/>
      <c r="K2456" s="66"/>
      <c r="L2456" s="68"/>
      <c r="M2456" s="63" t="str">
        <f>HYPERLINK("http://nsgreg.nga.mil/genc/view?v=870749&amp;end_month=12&amp;end_day=31&amp;end_year=2016","Correlation")</f>
        <v>Correlation</v>
      </c>
    </row>
    <row r="2457" spans="1:13" x14ac:dyDescent="0.2">
      <c r="A2457" s="113"/>
      <c r="B2457" s="58" t="s">
        <v>6890</v>
      </c>
      <c r="C2457" s="58" t="s">
        <v>1796</v>
      </c>
      <c r="D2457" s="58" t="s">
        <v>6891</v>
      </c>
      <c r="E2457" s="60" t="b">
        <v>1</v>
      </c>
      <c r="F2457" s="80" t="s">
        <v>869</v>
      </c>
      <c r="G2457" s="58" t="s">
        <v>6890</v>
      </c>
      <c r="H2457" s="58" t="s">
        <v>1796</v>
      </c>
      <c r="I2457" s="64" t="s">
        <v>6891</v>
      </c>
      <c r="J2457" s="66"/>
      <c r="K2457" s="66"/>
      <c r="L2457" s="68"/>
      <c r="M2457" s="63" t="str">
        <f>HYPERLINK("http://nsgreg.nga.mil/genc/view?v=870750&amp;end_month=12&amp;end_day=31&amp;end_year=2016","Correlation")</f>
        <v>Correlation</v>
      </c>
    </row>
    <row r="2458" spans="1:13" x14ac:dyDescent="0.2">
      <c r="A2458" s="113"/>
      <c r="B2458" s="58" t="s">
        <v>6892</v>
      </c>
      <c r="C2458" s="58" t="s">
        <v>1796</v>
      </c>
      <c r="D2458" s="58" t="s">
        <v>6893</v>
      </c>
      <c r="E2458" s="60" t="b">
        <v>1</v>
      </c>
      <c r="F2458" s="80" t="s">
        <v>869</v>
      </c>
      <c r="G2458" s="58" t="s">
        <v>6892</v>
      </c>
      <c r="H2458" s="58" t="s">
        <v>1796</v>
      </c>
      <c r="I2458" s="64" t="s">
        <v>6893</v>
      </c>
      <c r="J2458" s="66"/>
      <c r="K2458" s="66"/>
      <c r="L2458" s="68"/>
      <c r="M2458" s="63" t="str">
        <f>HYPERLINK("http://nsgreg.nga.mil/genc/view?v=870752&amp;end_month=12&amp;end_day=31&amp;end_year=2016","Correlation")</f>
        <v>Correlation</v>
      </c>
    </row>
    <row r="2459" spans="1:13" x14ac:dyDescent="0.2">
      <c r="A2459" s="113"/>
      <c r="B2459" s="58" t="s">
        <v>6894</v>
      </c>
      <c r="C2459" s="58" t="s">
        <v>1728</v>
      </c>
      <c r="D2459" s="58" t="s">
        <v>6895</v>
      </c>
      <c r="E2459" s="60" t="b">
        <v>1</v>
      </c>
      <c r="F2459" s="80" t="s">
        <v>869</v>
      </c>
      <c r="G2459" s="58" t="s">
        <v>6894</v>
      </c>
      <c r="H2459" s="58" t="s">
        <v>1728</v>
      </c>
      <c r="I2459" s="64" t="s">
        <v>6895</v>
      </c>
      <c r="J2459" s="66"/>
      <c r="K2459" s="66"/>
      <c r="L2459" s="68"/>
      <c r="M2459" s="63" t="str">
        <f>HYPERLINK("http://nsgreg.nga.mil/genc/view?v=870751&amp;end_month=12&amp;end_day=31&amp;end_year=2016","Correlation")</f>
        <v>Correlation</v>
      </c>
    </row>
    <row r="2460" spans="1:13" x14ac:dyDescent="0.2">
      <c r="A2460" s="113"/>
      <c r="B2460" s="58" t="s">
        <v>6896</v>
      </c>
      <c r="C2460" s="58" t="s">
        <v>1796</v>
      </c>
      <c r="D2460" s="58" t="s">
        <v>6897</v>
      </c>
      <c r="E2460" s="60" t="b">
        <v>1</v>
      </c>
      <c r="F2460" s="80" t="s">
        <v>869</v>
      </c>
      <c r="G2460" s="58" t="s">
        <v>6896</v>
      </c>
      <c r="H2460" s="58" t="s">
        <v>1796</v>
      </c>
      <c r="I2460" s="64" t="s">
        <v>6897</v>
      </c>
      <c r="J2460" s="66"/>
      <c r="K2460" s="66"/>
      <c r="L2460" s="68"/>
      <c r="M2460" s="63" t="str">
        <f>HYPERLINK("http://nsgreg.nga.mil/genc/view?v=870753&amp;end_month=12&amp;end_day=31&amp;end_year=2016","Correlation")</f>
        <v>Correlation</v>
      </c>
    </row>
    <row r="2461" spans="1:13" x14ac:dyDescent="0.2">
      <c r="A2461" s="114"/>
      <c r="B2461" s="71" t="s">
        <v>6898</v>
      </c>
      <c r="C2461" s="71" t="s">
        <v>1796</v>
      </c>
      <c r="D2461" s="71" t="s">
        <v>6899</v>
      </c>
      <c r="E2461" s="73" t="b">
        <v>1</v>
      </c>
      <c r="F2461" s="81" t="s">
        <v>869</v>
      </c>
      <c r="G2461" s="71" t="s">
        <v>6898</v>
      </c>
      <c r="H2461" s="71" t="s">
        <v>1796</v>
      </c>
      <c r="I2461" s="74" t="s">
        <v>6899</v>
      </c>
      <c r="J2461" s="76"/>
      <c r="K2461" s="76"/>
      <c r="L2461" s="82"/>
      <c r="M2461" s="77" t="str">
        <f>HYPERLINK("http://nsgreg.nga.mil/genc/view?v=870754&amp;end_month=12&amp;end_day=31&amp;end_year=2016","Correlation")</f>
        <v>Correlation</v>
      </c>
    </row>
    <row r="2462" spans="1:13" x14ac:dyDescent="0.2">
      <c r="A2462" s="112" t="s">
        <v>873</v>
      </c>
      <c r="B2462" s="50" t="s">
        <v>6900</v>
      </c>
      <c r="C2462" s="50" t="s">
        <v>1763</v>
      </c>
      <c r="D2462" s="50" t="s">
        <v>6901</v>
      </c>
      <c r="E2462" s="52" t="b">
        <v>1</v>
      </c>
      <c r="F2462" s="78" t="s">
        <v>873</v>
      </c>
      <c r="G2462" s="50" t="s">
        <v>6900</v>
      </c>
      <c r="H2462" s="50" t="s">
        <v>1763</v>
      </c>
      <c r="I2462" s="53" t="s">
        <v>6901</v>
      </c>
      <c r="J2462" s="55"/>
      <c r="K2462" s="55"/>
      <c r="L2462" s="79"/>
      <c r="M2462" s="56" t="str">
        <f>HYPERLINK("http://nsgreg.nga.mil/genc/view?v=870787&amp;end_month=12&amp;end_day=31&amp;end_year=2016","Correlation")</f>
        <v>Correlation</v>
      </c>
    </row>
    <row r="2463" spans="1:13" x14ac:dyDescent="0.2">
      <c r="A2463" s="113"/>
      <c r="B2463" s="58" t="s">
        <v>6902</v>
      </c>
      <c r="C2463" s="58" t="s">
        <v>1763</v>
      </c>
      <c r="D2463" s="58" t="s">
        <v>6903</v>
      </c>
      <c r="E2463" s="60" t="b">
        <v>1</v>
      </c>
      <c r="F2463" s="80" t="s">
        <v>873</v>
      </c>
      <c r="G2463" s="58" t="s">
        <v>6902</v>
      </c>
      <c r="H2463" s="58" t="s">
        <v>1763</v>
      </c>
      <c r="I2463" s="64" t="s">
        <v>6903</v>
      </c>
      <c r="J2463" s="66"/>
      <c r="K2463" s="66"/>
      <c r="L2463" s="68"/>
      <c r="M2463" s="63" t="str">
        <f>HYPERLINK("http://nsgreg.nga.mil/genc/view?v=870788&amp;end_month=12&amp;end_day=31&amp;end_year=2016","Correlation")</f>
        <v>Correlation</v>
      </c>
    </row>
    <row r="2464" spans="1:13" x14ac:dyDescent="0.2">
      <c r="A2464" s="113"/>
      <c r="B2464" s="58" t="s">
        <v>6904</v>
      </c>
      <c r="C2464" s="58" t="s">
        <v>1763</v>
      </c>
      <c r="D2464" s="58" t="s">
        <v>6905</v>
      </c>
      <c r="E2464" s="60" t="b">
        <v>1</v>
      </c>
      <c r="F2464" s="80" t="s">
        <v>873</v>
      </c>
      <c r="G2464" s="58" t="s">
        <v>6904</v>
      </c>
      <c r="H2464" s="58" t="s">
        <v>1763</v>
      </c>
      <c r="I2464" s="64" t="s">
        <v>6905</v>
      </c>
      <c r="J2464" s="66"/>
      <c r="K2464" s="66"/>
      <c r="L2464" s="68"/>
      <c r="M2464" s="63" t="str">
        <f>HYPERLINK("http://nsgreg.nga.mil/genc/view?v=870789&amp;end_month=12&amp;end_day=31&amp;end_year=2016","Correlation")</f>
        <v>Correlation</v>
      </c>
    </row>
    <row r="2465" spans="1:13" x14ac:dyDescent="0.2">
      <c r="A2465" s="113"/>
      <c r="B2465" s="58" t="s">
        <v>6913</v>
      </c>
      <c r="C2465" s="58" t="s">
        <v>1763</v>
      </c>
      <c r="D2465" s="58" t="s">
        <v>6914</v>
      </c>
      <c r="E2465" s="60" t="b">
        <v>1</v>
      </c>
      <c r="F2465" s="80" t="s">
        <v>873</v>
      </c>
      <c r="G2465" s="58" t="s">
        <v>6913</v>
      </c>
      <c r="H2465" s="58" t="s">
        <v>1763</v>
      </c>
      <c r="I2465" s="64" t="s">
        <v>6914</v>
      </c>
      <c r="J2465" s="66"/>
      <c r="K2465" s="66"/>
      <c r="L2465" s="68"/>
      <c r="M2465" s="63" t="str">
        <f>HYPERLINK("http://nsgreg.nga.mil/genc/view?v=870790&amp;end_month=12&amp;end_day=31&amp;end_year=2016","Correlation")</f>
        <v>Correlation</v>
      </c>
    </row>
    <row r="2466" spans="1:13" x14ac:dyDescent="0.2">
      <c r="A2466" s="113"/>
      <c r="B2466" s="58" t="s">
        <v>6915</v>
      </c>
      <c r="C2466" s="58" t="s">
        <v>1763</v>
      </c>
      <c r="D2466" s="58" t="s">
        <v>6916</v>
      </c>
      <c r="E2466" s="60" t="b">
        <v>1</v>
      </c>
      <c r="F2466" s="80" t="s">
        <v>873</v>
      </c>
      <c r="G2466" s="58" t="s">
        <v>6915</v>
      </c>
      <c r="H2466" s="58" t="s">
        <v>1763</v>
      </c>
      <c r="I2466" s="64" t="s">
        <v>6916</v>
      </c>
      <c r="J2466" s="66"/>
      <c r="K2466" s="66"/>
      <c r="L2466" s="68"/>
      <c r="M2466" s="63" t="str">
        <f>HYPERLINK("http://nsgreg.nga.mil/genc/view?v=870791&amp;end_month=12&amp;end_day=31&amp;end_year=2016","Correlation")</f>
        <v>Correlation</v>
      </c>
    </row>
    <row r="2467" spans="1:13" x14ac:dyDescent="0.2">
      <c r="A2467" s="113"/>
      <c r="B2467" s="58" t="s">
        <v>6917</v>
      </c>
      <c r="C2467" s="58" t="s">
        <v>1763</v>
      </c>
      <c r="D2467" s="58" t="s">
        <v>6918</v>
      </c>
      <c r="E2467" s="60" t="b">
        <v>1</v>
      </c>
      <c r="F2467" s="80" t="s">
        <v>873</v>
      </c>
      <c r="G2467" s="58" t="s">
        <v>6917</v>
      </c>
      <c r="H2467" s="58" t="s">
        <v>1763</v>
      </c>
      <c r="I2467" s="64" t="s">
        <v>6918</v>
      </c>
      <c r="J2467" s="66"/>
      <c r="K2467" s="66"/>
      <c r="L2467" s="68"/>
      <c r="M2467" s="63" t="str">
        <f>HYPERLINK("http://nsgreg.nga.mil/genc/view?v=870792&amp;end_month=12&amp;end_day=31&amp;end_year=2016","Correlation")</f>
        <v>Correlation</v>
      </c>
    </row>
    <row r="2468" spans="1:13" x14ac:dyDescent="0.2">
      <c r="A2468" s="113"/>
      <c r="B2468" s="58" t="s">
        <v>6919</v>
      </c>
      <c r="C2468" s="58" t="s">
        <v>1763</v>
      </c>
      <c r="D2468" s="58" t="s">
        <v>6920</v>
      </c>
      <c r="E2468" s="60" t="b">
        <v>1</v>
      </c>
      <c r="F2468" s="80" t="s">
        <v>873</v>
      </c>
      <c r="G2468" s="58" t="s">
        <v>6919</v>
      </c>
      <c r="H2468" s="58" t="s">
        <v>1763</v>
      </c>
      <c r="I2468" s="64" t="s">
        <v>6920</v>
      </c>
      <c r="J2468" s="66"/>
      <c r="K2468" s="66"/>
      <c r="L2468" s="68"/>
      <c r="M2468" s="63" t="str">
        <f>HYPERLINK("http://nsgreg.nga.mil/genc/view?v=870794&amp;end_month=12&amp;end_day=31&amp;end_year=2016","Correlation")</f>
        <v>Correlation</v>
      </c>
    </row>
    <row r="2469" spans="1:13" x14ac:dyDescent="0.2">
      <c r="A2469" s="113"/>
      <c r="B2469" s="58" t="s">
        <v>6921</v>
      </c>
      <c r="C2469" s="58" t="s">
        <v>1763</v>
      </c>
      <c r="D2469" s="58" t="s">
        <v>6922</v>
      </c>
      <c r="E2469" s="60" t="b">
        <v>1</v>
      </c>
      <c r="F2469" s="80" t="s">
        <v>873</v>
      </c>
      <c r="G2469" s="58" t="s">
        <v>6921</v>
      </c>
      <c r="H2469" s="58" t="s">
        <v>1763</v>
      </c>
      <c r="I2469" s="64" t="s">
        <v>6922</v>
      </c>
      <c r="J2469" s="66"/>
      <c r="K2469" s="66"/>
      <c r="L2469" s="68"/>
      <c r="M2469" s="63" t="str">
        <f>HYPERLINK("http://nsgreg.nga.mil/genc/view?v=870795&amp;end_month=12&amp;end_day=31&amp;end_year=2016","Correlation")</f>
        <v>Correlation</v>
      </c>
    </row>
    <row r="2470" spans="1:13" x14ac:dyDescent="0.2">
      <c r="A2470" s="113"/>
      <c r="B2470" s="58" t="s">
        <v>6923</v>
      </c>
      <c r="C2470" s="58" t="s">
        <v>1763</v>
      </c>
      <c r="D2470" s="58" t="s">
        <v>6924</v>
      </c>
      <c r="E2470" s="60" t="b">
        <v>1</v>
      </c>
      <c r="F2470" s="80" t="s">
        <v>873</v>
      </c>
      <c r="G2470" s="58" t="s">
        <v>6923</v>
      </c>
      <c r="H2470" s="58" t="s">
        <v>1763</v>
      </c>
      <c r="I2470" s="64" t="s">
        <v>6924</v>
      </c>
      <c r="J2470" s="66"/>
      <c r="K2470" s="66"/>
      <c r="L2470" s="68"/>
      <c r="M2470" s="63" t="str">
        <f>HYPERLINK("http://nsgreg.nga.mil/genc/view?v=870793&amp;end_month=12&amp;end_day=31&amp;end_year=2016","Correlation")</f>
        <v>Correlation</v>
      </c>
    </row>
    <row r="2471" spans="1:13" x14ac:dyDescent="0.2">
      <c r="A2471" s="113"/>
      <c r="B2471" s="58" t="s">
        <v>6928</v>
      </c>
      <c r="C2471" s="58" t="s">
        <v>1763</v>
      </c>
      <c r="D2471" s="58" t="s">
        <v>6929</v>
      </c>
      <c r="E2471" s="60" t="b">
        <v>1</v>
      </c>
      <c r="F2471" s="80" t="s">
        <v>873</v>
      </c>
      <c r="G2471" s="58" t="s">
        <v>6928</v>
      </c>
      <c r="H2471" s="58" t="s">
        <v>1763</v>
      </c>
      <c r="I2471" s="64" t="s">
        <v>6929</v>
      </c>
      <c r="J2471" s="66"/>
      <c r="K2471" s="66"/>
      <c r="L2471" s="68"/>
      <c r="M2471" s="63" t="str">
        <f>HYPERLINK("http://nsgreg.nga.mil/genc/view?v=870798&amp;end_month=12&amp;end_day=31&amp;end_year=2016","Correlation")</f>
        <v>Correlation</v>
      </c>
    </row>
    <row r="2472" spans="1:13" x14ac:dyDescent="0.2">
      <c r="A2472" s="113"/>
      <c r="B2472" s="58" t="s">
        <v>6930</v>
      </c>
      <c r="C2472" s="58" t="s">
        <v>1763</v>
      </c>
      <c r="D2472" s="58" t="s">
        <v>6931</v>
      </c>
      <c r="E2472" s="60" t="b">
        <v>1</v>
      </c>
      <c r="F2472" s="80" t="s">
        <v>873</v>
      </c>
      <c r="G2472" s="58" t="s">
        <v>6930</v>
      </c>
      <c r="H2472" s="58" t="s">
        <v>1763</v>
      </c>
      <c r="I2472" s="64" t="s">
        <v>6931</v>
      </c>
      <c r="J2472" s="66"/>
      <c r="K2472" s="66"/>
      <c r="L2472" s="68"/>
      <c r="M2472" s="63" t="str">
        <f>HYPERLINK("http://nsgreg.nga.mil/genc/view?v=870799&amp;end_month=12&amp;end_day=31&amp;end_year=2016","Correlation")</f>
        <v>Correlation</v>
      </c>
    </row>
    <row r="2473" spans="1:13" x14ac:dyDescent="0.2">
      <c r="A2473" s="113"/>
      <c r="B2473" s="58" t="s">
        <v>6932</v>
      </c>
      <c r="C2473" s="58" t="s">
        <v>1763</v>
      </c>
      <c r="D2473" s="58" t="s">
        <v>6933</v>
      </c>
      <c r="E2473" s="60" t="b">
        <v>1</v>
      </c>
      <c r="F2473" s="80" t="s">
        <v>873</v>
      </c>
      <c r="G2473" s="58" t="s">
        <v>6932</v>
      </c>
      <c r="H2473" s="58" t="s">
        <v>1763</v>
      </c>
      <c r="I2473" s="64" t="s">
        <v>6933</v>
      </c>
      <c r="J2473" s="66"/>
      <c r="K2473" s="66"/>
      <c r="L2473" s="68"/>
      <c r="M2473" s="63" t="str">
        <f>HYPERLINK("http://nsgreg.nga.mil/genc/view?v=870796&amp;end_month=12&amp;end_day=31&amp;end_year=2016","Correlation")</f>
        <v>Correlation</v>
      </c>
    </row>
    <row r="2474" spans="1:13" x14ac:dyDescent="0.2">
      <c r="A2474" s="113"/>
      <c r="B2474" s="58" t="s">
        <v>6934</v>
      </c>
      <c r="C2474" s="58" t="s">
        <v>1763</v>
      </c>
      <c r="D2474" s="58" t="s">
        <v>6935</v>
      </c>
      <c r="E2474" s="60" t="b">
        <v>1</v>
      </c>
      <c r="F2474" s="80" t="s">
        <v>873</v>
      </c>
      <c r="G2474" s="58" t="s">
        <v>6934</v>
      </c>
      <c r="H2474" s="58" t="s">
        <v>1763</v>
      </c>
      <c r="I2474" s="64" t="s">
        <v>6935</v>
      </c>
      <c r="J2474" s="66"/>
      <c r="K2474" s="66"/>
      <c r="L2474" s="68"/>
      <c r="M2474" s="63" t="str">
        <f>HYPERLINK("http://nsgreg.nga.mil/genc/view?v=870797&amp;end_month=12&amp;end_day=31&amp;end_year=2016","Correlation")</f>
        <v>Correlation</v>
      </c>
    </row>
    <row r="2475" spans="1:13" x14ac:dyDescent="0.2">
      <c r="A2475" s="113"/>
      <c r="B2475" s="58" t="s">
        <v>6909</v>
      </c>
      <c r="C2475" s="58" t="s">
        <v>6907</v>
      </c>
      <c r="D2475" s="58" t="s">
        <v>6908</v>
      </c>
      <c r="E2475" s="60" t="b">
        <v>1</v>
      </c>
      <c r="F2475" s="80" t="s">
        <v>873</v>
      </c>
      <c r="G2475" s="58" t="s">
        <v>6906</v>
      </c>
      <c r="H2475" s="58" t="s">
        <v>6907</v>
      </c>
      <c r="I2475" s="64" t="s">
        <v>6908</v>
      </c>
      <c r="J2475" s="66"/>
      <c r="K2475" s="66"/>
      <c r="L2475" s="68"/>
      <c r="M2475" s="63" t="str">
        <f>HYPERLINK("http://nsgreg.nga.mil/genc/view?v=870800&amp;end_month=12&amp;end_day=31&amp;end_year=2016","Correlation")</f>
        <v>Correlation</v>
      </c>
    </row>
    <row r="2476" spans="1:13" x14ac:dyDescent="0.2">
      <c r="A2476" s="113"/>
      <c r="B2476" s="58" t="s">
        <v>6912</v>
      </c>
      <c r="C2476" s="58" t="s">
        <v>6907</v>
      </c>
      <c r="D2476" s="58" t="s">
        <v>6911</v>
      </c>
      <c r="E2476" s="60" t="b">
        <v>1</v>
      </c>
      <c r="F2476" s="80" t="s">
        <v>873</v>
      </c>
      <c r="G2476" s="58" t="s">
        <v>6910</v>
      </c>
      <c r="H2476" s="58" t="s">
        <v>6907</v>
      </c>
      <c r="I2476" s="64" t="s">
        <v>6911</v>
      </c>
      <c r="J2476" s="66"/>
      <c r="K2476" s="66"/>
      <c r="L2476" s="68"/>
      <c r="M2476" s="63" t="str">
        <f>HYPERLINK("http://nsgreg.nga.mil/genc/view?v=870801&amp;end_month=12&amp;end_day=31&amp;end_year=2016","Correlation")</f>
        <v>Correlation</v>
      </c>
    </row>
    <row r="2477" spans="1:13" x14ac:dyDescent="0.2">
      <c r="A2477" s="114"/>
      <c r="B2477" s="71" t="s">
        <v>6927</v>
      </c>
      <c r="C2477" s="71" t="s">
        <v>6907</v>
      </c>
      <c r="D2477" s="71" t="s">
        <v>6926</v>
      </c>
      <c r="E2477" s="73" t="b">
        <v>1</v>
      </c>
      <c r="F2477" s="81" t="s">
        <v>873</v>
      </c>
      <c r="G2477" s="71" t="s">
        <v>6925</v>
      </c>
      <c r="H2477" s="71" t="s">
        <v>6907</v>
      </c>
      <c r="I2477" s="74" t="s">
        <v>6926</v>
      </c>
      <c r="J2477" s="76"/>
      <c r="K2477" s="76"/>
      <c r="L2477" s="82"/>
      <c r="M2477" s="77" t="str">
        <f>HYPERLINK("http://nsgreg.nga.mil/genc/view?v=870802&amp;end_month=12&amp;end_day=31&amp;end_year=2016","Correlation")</f>
        <v>Correlation</v>
      </c>
    </row>
    <row r="2478" spans="1:13" x14ac:dyDescent="0.2">
      <c r="A2478" s="112" t="s">
        <v>877</v>
      </c>
      <c r="B2478" s="50" t="s">
        <v>6945</v>
      </c>
      <c r="C2478" s="50" t="s">
        <v>6937</v>
      </c>
      <c r="D2478" s="50" t="s">
        <v>6944</v>
      </c>
      <c r="E2478" s="52" t="b">
        <v>1</v>
      </c>
      <c r="F2478" s="78" t="s">
        <v>877</v>
      </c>
      <c r="G2478" s="50" t="s">
        <v>6943</v>
      </c>
      <c r="H2478" s="50" t="s">
        <v>6937</v>
      </c>
      <c r="I2478" s="53" t="s">
        <v>6944</v>
      </c>
      <c r="J2478" s="55"/>
      <c r="K2478" s="55"/>
      <c r="L2478" s="79"/>
      <c r="M2478" s="56" t="str">
        <f>HYPERLINK("http://nsgreg.nga.mil/genc/view?v=870698&amp;end_month=12&amp;end_day=31&amp;end_year=2016","Correlation")</f>
        <v>Correlation</v>
      </c>
    </row>
    <row r="2479" spans="1:13" x14ac:dyDescent="0.2">
      <c r="A2479" s="113"/>
      <c r="B2479" s="58" t="s">
        <v>6942</v>
      </c>
      <c r="C2479" s="58" t="s">
        <v>6937</v>
      </c>
      <c r="D2479" s="58" t="s">
        <v>6941</v>
      </c>
      <c r="E2479" s="60" t="b">
        <v>1</v>
      </c>
      <c r="F2479" s="80" t="s">
        <v>877</v>
      </c>
      <c r="G2479" s="58" t="s">
        <v>6940</v>
      </c>
      <c r="H2479" s="58" t="s">
        <v>6937</v>
      </c>
      <c r="I2479" s="64" t="s">
        <v>6941</v>
      </c>
      <c r="J2479" s="66"/>
      <c r="K2479" s="66"/>
      <c r="L2479" s="68"/>
      <c r="M2479" s="63" t="str">
        <f>HYPERLINK("http://nsgreg.nga.mil/genc/view?v=870696&amp;end_month=12&amp;end_day=31&amp;end_year=2016","Correlation")</f>
        <v>Correlation</v>
      </c>
    </row>
    <row r="2480" spans="1:13" x14ac:dyDescent="0.2">
      <c r="A2480" s="113"/>
      <c r="B2480" s="58" t="s">
        <v>6978</v>
      </c>
      <c r="C2480" s="58" t="s">
        <v>6937</v>
      </c>
      <c r="D2480" s="58" t="s">
        <v>6977</v>
      </c>
      <c r="E2480" s="60" t="b">
        <v>1</v>
      </c>
      <c r="F2480" s="80" t="s">
        <v>877</v>
      </c>
      <c r="G2480" s="58" t="s">
        <v>6976</v>
      </c>
      <c r="H2480" s="58" t="s">
        <v>6937</v>
      </c>
      <c r="I2480" s="64" t="s">
        <v>6977</v>
      </c>
      <c r="J2480" s="66"/>
      <c r="K2480" s="66"/>
      <c r="L2480" s="68"/>
      <c r="M2480" s="63" t="str">
        <f>HYPERLINK("http://nsgreg.nga.mil/genc/view?v=870708&amp;end_month=12&amp;end_day=31&amp;end_year=2016","Correlation")</f>
        <v>Correlation</v>
      </c>
    </row>
    <row r="2481" spans="1:13" x14ac:dyDescent="0.2">
      <c r="A2481" s="113"/>
      <c r="B2481" s="58" t="s">
        <v>2411</v>
      </c>
      <c r="C2481" s="58" t="s">
        <v>1413</v>
      </c>
      <c r="D2481" s="58" t="s">
        <v>6989</v>
      </c>
      <c r="E2481" s="60" t="b">
        <v>1</v>
      </c>
      <c r="F2481" s="80" t="s">
        <v>877</v>
      </c>
      <c r="G2481" s="58" t="s">
        <v>6988</v>
      </c>
      <c r="H2481" s="58" t="s">
        <v>1413</v>
      </c>
      <c r="I2481" s="64" t="s">
        <v>6989</v>
      </c>
      <c r="J2481" s="66"/>
      <c r="K2481" s="66"/>
      <c r="L2481" s="68"/>
      <c r="M2481" s="63" t="str">
        <f>HYPERLINK("http://nsgreg.nga.mil/genc/view?v=870716&amp;end_month=12&amp;end_day=31&amp;end_year=2016","Correlation")</f>
        <v>Correlation</v>
      </c>
    </row>
    <row r="2482" spans="1:13" x14ac:dyDescent="0.2">
      <c r="A2482" s="113"/>
      <c r="B2482" s="58" t="s">
        <v>7007</v>
      </c>
      <c r="C2482" s="58" t="s">
        <v>6937</v>
      </c>
      <c r="D2482" s="58" t="s">
        <v>7006</v>
      </c>
      <c r="E2482" s="60" t="b">
        <v>1</v>
      </c>
      <c r="F2482" s="80" t="s">
        <v>877</v>
      </c>
      <c r="G2482" s="58" t="s">
        <v>7005</v>
      </c>
      <c r="H2482" s="58" t="s">
        <v>6937</v>
      </c>
      <c r="I2482" s="64" t="s">
        <v>7006</v>
      </c>
      <c r="J2482" s="66"/>
      <c r="K2482" s="66"/>
      <c r="L2482" s="68"/>
      <c r="M2482" s="63" t="str">
        <f>HYPERLINK("http://nsgreg.nga.mil/genc/view?v=870707&amp;end_month=12&amp;end_day=31&amp;end_year=2016","Correlation")</f>
        <v>Correlation</v>
      </c>
    </row>
    <row r="2483" spans="1:13" x14ac:dyDescent="0.2">
      <c r="A2483" s="113"/>
      <c r="B2483" s="58" t="s">
        <v>7010</v>
      </c>
      <c r="C2483" s="58" t="s">
        <v>6937</v>
      </c>
      <c r="D2483" s="58" t="s">
        <v>7009</v>
      </c>
      <c r="E2483" s="60" t="b">
        <v>1</v>
      </c>
      <c r="F2483" s="80" t="s">
        <v>877</v>
      </c>
      <c r="G2483" s="58" t="s">
        <v>7008</v>
      </c>
      <c r="H2483" s="58" t="s">
        <v>6937</v>
      </c>
      <c r="I2483" s="64" t="s">
        <v>7009</v>
      </c>
      <c r="J2483" s="66"/>
      <c r="K2483" s="66"/>
      <c r="L2483" s="68"/>
      <c r="M2483" s="63" t="str">
        <f>HYPERLINK("http://nsgreg.nga.mil/genc/view?v=870706&amp;end_month=12&amp;end_day=31&amp;end_year=2016","Correlation")</f>
        <v>Correlation</v>
      </c>
    </row>
    <row r="2484" spans="1:13" x14ac:dyDescent="0.2">
      <c r="A2484" s="113"/>
      <c r="B2484" s="58" t="s">
        <v>6965</v>
      </c>
      <c r="C2484" s="58" t="s">
        <v>6937</v>
      </c>
      <c r="D2484" s="58" t="s">
        <v>6964</v>
      </c>
      <c r="E2484" s="60" t="b">
        <v>1</v>
      </c>
      <c r="F2484" s="80" t="s">
        <v>877</v>
      </c>
      <c r="G2484" s="58" t="s">
        <v>6963</v>
      </c>
      <c r="H2484" s="58" t="s">
        <v>6937</v>
      </c>
      <c r="I2484" s="64" t="s">
        <v>6964</v>
      </c>
      <c r="J2484" s="66"/>
      <c r="K2484" s="66"/>
      <c r="L2484" s="68"/>
      <c r="M2484" s="63" t="str">
        <f>HYPERLINK("http://nsgreg.nga.mil/genc/view?v=870713&amp;end_month=12&amp;end_day=31&amp;end_year=2016","Correlation")</f>
        <v>Correlation</v>
      </c>
    </row>
    <row r="2485" spans="1:13" x14ac:dyDescent="0.2">
      <c r="A2485" s="113"/>
      <c r="B2485" s="58" t="s">
        <v>6962</v>
      </c>
      <c r="C2485" s="58" t="s">
        <v>6937</v>
      </c>
      <c r="D2485" s="58" t="s">
        <v>6961</v>
      </c>
      <c r="E2485" s="60" t="b">
        <v>1</v>
      </c>
      <c r="F2485" s="80" t="s">
        <v>877</v>
      </c>
      <c r="G2485" s="58" t="s">
        <v>6960</v>
      </c>
      <c r="H2485" s="58" t="s">
        <v>6937</v>
      </c>
      <c r="I2485" s="64" t="s">
        <v>6961</v>
      </c>
      <c r="J2485" s="66"/>
      <c r="K2485" s="66"/>
      <c r="L2485" s="68"/>
      <c r="M2485" s="63" t="str">
        <f>HYPERLINK("http://nsgreg.nga.mil/genc/view?v=870714&amp;end_month=12&amp;end_day=31&amp;end_year=2016","Correlation")</f>
        <v>Correlation</v>
      </c>
    </row>
    <row r="2486" spans="1:13" x14ac:dyDescent="0.2">
      <c r="A2486" s="113"/>
      <c r="B2486" s="58" t="s">
        <v>6956</v>
      </c>
      <c r="C2486" s="58" t="s">
        <v>6937</v>
      </c>
      <c r="D2486" s="58" t="s">
        <v>6955</v>
      </c>
      <c r="E2486" s="60" t="b">
        <v>1</v>
      </c>
      <c r="F2486" s="80" t="s">
        <v>877</v>
      </c>
      <c r="G2486" s="58" t="s">
        <v>6954</v>
      </c>
      <c r="H2486" s="58" t="s">
        <v>6937</v>
      </c>
      <c r="I2486" s="64" t="s">
        <v>6955</v>
      </c>
      <c r="J2486" s="66"/>
      <c r="K2486" s="66"/>
      <c r="L2486" s="68"/>
      <c r="M2486" s="63" t="str">
        <f>HYPERLINK("http://nsgreg.nga.mil/genc/view?v=870715&amp;end_month=12&amp;end_day=31&amp;end_year=2016","Correlation")</f>
        <v>Correlation</v>
      </c>
    </row>
    <row r="2487" spans="1:13" x14ac:dyDescent="0.2">
      <c r="A2487" s="113"/>
      <c r="B2487" s="58" t="s">
        <v>7016</v>
      </c>
      <c r="C2487" s="58" t="s">
        <v>6937</v>
      </c>
      <c r="D2487" s="58" t="s">
        <v>7015</v>
      </c>
      <c r="E2487" s="60" t="b">
        <v>1</v>
      </c>
      <c r="F2487" s="80" t="s">
        <v>877</v>
      </c>
      <c r="G2487" s="58" t="s">
        <v>7014</v>
      </c>
      <c r="H2487" s="58" t="s">
        <v>6937</v>
      </c>
      <c r="I2487" s="64" t="s">
        <v>7015</v>
      </c>
      <c r="J2487" s="66"/>
      <c r="K2487" s="66"/>
      <c r="L2487" s="68"/>
      <c r="M2487" s="63" t="str">
        <f>HYPERLINK("http://nsgreg.nga.mil/genc/view?v=870702&amp;end_month=12&amp;end_day=31&amp;end_year=2016","Correlation")</f>
        <v>Correlation</v>
      </c>
    </row>
    <row r="2488" spans="1:13" x14ac:dyDescent="0.2">
      <c r="A2488" s="113"/>
      <c r="B2488" s="58" t="s">
        <v>7013</v>
      </c>
      <c r="C2488" s="58" t="s">
        <v>6937</v>
      </c>
      <c r="D2488" s="58" t="s">
        <v>7012</v>
      </c>
      <c r="E2488" s="60" t="b">
        <v>1</v>
      </c>
      <c r="F2488" s="80" t="s">
        <v>877</v>
      </c>
      <c r="G2488" s="58" t="s">
        <v>7011</v>
      </c>
      <c r="H2488" s="58" t="s">
        <v>6937</v>
      </c>
      <c r="I2488" s="64" t="s">
        <v>7012</v>
      </c>
      <c r="J2488" s="66"/>
      <c r="K2488" s="66"/>
      <c r="L2488" s="68"/>
      <c r="M2488" s="63" t="str">
        <f>HYPERLINK("http://nsgreg.nga.mil/genc/view?v=870709&amp;end_month=12&amp;end_day=31&amp;end_year=2016","Correlation")</f>
        <v>Correlation</v>
      </c>
    </row>
    <row r="2489" spans="1:13" x14ac:dyDescent="0.2">
      <c r="A2489" s="113"/>
      <c r="B2489" s="58" t="s">
        <v>6975</v>
      </c>
      <c r="C2489" s="58" t="s">
        <v>6937</v>
      </c>
      <c r="D2489" s="58" t="s">
        <v>6974</v>
      </c>
      <c r="E2489" s="60" t="b">
        <v>1</v>
      </c>
      <c r="F2489" s="80" t="s">
        <v>877</v>
      </c>
      <c r="G2489" s="58" t="s">
        <v>6973</v>
      </c>
      <c r="H2489" s="58" t="s">
        <v>6937</v>
      </c>
      <c r="I2489" s="64" t="s">
        <v>6974</v>
      </c>
      <c r="J2489" s="66"/>
      <c r="K2489" s="66"/>
      <c r="L2489" s="68"/>
      <c r="M2489" s="63" t="str">
        <f>HYPERLINK("http://nsgreg.nga.mil/genc/view?v=870712&amp;end_month=12&amp;end_day=31&amp;end_year=2016","Correlation")</f>
        <v>Correlation</v>
      </c>
    </row>
    <row r="2490" spans="1:13" x14ac:dyDescent="0.2">
      <c r="A2490" s="113"/>
      <c r="B2490" s="58" t="s">
        <v>6959</v>
      </c>
      <c r="C2490" s="58" t="s">
        <v>6937</v>
      </c>
      <c r="D2490" s="58" t="s">
        <v>6958</v>
      </c>
      <c r="E2490" s="60" t="b">
        <v>1</v>
      </c>
      <c r="F2490" s="80" t="s">
        <v>877</v>
      </c>
      <c r="G2490" s="58" t="s">
        <v>6957</v>
      </c>
      <c r="H2490" s="58" t="s">
        <v>6937</v>
      </c>
      <c r="I2490" s="64" t="s">
        <v>6958</v>
      </c>
      <c r="J2490" s="66"/>
      <c r="K2490" s="66"/>
      <c r="L2490" s="68"/>
      <c r="M2490" s="63" t="str">
        <f>HYPERLINK("http://nsgreg.nga.mil/genc/view?v=870701&amp;end_month=12&amp;end_day=31&amp;end_year=2016","Correlation")</f>
        <v>Correlation</v>
      </c>
    </row>
    <row r="2491" spans="1:13" x14ac:dyDescent="0.2">
      <c r="A2491" s="113"/>
      <c r="B2491" s="58" t="s">
        <v>6950</v>
      </c>
      <c r="C2491" s="58" t="s">
        <v>6937</v>
      </c>
      <c r="D2491" s="58" t="s">
        <v>6949</v>
      </c>
      <c r="E2491" s="60" t="b">
        <v>1</v>
      </c>
      <c r="F2491" s="80" t="s">
        <v>877</v>
      </c>
      <c r="G2491" s="58" t="s">
        <v>6948</v>
      </c>
      <c r="H2491" s="58" t="s">
        <v>6937</v>
      </c>
      <c r="I2491" s="64" t="s">
        <v>6949</v>
      </c>
      <c r="J2491" s="66"/>
      <c r="K2491" s="66"/>
      <c r="L2491" s="68"/>
      <c r="M2491" s="63" t="str">
        <f>HYPERLINK("http://nsgreg.nga.mil/genc/view?v=870699&amp;end_month=12&amp;end_day=31&amp;end_year=2016","Correlation")</f>
        <v>Correlation</v>
      </c>
    </row>
    <row r="2492" spans="1:13" x14ac:dyDescent="0.2">
      <c r="A2492" s="113"/>
      <c r="B2492" s="58" t="s">
        <v>6971</v>
      </c>
      <c r="C2492" s="58" t="s">
        <v>6972</v>
      </c>
      <c r="D2492" s="58" t="s">
        <v>6970</v>
      </c>
      <c r="E2492" s="60" t="b">
        <v>1</v>
      </c>
      <c r="F2492" s="80" t="s">
        <v>877</v>
      </c>
      <c r="G2492" s="58" t="s">
        <v>6969</v>
      </c>
      <c r="H2492" s="58" t="s">
        <v>1816</v>
      </c>
      <c r="I2492" s="64" t="s">
        <v>6970</v>
      </c>
      <c r="J2492" s="66"/>
      <c r="K2492" s="66"/>
      <c r="L2492" s="68"/>
      <c r="M2492" s="63" t="str">
        <f>HYPERLINK("http://nsgreg.nga.mil/genc/view?v=870717&amp;end_month=12&amp;end_day=31&amp;end_year=2016","Correlation")</f>
        <v>Correlation</v>
      </c>
    </row>
    <row r="2493" spans="1:13" x14ac:dyDescent="0.2">
      <c r="A2493" s="113"/>
      <c r="B2493" s="58" t="s">
        <v>7004</v>
      </c>
      <c r="C2493" s="58" t="s">
        <v>6937</v>
      </c>
      <c r="D2493" s="58" t="s">
        <v>7003</v>
      </c>
      <c r="E2493" s="60" t="b">
        <v>1</v>
      </c>
      <c r="F2493" s="80" t="s">
        <v>877</v>
      </c>
      <c r="G2493" s="58" t="s">
        <v>7002</v>
      </c>
      <c r="H2493" s="58" t="s">
        <v>6937</v>
      </c>
      <c r="I2493" s="64" t="s">
        <v>7003</v>
      </c>
      <c r="J2493" s="66"/>
      <c r="K2493" s="66"/>
      <c r="L2493" s="68"/>
      <c r="M2493" s="63" t="str">
        <f>HYPERLINK("http://nsgreg.nga.mil/genc/view?v=870704&amp;end_month=12&amp;end_day=31&amp;end_year=2016","Correlation")</f>
        <v>Correlation</v>
      </c>
    </row>
    <row r="2494" spans="1:13" x14ac:dyDescent="0.2">
      <c r="A2494" s="113"/>
      <c r="B2494" s="58" t="s">
        <v>6998</v>
      </c>
      <c r="C2494" s="58" t="s">
        <v>6937</v>
      </c>
      <c r="D2494" s="58" t="s">
        <v>6997</v>
      </c>
      <c r="E2494" s="60" t="b">
        <v>1</v>
      </c>
      <c r="F2494" s="80" t="s">
        <v>877</v>
      </c>
      <c r="G2494" s="58" t="s">
        <v>6996</v>
      </c>
      <c r="H2494" s="58" t="s">
        <v>6937</v>
      </c>
      <c r="I2494" s="64" t="s">
        <v>6997</v>
      </c>
      <c r="J2494" s="66"/>
      <c r="K2494" s="66"/>
      <c r="L2494" s="68"/>
      <c r="M2494" s="63" t="str">
        <f>HYPERLINK("http://nsgreg.nga.mil/genc/view?v=870711&amp;end_month=12&amp;end_day=31&amp;end_year=2016","Correlation")</f>
        <v>Correlation</v>
      </c>
    </row>
    <row r="2495" spans="1:13" x14ac:dyDescent="0.2">
      <c r="A2495" s="113"/>
      <c r="B2495" s="58" t="s">
        <v>2886</v>
      </c>
      <c r="C2495" s="58" t="s">
        <v>1413</v>
      </c>
      <c r="D2495" s="58" t="s">
        <v>7018</v>
      </c>
      <c r="E2495" s="60" t="b">
        <v>1</v>
      </c>
      <c r="F2495" s="80" t="s">
        <v>877</v>
      </c>
      <c r="G2495" s="58" t="s">
        <v>7017</v>
      </c>
      <c r="H2495" s="58" t="s">
        <v>1413</v>
      </c>
      <c r="I2495" s="64" t="s">
        <v>7018</v>
      </c>
      <c r="J2495" s="66"/>
      <c r="K2495" s="66"/>
      <c r="L2495" s="68"/>
      <c r="M2495" s="63" t="str">
        <f>HYPERLINK("http://nsgreg.nga.mil/genc/view?v=870719&amp;end_month=12&amp;end_day=31&amp;end_year=2016","Correlation")</f>
        <v>Correlation</v>
      </c>
    </row>
    <row r="2496" spans="1:13" x14ac:dyDescent="0.2">
      <c r="A2496" s="113"/>
      <c r="B2496" s="58" t="s">
        <v>6995</v>
      </c>
      <c r="C2496" s="58" t="s">
        <v>1413</v>
      </c>
      <c r="D2496" s="58" t="s">
        <v>6994</v>
      </c>
      <c r="E2496" s="60" t="b">
        <v>1</v>
      </c>
      <c r="F2496" s="80" t="s">
        <v>877</v>
      </c>
      <c r="G2496" s="58" t="s">
        <v>6993</v>
      </c>
      <c r="H2496" s="58" t="s">
        <v>1413</v>
      </c>
      <c r="I2496" s="64" t="s">
        <v>6994</v>
      </c>
      <c r="J2496" s="66"/>
      <c r="K2496" s="66"/>
      <c r="L2496" s="68"/>
      <c r="M2496" s="63" t="str">
        <f>HYPERLINK("http://nsgreg.nga.mil/genc/view?v=870718&amp;end_month=12&amp;end_day=31&amp;end_year=2016","Correlation")</f>
        <v>Correlation</v>
      </c>
    </row>
    <row r="2497" spans="1:13" x14ac:dyDescent="0.2">
      <c r="A2497" s="113"/>
      <c r="B2497" s="58" t="s">
        <v>6981</v>
      </c>
      <c r="C2497" s="58" t="s">
        <v>6937</v>
      </c>
      <c r="D2497" s="58" t="s">
        <v>6980</v>
      </c>
      <c r="E2497" s="60" t="b">
        <v>1</v>
      </c>
      <c r="F2497" s="80" t="s">
        <v>877</v>
      </c>
      <c r="G2497" s="58" t="s">
        <v>6979</v>
      </c>
      <c r="H2497" s="58" t="s">
        <v>6937</v>
      </c>
      <c r="I2497" s="64" t="s">
        <v>6980</v>
      </c>
      <c r="J2497" s="66"/>
      <c r="K2497" s="66"/>
      <c r="L2497" s="68"/>
      <c r="M2497" s="63" t="str">
        <f>HYPERLINK("http://nsgreg.nga.mil/genc/view?v=870705&amp;end_month=12&amp;end_day=31&amp;end_year=2016","Correlation")</f>
        <v>Correlation</v>
      </c>
    </row>
    <row r="2498" spans="1:13" x14ac:dyDescent="0.2">
      <c r="A2498" s="113"/>
      <c r="B2498" s="58" t="s">
        <v>6939</v>
      </c>
      <c r="C2498" s="58" t="s">
        <v>6937</v>
      </c>
      <c r="D2498" s="58" t="s">
        <v>6938</v>
      </c>
      <c r="E2498" s="60" t="b">
        <v>1</v>
      </c>
      <c r="F2498" s="80" t="s">
        <v>877</v>
      </c>
      <c r="G2498" s="58" t="s">
        <v>6936</v>
      </c>
      <c r="H2498" s="58" t="s">
        <v>6937</v>
      </c>
      <c r="I2498" s="64" t="s">
        <v>6938</v>
      </c>
      <c r="J2498" s="66"/>
      <c r="K2498" s="66"/>
      <c r="L2498" s="68"/>
      <c r="M2498" s="63" t="str">
        <f>HYPERLINK("http://nsgreg.nga.mil/genc/view?v=870697&amp;end_month=12&amp;end_day=31&amp;end_year=2016","Correlation")</f>
        <v>Correlation</v>
      </c>
    </row>
    <row r="2499" spans="1:13" x14ac:dyDescent="0.2">
      <c r="A2499" s="113"/>
      <c r="B2499" s="58" t="s">
        <v>7001</v>
      </c>
      <c r="C2499" s="58" t="s">
        <v>6937</v>
      </c>
      <c r="D2499" s="58" t="s">
        <v>7000</v>
      </c>
      <c r="E2499" s="60" t="b">
        <v>1</v>
      </c>
      <c r="F2499" s="80" t="s">
        <v>877</v>
      </c>
      <c r="G2499" s="58" t="s">
        <v>6999</v>
      </c>
      <c r="H2499" s="58" t="s">
        <v>6937</v>
      </c>
      <c r="I2499" s="64" t="s">
        <v>7000</v>
      </c>
      <c r="J2499" s="66"/>
      <c r="K2499" s="66"/>
      <c r="L2499" s="68"/>
      <c r="M2499" s="63" t="str">
        <f>HYPERLINK("http://nsgreg.nga.mil/genc/view?v=870710&amp;end_month=12&amp;end_day=31&amp;end_year=2016","Correlation")</f>
        <v>Correlation</v>
      </c>
    </row>
    <row r="2500" spans="1:13" x14ac:dyDescent="0.2">
      <c r="A2500" s="113"/>
      <c r="B2500" s="58" t="s">
        <v>2896</v>
      </c>
      <c r="C2500" s="58" t="s">
        <v>1413</v>
      </c>
      <c r="D2500" s="58" t="s">
        <v>6947</v>
      </c>
      <c r="E2500" s="60" t="b">
        <v>1</v>
      </c>
      <c r="F2500" s="80" t="s">
        <v>877</v>
      </c>
      <c r="G2500" s="58" t="s">
        <v>6946</v>
      </c>
      <c r="H2500" s="58" t="s">
        <v>1413</v>
      </c>
      <c r="I2500" s="64" t="s">
        <v>6947</v>
      </c>
      <c r="J2500" s="66"/>
      <c r="K2500" s="66"/>
      <c r="L2500" s="68"/>
      <c r="M2500" s="63" t="str">
        <f>HYPERLINK("http://nsgreg.nga.mil/genc/view?v=870721&amp;end_month=12&amp;end_day=31&amp;end_year=2016","Correlation")</f>
        <v>Correlation</v>
      </c>
    </row>
    <row r="2501" spans="1:13" x14ac:dyDescent="0.2">
      <c r="A2501" s="113"/>
      <c r="B2501" s="58" t="s">
        <v>6992</v>
      </c>
      <c r="C2501" s="58" t="s">
        <v>1413</v>
      </c>
      <c r="D2501" s="58" t="s">
        <v>6991</v>
      </c>
      <c r="E2501" s="60" t="b">
        <v>1</v>
      </c>
      <c r="F2501" s="80" t="s">
        <v>877</v>
      </c>
      <c r="G2501" s="58" t="s">
        <v>6990</v>
      </c>
      <c r="H2501" s="58" t="s">
        <v>1413</v>
      </c>
      <c r="I2501" s="64" t="s">
        <v>6991</v>
      </c>
      <c r="J2501" s="66"/>
      <c r="K2501" s="66"/>
      <c r="L2501" s="68"/>
      <c r="M2501" s="63" t="str">
        <f>HYPERLINK("http://nsgreg.nga.mil/genc/view?v=870720&amp;end_month=12&amp;end_day=31&amp;end_year=2016","Correlation")</f>
        <v>Correlation</v>
      </c>
    </row>
    <row r="2502" spans="1:13" x14ac:dyDescent="0.2">
      <c r="A2502" s="113"/>
      <c r="B2502" s="58" t="s">
        <v>6968</v>
      </c>
      <c r="C2502" s="58" t="s">
        <v>6937</v>
      </c>
      <c r="D2502" s="58" t="s">
        <v>6967</v>
      </c>
      <c r="E2502" s="60" t="b">
        <v>1</v>
      </c>
      <c r="F2502" s="80" t="s">
        <v>877</v>
      </c>
      <c r="G2502" s="58" t="s">
        <v>6966</v>
      </c>
      <c r="H2502" s="58" t="s">
        <v>6937</v>
      </c>
      <c r="I2502" s="64" t="s">
        <v>6967</v>
      </c>
      <c r="J2502" s="66"/>
      <c r="K2502" s="66"/>
      <c r="L2502" s="68"/>
      <c r="M2502" s="63" t="str">
        <f>HYPERLINK("http://nsgreg.nga.mil/genc/view?v=870703&amp;end_month=12&amp;end_day=31&amp;end_year=2016","Correlation")</f>
        <v>Correlation</v>
      </c>
    </row>
    <row r="2503" spans="1:13" x14ac:dyDescent="0.2">
      <c r="A2503" s="113"/>
      <c r="B2503" s="58" t="s">
        <v>6987</v>
      </c>
      <c r="C2503" s="58" t="s">
        <v>1413</v>
      </c>
      <c r="D2503" s="58" t="s">
        <v>6986</v>
      </c>
      <c r="E2503" s="60" t="b">
        <v>1</v>
      </c>
      <c r="F2503" s="80" t="s">
        <v>877</v>
      </c>
      <c r="G2503" s="58" t="s">
        <v>6985</v>
      </c>
      <c r="H2503" s="58" t="s">
        <v>1413</v>
      </c>
      <c r="I2503" s="64" t="s">
        <v>6986</v>
      </c>
      <c r="J2503" s="66"/>
      <c r="K2503" s="66"/>
      <c r="L2503" s="68"/>
      <c r="M2503" s="63" t="str">
        <f>HYPERLINK("http://nsgreg.nga.mil/genc/view?v=870722&amp;end_month=12&amp;end_day=31&amp;end_year=2016","Correlation")</f>
        <v>Correlation</v>
      </c>
    </row>
    <row r="2504" spans="1:13" x14ac:dyDescent="0.2">
      <c r="A2504" s="113"/>
      <c r="B2504" s="58" t="s">
        <v>6984</v>
      </c>
      <c r="C2504" s="58" t="s">
        <v>1413</v>
      </c>
      <c r="D2504" s="58" t="s">
        <v>6983</v>
      </c>
      <c r="E2504" s="60" t="b">
        <v>1</v>
      </c>
      <c r="F2504" s="80" t="s">
        <v>877</v>
      </c>
      <c r="G2504" s="58" t="s">
        <v>6982</v>
      </c>
      <c r="H2504" s="58" t="s">
        <v>1413</v>
      </c>
      <c r="I2504" s="64" t="s">
        <v>6983</v>
      </c>
      <c r="J2504" s="66"/>
      <c r="K2504" s="66"/>
      <c r="L2504" s="68"/>
      <c r="M2504" s="63" t="str">
        <f>HYPERLINK("http://nsgreg.nga.mil/genc/view?v=870723&amp;end_month=12&amp;end_day=31&amp;end_year=2016","Correlation")</f>
        <v>Correlation</v>
      </c>
    </row>
    <row r="2505" spans="1:13" x14ac:dyDescent="0.2">
      <c r="A2505" s="114"/>
      <c r="B2505" s="71" t="s">
        <v>6953</v>
      </c>
      <c r="C2505" s="71" t="s">
        <v>6937</v>
      </c>
      <c r="D2505" s="71" t="s">
        <v>6952</v>
      </c>
      <c r="E2505" s="73" t="b">
        <v>1</v>
      </c>
      <c r="F2505" s="81" t="s">
        <v>877</v>
      </c>
      <c r="G2505" s="71" t="s">
        <v>6951</v>
      </c>
      <c r="H2505" s="71" t="s">
        <v>6937</v>
      </c>
      <c r="I2505" s="74" t="s">
        <v>6952</v>
      </c>
      <c r="J2505" s="76"/>
      <c r="K2505" s="76"/>
      <c r="L2505" s="82"/>
      <c r="M2505" s="77" t="str">
        <f>HYPERLINK("http://nsgreg.nga.mil/genc/view?v=870700&amp;end_month=12&amp;end_day=31&amp;end_year=2016","Correlation")</f>
        <v>Correlation</v>
      </c>
    </row>
    <row r="2506" spans="1:13" x14ac:dyDescent="0.2">
      <c r="A2506" s="112" t="s">
        <v>881</v>
      </c>
      <c r="B2506" s="50" t="s">
        <v>7019</v>
      </c>
      <c r="C2506" s="50" t="s">
        <v>1796</v>
      </c>
      <c r="D2506" s="50" t="s">
        <v>7020</v>
      </c>
      <c r="E2506" s="52" t="b">
        <v>1</v>
      </c>
      <c r="F2506" s="78" t="s">
        <v>881</v>
      </c>
      <c r="G2506" s="50" t="s">
        <v>7019</v>
      </c>
      <c r="H2506" s="50" t="s">
        <v>1796</v>
      </c>
      <c r="I2506" s="53" t="s">
        <v>7020</v>
      </c>
      <c r="J2506" s="55"/>
      <c r="K2506" s="55"/>
      <c r="L2506" s="79"/>
      <c r="M2506" s="56" t="str">
        <f>HYPERLINK("http://nsgreg.nga.mil/genc/view?v=870558&amp;end_month=12&amp;end_day=31&amp;end_year=2016","Correlation")</f>
        <v>Correlation</v>
      </c>
    </row>
    <row r="2507" spans="1:13" x14ac:dyDescent="0.2">
      <c r="A2507" s="113"/>
      <c r="B2507" s="58" t="s">
        <v>7021</v>
      </c>
      <c r="C2507" s="58" t="s">
        <v>1728</v>
      </c>
      <c r="D2507" s="58" t="s">
        <v>7022</v>
      </c>
      <c r="E2507" s="60" t="b">
        <v>1</v>
      </c>
      <c r="F2507" s="80" t="s">
        <v>881</v>
      </c>
      <c r="G2507" s="58" t="s">
        <v>7021</v>
      </c>
      <c r="H2507" s="58" t="s">
        <v>1728</v>
      </c>
      <c r="I2507" s="64" t="s">
        <v>7022</v>
      </c>
      <c r="J2507" s="66"/>
      <c r="K2507" s="66"/>
      <c r="L2507" s="68"/>
      <c r="M2507" s="63" t="str">
        <f>HYPERLINK("http://nsgreg.nga.mil/genc/view?v=870556&amp;end_month=12&amp;end_day=31&amp;end_year=2016","Correlation")</f>
        <v>Correlation</v>
      </c>
    </row>
    <row r="2508" spans="1:13" x14ac:dyDescent="0.2">
      <c r="A2508" s="113"/>
      <c r="B2508" s="58" t="s">
        <v>7023</v>
      </c>
      <c r="C2508" s="58" t="s">
        <v>1728</v>
      </c>
      <c r="D2508" s="58" t="s">
        <v>7024</v>
      </c>
      <c r="E2508" s="60" t="b">
        <v>1</v>
      </c>
      <c r="F2508" s="80" t="s">
        <v>881</v>
      </c>
      <c r="G2508" s="58" t="s">
        <v>7023</v>
      </c>
      <c r="H2508" s="58" t="s">
        <v>1728</v>
      </c>
      <c r="I2508" s="64" t="s">
        <v>7024</v>
      </c>
      <c r="J2508" s="66"/>
      <c r="K2508" s="66"/>
      <c r="L2508" s="68"/>
      <c r="M2508" s="63" t="str">
        <f>HYPERLINK("http://nsgreg.nga.mil/genc/view?v=870550&amp;end_month=12&amp;end_day=31&amp;end_year=2016","Correlation")</f>
        <v>Correlation</v>
      </c>
    </row>
    <row r="2509" spans="1:13" x14ac:dyDescent="0.2">
      <c r="A2509" s="113"/>
      <c r="B2509" s="58" t="s">
        <v>7025</v>
      </c>
      <c r="C2509" s="58" t="s">
        <v>1728</v>
      </c>
      <c r="D2509" s="58" t="s">
        <v>7026</v>
      </c>
      <c r="E2509" s="60" t="b">
        <v>1</v>
      </c>
      <c r="F2509" s="80" t="s">
        <v>881</v>
      </c>
      <c r="G2509" s="58" t="s">
        <v>7025</v>
      </c>
      <c r="H2509" s="58" t="s">
        <v>1728</v>
      </c>
      <c r="I2509" s="64" t="s">
        <v>7026</v>
      </c>
      <c r="J2509" s="66"/>
      <c r="K2509" s="66"/>
      <c r="L2509" s="68"/>
      <c r="M2509" s="63" t="str">
        <f>HYPERLINK("http://nsgreg.nga.mil/genc/view?v=870557&amp;end_month=12&amp;end_day=31&amp;end_year=2016","Correlation")</f>
        <v>Correlation</v>
      </c>
    </row>
    <row r="2510" spans="1:13" x14ac:dyDescent="0.2">
      <c r="A2510" s="113"/>
      <c r="B2510" s="58" t="s">
        <v>7027</v>
      </c>
      <c r="C2510" s="58" t="s">
        <v>1728</v>
      </c>
      <c r="D2510" s="58" t="s">
        <v>7028</v>
      </c>
      <c r="E2510" s="60" t="b">
        <v>1</v>
      </c>
      <c r="F2510" s="80" t="s">
        <v>881</v>
      </c>
      <c r="G2510" s="58" t="s">
        <v>7027</v>
      </c>
      <c r="H2510" s="58" t="s">
        <v>1728</v>
      </c>
      <c r="I2510" s="64" t="s">
        <v>7028</v>
      </c>
      <c r="J2510" s="66"/>
      <c r="K2510" s="66"/>
      <c r="L2510" s="68"/>
      <c r="M2510" s="63" t="str">
        <f>HYPERLINK("http://nsgreg.nga.mil/genc/view?v=870551&amp;end_month=12&amp;end_day=31&amp;end_year=2016","Correlation")</f>
        <v>Correlation</v>
      </c>
    </row>
    <row r="2511" spans="1:13" x14ac:dyDescent="0.2">
      <c r="A2511" s="113"/>
      <c r="B2511" s="58" t="s">
        <v>7029</v>
      </c>
      <c r="C2511" s="58" t="s">
        <v>1728</v>
      </c>
      <c r="D2511" s="58" t="s">
        <v>7030</v>
      </c>
      <c r="E2511" s="60" t="b">
        <v>1</v>
      </c>
      <c r="F2511" s="80" t="s">
        <v>881</v>
      </c>
      <c r="G2511" s="58" t="s">
        <v>7029</v>
      </c>
      <c r="H2511" s="58" t="s">
        <v>1728</v>
      </c>
      <c r="I2511" s="64" t="s">
        <v>7030</v>
      </c>
      <c r="J2511" s="66"/>
      <c r="K2511" s="66"/>
      <c r="L2511" s="68"/>
      <c r="M2511" s="63" t="str">
        <f>HYPERLINK("http://nsgreg.nga.mil/genc/view?v=870554&amp;end_month=12&amp;end_day=31&amp;end_year=2016","Correlation")</f>
        <v>Correlation</v>
      </c>
    </row>
    <row r="2512" spans="1:13" x14ac:dyDescent="0.2">
      <c r="A2512" s="113"/>
      <c r="B2512" s="58" t="s">
        <v>7031</v>
      </c>
      <c r="C2512" s="58" t="s">
        <v>1728</v>
      </c>
      <c r="D2512" s="58" t="s">
        <v>7032</v>
      </c>
      <c r="E2512" s="60" t="b">
        <v>1</v>
      </c>
      <c r="F2512" s="80" t="s">
        <v>881</v>
      </c>
      <c r="G2512" s="58" t="s">
        <v>7031</v>
      </c>
      <c r="H2512" s="58" t="s">
        <v>1728</v>
      </c>
      <c r="I2512" s="64" t="s">
        <v>7032</v>
      </c>
      <c r="J2512" s="66"/>
      <c r="K2512" s="66"/>
      <c r="L2512" s="68"/>
      <c r="M2512" s="63" t="str">
        <f>HYPERLINK("http://nsgreg.nga.mil/genc/view?v=870553&amp;end_month=12&amp;end_day=31&amp;end_year=2016","Correlation")</f>
        <v>Correlation</v>
      </c>
    </row>
    <row r="2513" spans="1:13" x14ac:dyDescent="0.2">
      <c r="A2513" s="113"/>
      <c r="B2513" s="58" t="s">
        <v>7033</v>
      </c>
      <c r="C2513" s="58" t="s">
        <v>1728</v>
      </c>
      <c r="D2513" s="58" t="s">
        <v>7034</v>
      </c>
      <c r="E2513" s="60" t="b">
        <v>1</v>
      </c>
      <c r="F2513" s="80" t="s">
        <v>881</v>
      </c>
      <c r="G2513" s="58" t="s">
        <v>7033</v>
      </c>
      <c r="H2513" s="58" t="s">
        <v>1728</v>
      </c>
      <c r="I2513" s="64" t="s">
        <v>7034</v>
      </c>
      <c r="J2513" s="66"/>
      <c r="K2513" s="66"/>
      <c r="L2513" s="68"/>
      <c r="M2513" s="63" t="str">
        <f>HYPERLINK("http://nsgreg.nga.mil/genc/view?v=870552&amp;end_month=12&amp;end_day=31&amp;end_year=2016","Correlation")</f>
        <v>Correlation</v>
      </c>
    </row>
    <row r="2514" spans="1:13" x14ac:dyDescent="0.2">
      <c r="A2514" s="114"/>
      <c r="B2514" s="71" t="s">
        <v>7035</v>
      </c>
      <c r="C2514" s="71" t="s">
        <v>1728</v>
      </c>
      <c r="D2514" s="71" t="s">
        <v>7036</v>
      </c>
      <c r="E2514" s="73" t="b">
        <v>1</v>
      </c>
      <c r="F2514" s="81" t="s">
        <v>881</v>
      </c>
      <c r="G2514" s="71" t="s">
        <v>7035</v>
      </c>
      <c r="H2514" s="71" t="s">
        <v>1728</v>
      </c>
      <c r="I2514" s="74" t="s">
        <v>7036</v>
      </c>
      <c r="J2514" s="76"/>
      <c r="K2514" s="76"/>
      <c r="L2514" s="82"/>
      <c r="M2514" s="77" t="str">
        <f>HYPERLINK("http://nsgreg.nga.mil/genc/view?v=870555&amp;end_month=12&amp;end_day=31&amp;end_year=2016","Correlation")</f>
        <v>Correlation</v>
      </c>
    </row>
    <row r="2515" spans="1:13" x14ac:dyDescent="0.2">
      <c r="A2515" s="112" t="s">
        <v>885</v>
      </c>
      <c r="B2515" s="50" t="s">
        <v>7037</v>
      </c>
      <c r="C2515" s="50" t="s">
        <v>7040</v>
      </c>
      <c r="D2515" s="50" t="s">
        <v>7039</v>
      </c>
      <c r="E2515" s="52" t="b">
        <v>1</v>
      </c>
      <c r="F2515" s="78" t="s">
        <v>885</v>
      </c>
      <c r="G2515" s="50" t="s">
        <v>7037</v>
      </c>
      <c r="H2515" s="50" t="s">
        <v>7038</v>
      </c>
      <c r="I2515" s="53" t="s">
        <v>7039</v>
      </c>
      <c r="J2515" s="55"/>
      <c r="K2515" s="55"/>
      <c r="L2515" s="79"/>
      <c r="M2515" s="56" t="str">
        <f>HYPERLINK("http://nsgreg.nga.mil/genc/view?v=870611&amp;end_month=12&amp;end_day=31&amp;end_year=2016","Correlation")</f>
        <v>Correlation</v>
      </c>
    </row>
    <row r="2516" spans="1:13" x14ac:dyDescent="0.2">
      <c r="A2516" s="113"/>
      <c r="B2516" s="58" t="s">
        <v>7041</v>
      </c>
      <c r="C2516" s="58" t="s">
        <v>7040</v>
      </c>
      <c r="D2516" s="58" t="s">
        <v>7042</v>
      </c>
      <c r="E2516" s="60" t="b">
        <v>1</v>
      </c>
      <c r="F2516" s="80" t="s">
        <v>885</v>
      </c>
      <c r="G2516" s="58" t="s">
        <v>7041</v>
      </c>
      <c r="H2516" s="58" t="s">
        <v>7038</v>
      </c>
      <c r="I2516" s="64" t="s">
        <v>7042</v>
      </c>
      <c r="J2516" s="66"/>
      <c r="K2516" s="66"/>
      <c r="L2516" s="68"/>
      <c r="M2516" s="63" t="str">
        <f>HYPERLINK("http://nsgreg.nga.mil/genc/view?v=870612&amp;end_month=12&amp;end_day=31&amp;end_year=2016","Correlation")</f>
        <v>Correlation</v>
      </c>
    </row>
    <row r="2517" spans="1:13" x14ac:dyDescent="0.2">
      <c r="A2517" s="113"/>
      <c r="B2517" s="58" t="s">
        <v>7043</v>
      </c>
      <c r="C2517" s="58" t="s">
        <v>7040</v>
      </c>
      <c r="D2517" s="58" t="s">
        <v>7044</v>
      </c>
      <c r="E2517" s="60" t="b">
        <v>1</v>
      </c>
      <c r="F2517" s="80" t="s">
        <v>885</v>
      </c>
      <c r="G2517" s="58" t="s">
        <v>7043</v>
      </c>
      <c r="H2517" s="58" t="s">
        <v>7038</v>
      </c>
      <c r="I2517" s="64" t="s">
        <v>7044</v>
      </c>
      <c r="J2517" s="66"/>
      <c r="K2517" s="66"/>
      <c r="L2517" s="68"/>
      <c r="M2517" s="63" t="str">
        <f>HYPERLINK("http://nsgreg.nga.mil/genc/view?v=870613&amp;end_month=12&amp;end_day=31&amp;end_year=2016","Correlation")</f>
        <v>Correlation</v>
      </c>
    </row>
    <row r="2518" spans="1:13" x14ac:dyDescent="0.2">
      <c r="A2518" s="113"/>
      <c r="B2518" s="58" t="s">
        <v>7045</v>
      </c>
      <c r="C2518" s="58" t="s">
        <v>7040</v>
      </c>
      <c r="D2518" s="58" t="s">
        <v>7046</v>
      </c>
      <c r="E2518" s="60" t="b">
        <v>1</v>
      </c>
      <c r="F2518" s="80" t="s">
        <v>885</v>
      </c>
      <c r="G2518" s="58" t="s">
        <v>7045</v>
      </c>
      <c r="H2518" s="58" t="s">
        <v>7038</v>
      </c>
      <c r="I2518" s="64" t="s">
        <v>7046</v>
      </c>
      <c r="J2518" s="66"/>
      <c r="K2518" s="66"/>
      <c r="L2518" s="68"/>
      <c r="M2518" s="63" t="str">
        <f>HYPERLINK("http://nsgreg.nga.mil/genc/view?v=870614&amp;end_month=12&amp;end_day=31&amp;end_year=2016","Correlation")</f>
        <v>Correlation</v>
      </c>
    </row>
    <row r="2519" spans="1:13" x14ac:dyDescent="0.2">
      <c r="A2519" s="113"/>
      <c r="B2519" s="58" t="s">
        <v>7047</v>
      </c>
      <c r="C2519" s="58" t="s">
        <v>7040</v>
      </c>
      <c r="D2519" s="58" t="s">
        <v>7048</v>
      </c>
      <c r="E2519" s="60" t="b">
        <v>1</v>
      </c>
      <c r="F2519" s="80" t="s">
        <v>885</v>
      </c>
      <c r="G2519" s="58" t="s">
        <v>7047</v>
      </c>
      <c r="H2519" s="58" t="s">
        <v>7038</v>
      </c>
      <c r="I2519" s="64" t="s">
        <v>7048</v>
      </c>
      <c r="J2519" s="66"/>
      <c r="K2519" s="66"/>
      <c r="L2519" s="68"/>
      <c r="M2519" s="63" t="str">
        <f>HYPERLINK("http://nsgreg.nga.mil/genc/view?v=870615&amp;end_month=12&amp;end_day=31&amp;end_year=2016","Correlation")</f>
        <v>Correlation</v>
      </c>
    </row>
    <row r="2520" spans="1:13" x14ac:dyDescent="0.2">
      <c r="A2520" s="113"/>
      <c r="B2520" s="58" t="s">
        <v>7049</v>
      </c>
      <c r="C2520" s="58" t="s">
        <v>7040</v>
      </c>
      <c r="D2520" s="58" t="s">
        <v>7050</v>
      </c>
      <c r="E2520" s="60" t="b">
        <v>1</v>
      </c>
      <c r="F2520" s="80" t="s">
        <v>885</v>
      </c>
      <c r="G2520" s="58" t="s">
        <v>7049</v>
      </c>
      <c r="H2520" s="58" t="s">
        <v>7038</v>
      </c>
      <c r="I2520" s="64" t="s">
        <v>7050</v>
      </c>
      <c r="J2520" s="66"/>
      <c r="K2520" s="66"/>
      <c r="L2520" s="68"/>
      <c r="M2520" s="63" t="str">
        <f>HYPERLINK("http://nsgreg.nga.mil/genc/view?v=870616&amp;end_month=12&amp;end_day=31&amp;end_year=2016","Correlation")</f>
        <v>Correlation</v>
      </c>
    </row>
    <row r="2521" spans="1:13" x14ac:dyDescent="0.2">
      <c r="A2521" s="113"/>
      <c r="B2521" s="58" t="s">
        <v>7051</v>
      </c>
      <c r="C2521" s="58" t="s">
        <v>7040</v>
      </c>
      <c r="D2521" s="58" t="s">
        <v>7052</v>
      </c>
      <c r="E2521" s="60" t="b">
        <v>1</v>
      </c>
      <c r="F2521" s="80" t="s">
        <v>885</v>
      </c>
      <c r="G2521" s="58" t="s">
        <v>7051</v>
      </c>
      <c r="H2521" s="58" t="s">
        <v>7038</v>
      </c>
      <c r="I2521" s="64" t="s">
        <v>7052</v>
      </c>
      <c r="J2521" s="66"/>
      <c r="K2521" s="66"/>
      <c r="L2521" s="68"/>
      <c r="M2521" s="63" t="str">
        <f>HYPERLINK("http://nsgreg.nga.mil/genc/view?v=870617&amp;end_month=12&amp;end_day=31&amp;end_year=2016","Correlation")</f>
        <v>Correlation</v>
      </c>
    </row>
    <row r="2522" spans="1:13" x14ac:dyDescent="0.2">
      <c r="A2522" s="113"/>
      <c r="B2522" s="58" t="s">
        <v>7053</v>
      </c>
      <c r="C2522" s="58" t="s">
        <v>7040</v>
      </c>
      <c r="D2522" s="58" t="s">
        <v>7054</v>
      </c>
      <c r="E2522" s="60" t="b">
        <v>1</v>
      </c>
      <c r="F2522" s="80" t="s">
        <v>885</v>
      </c>
      <c r="G2522" s="58" t="s">
        <v>7053</v>
      </c>
      <c r="H2522" s="58" t="s">
        <v>7038</v>
      </c>
      <c r="I2522" s="64" t="s">
        <v>7054</v>
      </c>
      <c r="J2522" s="66"/>
      <c r="K2522" s="66"/>
      <c r="L2522" s="68"/>
      <c r="M2522" s="63" t="str">
        <f>HYPERLINK("http://nsgreg.nga.mil/genc/view?v=870618&amp;end_month=12&amp;end_day=31&amp;end_year=2016","Correlation")</f>
        <v>Correlation</v>
      </c>
    </row>
    <row r="2523" spans="1:13" x14ac:dyDescent="0.2">
      <c r="A2523" s="113"/>
      <c r="B2523" s="58" t="s">
        <v>7055</v>
      </c>
      <c r="C2523" s="58" t="s">
        <v>7040</v>
      </c>
      <c r="D2523" s="58" t="s">
        <v>7056</v>
      </c>
      <c r="E2523" s="60" t="b">
        <v>1</v>
      </c>
      <c r="F2523" s="80" t="s">
        <v>885</v>
      </c>
      <c r="G2523" s="58" t="s">
        <v>7055</v>
      </c>
      <c r="H2523" s="58" t="s">
        <v>7038</v>
      </c>
      <c r="I2523" s="64" t="s">
        <v>7056</v>
      </c>
      <c r="J2523" s="66"/>
      <c r="K2523" s="66"/>
      <c r="L2523" s="68"/>
      <c r="M2523" s="63" t="str">
        <f>HYPERLINK("http://nsgreg.nga.mil/genc/view?v=870619&amp;end_month=12&amp;end_day=31&amp;end_year=2016","Correlation")</f>
        <v>Correlation</v>
      </c>
    </row>
    <row r="2524" spans="1:13" x14ac:dyDescent="0.2">
      <c r="A2524" s="113"/>
      <c r="B2524" s="58" t="s">
        <v>7057</v>
      </c>
      <c r="C2524" s="58" t="s">
        <v>7040</v>
      </c>
      <c r="D2524" s="58" t="s">
        <v>7058</v>
      </c>
      <c r="E2524" s="60" t="b">
        <v>1</v>
      </c>
      <c r="F2524" s="80" t="s">
        <v>885</v>
      </c>
      <c r="G2524" s="58" t="s">
        <v>7057</v>
      </c>
      <c r="H2524" s="58" t="s">
        <v>7038</v>
      </c>
      <c r="I2524" s="64" t="s">
        <v>7058</v>
      </c>
      <c r="J2524" s="66"/>
      <c r="K2524" s="66"/>
      <c r="L2524" s="68"/>
      <c r="M2524" s="63" t="str">
        <f>HYPERLINK("http://nsgreg.nga.mil/genc/view?v=870620&amp;end_month=12&amp;end_day=31&amp;end_year=2016","Correlation")</f>
        <v>Correlation</v>
      </c>
    </row>
    <row r="2525" spans="1:13" x14ac:dyDescent="0.2">
      <c r="A2525" s="113"/>
      <c r="B2525" s="58" t="s">
        <v>7059</v>
      </c>
      <c r="C2525" s="58" t="s">
        <v>7040</v>
      </c>
      <c r="D2525" s="58" t="s">
        <v>7060</v>
      </c>
      <c r="E2525" s="60" t="b">
        <v>1</v>
      </c>
      <c r="F2525" s="80" t="s">
        <v>885</v>
      </c>
      <c r="G2525" s="58" t="s">
        <v>7059</v>
      </c>
      <c r="H2525" s="58" t="s">
        <v>7038</v>
      </c>
      <c r="I2525" s="64" t="s">
        <v>7060</v>
      </c>
      <c r="J2525" s="66"/>
      <c r="K2525" s="66"/>
      <c r="L2525" s="68"/>
      <c r="M2525" s="63" t="str">
        <f>HYPERLINK("http://nsgreg.nga.mil/genc/view?v=870623&amp;end_month=12&amp;end_day=31&amp;end_year=2016","Correlation")</f>
        <v>Correlation</v>
      </c>
    </row>
    <row r="2526" spans="1:13" x14ac:dyDescent="0.2">
      <c r="A2526" s="113"/>
      <c r="B2526" s="58" t="s">
        <v>7061</v>
      </c>
      <c r="C2526" s="58" t="s">
        <v>7040</v>
      </c>
      <c r="D2526" s="58" t="s">
        <v>7062</v>
      </c>
      <c r="E2526" s="60" t="b">
        <v>1</v>
      </c>
      <c r="F2526" s="80" t="s">
        <v>885</v>
      </c>
      <c r="G2526" s="58" t="s">
        <v>7061</v>
      </c>
      <c r="H2526" s="58" t="s">
        <v>7038</v>
      </c>
      <c r="I2526" s="64" t="s">
        <v>7062</v>
      </c>
      <c r="J2526" s="66"/>
      <c r="K2526" s="66"/>
      <c r="L2526" s="68"/>
      <c r="M2526" s="63" t="str">
        <f>HYPERLINK("http://nsgreg.nga.mil/genc/view?v=870624&amp;end_month=12&amp;end_day=31&amp;end_year=2016","Correlation")</f>
        <v>Correlation</v>
      </c>
    </row>
    <row r="2527" spans="1:13" x14ac:dyDescent="0.2">
      <c r="A2527" s="113"/>
      <c r="B2527" s="58" t="s">
        <v>7063</v>
      </c>
      <c r="C2527" s="58" t="s">
        <v>7040</v>
      </c>
      <c r="D2527" s="58" t="s">
        <v>7064</v>
      </c>
      <c r="E2527" s="60" t="b">
        <v>1</v>
      </c>
      <c r="F2527" s="80" t="s">
        <v>885</v>
      </c>
      <c r="G2527" s="58" t="s">
        <v>7063</v>
      </c>
      <c r="H2527" s="58" t="s">
        <v>7038</v>
      </c>
      <c r="I2527" s="64" t="s">
        <v>7064</v>
      </c>
      <c r="J2527" s="66"/>
      <c r="K2527" s="66"/>
      <c r="L2527" s="68"/>
      <c r="M2527" s="63" t="str">
        <f>HYPERLINK("http://nsgreg.nga.mil/genc/view?v=870625&amp;end_month=12&amp;end_day=31&amp;end_year=2016","Correlation")</f>
        <v>Correlation</v>
      </c>
    </row>
    <row r="2528" spans="1:13" x14ac:dyDescent="0.2">
      <c r="A2528" s="113"/>
      <c r="B2528" s="58" t="s">
        <v>7065</v>
      </c>
      <c r="C2528" s="58" t="s">
        <v>7040</v>
      </c>
      <c r="D2528" s="58" t="s">
        <v>7066</v>
      </c>
      <c r="E2528" s="60" t="b">
        <v>1</v>
      </c>
      <c r="F2528" s="80" t="s">
        <v>885</v>
      </c>
      <c r="G2528" s="58" t="s">
        <v>7065</v>
      </c>
      <c r="H2528" s="58" t="s">
        <v>7038</v>
      </c>
      <c r="I2528" s="64" t="s">
        <v>7066</v>
      </c>
      <c r="J2528" s="66"/>
      <c r="K2528" s="66"/>
      <c r="L2528" s="68"/>
      <c r="M2528" s="63" t="str">
        <f>HYPERLINK("http://nsgreg.nga.mil/genc/view?v=870626&amp;end_month=12&amp;end_day=31&amp;end_year=2016","Correlation")</f>
        <v>Correlation</v>
      </c>
    </row>
    <row r="2529" spans="1:13" x14ac:dyDescent="0.2">
      <c r="A2529" s="113"/>
      <c r="B2529" s="58" t="s">
        <v>7067</v>
      </c>
      <c r="C2529" s="58" t="s">
        <v>7040</v>
      </c>
      <c r="D2529" s="58" t="s">
        <v>7068</v>
      </c>
      <c r="E2529" s="60" t="b">
        <v>1</v>
      </c>
      <c r="F2529" s="80" t="s">
        <v>885</v>
      </c>
      <c r="G2529" s="58" t="s">
        <v>7067</v>
      </c>
      <c r="H2529" s="58" t="s">
        <v>7038</v>
      </c>
      <c r="I2529" s="64" t="s">
        <v>7068</v>
      </c>
      <c r="J2529" s="66"/>
      <c r="K2529" s="66"/>
      <c r="L2529" s="68"/>
      <c r="M2529" s="63" t="str">
        <f>HYPERLINK("http://nsgreg.nga.mil/genc/view?v=870627&amp;end_month=12&amp;end_day=31&amp;end_year=2016","Correlation")</f>
        <v>Correlation</v>
      </c>
    </row>
    <row r="2530" spans="1:13" x14ac:dyDescent="0.2">
      <c r="A2530" s="113"/>
      <c r="B2530" s="58" t="s">
        <v>7069</v>
      </c>
      <c r="C2530" s="58" t="s">
        <v>7040</v>
      </c>
      <c r="D2530" s="58" t="s">
        <v>7070</v>
      </c>
      <c r="E2530" s="60" t="b">
        <v>1</v>
      </c>
      <c r="F2530" s="80" t="s">
        <v>885</v>
      </c>
      <c r="G2530" s="58" t="s">
        <v>7069</v>
      </c>
      <c r="H2530" s="58" t="s">
        <v>7038</v>
      </c>
      <c r="I2530" s="64" t="s">
        <v>7070</v>
      </c>
      <c r="J2530" s="66"/>
      <c r="K2530" s="66"/>
      <c r="L2530" s="68"/>
      <c r="M2530" s="63" t="str">
        <f>HYPERLINK("http://nsgreg.nga.mil/genc/view?v=870621&amp;end_month=12&amp;end_day=31&amp;end_year=2016","Correlation")</f>
        <v>Correlation</v>
      </c>
    </row>
    <row r="2531" spans="1:13" x14ac:dyDescent="0.2">
      <c r="A2531" s="113"/>
      <c r="B2531" s="58" t="s">
        <v>7071</v>
      </c>
      <c r="C2531" s="58" t="s">
        <v>7040</v>
      </c>
      <c r="D2531" s="58" t="s">
        <v>7072</v>
      </c>
      <c r="E2531" s="60" t="b">
        <v>1</v>
      </c>
      <c r="F2531" s="80" t="s">
        <v>885</v>
      </c>
      <c r="G2531" s="58" t="s">
        <v>7071</v>
      </c>
      <c r="H2531" s="58" t="s">
        <v>7038</v>
      </c>
      <c r="I2531" s="64" t="s">
        <v>7072</v>
      </c>
      <c r="J2531" s="66"/>
      <c r="K2531" s="66"/>
      <c r="L2531" s="68"/>
      <c r="M2531" s="63" t="str">
        <f>HYPERLINK("http://nsgreg.nga.mil/genc/view?v=870622&amp;end_month=12&amp;end_day=31&amp;end_year=2016","Correlation")</f>
        <v>Correlation</v>
      </c>
    </row>
    <row r="2532" spans="1:13" x14ac:dyDescent="0.2">
      <c r="A2532" s="113"/>
      <c r="B2532" s="58" t="s">
        <v>7073</v>
      </c>
      <c r="C2532" s="58" t="s">
        <v>7040</v>
      </c>
      <c r="D2532" s="58" t="s">
        <v>7074</v>
      </c>
      <c r="E2532" s="60" t="b">
        <v>1</v>
      </c>
      <c r="F2532" s="80" t="s">
        <v>885</v>
      </c>
      <c r="G2532" s="58" t="s">
        <v>7073</v>
      </c>
      <c r="H2532" s="58" t="s">
        <v>7038</v>
      </c>
      <c r="I2532" s="64" t="s">
        <v>7074</v>
      </c>
      <c r="J2532" s="66"/>
      <c r="K2532" s="66"/>
      <c r="L2532" s="68"/>
      <c r="M2532" s="63" t="str">
        <f>HYPERLINK("http://nsgreg.nga.mil/genc/view?v=870628&amp;end_month=12&amp;end_day=31&amp;end_year=2016","Correlation")</f>
        <v>Correlation</v>
      </c>
    </row>
    <row r="2533" spans="1:13" x14ac:dyDescent="0.2">
      <c r="A2533" s="113"/>
      <c r="B2533" s="58" t="s">
        <v>7075</v>
      </c>
      <c r="C2533" s="58" t="s">
        <v>7040</v>
      </c>
      <c r="D2533" s="58" t="s">
        <v>7076</v>
      </c>
      <c r="E2533" s="60" t="b">
        <v>1</v>
      </c>
      <c r="F2533" s="80" t="s">
        <v>885</v>
      </c>
      <c r="G2533" s="58" t="s">
        <v>7075</v>
      </c>
      <c r="H2533" s="58" t="s">
        <v>7038</v>
      </c>
      <c r="I2533" s="64" t="s">
        <v>7076</v>
      </c>
      <c r="J2533" s="66"/>
      <c r="K2533" s="66"/>
      <c r="L2533" s="68"/>
      <c r="M2533" s="63" t="str">
        <f>HYPERLINK("http://nsgreg.nga.mil/genc/view?v=870629&amp;end_month=12&amp;end_day=31&amp;end_year=2016","Correlation")</f>
        <v>Correlation</v>
      </c>
    </row>
    <row r="2534" spans="1:13" x14ac:dyDescent="0.2">
      <c r="A2534" s="113"/>
      <c r="B2534" s="58" t="s">
        <v>7092</v>
      </c>
      <c r="C2534" s="58" t="s">
        <v>7040</v>
      </c>
      <c r="D2534" s="58" t="s">
        <v>7093</v>
      </c>
      <c r="E2534" s="60" t="b">
        <v>1</v>
      </c>
      <c r="F2534" s="80" t="s">
        <v>885</v>
      </c>
      <c r="G2534" s="58" t="s">
        <v>7092</v>
      </c>
      <c r="H2534" s="58" t="s">
        <v>7038</v>
      </c>
      <c r="I2534" s="64" t="s">
        <v>7093</v>
      </c>
      <c r="J2534" s="66"/>
      <c r="K2534" s="66"/>
      <c r="L2534" s="68"/>
      <c r="M2534" s="63" t="str">
        <f>HYPERLINK("http://nsgreg.nga.mil/genc/view?v=870630&amp;end_month=12&amp;end_day=31&amp;end_year=2016","Correlation")</f>
        <v>Correlation</v>
      </c>
    </row>
    <row r="2535" spans="1:13" x14ac:dyDescent="0.2">
      <c r="A2535" s="113"/>
      <c r="B2535" s="58" t="s">
        <v>7094</v>
      </c>
      <c r="C2535" s="58" t="s">
        <v>7040</v>
      </c>
      <c r="D2535" s="58" t="s">
        <v>7095</v>
      </c>
      <c r="E2535" s="60" t="b">
        <v>1</v>
      </c>
      <c r="F2535" s="80" t="s">
        <v>885</v>
      </c>
      <c r="G2535" s="58" t="s">
        <v>7094</v>
      </c>
      <c r="H2535" s="58" t="s">
        <v>7038</v>
      </c>
      <c r="I2535" s="64" t="s">
        <v>7095</v>
      </c>
      <c r="J2535" s="66"/>
      <c r="K2535" s="66"/>
      <c r="L2535" s="68"/>
      <c r="M2535" s="63" t="str">
        <f>HYPERLINK("http://nsgreg.nga.mil/genc/view?v=870631&amp;end_month=12&amp;end_day=31&amp;end_year=2016","Correlation")</f>
        <v>Correlation</v>
      </c>
    </row>
    <row r="2536" spans="1:13" x14ac:dyDescent="0.2">
      <c r="A2536" s="113"/>
      <c r="B2536" s="58" t="s">
        <v>7096</v>
      </c>
      <c r="C2536" s="58" t="s">
        <v>7040</v>
      </c>
      <c r="D2536" s="58" t="s">
        <v>7097</v>
      </c>
      <c r="E2536" s="60" t="b">
        <v>1</v>
      </c>
      <c r="F2536" s="80" t="s">
        <v>885</v>
      </c>
      <c r="G2536" s="58" t="s">
        <v>7096</v>
      </c>
      <c r="H2536" s="58" t="s">
        <v>7038</v>
      </c>
      <c r="I2536" s="64" t="s">
        <v>7097</v>
      </c>
      <c r="J2536" s="66"/>
      <c r="K2536" s="66"/>
      <c r="L2536" s="68"/>
      <c r="M2536" s="63" t="str">
        <f>HYPERLINK("http://nsgreg.nga.mil/genc/view?v=870632&amp;end_month=12&amp;end_day=31&amp;end_year=2016","Correlation")</f>
        <v>Correlation</v>
      </c>
    </row>
    <row r="2537" spans="1:13" x14ac:dyDescent="0.2">
      <c r="A2537" s="113"/>
      <c r="B2537" s="58" t="s">
        <v>7098</v>
      </c>
      <c r="C2537" s="58" t="s">
        <v>7040</v>
      </c>
      <c r="D2537" s="58" t="s">
        <v>7099</v>
      </c>
      <c r="E2537" s="60" t="b">
        <v>1</v>
      </c>
      <c r="F2537" s="80" t="s">
        <v>885</v>
      </c>
      <c r="G2537" s="58" t="s">
        <v>7098</v>
      </c>
      <c r="H2537" s="58" t="s">
        <v>7038</v>
      </c>
      <c r="I2537" s="64" t="s">
        <v>7099</v>
      </c>
      <c r="J2537" s="66"/>
      <c r="K2537" s="66"/>
      <c r="L2537" s="68"/>
      <c r="M2537" s="63" t="str">
        <f>HYPERLINK("http://nsgreg.nga.mil/genc/view?v=870633&amp;end_month=12&amp;end_day=31&amp;end_year=2016","Correlation")</f>
        <v>Correlation</v>
      </c>
    </row>
    <row r="2538" spans="1:13" x14ac:dyDescent="0.2">
      <c r="A2538" s="113"/>
      <c r="B2538" s="58" t="s">
        <v>7100</v>
      </c>
      <c r="C2538" s="58" t="s">
        <v>7040</v>
      </c>
      <c r="D2538" s="58" t="s">
        <v>7101</v>
      </c>
      <c r="E2538" s="60" t="b">
        <v>1</v>
      </c>
      <c r="F2538" s="80" t="s">
        <v>885</v>
      </c>
      <c r="G2538" s="58" t="s">
        <v>7100</v>
      </c>
      <c r="H2538" s="58" t="s">
        <v>7038</v>
      </c>
      <c r="I2538" s="64" t="s">
        <v>7101</v>
      </c>
      <c r="J2538" s="66"/>
      <c r="K2538" s="66"/>
      <c r="L2538" s="68"/>
      <c r="M2538" s="63" t="str">
        <f>HYPERLINK("http://nsgreg.nga.mil/genc/view?v=870634&amp;end_month=12&amp;end_day=31&amp;end_year=2016","Correlation")</f>
        <v>Correlation</v>
      </c>
    </row>
    <row r="2539" spans="1:13" x14ac:dyDescent="0.2">
      <c r="A2539" s="113"/>
      <c r="B2539" s="58" t="s">
        <v>7102</v>
      </c>
      <c r="C2539" s="58" t="s">
        <v>7040</v>
      </c>
      <c r="D2539" s="58" t="s">
        <v>7103</v>
      </c>
      <c r="E2539" s="60" t="b">
        <v>1</v>
      </c>
      <c r="F2539" s="80" t="s">
        <v>885</v>
      </c>
      <c r="G2539" s="58" t="s">
        <v>7102</v>
      </c>
      <c r="H2539" s="58" t="s">
        <v>7038</v>
      </c>
      <c r="I2539" s="64" t="s">
        <v>7103</v>
      </c>
      <c r="J2539" s="66"/>
      <c r="K2539" s="66"/>
      <c r="L2539" s="68"/>
      <c r="M2539" s="63" t="str">
        <f>HYPERLINK("http://nsgreg.nga.mil/genc/view?v=870635&amp;end_month=12&amp;end_day=31&amp;end_year=2016","Correlation")</f>
        <v>Correlation</v>
      </c>
    </row>
    <row r="2540" spans="1:13" x14ac:dyDescent="0.2">
      <c r="A2540" s="113"/>
      <c r="B2540" s="58" t="s">
        <v>7104</v>
      </c>
      <c r="C2540" s="58" t="s">
        <v>7040</v>
      </c>
      <c r="D2540" s="58" t="s">
        <v>7105</v>
      </c>
      <c r="E2540" s="60" t="b">
        <v>1</v>
      </c>
      <c r="F2540" s="80" t="s">
        <v>885</v>
      </c>
      <c r="G2540" s="58" t="s">
        <v>7104</v>
      </c>
      <c r="H2540" s="58" t="s">
        <v>7038</v>
      </c>
      <c r="I2540" s="64" t="s">
        <v>7105</v>
      </c>
      <c r="J2540" s="66"/>
      <c r="K2540" s="66"/>
      <c r="L2540" s="68"/>
      <c r="M2540" s="63" t="str">
        <f>HYPERLINK("http://nsgreg.nga.mil/genc/view?v=870636&amp;end_month=12&amp;end_day=31&amp;end_year=2016","Correlation")</f>
        <v>Correlation</v>
      </c>
    </row>
    <row r="2541" spans="1:13" x14ac:dyDescent="0.2">
      <c r="A2541" s="113"/>
      <c r="B2541" s="58" t="s">
        <v>7106</v>
      </c>
      <c r="C2541" s="58" t="s">
        <v>7040</v>
      </c>
      <c r="D2541" s="58" t="s">
        <v>7107</v>
      </c>
      <c r="E2541" s="60" t="b">
        <v>1</v>
      </c>
      <c r="F2541" s="80" t="s">
        <v>885</v>
      </c>
      <c r="G2541" s="58" t="s">
        <v>7106</v>
      </c>
      <c r="H2541" s="58" t="s">
        <v>7038</v>
      </c>
      <c r="I2541" s="64" t="s">
        <v>7107</v>
      </c>
      <c r="J2541" s="66"/>
      <c r="K2541" s="66"/>
      <c r="L2541" s="68"/>
      <c r="M2541" s="63" t="str">
        <f>HYPERLINK("http://nsgreg.nga.mil/genc/view?v=870637&amp;end_month=12&amp;end_day=31&amp;end_year=2016","Correlation")</f>
        <v>Correlation</v>
      </c>
    </row>
    <row r="2542" spans="1:13" x14ac:dyDescent="0.2">
      <c r="A2542" s="113"/>
      <c r="B2542" s="58" t="s">
        <v>7108</v>
      </c>
      <c r="C2542" s="58" t="s">
        <v>7040</v>
      </c>
      <c r="D2542" s="58" t="s">
        <v>7109</v>
      </c>
      <c r="E2542" s="60" t="b">
        <v>1</v>
      </c>
      <c r="F2542" s="80" t="s">
        <v>885</v>
      </c>
      <c r="G2542" s="58" t="s">
        <v>7108</v>
      </c>
      <c r="H2542" s="58" t="s">
        <v>7038</v>
      </c>
      <c r="I2542" s="64" t="s">
        <v>7109</v>
      </c>
      <c r="J2542" s="66"/>
      <c r="K2542" s="66"/>
      <c r="L2542" s="68"/>
      <c r="M2542" s="63" t="str">
        <f>HYPERLINK("http://nsgreg.nga.mil/genc/view?v=870638&amp;end_month=12&amp;end_day=31&amp;end_year=2016","Correlation")</f>
        <v>Correlation</v>
      </c>
    </row>
    <row r="2543" spans="1:13" x14ac:dyDescent="0.2">
      <c r="A2543" s="113"/>
      <c r="B2543" s="58" t="s">
        <v>7079</v>
      </c>
      <c r="C2543" s="58" t="s">
        <v>7040</v>
      </c>
      <c r="D2543" s="58" t="s">
        <v>7078</v>
      </c>
      <c r="E2543" s="60" t="b">
        <v>1</v>
      </c>
      <c r="F2543" s="80" t="s">
        <v>885</v>
      </c>
      <c r="G2543" s="58" t="s">
        <v>7077</v>
      </c>
      <c r="H2543" s="58" t="s">
        <v>7038</v>
      </c>
      <c r="I2543" s="64" t="s">
        <v>7078</v>
      </c>
      <c r="J2543" s="66"/>
      <c r="K2543" s="66"/>
      <c r="L2543" s="68"/>
      <c r="M2543" s="63" t="str">
        <f>HYPERLINK("http://nsgreg.nga.mil/genc/view?v=870639&amp;end_month=12&amp;end_day=31&amp;end_year=2016","Correlation")</f>
        <v>Correlation</v>
      </c>
    </row>
    <row r="2544" spans="1:13" x14ac:dyDescent="0.2">
      <c r="A2544" s="113"/>
      <c r="B2544" s="58" t="s">
        <v>7110</v>
      </c>
      <c r="C2544" s="58" t="s">
        <v>7040</v>
      </c>
      <c r="D2544" s="58" t="s">
        <v>7111</v>
      </c>
      <c r="E2544" s="60" t="b">
        <v>1</v>
      </c>
      <c r="F2544" s="80" t="s">
        <v>885</v>
      </c>
      <c r="G2544" s="58" t="s">
        <v>7110</v>
      </c>
      <c r="H2544" s="58" t="s">
        <v>7038</v>
      </c>
      <c r="I2544" s="64" t="s">
        <v>7111</v>
      </c>
      <c r="J2544" s="66"/>
      <c r="K2544" s="66"/>
      <c r="L2544" s="68"/>
      <c r="M2544" s="63" t="str">
        <f>HYPERLINK("http://nsgreg.nga.mil/genc/view?v=870640&amp;end_month=12&amp;end_day=31&amp;end_year=2016","Correlation")</f>
        <v>Correlation</v>
      </c>
    </row>
    <row r="2545" spans="1:13" x14ac:dyDescent="0.2">
      <c r="A2545" s="113"/>
      <c r="B2545" s="58" t="s">
        <v>7082</v>
      </c>
      <c r="C2545" s="58" t="s">
        <v>7040</v>
      </c>
      <c r="D2545" s="58" t="s">
        <v>7081</v>
      </c>
      <c r="E2545" s="60" t="b">
        <v>1</v>
      </c>
      <c r="F2545" s="80" t="s">
        <v>885</v>
      </c>
      <c r="G2545" s="58" t="s">
        <v>7080</v>
      </c>
      <c r="H2545" s="58" t="s">
        <v>7038</v>
      </c>
      <c r="I2545" s="64" t="s">
        <v>7081</v>
      </c>
      <c r="J2545" s="66"/>
      <c r="K2545" s="66"/>
      <c r="L2545" s="68"/>
      <c r="M2545" s="63" t="str">
        <f>HYPERLINK("http://nsgreg.nga.mil/genc/view?v=870641&amp;end_month=12&amp;end_day=31&amp;end_year=2016","Correlation")</f>
        <v>Correlation</v>
      </c>
    </row>
    <row r="2546" spans="1:13" x14ac:dyDescent="0.2">
      <c r="A2546" s="113"/>
      <c r="B2546" s="58" t="s">
        <v>7112</v>
      </c>
      <c r="C2546" s="58" t="s">
        <v>7040</v>
      </c>
      <c r="D2546" s="58" t="s">
        <v>7113</v>
      </c>
      <c r="E2546" s="60" t="b">
        <v>1</v>
      </c>
      <c r="F2546" s="80" t="s">
        <v>885</v>
      </c>
      <c r="G2546" s="58" t="s">
        <v>7112</v>
      </c>
      <c r="H2546" s="58" t="s">
        <v>7038</v>
      </c>
      <c r="I2546" s="64" t="s">
        <v>7113</v>
      </c>
      <c r="J2546" s="66"/>
      <c r="K2546" s="66"/>
      <c r="L2546" s="68"/>
      <c r="M2546" s="63" t="str">
        <f>HYPERLINK("http://nsgreg.nga.mil/genc/view?v=870642&amp;end_month=12&amp;end_day=31&amp;end_year=2016","Correlation")</f>
        <v>Correlation</v>
      </c>
    </row>
    <row r="2547" spans="1:13" x14ac:dyDescent="0.2">
      <c r="A2547" s="113"/>
      <c r="B2547" s="58" t="s">
        <v>7085</v>
      </c>
      <c r="C2547" s="58" t="s">
        <v>7040</v>
      </c>
      <c r="D2547" s="58" t="s">
        <v>7084</v>
      </c>
      <c r="E2547" s="60" t="b">
        <v>1</v>
      </c>
      <c r="F2547" s="80" t="s">
        <v>885</v>
      </c>
      <c r="G2547" s="58" t="s">
        <v>7083</v>
      </c>
      <c r="H2547" s="58" t="s">
        <v>7038</v>
      </c>
      <c r="I2547" s="64" t="s">
        <v>7084</v>
      </c>
      <c r="J2547" s="66"/>
      <c r="K2547" s="66"/>
      <c r="L2547" s="68"/>
      <c r="M2547" s="63" t="str">
        <f>HYPERLINK("http://nsgreg.nga.mil/genc/view?v=870643&amp;end_month=12&amp;end_day=31&amp;end_year=2016","Correlation")</f>
        <v>Correlation</v>
      </c>
    </row>
    <row r="2548" spans="1:13" x14ac:dyDescent="0.2">
      <c r="A2548" s="113"/>
      <c r="B2548" s="58" t="s">
        <v>7088</v>
      </c>
      <c r="C2548" s="58" t="s">
        <v>7040</v>
      </c>
      <c r="D2548" s="58" t="s">
        <v>7087</v>
      </c>
      <c r="E2548" s="60" t="b">
        <v>1</v>
      </c>
      <c r="F2548" s="80" t="s">
        <v>885</v>
      </c>
      <c r="G2548" s="58" t="s">
        <v>7086</v>
      </c>
      <c r="H2548" s="58" t="s">
        <v>7038</v>
      </c>
      <c r="I2548" s="64" t="s">
        <v>7087</v>
      </c>
      <c r="J2548" s="66"/>
      <c r="K2548" s="66"/>
      <c r="L2548" s="68"/>
      <c r="M2548" s="63" t="str">
        <f>HYPERLINK("http://nsgreg.nga.mil/genc/view?v=870644&amp;end_month=12&amp;end_day=31&amp;end_year=2016","Correlation")</f>
        <v>Correlation</v>
      </c>
    </row>
    <row r="2549" spans="1:13" x14ac:dyDescent="0.2">
      <c r="A2549" s="113"/>
      <c r="B2549" s="58" t="s">
        <v>7091</v>
      </c>
      <c r="C2549" s="58" t="s">
        <v>7040</v>
      </c>
      <c r="D2549" s="58" t="s">
        <v>7090</v>
      </c>
      <c r="E2549" s="60" t="b">
        <v>1</v>
      </c>
      <c r="F2549" s="80" t="s">
        <v>885</v>
      </c>
      <c r="G2549" s="58" t="s">
        <v>7089</v>
      </c>
      <c r="H2549" s="58" t="s">
        <v>7038</v>
      </c>
      <c r="I2549" s="64" t="s">
        <v>7090</v>
      </c>
      <c r="J2549" s="66"/>
      <c r="K2549" s="66"/>
      <c r="L2549" s="68"/>
      <c r="M2549" s="63" t="str">
        <f>HYPERLINK("http://nsgreg.nga.mil/genc/view?v=870645&amp;end_month=12&amp;end_day=31&amp;end_year=2016","Correlation")</f>
        <v>Correlation</v>
      </c>
    </row>
    <row r="2550" spans="1:13" x14ac:dyDescent="0.2">
      <c r="A2550" s="113"/>
      <c r="B2550" s="58" t="s">
        <v>7114</v>
      </c>
      <c r="C2550" s="58" t="s">
        <v>7040</v>
      </c>
      <c r="D2550" s="58" t="s">
        <v>7115</v>
      </c>
      <c r="E2550" s="60" t="b">
        <v>1</v>
      </c>
      <c r="F2550" s="80" t="s">
        <v>885</v>
      </c>
      <c r="G2550" s="58" t="s">
        <v>7114</v>
      </c>
      <c r="H2550" s="58" t="s">
        <v>7038</v>
      </c>
      <c r="I2550" s="64" t="s">
        <v>7115</v>
      </c>
      <c r="J2550" s="66"/>
      <c r="K2550" s="66"/>
      <c r="L2550" s="68"/>
      <c r="M2550" s="63" t="str">
        <f>HYPERLINK("http://nsgreg.nga.mil/genc/view?v=870646&amp;end_month=12&amp;end_day=31&amp;end_year=2016","Correlation")</f>
        <v>Correlation</v>
      </c>
    </row>
    <row r="2551" spans="1:13" x14ac:dyDescent="0.2">
      <c r="A2551" s="113"/>
      <c r="B2551" s="58" t="s">
        <v>7116</v>
      </c>
      <c r="C2551" s="58" t="s">
        <v>7040</v>
      </c>
      <c r="D2551" s="58" t="s">
        <v>7117</v>
      </c>
      <c r="E2551" s="60" t="b">
        <v>1</v>
      </c>
      <c r="F2551" s="80" t="s">
        <v>885</v>
      </c>
      <c r="G2551" s="58" t="s">
        <v>7116</v>
      </c>
      <c r="H2551" s="58" t="s">
        <v>7038</v>
      </c>
      <c r="I2551" s="64" t="s">
        <v>7117</v>
      </c>
      <c r="J2551" s="66"/>
      <c r="K2551" s="66"/>
      <c r="L2551" s="68"/>
      <c r="M2551" s="63" t="str">
        <f>HYPERLINK("http://nsgreg.nga.mil/genc/view?v=870647&amp;end_month=12&amp;end_day=31&amp;end_year=2016","Correlation")</f>
        <v>Correlation</v>
      </c>
    </row>
    <row r="2552" spans="1:13" x14ac:dyDescent="0.2">
      <c r="A2552" s="113"/>
      <c r="B2552" s="58" t="s">
        <v>7118</v>
      </c>
      <c r="C2552" s="58" t="s">
        <v>7040</v>
      </c>
      <c r="D2552" s="58" t="s">
        <v>7119</v>
      </c>
      <c r="E2552" s="60" t="b">
        <v>1</v>
      </c>
      <c r="F2552" s="80" t="s">
        <v>885</v>
      </c>
      <c r="G2552" s="58" t="s">
        <v>7118</v>
      </c>
      <c r="H2552" s="58" t="s">
        <v>7038</v>
      </c>
      <c r="I2552" s="64" t="s">
        <v>7119</v>
      </c>
      <c r="J2552" s="66"/>
      <c r="K2552" s="66"/>
      <c r="L2552" s="68"/>
      <c r="M2552" s="63" t="str">
        <f>HYPERLINK("http://nsgreg.nga.mil/genc/view?v=870648&amp;end_month=12&amp;end_day=31&amp;end_year=2016","Correlation")</f>
        <v>Correlation</v>
      </c>
    </row>
    <row r="2553" spans="1:13" x14ac:dyDescent="0.2">
      <c r="A2553" s="113"/>
      <c r="B2553" s="58" t="s">
        <v>7120</v>
      </c>
      <c r="C2553" s="58" t="s">
        <v>7040</v>
      </c>
      <c r="D2553" s="58" t="s">
        <v>7121</v>
      </c>
      <c r="E2553" s="60" t="b">
        <v>1</v>
      </c>
      <c r="F2553" s="80" t="s">
        <v>885</v>
      </c>
      <c r="G2553" s="58" t="s">
        <v>7120</v>
      </c>
      <c r="H2553" s="58" t="s">
        <v>7038</v>
      </c>
      <c r="I2553" s="64" t="s">
        <v>7121</v>
      </c>
      <c r="J2553" s="66"/>
      <c r="K2553" s="66"/>
      <c r="L2553" s="68"/>
      <c r="M2553" s="63" t="str">
        <f>HYPERLINK("http://nsgreg.nga.mil/genc/view?v=870649&amp;end_month=12&amp;end_day=31&amp;end_year=2016","Correlation")</f>
        <v>Correlation</v>
      </c>
    </row>
    <row r="2554" spans="1:13" x14ac:dyDescent="0.2">
      <c r="A2554" s="113"/>
      <c r="B2554" s="58" t="s">
        <v>2325</v>
      </c>
      <c r="C2554" s="58" t="s">
        <v>7040</v>
      </c>
      <c r="D2554" s="58" t="s">
        <v>7122</v>
      </c>
      <c r="E2554" s="60" t="b">
        <v>1</v>
      </c>
      <c r="F2554" s="80" t="s">
        <v>885</v>
      </c>
      <c r="G2554" s="58" t="s">
        <v>2325</v>
      </c>
      <c r="H2554" s="58" t="s">
        <v>7038</v>
      </c>
      <c r="I2554" s="64" t="s">
        <v>7122</v>
      </c>
      <c r="J2554" s="66"/>
      <c r="K2554" s="66"/>
      <c r="L2554" s="68"/>
      <c r="M2554" s="63" t="str">
        <f>HYPERLINK("http://nsgreg.nga.mil/genc/view?v=870650&amp;end_month=12&amp;end_day=31&amp;end_year=2016","Correlation")</f>
        <v>Correlation</v>
      </c>
    </row>
    <row r="2555" spans="1:13" x14ac:dyDescent="0.2">
      <c r="A2555" s="113"/>
      <c r="B2555" s="58" t="s">
        <v>7123</v>
      </c>
      <c r="C2555" s="58" t="s">
        <v>7040</v>
      </c>
      <c r="D2555" s="58" t="s">
        <v>7124</v>
      </c>
      <c r="E2555" s="60" t="b">
        <v>1</v>
      </c>
      <c r="F2555" s="80" t="s">
        <v>885</v>
      </c>
      <c r="G2555" s="58" t="s">
        <v>7123</v>
      </c>
      <c r="H2555" s="58" t="s">
        <v>7038</v>
      </c>
      <c r="I2555" s="64" t="s">
        <v>7124</v>
      </c>
      <c r="J2555" s="66"/>
      <c r="K2555" s="66"/>
      <c r="L2555" s="68"/>
      <c r="M2555" s="63" t="str">
        <f>HYPERLINK("http://nsgreg.nga.mil/genc/view?v=870651&amp;end_month=12&amp;end_day=31&amp;end_year=2016","Correlation")</f>
        <v>Correlation</v>
      </c>
    </row>
    <row r="2556" spans="1:13" x14ac:dyDescent="0.2">
      <c r="A2556" s="113"/>
      <c r="B2556" s="58" t="s">
        <v>7125</v>
      </c>
      <c r="C2556" s="58" t="s">
        <v>7040</v>
      </c>
      <c r="D2556" s="58" t="s">
        <v>7126</v>
      </c>
      <c r="E2556" s="60" t="b">
        <v>1</v>
      </c>
      <c r="F2556" s="80" t="s">
        <v>885</v>
      </c>
      <c r="G2556" s="58" t="s">
        <v>7125</v>
      </c>
      <c r="H2556" s="58" t="s">
        <v>7038</v>
      </c>
      <c r="I2556" s="64" t="s">
        <v>7126</v>
      </c>
      <c r="J2556" s="66"/>
      <c r="K2556" s="66"/>
      <c r="L2556" s="68"/>
      <c r="M2556" s="63" t="str">
        <f>HYPERLINK("http://nsgreg.nga.mil/genc/view?v=870652&amp;end_month=12&amp;end_day=31&amp;end_year=2016","Correlation")</f>
        <v>Correlation</v>
      </c>
    </row>
    <row r="2557" spans="1:13" x14ac:dyDescent="0.2">
      <c r="A2557" s="113"/>
      <c r="B2557" s="58" t="s">
        <v>7127</v>
      </c>
      <c r="C2557" s="58" t="s">
        <v>7040</v>
      </c>
      <c r="D2557" s="58" t="s">
        <v>7128</v>
      </c>
      <c r="E2557" s="60" t="b">
        <v>1</v>
      </c>
      <c r="F2557" s="80" t="s">
        <v>885</v>
      </c>
      <c r="G2557" s="58" t="s">
        <v>7127</v>
      </c>
      <c r="H2557" s="58" t="s">
        <v>7038</v>
      </c>
      <c r="I2557" s="64" t="s">
        <v>7128</v>
      </c>
      <c r="J2557" s="66"/>
      <c r="K2557" s="66"/>
      <c r="L2557" s="68"/>
      <c r="M2557" s="63" t="str">
        <f>HYPERLINK("http://nsgreg.nga.mil/genc/view?v=870653&amp;end_month=12&amp;end_day=31&amp;end_year=2016","Correlation")</f>
        <v>Correlation</v>
      </c>
    </row>
    <row r="2558" spans="1:13" x14ac:dyDescent="0.2">
      <c r="A2558" s="113"/>
      <c r="B2558" s="58" t="s">
        <v>7129</v>
      </c>
      <c r="C2558" s="58" t="s">
        <v>7040</v>
      </c>
      <c r="D2558" s="58" t="s">
        <v>7130</v>
      </c>
      <c r="E2558" s="60" t="b">
        <v>1</v>
      </c>
      <c r="F2558" s="80" t="s">
        <v>885</v>
      </c>
      <c r="G2558" s="58" t="s">
        <v>7129</v>
      </c>
      <c r="H2558" s="58" t="s">
        <v>7038</v>
      </c>
      <c r="I2558" s="64" t="s">
        <v>7130</v>
      </c>
      <c r="J2558" s="66"/>
      <c r="K2558" s="66"/>
      <c r="L2558" s="68"/>
      <c r="M2558" s="63" t="str">
        <f>HYPERLINK("http://nsgreg.nga.mil/genc/view?v=870654&amp;end_month=12&amp;end_day=31&amp;end_year=2016","Correlation")</f>
        <v>Correlation</v>
      </c>
    </row>
    <row r="2559" spans="1:13" x14ac:dyDescent="0.2">
      <c r="A2559" s="113"/>
      <c r="B2559" s="58" t="s">
        <v>7136</v>
      </c>
      <c r="C2559" s="58" t="s">
        <v>7040</v>
      </c>
      <c r="D2559" s="58" t="s">
        <v>7135</v>
      </c>
      <c r="E2559" s="60" t="b">
        <v>1</v>
      </c>
      <c r="F2559" s="80" t="s">
        <v>885</v>
      </c>
      <c r="G2559" s="58" t="s">
        <v>7134</v>
      </c>
      <c r="H2559" s="58" t="s">
        <v>7038</v>
      </c>
      <c r="I2559" s="64" t="s">
        <v>7135</v>
      </c>
      <c r="J2559" s="66"/>
      <c r="K2559" s="66"/>
      <c r="L2559" s="68"/>
      <c r="M2559" s="63" t="str">
        <f>HYPERLINK("http://nsgreg.nga.mil/genc/view?v=870655&amp;end_month=12&amp;end_day=31&amp;end_year=2016","Correlation")</f>
        <v>Correlation</v>
      </c>
    </row>
    <row r="2560" spans="1:13" x14ac:dyDescent="0.2">
      <c r="A2560" s="113"/>
      <c r="B2560" s="58" t="s">
        <v>7133</v>
      </c>
      <c r="C2560" s="58" t="s">
        <v>7040</v>
      </c>
      <c r="D2560" s="58" t="s">
        <v>7132</v>
      </c>
      <c r="E2560" s="60" t="b">
        <v>1</v>
      </c>
      <c r="F2560" s="80" t="s">
        <v>885</v>
      </c>
      <c r="G2560" s="58" t="s">
        <v>7131</v>
      </c>
      <c r="H2560" s="58" t="s">
        <v>7038</v>
      </c>
      <c r="I2560" s="64" t="s">
        <v>7132</v>
      </c>
      <c r="J2560" s="66"/>
      <c r="K2560" s="66"/>
      <c r="L2560" s="68"/>
      <c r="M2560" s="63" t="str">
        <f>HYPERLINK("http://nsgreg.nga.mil/genc/view?v=870656&amp;end_month=12&amp;end_day=31&amp;end_year=2016","Correlation")</f>
        <v>Correlation</v>
      </c>
    </row>
    <row r="2561" spans="1:13" x14ac:dyDescent="0.2">
      <c r="A2561" s="113"/>
      <c r="B2561" s="58" t="s">
        <v>7137</v>
      </c>
      <c r="C2561" s="58" t="s">
        <v>7040</v>
      </c>
      <c r="D2561" s="58" t="s">
        <v>7138</v>
      </c>
      <c r="E2561" s="60" t="b">
        <v>1</v>
      </c>
      <c r="F2561" s="80" t="s">
        <v>885</v>
      </c>
      <c r="G2561" s="58" t="s">
        <v>7137</v>
      </c>
      <c r="H2561" s="58" t="s">
        <v>7038</v>
      </c>
      <c r="I2561" s="64" t="s">
        <v>7138</v>
      </c>
      <c r="J2561" s="66"/>
      <c r="K2561" s="66"/>
      <c r="L2561" s="68"/>
      <c r="M2561" s="63" t="str">
        <f>HYPERLINK("http://nsgreg.nga.mil/genc/view?v=870657&amp;end_month=12&amp;end_day=31&amp;end_year=2016","Correlation")</f>
        <v>Correlation</v>
      </c>
    </row>
    <row r="2562" spans="1:13" x14ac:dyDescent="0.2">
      <c r="A2562" s="113"/>
      <c r="B2562" s="58" t="s">
        <v>7139</v>
      </c>
      <c r="C2562" s="58" t="s">
        <v>7040</v>
      </c>
      <c r="D2562" s="58" t="s">
        <v>7140</v>
      </c>
      <c r="E2562" s="60" t="b">
        <v>1</v>
      </c>
      <c r="F2562" s="80" t="s">
        <v>885</v>
      </c>
      <c r="G2562" s="58" t="s">
        <v>7139</v>
      </c>
      <c r="H2562" s="58" t="s">
        <v>7038</v>
      </c>
      <c r="I2562" s="64" t="s">
        <v>7140</v>
      </c>
      <c r="J2562" s="66"/>
      <c r="K2562" s="66"/>
      <c r="L2562" s="68"/>
      <c r="M2562" s="63" t="str">
        <f>HYPERLINK("http://nsgreg.nga.mil/genc/view?v=870658&amp;end_month=12&amp;end_day=31&amp;end_year=2016","Correlation")</f>
        <v>Correlation</v>
      </c>
    </row>
    <row r="2563" spans="1:13" x14ac:dyDescent="0.2">
      <c r="A2563" s="113"/>
      <c r="B2563" s="58" t="s">
        <v>7141</v>
      </c>
      <c r="C2563" s="58" t="s">
        <v>7040</v>
      </c>
      <c r="D2563" s="58" t="s">
        <v>7142</v>
      </c>
      <c r="E2563" s="60" t="b">
        <v>1</v>
      </c>
      <c r="F2563" s="80" t="s">
        <v>885</v>
      </c>
      <c r="G2563" s="58" t="s">
        <v>7141</v>
      </c>
      <c r="H2563" s="58" t="s">
        <v>7038</v>
      </c>
      <c r="I2563" s="64" t="s">
        <v>7142</v>
      </c>
      <c r="J2563" s="66"/>
      <c r="K2563" s="66"/>
      <c r="L2563" s="68"/>
      <c r="M2563" s="63" t="str">
        <f>HYPERLINK("http://nsgreg.nga.mil/genc/view?v=870659&amp;end_month=12&amp;end_day=31&amp;end_year=2016","Correlation")</f>
        <v>Correlation</v>
      </c>
    </row>
    <row r="2564" spans="1:13" x14ac:dyDescent="0.2">
      <c r="A2564" s="113"/>
      <c r="B2564" s="58" t="s">
        <v>7143</v>
      </c>
      <c r="C2564" s="58" t="s">
        <v>7040</v>
      </c>
      <c r="D2564" s="58" t="s">
        <v>7144</v>
      </c>
      <c r="E2564" s="60" t="b">
        <v>1</v>
      </c>
      <c r="F2564" s="80" t="s">
        <v>885</v>
      </c>
      <c r="G2564" s="58" t="s">
        <v>7143</v>
      </c>
      <c r="H2564" s="58" t="s">
        <v>7038</v>
      </c>
      <c r="I2564" s="64" t="s">
        <v>7144</v>
      </c>
      <c r="J2564" s="66"/>
      <c r="K2564" s="66"/>
      <c r="L2564" s="68"/>
      <c r="M2564" s="63" t="str">
        <f>HYPERLINK("http://nsgreg.nga.mil/genc/view?v=870660&amp;end_month=12&amp;end_day=31&amp;end_year=2016","Correlation")</f>
        <v>Correlation</v>
      </c>
    </row>
    <row r="2565" spans="1:13" x14ac:dyDescent="0.2">
      <c r="A2565" s="113"/>
      <c r="B2565" s="58" t="s">
        <v>7145</v>
      </c>
      <c r="C2565" s="58" t="s">
        <v>7040</v>
      </c>
      <c r="D2565" s="58" t="s">
        <v>7146</v>
      </c>
      <c r="E2565" s="60" t="b">
        <v>1</v>
      </c>
      <c r="F2565" s="80" t="s">
        <v>885</v>
      </c>
      <c r="G2565" s="58" t="s">
        <v>7145</v>
      </c>
      <c r="H2565" s="58" t="s">
        <v>7038</v>
      </c>
      <c r="I2565" s="64" t="s">
        <v>7146</v>
      </c>
      <c r="J2565" s="66"/>
      <c r="K2565" s="66"/>
      <c r="L2565" s="68"/>
      <c r="M2565" s="63" t="str">
        <f>HYPERLINK("http://nsgreg.nga.mil/genc/view?v=870662&amp;end_month=12&amp;end_day=31&amp;end_year=2016","Correlation")</f>
        <v>Correlation</v>
      </c>
    </row>
    <row r="2566" spans="1:13" x14ac:dyDescent="0.2">
      <c r="A2566" s="113"/>
      <c r="B2566" s="58" t="s">
        <v>7147</v>
      </c>
      <c r="C2566" s="58" t="s">
        <v>7040</v>
      </c>
      <c r="D2566" s="58" t="s">
        <v>7148</v>
      </c>
      <c r="E2566" s="60" t="b">
        <v>1</v>
      </c>
      <c r="F2566" s="80" t="s">
        <v>885</v>
      </c>
      <c r="G2566" s="58" t="s">
        <v>7147</v>
      </c>
      <c r="H2566" s="58" t="s">
        <v>7038</v>
      </c>
      <c r="I2566" s="64" t="s">
        <v>7148</v>
      </c>
      <c r="J2566" s="66"/>
      <c r="K2566" s="66"/>
      <c r="L2566" s="68"/>
      <c r="M2566" s="63" t="str">
        <f>HYPERLINK("http://nsgreg.nga.mil/genc/view?v=870661&amp;end_month=12&amp;end_day=31&amp;end_year=2016","Correlation")</f>
        <v>Correlation</v>
      </c>
    </row>
    <row r="2567" spans="1:13" x14ac:dyDescent="0.2">
      <c r="A2567" s="113"/>
      <c r="B2567" s="58" t="s">
        <v>7149</v>
      </c>
      <c r="C2567" s="58" t="s">
        <v>7040</v>
      </c>
      <c r="D2567" s="58" t="s">
        <v>7150</v>
      </c>
      <c r="E2567" s="60" t="b">
        <v>1</v>
      </c>
      <c r="F2567" s="80" t="s">
        <v>885</v>
      </c>
      <c r="G2567" s="58" t="s">
        <v>7149</v>
      </c>
      <c r="H2567" s="58" t="s">
        <v>7038</v>
      </c>
      <c r="I2567" s="64" t="s">
        <v>7150</v>
      </c>
      <c r="J2567" s="66"/>
      <c r="K2567" s="66"/>
      <c r="L2567" s="68"/>
      <c r="M2567" s="63" t="str">
        <f>HYPERLINK("http://nsgreg.nga.mil/genc/view?v=870663&amp;end_month=12&amp;end_day=31&amp;end_year=2016","Correlation")</f>
        <v>Correlation</v>
      </c>
    </row>
    <row r="2568" spans="1:13" x14ac:dyDescent="0.2">
      <c r="A2568" s="113"/>
      <c r="B2568" s="58" t="s">
        <v>7151</v>
      </c>
      <c r="C2568" s="58" t="s">
        <v>7040</v>
      </c>
      <c r="D2568" s="58" t="s">
        <v>7152</v>
      </c>
      <c r="E2568" s="60" t="b">
        <v>1</v>
      </c>
      <c r="F2568" s="80" t="s">
        <v>885</v>
      </c>
      <c r="G2568" s="58" t="s">
        <v>7151</v>
      </c>
      <c r="H2568" s="58" t="s">
        <v>7038</v>
      </c>
      <c r="I2568" s="64" t="s">
        <v>7152</v>
      </c>
      <c r="J2568" s="66"/>
      <c r="K2568" s="66"/>
      <c r="L2568" s="68"/>
      <c r="M2568" s="63" t="str">
        <f>HYPERLINK("http://nsgreg.nga.mil/genc/view?v=870664&amp;end_month=12&amp;end_day=31&amp;end_year=2016","Correlation")</f>
        <v>Correlation</v>
      </c>
    </row>
    <row r="2569" spans="1:13" x14ac:dyDescent="0.2">
      <c r="A2569" s="113"/>
      <c r="B2569" s="58" t="s">
        <v>7153</v>
      </c>
      <c r="C2569" s="58" t="s">
        <v>7040</v>
      </c>
      <c r="D2569" s="58" t="s">
        <v>7154</v>
      </c>
      <c r="E2569" s="60" t="b">
        <v>1</v>
      </c>
      <c r="F2569" s="80" t="s">
        <v>885</v>
      </c>
      <c r="G2569" s="58" t="s">
        <v>7153</v>
      </c>
      <c r="H2569" s="58" t="s">
        <v>7038</v>
      </c>
      <c r="I2569" s="64" t="s">
        <v>7154</v>
      </c>
      <c r="J2569" s="66"/>
      <c r="K2569" s="66"/>
      <c r="L2569" s="68"/>
      <c r="M2569" s="63" t="str">
        <f>HYPERLINK("http://nsgreg.nga.mil/genc/view?v=870665&amp;end_month=12&amp;end_day=31&amp;end_year=2016","Correlation")</f>
        <v>Correlation</v>
      </c>
    </row>
    <row r="2570" spans="1:13" x14ac:dyDescent="0.2">
      <c r="A2570" s="113"/>
      <c r="B2570" s="58" t="s">
        <v>7155</v>
      </c>
      <c r="C2570" s="58" t="s">
        <v>7040</v>
      </c>
      <c r="D2570" s="58" t="s">
        <v>7156</v>
      </c>
      <c r="E2570" s="60" t="b">
        <v>1</v>
      </c>
      <c r="F2570" s="80" t="s">
        <v>885</v>
      </c>
      <c r="G2570" s="58" t="s">
        <v>7155</v>
      </c>
      <c r="H2570" s="58" t="s">
        <v>7038</v>
      </c>
      <c r="I2570" s="64" t="s">
        <v>7156</v>
      </c>
      <c r="J2570" s="66"/>
      <c r="K2570" s="66"/>
      <c r="L2570" s="68"/>
      <c r="M2570" s="63" t="str">
        <f>HYPERLINK("http://nsgreg.nga.mil/genc/view?v=870666&amp;end_month=12&amp;end_day=31&amp;end_year=2016","Correlation")</f>
        <v>Correlation</v>
      </c>
    </row>
    <row r="2571" spans="1:13" x14ac:dyDescent="0.2">
      <c r="A2571" s="113"/>
      <c r="B2571" s="58" t="s">
        <v>7157</v>
      </c>
      <c r="C2571" s="58" t="s">
        <v>7040</v>
      </c>
      <c r="D2571" s="58" t="s">
        <v>7158</v>
      </c>
      <c r="E2571" s="60" t="b">
        <v>1</v>
      </c>
      <c r="F2571" s="80" t="s">
        <v>885</v>
      </c>
      <c r="G2571" s="58" t="s">
        <v>7157</v>
      </c>
      <c r="H2571" s="58" t="s">
        <v>7038</v>
      </c>
      <c r="I2571" s="64" t="s">
        <v>7158</v>
      </c>
      <c r="J2571" s="66"/>
      <c r="K2571" s="66"/>
      <c r="L2571" s="68"/>
      <c r="M2571" s="63" t="str">
        <f>HYPERLINK("http://nsgreg.nga.mil/genc/view?v=870667&amp;end_month=12&amp;end_day=31&amp;end_year=2016","Correlation")</f>
        <v>Correlation</v>
      </c>
    </row>
    <row r="2572" spans="1:13" x14ac:dyDescent="0.2">
      <c r="A2572" s="113"/>
      <c r="B2572" s="58" t="s">
        <v>7159</v>
      </c>
      <c r="C2572" s="58" t="s">
        <v>7040</v>
      </c>
      <c r="D2572" s="58" t="s">
        <v>7160</v>
      </c>
      <c r="E2572" s="60" t="b">
        <v>1</v>
      </c>
      <c r="F2572" s="80" t="s">
        <v>885</v>
      </c>
      <c r="G2572" s="58" t="s">
        <v>7159</v>
      </c>
      <c r="H2572" s="58" t="s">
        <v>7038</v>
      </c>
      <c r="I2572" s="64" t="s">
        <v>7160</v>
      </c>
      <c r="J2572" s="66"/>
      <c r="K2572" s="66"/>
      <c r="L2572" s="68"/>
      <c r="M2572" s="63" t="str">
        <f>HYPERLINK("http://nsgreg.nga.mil/genc/view?v=870669&amp;end_month=12&amp;end_day=31&amp;end_year=2016","Correlation")</f>
        <v>Correlation</v>
      </c>
    </row>
    <row r="2573" spans="1:13" x14ac:dyDescent="0.2">
      <c r="A2573" s="113"/>
      <c r="B2573" s="58" t="s">
        <v>7161</v>
      </c>
      <c r="C2573" s="58" t="s">
        <v>7040</v>
      </c>
      <c r="D2573" s="58" t="s">
        <v>7162</v>
      </c>
      <c r="E2573" s="60" t="b">
        <v>1</v>
      </c>
      <c r="F2573" s="80" t="s">
        <v>885</v>
      </c>
      <c r="G2573" s="58" t="s">
        <v>7161</v>
      </c>
      <c r="H2573" s="58" t="s">
        <v>7038</v>
      </c>
      <c r="I2573" s="64" t="s">
        <v>7162</v>
      </c>
      <c r="J2573" s="66"/>
      <c r="K2573" s="66"/>
      <c r="L2573" s="68"/>
      <c r="M2573" s="63" t="str">
        <f>HYPERLINK("http://nsgreg.nga.mil/genc/view?v=870668&amp;end_month=12&amp;end_day=31&amp;end_year=2016","Correlation")</f>
        <v>Correlation</v>
      </c>
    </row>
    <row r="2574" spans="1:13" x14ac:dyDescent="0.2">
      <c r="A2574" s="113"/>
      <c r="B2574" s="58" t="s">
        <v>7163</v>
      </c>
      <c r="C2574" s="58" t="s">
        <v>7040</v>
      </c>
      <c r="D2574" s="58" t="s">
        <v>7164</v>
      </c>
      <c r="E2574" s="60" t="b">
        <v>1</v>
      </c>
      <c r="F2574" s="80" t="s">
        <v>885</v>
      </c>
      <c r="G2574" s="58" t="s">
        <v>7163</v>
      </c>
      <c r="H2574" s="58" t="s">
        <v>7038</v>
      </c>
      <c r="I2574" s="64" t="s">
        <v>7164</v>
      </c>
      <c r="J2574" s="66"/>
      <c r="K2574" s="66"/>
      <c r="L2574" s="68"/>
      <c r="M2574" s="63" t="str">
        <f>HYPERLINK("http://nsgreg.nga.mil/genc/view?v=870670&amp;end_month=12&amp;end_day=31&amp;end_year=2016","Correlation")</f>
        <v>Correlation</v>
      </c>
    </row>
    <row r="2575" spans="1:13" x14ac:dyDescent="0.2">
      <c r="A2575" s="113"/>
      <c r="B2575" s="58" t="s">
        <v>7165</v>
      </c>
      <c r="C2575" s="58" t="s">
        <v>7040</v>
      </c>
      <c r="D2575" s="58" t="s">
        <v>7166</v>
      </c>
      <c r="E2575" s="60" t="b">
        <v>1</v>
      </c>
      <c r="F2575" s="80" t="s">
        <v>885</v>
      </c>
      <c r="G2575" s="58" t="s">
        <v>7165</v>
      </c>
      <c r="H2575" s="58" t="s">
        <v>7038</v>
      </c>
      <c r="I2575" s="64" t="s">
        <v>7166</v>
      </c>
      <c r="J2575" s="66"/>
      <c r="K2575" s="66"/>
      <c r="L2575" s="68"/>
      <c r="M2575" s="63" t="str">
        <f>HYPERLINK("http://nsgreg.nga.mil/genc/view?v=870671&amp;end_month=12&amp;end_day=31&amp;end_year=2016","Correlation")</f>
        <v>Correlation</v>
      </c>
    </row>
    <row r="2576" spans="1:13" x14ac:dyDescent="0.2">
      <c r="A2576" s="113"/>
      <c r="B2576" s="58" t="s">
        <v>7167</v>
      </c>
      <c r="C2576" s="58" t="s">
        <v>7040</v>
      </c>
      <c r="D2576" s="58" t="s">
        <v>7168</v>
      </c>
      <c r="E2576" s="60" t="b">
        <v>1</v>
      </c>
      <c r="F2576" s="80" t="s">
        <v>885</v>
      </c>
      <c r="G2576" s="58" t="s">
        <v>7167</v>
      </c>
      <c r="H2576" s="58" t="s">
        <v>7038</v>
      </c>
      <c r="I2576" s="64" t="s">
        <v>7168</v>
      </c>
      <c r="J2576" s="66"/>
      <c r="K2576" s="66"/>
      <c r="L2576" s="68"/>
      <c r="M2576" s="63" t="str">
        <f>HYPERLINK("http://nsgreg.nga.mil/genc/view?v=870672&amp;end_month=12&amp;end_day=31&amp;end_year=2016","Correlation")</f>
        <v>Correlation</v>
      </c>
    </row>
    <row r="2577" spans="1:13" x14ac:dyDescent="0.2">
      <c r="A2577" s="113"/>
      <c r="B2577" s="58" t="s">
        <v>7169</v>
      </c>
      <c r="C2577" s="58" t="s">
        <v>7040</v>
      </c>
      <c r="D2577" s="58" t="s">
        <v>7170</v>
      </c>
      <c r="E2577" s="60" t="b">
        <v>1</v>
      </c>
      <c r="F2577" s="80" t="s">
        <v>885</v>
      </c>
      <c r="G2577" s="58" t="s">
        <v>7169</v>
      </c>
      <c r="H2577" s="58" t="s">
        <v>7038</v>
      </c>
      <c r="I2577" s="64" t="s">
        <v>7170</v>
      </c>
      <c r="J2577" s="66"/>
      <c r="K2577" s="66"/>
      <c r="L2577" s="68"/>
      <c r="M2577" s="63" t="str">
        <f>HYPERLINK("http://nsgreg.nga.mil/genc/view?v=870673&amp;end_month=12&amp;end_day=31&amp;end_year=2016","Correlation")</f>
        <v>Correlation</v>
      </c>
    </row>
    <row r="2578" spans="1:13" x14ac:dyDescent="0.2">
      <c r="A2578" s="113"/>
      <c r="B2578" s="58" t="s">
        <v>7171</v>
      </c>
      <c r="C2578" s="58" t="s">
        <v>7040</v>
      </c>
      <c r="D2578" s="58" t="s">
        <v>7172</v>
      </c>
      <c r="E2578" s="60" t="b">
        <v>1</v>
      </c>
      <c r="F2578" s="80" t="s">
        <v>885</v>
      </c>
      <c r="G2578" s="58" t="s">
        <v>7171</v>
      </c>
      <c r="H2578" s="58" t="s">
        <v>7038</v>
      </c>
      <c r="I2578" s="64" t="s">
        <v>7172</v>
      </c>
      <c r="J2578" s="66"/>
      <c r="K2578" s="66"/>
      <c r="L2578" s="68"/>
      <c r="M2578" s="63" t="str">
        <f>HYPERLINK("http://nsgreg.nga.mil/genc/view?v=870674&amp;end_month=12&amp;end_day=31&amp;end_year=2016","Correlation")</f>
        <v>Correlation</v>
      </c>
    </row>
    <row r="2579" spans="1:13" x14ac:dyDescent="0.2">
      <c r="A2579" s="113"/>
      <c r="B2579" s="58" t="s">
        <v>7178</v>
      </c>
      <c r="C2579" s="58" t="s">
        <v>7040</v>
      </c>
      <c r="D2579" s="58" t="s">
        <v>7177</v>
      </c>
      <c r="E2579" s="60" t="b">
        <v>1</v>
      </c>
      <c r="F2579" s="80" t="s">
        <v>885</v>
      </c>
      <c r="G2579" s="58" t="s">
        <v>7176</v>
      </c>
      <c r="H2579" s="58" t="s">
        <v>7038</v>
      </c>
      <c r="I2579" s="64" t="s">
        <v>7177</v>
      </c>
      <c r="J2579" s="66"/>
      <c r="K2579" s="66"/>
      <c r="L2579" s="68"/>
      <c r="M2579" s="63" t="str">
        <f>HYPERLINK("http://nsgreg.nga.mil/genc/view?v=870675&amp;end_month=12&amp;end_day=31&amp;end_year=2016","Correlation")</f>
        <v>Correlation</v>
      </c>
    </row>
    <row r="2580" spans="1:13" x14ac:dyDescent="0.2">
      <c r="A2580" s="113"/>
      <c r="B2580" s="58" t="s">
        <v>7175</v>
      </c>
      <c r="C2580" s="58" t="s">
        <v>7040</v>
      </c>
      <c r="D2580" s="58" t="s">
        <v>7174</v>
      </c>
      <c r="E2580" s="60" t="b">
        <v>1</v>
      </c>
      <c r="F2580" s="80" t="s">
        <v>885</v>
      </c>
      <c r="G2580" s="58" t="s">
        <v>7173</v>
      </c>
      <c r="H2580" s="58" t="s">
        <v>7038</v>
      </c>
      <c r="I2580" s="64" t="s">
        <v>7174</v>
      </c>
      <c r="J2580" s="66"/>
      <c r="K2580" s="66"/>
      <c r="L2580" s="68"/>
      <c r="M2580" s="63" t="str">
        <f>HYPERLINK("http://nsgreg.nga.mil/genc/view?v=870676&amp;end_month=12&amp;end_day=31&amp;end_year=2016","Correlation")</f>
        <v>Correlation</v>
      </c>
    </row>
    <row r="2581" spans="1:13" x14ac:dyDescent="0.2">
      <c r="A2581" s="113"/>
      <c r="B2581" s="58" t="s">
        <v>7179</v>
      </c>
      <c r="C2581" s="58" t="s">
        <v>7040</v>
      </c>
      <c r="D2581" s="58" t="s">
        <v>7180</v>
      </c>
      <c r="E2581" s="60" t="b">
        <v>1</v>
      </c>
      <c r="F2581" s="80" t="s">
        <v>885</v>
      </c>
      <c r="G2581" s="58" t="s">
        <v>7179</v>
      </c>
      <c r="H2581" s="58" t="s">
        <v>7038</v>
      </c>
      <c r="I2581" s="64" t="s">
        <v>7180</v>
      </c>
      <c r="J2581" s="66"/>
      <c r="K2581" s="66"/>
      <c r="L2581" s="68"/>
      <c r="M2581" s="63" t="str">
        <f>HYPERLINK("http://nsgreg.nga.mil/genc/view?v=870677&amp;end_month=12&amp;end_day=31&amp;end_year=2016","Correlation")</f>
        <v>Correlation</v>
      </c>
    </row>
    <row r="2582" spans="1:13" x14ac:dyDescent="0.2">
      <c r="A2582" s="114"/>
      <c r="B2582" s="71" t="s">
        <v>7181</v>
      </c>
      <c r="C2582" s="71" t="s">
        <v>7040</v>
      </c>
      <c r="D2582" s="71" t="s">
        <v>7182</v>
      </c>
      <c r="E2582" s="73" t="b">
        <v>1</v>
      </c>
      <c r="F2582" s="81" t="s">
        <v>885</v>
      </c>
      <c r="G2582" s="71" t="s">
        <v>7181</v>
      </c>
      <c r="H2582" s="71" t="s">
        <v>7038</v>
      </c>
      <c r="I2582" s="74" t="s">
        <v>7182</v>
      </c>
      <c r="J2582" s="76"/>
      <c r="K2582" s="76"/>
      <c r="L2582" s="82"/>
      <c r="M2582" s="77" t="str">
        <f>HYPERLINK("http://nsgreg.nga.mil/genc/view?v=870678&amp;end_month=12&amp;end_day=31&amp;end_year=2016","Correlation")</f>
        <v>Correlation</v>
      </c>
    </row>
    <row r="2583" spans="1:13" x14ac:dyDescent="0.2">
      <c r="A2583" s="112" t="s">
        <v>889</v>
      </c>
      <c r="B2583" s="50" t="s">
        <v>7183</v>
      </c>
      <c r="C2583" s="50" t="s">
        <v>1816</v>
      </c>
      <c r="D2583" s="50" t="s">
        <v>7184</v>
      </c>
      <c r="E2583" s="52" t="b">
        <v>1</v>
      </c>
      <c r="F2583" s="78" t="s">
        <v>889</v>
      </c>
      <c r="G2583" s="50" t="s">
        <v>7183</v>
      </c>
      <c r="H2583" s="50" t="s">
        <v>1816</v>
      </c>
      <c r="I2583" s="53" t="s">
        <v>7184</v>
      </c>
      <c r="J2583" s="55"/>
      <c r="K2583" s="55"/>
      <c r="L2583" s="79"/>
      <c r="M2583" s="56" t="str">
        <f>HYPERLINK("http://nsgreg.nga.mil/genc/view?v=870454&amp;end_month=12&amp;end_day=31&amp;end_year=2016","Correlation")</f>
        <v>Correlation</v>
      </c>
    </row>
    <row r="2584" spans="1:13" x14ac:dyDescent="0.2">
      <c r="A2584" s="113"/>
      <c r="B2584" s="58" t="s">
        <v>7185</v>
      </c>
      <c r="C2584" s="58" t="s">
        <v>1816</v>
      </c>
      <c r="D2584" s="58" t="s">
        <v>7186</v>
      </c>
      <c r="E2584" s="60" t="b">
        <v>1</v>
      </c>
      <c r="F2584" s="80" t="s">
        <v>889</v>
      </c>
      <c r="G2584" s="58" t="s">
        <v>7185</v>
      </c>
      <c r="H2584" s="58" t="s">
        <v>1816</v>
      </c>
      <c r="I2584" s="64" t="s">
        <v>7186</v>
      </c>
      <c r="J2584" s="66"/>
      <c r="K2584" s="66"/>
      <c r="L2584" s="68"/>
      <c r="M2584" s="63" t="str">
        <f>HYPERLINK("http://nsgreg.nga.mil/genc/view?v=870453&amp;end_month=12&amp;end_day=31&amp;end_year=2016","Correlation")</f>
        <v>Correlation</v>
      </c>
    </row>
    <row r="2585" spans="1:13" x14ac:dyDescent="0.2">
      <c r="A2585" s="113"/>
      <c r="B2585" s="58" t="s">
        <v>7187</v>
      </c>
      <c r="C2585" s="58" t="s">
        <v>1816</v>
      </c>
      <c r="D2585" s="58" t="s">
        <v>7188</v>
      </c>
      <c r="E2585" s="60" t="b">
        <v>1</v>
      </c>
      <c r="F2585" s="80" t="s">
        <v>889</v>
      </c>
      <c r="G2585" s="58" t="s">
        <v>7187</v>
      </c>
      <c r="H2585" s="58" t="s">
        <v>1816</v>
      </c>
      <c r="I2585" s="64" t="s">
        <v>7188</v>
      </c>
      <c r="J2585" s="66"/>
      <c r="K2585" s="66"/>
      <c r="L2585" s="68"/>
      <c r="M2585" s="63" t="str">
        <f>HYPERLINK("http://nsgreg.nga.mil/genc/view?v=870455&amp;end_month=12&amp;end_day=31&amp;end_year=2016","Correlation")</f>
        <v>Correlation</v>
      </c>
    </row>
    <row r="2586" spans="1:13" x14ac:dyDescent="0.2">
      <c r="A2586" s="113"/>
      <c r="B2586" s="58" t="s">
        <v>7189</v>
      </c>
      <c r="C2586" s="58" t="s">
        <v>1816</v>
      </c>
      <c r="D2586" s="58" t="s">
        <v>7190</v>
      </c>
      <c r="E2586" s="60" t="b">
        <v>1</v>
      </c>
      <c r="F2586" s="80" t="s">
        <v>889</v>
      </c>
      <c r="G2586" s="58" t="s">
        <v>7189</v>
      </c>
      <c r="H2586" s="58" t="s">
        <v>1816</v>
      </c>
      <c r="I2586" s="64" t="s">
        <v>7190</v>
      </c>
      <c r="J2586" s="66"/>
      <c r="K2586" s="66"/>
      <c r="L2586" s="68"/>
      <c r="M2586" s="63" t="str">
        <f>HYPERLINK("http://nsgreg.nga.mil/genc/view?v=870456&amp;end_month=12&amp;end_day=31&amp;end_year=2016","Correlation")</f>
        <v>Correlation</v>
      </c>
    </row>
    <row r="2587" spans="1:13" x14ac:dyDescent="0.2">
      <c r="A2587" s="113"/>
      <c r="B2587" s="58" t="s">
        <v>7193</v>
      </c>
      <c r="C2587" s="58" t="s">
        <v>1816</v>
      </c>
      <c r="D2587" s="58" t="s">
        <v>7192</v>
      </c>
      <c r="E2587" s="60" t="b">
        <v>1</v>
      </c>
      <c r="F2587" s="80" t="s">
        <v>889</v>
      </c>
      <c r="G2587" s="58" t="s">
        <v>7191</v>
      </c>
      <c r="H2587" s="58" t="s">
        <v>1816</v>
      </c>
      <c r="I2587" s="64" t="s">
        <v>7192</v>
      </c>
      <c r="J2587" s="66"/>
      <c r="K2587" s="66"/>
      <c r="L2587" s="68"/>
      <c r="M2587" s="63" t="str">
        <f>HYPERLINK("http://nsgreg.nga.mil/genc/view?v=870461&amp;end_month=12&amp;end_day=31&amp;end_year=2016","Correlation")</f>
        <v>Correlation</v>
      </c>
    </row>
    <row r="2588" spans="1:13" x14ac:dyDescent="0.2">
      <c r="A2588" s="113"/>
      <c r="B2588" s="58" t="s">
        <v>7194</v>
      </c>
      <c r="C2588" s="58" t="s">
        <v>1816</v>
      </c>
      <c r="D2588" s="58" t="s">
        <v>7195</v>
      </c>
      <c r="E2588" s="60" t="b">
        <v>1</v>
      </c>
      <c r="F2588" s="80" t="s">
        <v>889</v>
      </c>
      <c r="G2588" s="58" t="s">
        <v>7194</v>
      </c>
      <c r="H2588" s="58" t="s">
        <v>1816</v>
      </c>
      <c r="I2588" s="64" t="s">
        <v>7195</v>
      </c>
      <c r="J2588" s="66"/>
      <c r="K2588" s="66"/>
      <c r="L2588" s="68"/>
      <c r="M2588" s="63" t="str">
        <f>HYPERLINK("http://nsgreg.nga.mil/genc/view?v=870457&amp;end_month=12&amp;end_day=31&amp;end_year=2016","Correlation")</f>
        <v>Correlation</v>
      </c>
    </row>
    <row r="2589" spans="1:13" x14ac:dyDescent="0.2">
      <c r="A2589" s="113"/>
      <c r="B2589" s="58" t="s">
        <v>7198</v>
      </c>
      <c r="C2589" s="58" t="s">
        <v>1816</v>
      </c>
      <c r="D2589" s="58" t="s">
        <v>7197</v>
      </c>
      <c r="E2589" s="60" t="b">
        <v>1</v>
      </c>
      <c r="F2589" s="80" t="s">
        <v>889</v>
      </c>
      <c r="G2589" s="58" t="s">
        <v>7196</v>
      </c>
      <c r="H2589" s="58" t="s">
        <v>1816</v>
      </c>
      <c r="I2589" s="64" t="s">
        <v>7197</v>
      </c>
      <c r="J2589" s="66"/>
      <c r="K2589" s="66"/>
      <c r="L2589" s="68"/>
      <c r="M2589" s="63" t="str">
        <f>HYPERLINK("http://nsgreg.nga.mil/genc/view?v=870458&amp;end_month=12&amp;end_day=31&amp;end_year=2016","Correlation")</f>
        <v>Correlation</v>
      </c>
    </row>
    <row r="2590" spans="1:13" x14ac:dyDescent="0.2">
      <c r="A2590" s="113"/>
      <c r="B2590" s="58" t="s">
        <v>7199</v>
      </c>
      <c r="C2590" s="58" t="s">
        <v>1816</v>
      </c>
      <c r="D2590" s="58" t="s">
        <v>7200</v>
      </c>
      <c r="E2590" s="60" t="b">
        <v>1</v>
      </c>
      <c r="F2590" s="80" t="s">
        <v>889</v>
      </c>
      <c r="G2590" s="58" t="s">
        <v>7199</v>
      </c>
      <c r="H2590" s="58" t="s">
        <v>1816</v>
      </c>
      <c r="I2590" s="64" t="s">
        <v>7200</v>
      </c>
      <c r="J2590" s="66"/>
      <c r="K2590" s="66"/>
      <c r="L2590" s="68"/>
      <c r="M2590" s="63" t="str">
        <f>HYPERLINK("http://nsgreg.nga.mil/genc/view?v=870459&amp;end_month=12&amp;end_day=31&amp;end_year=2016","Correlation")</f>
        <v>Correlation</v>
      </c>
    </row>
    <row r="2591" spans="1:13" x14ac:dyDescent="0.2">
      <c r="A2591" s="113"/>
      <c r="B2591" s="58" t="s">
        <v>7201</v>
      </c>
      <c r="C2591" s="58" t="s">
        <v>1816</v>
      </c>
      <c r="D2591" s="58" t="s">
        <v>7202</v>
      </c>
      <c r="E2591" s="60" t="b">
        <v>1</v>
      </c>
      <c r="F2591" s="80" t="s">
        <v>889</v>
      </c>
      <c r="G2591" s="58" t="s">
        <v>7201</v>
      </c>
      <c r="H2591" s="58" t="s">
        <v>1816</v>
      </c>
      <c r="I2591" s="64" t="s">
        <v>7202</v>
      </c>
      <c r="J2591" s="66"/>
      <c r="K2591" s="66"/>
      <c r="L2591" s="68"/>
      <c r="M2591" s="63" t="str">
        <f>HYPERLINK("http://nsgreg.nga.mil/genc/view?v=870460&amp;end_month=12&amp;end_day=31&amp;end_year=2016","Correlation")</f>
        <v>Correlation</v>
      </c>
    </row>
    <row r="2592" spans="1:13" x14ac:dyDescent="0.2">
      <c r="A2592" s="113"/>
      <c r="B2592" s="58" t="s">
        <v>7203</v>
      </c>
      <c r="C2592" s="58" t="s">
        <v>1816</v>
      </c>
      <c r="D2592" s="58" t="s">
        <v>7204</v>
      </c>
      <c r="E2592" s="60" t="b">
        <v>1</v>
      </c>
      <c r="F2592" s="80" t="s">
        <v>889</v>
      </c>
      <c r="G2592" s="58" t="s">
        <v>7203</v>
      </c>
      <c r="H2592" s="58" t="s">
        <v>1816</v>
      </c>
      <c r="I2592" s="64" t="s">
        <v>7204</v>
      </c>
      <c r="J2592" s="66"/>
      <c r="K2592" s="66"/>
      <c r="L2592" s="68"/>
      <c r="M2592" s="63" t="str">
        <f>HYPERLINK("http://nsgreg.nga.mil/genc/view?v=870462&amp;end_month=12&amp;end_day=31&amp;end_year=2016","Correlation")</f>
        <v>Correlation</v>
      </c>
    </row>
    <row r="2593" spans="1:13" x14ac:dyDescent="0.2">
      <c r="A2593" s="113"/>
      <c r="B2593" s="58" t="s">
        <v>7205</v>
      </c>
      <c r="C2593" s="58" t="s">
        <v>1816</v>
      </c>
      <c r="D2593" s="58" t="s">
        <v>7206</v>
      </c>
      <c r="E2593" s="60" t="b">
        <v>1</v>
      </c>
      <c r="F2593" s="80" t="s">
        <v>889</v>
      </c>
      <c r="G2593" s="58" t="s">
        <v>7205</v>
      </c>
      <c r="H2593" s="58" t="s">
        <v>1816</v>
      </c>
      <c r="I2593" s="64" t="s">
        <v>7206</v>
      </c>
      <c r="J2593" s="66"/>
      <c r="K2593" s="66"/>
      <c r="L2593" s="68"/>
      <c r="M2593" s="63" t="str">
        <f>HYPERLINK("http://nsgreg.nga.mil/genc/view?v=870464&amp;end_month=12&amp;end_day=31&amp;end_year=2016","Correlation")</f>
        <v>Correlation</v>
      </c>
    </row>
    <row r="2594" spans="1:13" x14ac:dyDescent="0.2">
      <c r="A2594" s="113"/>
      <c r="B2594" s="58" t="s">
        <v>7207</v>
      </c>
      <c r="C2594" s="58" t="s">
        <v>1816</v>
      </c>
      <c r="D2594" s="58" t="s">
        <v>7208</v>
      </c>
      <c r="E2594" s="60" t="b">
        <v>1</v>
      </c>
      <c r="F2594" s="80" t="s">
        <v>889</v>
      </c>
      <c r="G2594" s="58" t="s">
        <v>7207</v>
      </c>
      <c r="H2594" s="58" t="s">
        <v>1816</v>
      </c>
      <c r="I2594" s="64" t="s">
        <v>7208</v>
      </c>
      <c r="J2594" s="66"/>
      <c r="K2594" s="66"/>
      <c r="L2594" s="68"/>
      <c r="M2594" s="63" t="str">
        <f>HYPERLINK("http://nsgreg.nga.mil/genc/view?v=870465&amp;end_month=12&amp;end_day=31&amp;end_year=2016","Correlation")</f>
        <v>Correlation</v>
      </c>
    </row>
    <row r="2595" spans="1:13" x14ac:dyDescent="0.2">
      <c r="A2595" s="113"/>
      <c r="B2595" s="58" t="s">
        <v>7209</v>
      </c>
      <c r="C2595" s="58" t="s">
        <v>1816</v>
      </c>
      <c r="D2595" s="58" t="s">
        <v>7210</v>
      </c>
      <c r="E2595" s="60" t="b">
        <v>1</v>
      </c>
      <c r="F2595" s="80" t="s">
        <v>889</v>
      </c>
      <c r="G2595" s="58" t="s">
        <v>7209</v>
      </c>
      <c r="H2595" s="58" t="s">
        <v>1816</v>
      </c>
      <c r="I2595" s="64" t="s">
        <v>7210</v>
      </c>
      <c r="J2595" s="66"/>
      <c r="K2595" s="66"/>
      <c r="L2595" s="68"/>
      <c r="M2595" s="63" t="str">
        <f>HYPERLINK("http://nsgreg.nga.mil/genc/view?v=870466&amp;end_month=12&amp;end_day=31&amp;end_year=2016","Correlation")</f>
        <v>Correlation</v>
      </c>
    </row>
    <row r="2596" spans="1:13" x14ac:dyDescent="0.2">
      <c r="A2596" s="113"/>
      <c r="B2596" s="58" t="s">
        <v>7211</v>
      </c>
      <c r="C2596" s="58" t="s">
        <v>1816</v>
      </c>
      <c r="D2596" s="58" t="s">
        <v>7212</v>
      </c>
      <c r="E2596" s="60" t="b">
        <v>1</v>
      </c>
      <c r="F2596" s="80" t="s">
        <v>889</v>
      </c>
      <c r="G2596" s="58" t="s">
        <v>7211</v>
      </c>
      <c r="H2596" s="58" t="s">
        <v>1816</v>
      </c>
      <c r="I2596" s="64" t="s">
        <v>7212</v>
      </c>
      <c r="J2596" s="66"/>
      <c r="K2596" s="66"/>
      <c r="L2596" s="68"/>
      <c r="M2596" s="63" t="str">
        <f>HYPERLINK("http://nsgreg.nga.mil/genc/view?v=870467&amp;end_month=12&amp;end_day=31&amp;end_year=2016","Correlation")</f>
        <v>Correlation</v>
      </c>
    </row>
    <row r="2597" spans="1:13" x14ac:dyDescent="0.2">
      <c r="A2597" s="113"/>
      <c r="B2597" s="58" t="s">
        <v>7213</v>
      </c>
      <c r="C2597" s="58" t="s">
        <v>1816</v>
      </c>
      <c r="D2597" s="58" t="s">
        <v>7214</v>
      </c>
      <c r="E2597" s="60" t="b">
        <v>1</v>
      </c>
      <c r="F2597" s="80" t="s">
        <v>889</v>
      </c>
      <c r="G2597" s="58" t="s">
        <v>7213</v>
      </c>
      <c r="H2597" s="58" t="s">
        <v>1816</v>
      </c>
      <c r="I2597" s="64" t="s">
        <v>7214</v>
      </c>
      <c r="J2597" s="66"/>
      <c r="K2597" s="66"/>
      <c r="L2597" s="68"/>
      <c r="M2597" s="63" t="str">
        <f>HYPERLINK("http://nsgreg.nga.mil/genc/view?v=870468&amp;end_month=12&amp;end_day=31&amp;end_year=2016","Correlation")</f>
        <v>Correlation</v>
      </c>
    </row>
    <row r="2598" spans="1:13" x14ac:dyDescent="0.2">
      <c r="A2598" s="113"/>
      <c r="B2598" s="58" t="s">
        <v>7215</v>
      </c>
      <c r="C2598" s="58" t="s">
        <v>1816</v>
      </c>
      <c r="D2598" s="58" t="s">
        <v>7216</v>
      </c>
      <c r="E2598" s="60" t="b">
        <v>1</v>
      </c>
      <c r="F2598" s="80" t="s">
        <v>889</v>
      </c>
      <c r="G2598" s="58" t="s">
        <v>7215</v>
      </c>
      <c r="H2598" s="58" t="s">
        <v>1816</v>
      </c>
      <c r="I2598" s="64" t="s">
        <v>7216</v>
      </c>
      <c r="J2598" s="66"/>
      <c r="K2598" s="66"/>
      <c r="L2598" s="68"/>
      <c r="M2598" s="63" t="str">
        <f>HYPERLINK("http://nsgreg.nga.mil/genc/view?v=870469&amp;end_month=12&amp;end_day=31&amp;end_year=2016","Correlation")</f>
        <v>Correlation</v>
      </c>
    </row>
    <row r="2599" spans="1:13" x14ac:dyDescent="0.2">
      <c r="A2599" s="113"/>
      <c r="B2599" s="58" t="s">
        <v>7217</v>
      </c>
      <c r="C2599" s="58" t="s">
        <v>1816</v>
      </c>
      <c r="D2599" s="58" t="s">
        <v>7218</v>
      </c>
      <c r="E2599" s="60" t="b">
        <v>1</v>
      </c>
      <c r="F2599" s="80" t="s">
        <v>889</v>
      </c>
      <c r="G2599" s="58" t="s">
        <v>7217</v>
      </c>
      <c r="H2599" s="58" t="s">
        <v>1816</v>
      </c>
      <c r="I2599" s="64" t="s">
        <v>7218</v>
      </c>
      <c r="J2599" s="66"/>
      <c r="K2599" s="66"/>
      <c r="L2599" s="68"/>
      <c r="M2599" s="63" t="str">
        <f>HYPERLINK("http://nsgreg.nga.mil/genc/view?v=870470&amp;end_month=12&amp;end_day=31&amp;end_year=2016","Correlation")</f>
        <v>Correlation</v>
      </c>
    </row>
    <row r="2600" spans="1:13" x14ac:dyDescent="0.2">
      <c r="A2600" s="113"/>
      <c r="B2600" s="58" t="s">
        <v>7219</v>
      </c>
      <c r="C2600" s="58" t="s">
        <v>1816</v>
      </c>
      <c r="D2600" s="58" t="s">
        <v>7220</v>
      </c>
      <c r="E2600" s="60" t="b">
        <v>1</v>
      </c>
      <c r="F2600" s="80" t="s">
        <v>889</v>
      </c>
      <c r="G2600" s="58" t="s">
        <v>7219</v>
      </c>
      <c r="H2600" s="58" t="s">
        <v>1816</v>
      </c>
      <c r="I2600" s="64" t="s">
        <v>7220</v>
      </c>
      <c r="J2600" s="66"/>
      <c r="K2600" s="66"/>
      <c r="L2600" s="68"/>
      <c r="M2600" s="63" t="str">
        <f>HYPERLINK("http://nsgreg.nga.mil/genc/view?v=870471&amp;end_month=12&amp;end_day=31&amp;end_year=2016","Correlation")</f>
        <v>Correlation</v>
      </c>
    </row>
    <row r="2601" spans="1:13" x14ac:dyDescent="0.2">
      <c r="A2601" s="113"/>
      <c r="B2601" s="58" t="s">
        <v>7221</v>
      </c>
      <c r="C2601" s="58" t="s">
        <v>1816</v>
      </c>
      <c r="D2601" s="58" t="s">
        <v>7222</v>
      </c>
      <c r="E2601" s="60" t="b">
        <v>1</v>
      </c>
      <c r="F2601" s="80" t="s">
        <v>889</v>
      </c>
      <c r="G2601" s="58" t="s">
        <v>7221</v>
      </c>
      <c r="H2601" s="58" t="s">
        <v>1816</v>
      </c>
      <c r="I2601" s="64" t="s">
        <v>7222</v>
      </c>
      <c r="J2601" s="66"/>
      <c r="K2601" s="66"/>
      <c r="L2601" s="68"/>
      <c r="M2601" s="63" t="str">
        <f>HYPERLINK("http://nsgreg.nga.mil/genc/view?v=870472&amp;end_month=12&amp;end_day=31&amp;end_year=2016","Correlation")</f>
        <v>Correlation</v>
      </c>
    </row>
    <row r="2602" spans="1:13" x14ac:dyDescent="0.2">
      <c r="A2602" s="113"/>
      <c r="B2602" s="58" t="s">
        <v>7226</v>
      </c>
      <c r="C2602" s="58" t="s">
        <v>7224</v>
      </c>
      <c r="D2602" s="58" t="s">
        <v>7225</v>
      </c>
      <c r="E2602" s="60" t="b">
        <v>1</v>
      </c>
      <c r="F2602" s="80" t="s">
        <v>889</v>
      </c>
      <c r="G2602" s="58" t="s">
        <v>7223</v>
      </c>
      <c r="H2602" s="58" t="s">
        <v>7224</v>
      </c>
      <c r="I2602" s="64" t="s">
        <v>7225</v>
      </c>
      <c r="J2602" s="66"/>
      <c r="K2602" s="66"/>
      <c r="L2602" s="68"/>
      <c r="M2602" s="63" t="str">
        <f>HYPERLINK("http://nsgreg.nga.mil/genc/view?v=870463&amp;end_month=12&amp;end_day=31&amp;end_year=2016","Correlation")</f>
        <v>Correlation</v>
      </c>
    </row>
    <row r="2603" spans="1:13" x14ac:dyDescent="0.2">
      <c r="A2603" s="113"/>
      <c r="B2603" s="58" t="s">
        <v>7229</v>
      </c>
      <c r="C2603" s="58" t="s">
        <v>7224</v>
      </c>
      <c r="D2603" s="58" t="s">
        <v>7228</v>
      </c>
      <c r="E2603" s="60" t="b">
        <v>1</v>
      </c>
      <c r="F2603" s="80" t="s">
        <v>889</v>
      </c>
      <c r="G2603" s="58" t="s">
        <v>7227</v>
      </c>
      <c r="H2603" s="58" t="s">
        <v>7224</v>
      </c>
      <c r="I2603" s="64" t="s">
        <v>7228</v>
      </c>
      <c r="J2603" s="66"/>
      <c r="K2603" s="66"/>
      <c r="L2603" s="68"/>
      <c r="M2603" s="63" t="str">
        <f>HYPERLINK("http://nsgreg.nga.mil/genc/view?v=870474&amp;end_month=12&amp;end_day=31&amp;end_year=2016","Correlation")</f>
        <v>Correlation</v>
      </c>
    </row>
    <row r="2604" spans="1:13" x14ac:dyDescent="0.2">
      <c r="A2604" s="113"/>
      <c r="B2604" s="58" t="s">
        <v>7230</v>
      </c>
      <c r="C2604" s="58" t="s">
        <v>1816</v>
      </c>
      <c r="D2604" s="58" t="s">
        <v>7231</v>
      </c>
      <c r="E2604" s="60" t="b">
        <v>1</v>
      </c>
      <c r="F2604" s="80" t="s">
        <v>889</v>
      </c>
      <c r="G2604" s="58" t="s">
        <v>7230</v>
      </c>
      <c r="H2604" s="58" t="s">
        <v>1816</v>
      </c>
      <c r="I2604" s="64" t="s">
        <v>7231</v>
      </c>
      <c r="J2604" s="66"/>
      <c r="K2604" s="66"/>
      <c r="L2604" s="68"/>
      <c r="M2604" s="63" t="str">
        <f>HYPERLINK("http://nsgreg.nga.mil/genc/view?v=870473&amp;end_month=12&amp;end_day=31&amp;end_year=2016","Correlation")</f>
        <v>Correlation</v>
      </c>
    </row>
    <row r="2605" spans="1:13" x14ac:dyDescent="0.2">
      <c r="A2605" s="113"/>
      <c r="B2605" s="58" t="s">
        <v>7232</v>
      </c>
      <c r="C2605" s="58" t="s">
        <v>1816</v>
      </c>
      <c r="D2605" s="58" t="s">
        <v>7233</v>
      </c>
      <c r="E2605" s="60" t="b">
        <v>1</v>
      </c>
      <c r="F2605" s="80" t="s">
        <v>889</v>
      </c>
      <c r="G2605" s="58" t="s">
        <v>7232</v>
      </c>
      <c r="H2605" s="58" t="s">
        <v>1816</v>
      </c>
      <c r="I2605" s="64" t="s">
        <v>7233</v>
      </c>
      <c r="J2605" s="66"/>
      <c r="K2605" s="66"/>
      <c r="L2605" s="68"/>
      <c r="M2605" s="63" t="str">
        <f>HYPERLINK("http://nsgreg.nga.mil/genc/view?v=870475&amp;end_month=12&amp;end_day=31&amp;end_year=2016","Correlation")</f>
        <v>Correlation</v>
      </c>
    </row>
    <row r="2606" spans="1:13" x14ac:dyDescent="0.2">
      <c r="A2606" s="113"/>
      <c r="B2606" s="58" t="s">
        <v>7234</v>
      </c>
      <c r="C2606" s="58" t="s">
        <v>1816</v>
      </c>
      <c r="D2606" s="58" t="s">
        <v>7235</v>
      </c>
      <c r="E2606" s="60" t="b">
        <v>1</v>
      </c>
      <c r="F2606" s="80" t="s">
        <v>889</v>
      </c>
      <c r="G2606" s="58" t="s">
        <v>7234</v>
      </c>
      <c r="H2606" s="58" t="s">
        <v>1816</v>
      </c>
      <c r="I2606" s="64" t="s">
        <v>7235</v>
      </c>
      <c r="J2606" s="66"/>
      <c r="K2606" s="66"/>
      <c r="L2606" s="68"/>
      <c r="M2606" s="63" t="str">
        <f>HYPERLINK("http://nsgreg.nga.mil/genc/view?v=870476&amp;end_month=12&amp;end_day=31&amp;end_year=2016","Correlation")</f>
        <v>Correlation</v>
      </c>
    </row>
    <row r="2607" spans="1:13" x14ac:dyDescent="0.2">
      <c r="A2607" s="113"/>
      <c r="B2607" s="58" t="s">
        <v>7236</v>
      </c>
      <c r="C2607" s="58" t="s">
        <v>1816</v>
      </c>
      <c r="D2607" s="58" t="s">
        <v>7237</v>
      </c>
      <c r="E2607" s="60" t="b">
        <v>1</v>
      </c>
      <c r="F2607" s="80" t="s">
        <v>889</v>
      </c>
      <c r="G2607" s="58" t="s">
        <v>7236</v>
      </c>
      <c r="H2607" s="58" t="s">
        <v>1816</v>
      </c>
      <c r="I2607" s="64" t="s">
        <v>7237</v>
      </c>
      <c r="J2607" s="66"/>
      <c r="K2607" s="66"/>
      <c r="L2607" s="68"/>
      <c r="M2607" s="63" t="str">
        <f>HYPERLINK("http://nsgreg.nga.mil/genc/view?v=870477&amp;end_month=12&amp;end_day=31&amp;end_year=2016","Correlation")</f>
        <v>Correlation</v>
      </c>
    </row>
    <row r="2608" spans="1:13" x14ac:dyDescent="0.2">
      <c r="A2608" s="114"/>
      <c r="B2608" s="71" t="s">
        <v>7238</v>
      </c>
      <c r="C2608" s="71" t="s">
        <v>1816</v>
      </c>
      <c r="D2608" s="71" t="s">
        <v>7239</v>
      </c>
      <c r="E2608" s="73" t="b">
        <v>1</v>
      </c>
      <c r="F2608" s="81" t="s">
        <v>889</v>
      </c>
      <c r="G2608" s="71" t="s">
        <v>7238</v>
      </c>
      <c r="H2608" s="71" t="s">
        <v>1816</v>
      </c>
      <c r="I2608" s="74" t="s">
        <v>7239</v>
      </c>
      <c r="J2608" s="76"/>
      <c r="K2608" s="76"/>
      <c r="L2608" s="82"/>
      <c r="M2608" s="77" t="str">
        <f>HYPERLINK("http://nsgreg.nga.mil/genc/view?v=870478&amp;end_month=12&amp;end_day=31&amp;end_year=2016","Correlation")</f>
        <v>Correlation</v>
      </c>
    </row>
    <row r="2609" spans="1:13" x14ac:dyDescent="0.2">
      <c r="A2609" s="112" t="s">
        <v>899</v>
      </c>
      <c r="B2609" s="50" t="s">
        <v>1507</v>
      </c>
      <c r="C2609" s="50" t="s">
        <v>1728</v>
      </c>
      <c r="D2609" s="50" t="s">
        <v>7240</v>
      </c>
      <c r="E2609" s="52" t="b">
        <v>1</v>
      </c>
      <c r="F2609" s="78" t="s">
        <v>899</v>
      </c>
      <c r="G2609" s="50" t="s">
        <v>1507</v>
      </c>
      <c r="H2609" s="50" t="s">
        <v>1728</v>
      </c>
      <c r="I2609" s="53" t="s">
        <v>7240</v>
      </c>
      <c r="J2609" s="55"/>
      <c r="K2609" s="55"/>
      <c r="L2609" s="79"/>
      <c r="M2609" s="56" t="str">
        <f>HYPERLINK("http://nsgreg.nga.mil/genc/view?v=870602&amp;end_month=12&amp;end_day=31&amp;end_year=2016","Correlation")</f>
        <v>Correlation</v>
      </c>
    </row>
    <row r="2610" spans="1:13" x14ac:dyDescent="0.2">
      <c r="A2610" s="113"/>
      <c r="B2610" s="58" t="s">
        <v>7241</v>
      </c>
      <c r="C2610" s="58" t="s">
        <v>1728</v>
      </c>
      <c r="D2610" s="58" t="s">
        <v>7242</v>
      </c>
      <c r="E2610" s="60" t="b">
        <v>1</v>
      </c>
      <c r="F2610" s="80" t="s">
        <v>899</v>
      </c>
      <c r="G2610" s="58" t="s">
        <v>7241</v>
      </c>
      <c r="H2610" s="58" t="s">
        <v>1728</v>
      </c>
      <c r="I2610" s="64" t="s">
        <v>7242</v>
      </c>
      <c r="J2610" s="66"/>
      <c r="K2610" s="66"/>
      <c r="L2610" s="68"/>
      <c r="M2610" s="63" t="str">
        <f>HYPERLINK("http://nsgreg.nga.mil/genc/view?v=870598&amp;end_month=12&amp;end_day=31&amp;end_year=2016","Correlation")</f>
        <v>Correlation</v>
      </c>
    </row>
    <row r="2611" spans="1:13" x14ac:dyDescent="0.2">
      <c r="A2611" s="113"/>
      <c r="B2611" s="58" t="s">
        <v>7243</v>
      </c>
      <c r="C2611" s="58" t="s">
        <v>1728</v>
      </c>
      <c r="D2611" s="58" t="s">
        <v>7244</v>
      </c>
      <c r="E2611" s="60" t="b">
        <v>1</v>
      </c>
      <c r="F2611" s="80" t="s">
        <v>899</v>
      </c>
      <c r="G2611" s="58" t="s">
        <v>7243</v>
      </c>
      <c r="H2611" s="58" t="s">
        <v>1728</v>
      </c>
      <c r="I2611" s="64" t="s">
        <v>7244</v>
      </c>
      <c r="J2611" s="66"/>
      <c r="K2611" s="66"/>
      <c r="L2611" s="68"/>
      <c r="M2611" s="63" t="str">
        <f>HYPERLINK("http://nsgreg.nga.mil/genc/view?v=870600&amp;end_month=12&amp;end_day=31&amp;end_year=2016","Correlation")</f>
        <v>Correlation</v>
      </c>
    </row>
    <row r="2612" spans="1:13" x14ac:dyDescent="0.2">
      <c r="A2612" s="113"/>
      <c r="B2612" s="58" t="s">
        <v>7247</v>
      </c>
      <c r="C2612" s="58" t="s">
        <v>1728</v>
      </c>
      <c r="D2612" s="58" t="s">
        <v>7246</v>
      </c>
      <c r="E2612" s="60" t="b">
        <v>1</v>
      </c>
      <c r="F2612" s="80" t="s">
        <v>899</v>
      </c>
      <c r="G2612" s="58" t="s">
        <v>7245</v>
      </c>
      <c r="H2612" s="58" t="s">
        <v>1728</v>
      </c>
      <c r="I2612" s="64" t="s">
        <v>7246</v>
      </c>
      <c r="J2612" s="66"/>
      <c r="K2612" s="66"/>
      <c r="L2612" s="68"/>
      <c r="M2612" s="63" t="str">
        <f>HYPERLINK("http://nsgreg.nga.mil/genc/view?v=870603&amp;end_month=12&amp;end_day=31&amp;end_year=2016","Correlation")</f>
        <v>Correlation</v>
      </c>
    </row>
    <row r="2613" spans="1:13" x14ac:dyDescent="0.2">
      <c r="A2613" s="113"/>
      <c r="B2613" s="58" t="s">
        <v>7248</v>
      </c>
      <c r="C2613" s="58" t="s">
        <v>1728</v>
      </c>
      <c r="D2613" s="58" t="s">
        <v>7249</v>
      </c>
      <c r="E2613" s="60" t="b">
        <v>1</v>
      </c>
      <c r="F2613" s="80" t="s">
        <v>899</v>
      </c>
      <c r="G2613" s="58" t="s">
        <v>7248</v>
      </c>
      <c r="H2613" s="58" t="s">
        <v>1728</v>
      </c>
      <c r="I2613" s="64" t="s">
        <v>7249</v>
      </c>
      <c r="J2613" s="66"/>
      <c r="K2613" s="66"/>
      <c r="L2613" s="68"/>
      <c r="M2613" s="63" t="str">
        <f>HYPERLINK("http://nsgreg.nga.mil/genc/view?v=870599&amp;end_month=12&amp;end_day=31&amp;end_year=2016","Correlation")</f>
        <v>Correlation</v>
      </c>
    </row>
    <row r="2614" spans="1:13" x14ac:dyDescent="0.2">
      <c r="A2614" s="113"/>
      <c r="B2614" s="58" t="s">
        <v>7250</v>
      </c>
      <c r="C2614" s="58" t="s">
        <v>1728</v>
      </c>
      <c r="D2614" s="58" t="s">
        <v>7251</v>
      </c>
      <c r="E2614" s="60" t="b">
        <v>1</v>
      </c>
      <c r="F2614" s="80" t="s">
        <v>899</v>
      </c>
      <c r="G2614" s="58" t="s">
        <v>7250</v>
      </c>
      <c r="H2614" s="58" t="s">
        <v>1728</v>
      </c>
      <c r="I2614" s="64" t="s">
        <v>7251</v>
      </c>
      <c r="J2614" s="66"/>
      <c r="K2614" s="66"/>
      <c r="L2614" s="68"/>
      <c r="M2614" s="63" t="str">
        <f>HYPERLINK("http://nsgreg.nga.mil/genc/view?v=870605&amp;end_month=12&amp;end_day=31&amp;end_year=2016","Correlation")</f>
        <v>Correlation</v>
      </c>
    </row>
    <row r="2615" spans="1:13" x14ac:dyDescent="0.2">
      <c r="A2615" s="113"/>
      <c r="B2615" s="58" t="s">
        <v>7252</v>
      </c>
      <c r="C2615" s="58" t="s">
        <v>1728</v>
      </c>
      <c r="D2615" s="58" t="s">
        <v>7253</v>
      </c>
      <c r="E2615" s="60" t="b">
        <v>1</v>
      </c>
      <c r="F2615" s="80" t="s">
        <v>899</v>
      </c>
      <c r="G2615" s="58" t="s">
        <v>7252</v>
      </c>
      <c r="H2615" s="58" t="s">
        <v>1728</v>
      </c>
      <c r="I2615" s="64" t="s">
        <v>7253</v>
      </c>
      <c r="J2615" s="66"/>
      <c r="K2615" s="66"/>
      <c r="L2615" s="68"/>
      <c r="M2615" s="63" t="str">
        <f>HYPERLINK("http://nsgreg.nga.mil/genc/view?v=870596&amp;end_month=12&amp;end_day=31&amp;end_year=2016","Correlation")</f>
        <v>Correlation</v>
      </c>
    </row>
    <row r="2616" spans="1:13" x14ac:dyDescent="0.2">
      <c r="A2616" s="113"/>
      <c r="B2616" s="58" t="s">
        <v>7254</v>
      </c>
      <c r="C2616" s="58" t="s">
        <v>1728</v>
      </c>
      <c r="D2616" s="58" t="s">
        <v>7255</v>
      </c>
      <c r="E2616" s="60" t="b">
        <v>1</v>
      </c>
      <c r="F2616" s="80" t="s">
        <v>899</v>
      </c>
      <c r="G2616" s="58" t="s">
        <v>7254</v>
      </c>
      <c r="H2616" s="58" t="s">
        <v>1728</v>
      </c>
      <c r="I2616" s="64" t="s">
        <v>7255</v>
      </c>
      <c r="J2616" s="66"/>
      <c r="K2616" s="66"/>
      <c r="L2616" s="68"/>
      <c r="M2616" s="63" t="str">
        <f>HYPERLINK("http://nsgreg.nga.mil/genc/view?v=870597&amp;end_month=12&amp;end_day=31&amp;end_year=2016","Correlation")</f>
        <v>Correlation</v>
      </c>
    </row>
    <row r="2617" spans="1:13" x14ac:dyDescent="0.2">
      <c r="A2617" s="113"/>
      <c r="B2617" s="58" t="s">
        <v>7256</v>
      </c>
      <c r="C2617" s="58" t="s">
        <v>1728</v>
      </c>
      <c r="D2617" s="58" t="s">
        <v>7257</v>
      </c>
      <c r="E2617" s="60" t="b">
        <v>1</v>
      </c>
      <c r="F2617" s="80" t="s">
        <v>899</v>
      </c>
      <c r="G2617" s="58" t="s">
        <v>7256</v>
      </c>
      <c r="H2617" s="58" t="s">
        <v>1728</v>
      </c>
      <c r="I2617" s="64" t="s">
        <v>7257</v>
      </c>
      <c r="J2617" s="66"/>
      <c r="K2617" s="66"/>
      <c r="L2617" s="68"/>
      <c r="M2617" s="63" t="str">
        <f>HYPERLINK("http://nsgreg.nga.mil/genc/view?v=870607&amp;end_month=12&amp;end_day=31&amp;end_year=2016","Correlation")</f>
        <v>Correlation</v>
      </c>
    </row>
    <row r="2618" spans="1:13" x14ac:dyDescent="0.2">
      <c r="A2618" s="113"/>
      <c r="B2618" s="58" t="s">
        <v>7263</v>
      </c>
      <c r="C2618" s="58" t="s">
        <v>1728</v>
      </c>
      <c r="D2618" s="58" t="s">
        <v>7262</v>
      </c>
      <c r="E2618" s="60" t="b">
        <v>1</v>
      </c>
      <c r="F2618" s="80" t="s">
        <v>899</v>
      </c>
      <c r="G2618" s="58" t="s">
        <v>7261</v>
      </c>
      <c r="H2618" s="58" t="s">
        <v>1728</v>
      </c>
      <c r="I2618" s="64" t="s">
        <v>7262</v>
      </c>
      <c r="J2618" s="66"/>
      <c r="K2618" s="66"/>
      <c r="L2618" s="68"/>
      <c r="M2618" s="63" t="str">
        <f>HYPERLINK("http://nsgreg.nga.mil/genc/view?v=870608&amp;end_month=12&amp;end_day=31&amp;end_year=2016","Correlation")</f>
        <v>Correlation</v>
      </c>
    </row>
    <row r="2619" spans="1:13" x14ac:dyDescent="0.2">
      <c r="A2619" s="113"/>
      <c r="B2619" s="58" t="s">
        <v>7266</v>
      </c>
      <c r="C2619" s="58" t="s">
        <v>1728</v>
      </c>
      <c r="D2619" s="58" t="s">
        <v>7265</v>
      </c>
      <c r="E2619" s="60" t="b">
        <v>1</v>
      </c>
      <c r="F2619" s="80" t="s">
        <v>899</v>
      </c>
      <c r="G2619" s="58" t="s">
        <v>7264</v>
      </c>
      <c r="H2619" s="58" t="s">
        <v>1728</v>
      </c>
      <c r="I2619" s="64" t="s">
        <v>7265</v>
      </c>
      <c r="J2619" s="66"/>
      <c r="K2619" s="66"/>
      <c r="L2619" s="68"/>
      <c r="M2619" s="63" t="str">
        <f>HYPERLINK("http://nsgreg.nga.mil/genc/view?v=870610&amp;end_month=12&amp;end_day=31&amp;end_year=2016","Correlation")</f>
        <v>Correlation</v>
      </c>
    </row>
    <row r="2620" spans="1:13" x14ac:dyDescent="0.2">
      <c r="A2620" s="113"/>
      <c r="B2620" s="58" t="s">
        <v>7260</v>
      </c>
      <c r="C2620" s="58" t="s">
        <v>1728</v>
      </c>
      <c r="D2620" s="58" t="s">
        <v>7259</v>
      </c>
      <c r="E2620" s="60" t="b">
        <v>1</v>
      </c>
      <c r="F2620" s="80" t="s">
        <v>899</v>
      </c>
      <c r="G2620" s="58" t="s">
        <v>7258</v>
      </c>
      <c r="H2620" s="58" t="s">
        <v>1728</v>
      </c>
      <c r="I2620" s="64" t="s">
        <v>7259</v>
      </c>
      <c r="J2620" s="66"/>
      <c r="K2620" s="66"/>
      <c r="L2620" s="68"/>
      <c r="M2620" s="63" t="str">
        <f>HYPERLINK("http://nsgreg.nga.mil/genc/view?v=870609&amp;end_month=12&amp;end_day=31&amp;end_year=2016","Correlation")</f>
        <v>Correlation</v>
      </c>
    </row>
    <row r="2621" spans="1:13" x14ac:dyDescent="0.2">
      <c r="A2621" s="113"/>
      <c r="B2621" s="58" t="s">
        <v>7267</v>
      </c>
      <c r="C2621" s="58" t="s">
        <v>1728</v>
      </c>
      <c r="D2621" s="58" t="s">
        <v>7268</v>
      </c>
      <c r="E2621" s="60" t="b">
        <v>1</v>
      </c>
      <c r="F2621" s="80" t="s">
        <v>899</v>
      </c>
      <c r="G2621" s="58" t="s">
        <v>7267</v>
      </c>
      <c r="H2621" s="58" t="s">
        <v>1728</v>
      </c>
      <c r="I2621" s="64" t="s">
        <v>7268</v>
      </c>
      <c r="J2621" s="66"/>
      <c r="K2621" s="66"/>
      <c r="L2621" s="68"/>
      <c r="M2621" s="63" t="str">
        <f>HYPERLINK("http://nsgreg.nga.mil/genc/view?v=870604&amp;end_month=12&amp;end_day=31&amp;end_year=2016","Correlation")</f>
        <v>Correlation</v>
      </c>
    </row>
    <row r="2622" spans="1:13" x14ac:dyDescent="0.2">
      <c r="A2622" s="113"/>
      <c r="B2622" s="58" t="s">
        <v>7269</v>
      </c>
      <c r="C2622" s="58" t="s">
        <v>1728</v>
      </c>
      <c r="D2622" s="58" t="s">
        <v>7270</v>
      </c>
      <c r="E2622" s="60" t="b">
        <v>1</v>
      </c>
      <c r="F2622" s="80" t="s">
        <v>899</v>
      </c>
      <c r="G2622" s="58" t="s">
        <v>7269</v>
      </c>
      <c r="H2622" s="58" t="s">
        <v>1728</v>
      </c>
      <c r="I2622" s="64" t="s">
        <v>7270</v>
      </c>
      <c r="J2622" s="66"/>
      <c r="K2622" s="66"/>
      <c r="L2622" s="68"/>
      <c r="M2622" s="63" t="str">
        <f>HYPERLINK("http://nsgreg.nga.mil/genc/view?v=870606&amp;end_month=12&amp;end_day=31&amp;end_year=2016","Correlation")</f>
        <v>Correlation</v>
      </c>
    </row>
    <row r="2623" spans="1:13" x14ac:dyDescent="0.2">
      <c r="A2623" s="114"/>
      <c r="B2623" s="71" t="s">
        <v>7271</v>
      </c>
      <c r="C2623" s="71" t="s">
        <v>1728</v>
      </c>
      <c r="D2623" s="71" t="s">
        <v>7272</v>
      </c>
      <c r="E2623" s="73" t="b">
        <v>1</v>
      </c>
      <c r="F2623" s="81" t="s">
        <v>899</v>
      </c>
      <c r="G2623" s="71" t="s">
        <v>7271</v>
      </c>
      <c r="H2623" s="71" t="s">
        <v>1728</v>
      </c>
      <c r="I2623" s="74" t="s">
        <v>7272</v>
      </c>
      <c r="J2623" s="76"/>
      <c r="K2623" s="76"/>
      <c r="L2623" s="82"/>
      <c r="M2623" s="77" t="str">
        <f>HYPERLINK("http://nsgreg.nga.mil/genc/view?v=870601&amp;end_month=12&amp;end_day=31&amp;end_year=2016","Correlation")</f>
        <v>Correlation</v>
      </c>
    </row>
    <row r="2624" spans="1:13" x14ac:dyDescent="0.2">
      <c r="A2624" s="112" t="s">
        <v>903</v>
      </c>
      <c r="B2624" s="50" t="s">
        <v>7273</v>
      </c>
      <c r="C2624" s="50" t="s">
        <v>1659</v>
      </c>
      <c r="D2624" s="50" t="s">
        <v>7274</v>
      </c>
      <c r="E2624" s="52" t="b">
        <v>1</v>
      </c>
      <c r="F2624" s="78" t="s">
        <v>903</v>
      </c>
      <c r="G2624" s="50" t="s">
        <v>7273</v>
      </c>
      <c r="H2624" s="50" t="s">
        <v>1659</v>
      </c>
      <c r="I2624" s="53" t="s">
        <v>7274</v>
      </c>
      <c r="J2624" s="55"/>
      <c r="K2624" s="55"/>
      <c r="L2624" s="79"/>
      <c r="M2624" s="56" t="str">
        <f>HYPERLINK("http://nsgreg.nga.mil/genc/view?v=870679&amp;end_month=12&amp;end_day=31&amp;end_year=2016","Correlation")</f>
        <v>Correlation</v>
      </c>
    </row>
    <row r="2625" spans="1:13" x14ac:dyDescent="0.2">
      <c r="A2625" s="113"/>
      <c r="B2625" s="58" t="s">
        <v>7275</v>
      </c>
      <c r="C2625" s="58" t="s">
        <v>1681</v>
      </c>
      <c r="D2625" s="58" t="s">
        <v>7276</v>
      </c>
      <c r="E2625" s="60" t="b">
        <v>1</v>
      </c>
      <c r="F2625" s="80" t="s">
        <v>903</v>
      </c>
      <c r="G2625" s="58" t="s">
        <v>7275</v>
      </c>
      <c r="H2625" s="58" t="s">
        <v>1681</v>
      </c>
      <c r="I2625" s="64" t="s">
        <v>7276</v>
      </c>
      <c r="J2625" s="66"/>
      <c r="K2625" s="66"/>
      <c r="L2625" s="68"/>
      <c r="M2625" s="63" t="str">
        <f>HYPERLINK("http://nsgreg.nga.mil/genc/view?v=870681&amp;end_month=12&amp;end_day=31&amp;end_year=2016","Correlation")</f>
        <v>Correlation</v>
      </c>
    </row>
    <row r="2626" spans="1:13" x14ac:dyDescent="0.2">
      <c r="A2626" s="113"/>
      <c r="B2626" s="58" t="s">
        <v>7277</v>
      </c>
      <c r="C2626" s="58" t="s">
        <v>1796</v>
      </c>
      <c r="D2626" s="58" t="s">
        <v>7278</v>
      </c>
      <c r="E2626" s="60" t="b">
        <v>1</v>
      </c>
      <c r="F2626" s="80" t="s">
        <v>903</v>
      </c>
      <c r="G2626" s="58" t="s">
        <v>7277</v>
      </c>
      <c r="H2626" s="58" t="s">
        <v>1796</v>
      </c>
      <c r="I2626" s="64" t="s">
        <v>7278</v>
      </c>
      <c r="J2626" s="66"/>
      <c r="K2626" s="66"/>
      <c r="L2626" s="68"/>
      <c r="M2626" s="63" t="str">
        <f>HYPERLINK("http://nsgreg.nga.mil/genc/view?v=870680&amp;end_month=12&amp;end_day=31&amp;end_year=2016","Correlation")</f>
        <v>Correlation</v>
      </c>
    </row>
    <row r="2627" spans="1:13" x14ac:dyDescent="0.2">
      <c r="A2627" s="113"/>
      <c r="B2627" s="58" t="s">
        <v>7281</v>
      </c>
      <c r="C2627" s="58" t="s">
        <v>1659</v>
      </c>
      <c r="D2627" s="58" t="s">
        <v>7280</v>
      </c>
      <c r="E2627" s="60" t="b">
        <v>1</v>
      </c>
      <c r="F2627" s="80" t="s">
        <v>903</v>
      </c>
      <c r="G2627" s="58" t="s">
        <v>7279</v>
      </c>
      <c r="H2627" s="58" t="s">
        <v>1659</v>
      </c>
      <c r="I2627" s="64" t="s">
        <v>7280</v>
      </c>
      <c r="J2627" s="66"/>
      <c r="K2627" s="66"/>
      <c r="L2627" s="68"/>
      <c r="M2627" s="63" t="str">
        <f>HYPERLINK("http://nsgreg.nga.mil/genc/view?v=870682&amp;end_month=12&amp;end_day=31&amp;end_year=2016","Correlation")</f>
        <v>Correlation</v>
      </c>
    </row>
    <row r="2628" spans="1:13" x14ac:dyDescent="0.2">
      <c r="A2628" s="113"/>
      <c r="B2628" s="58" t="s">
        <v>7282</v>
      </c>
      <c r="C2628" s="58" t="s">
        <v>1681</v>
      </c>
      <c r="D2628" s="58" t="s">
        <v>7283</v>
      </c>
      <c r="E2628" s="60" t="b">
        <v>1</v>
      </c>
      <c r="F2628" s="80" t="s">
        <v>903</v>
      </c>
      <c r="G2628" s="58" t="s">
        <v>7282</v>
      </c>
      <c r="H2628" s="58" t="s">
        <v>1681</v>
      </c>
      <c r="I2628" s="64" t="s">
        <v>7283</v>
      </c>
      <c r="J2628" s="66"/>
      <c r="K2628" s="66"/>
      <c r="L2628" s="68"/>
      <c r="M2628" s="63" t="str">
        <f>HYPERLINK("http://nsgreg.nga.mil/genc/view?v=870683&amp;end_month=12&amp;end_day=31&amp;end_year=2016","Correlation")</f>
        <v>Correlation</v>
      </c>
    </row>
    <row r="2629" spans="1:13" x14ac:dyDescent="0.2">
      <c r="A2629" s="113"/>
      <c r="B2629" s="58" t="s">
        <v>7284</v>
      </c>
      <c r="C2629" s="58" t="s">
        <v>1796</v>
      </c>
      <c r="D2629" s="58" t="s">
        <v>7285</v>
      </c>
      <c r="E2629" s="60" t="b">
        <v>1</v>
      </c>
      <c r="F2629" s="80" t="s">
        <v>903</v>
      </c>
      <c r="G2629" s="58" t="s">
        <v>7284</v>
      </c>
      <c r="H2629" s="58" t="s">
        <v>1796</v>
      </c>
      <c r="I2629" s="64" t="s">
        <v>7285</v>
      </c>
      <c r="J2629" s="66"/>
      <c r="K2629" s="66"/>
      <c r="L2629" s="68"/>
      <c r="M2629" s="63" t="str">
        <f>HYPERLINK("http://nsgreg.nga.mil/genc/view?v=870684&amp;end_month=12&amp;end_day=31&amp;end_year=2016","Correlation")</f>
        <v>Correlation</v>
      </c>
    </row>
    <row r="2630" spans="1:13" x14ac:dyDescent="0.2">
      <c r="A2630" s="113"/>
      <c r="B2630" s="58" t="s">
        <v>7286</v>
      </c>
      <c r="C2630" s="58" t="s">
        <v>1796</v>
      </c>
      <c r="D2630" s="58" t="s">
        <v>7287</v>
      </c>
      <c r="E2630" s="60" t="b">
        <v>1</v>
      </c>
      <c r="F2630" s="80" t="s">
        <v>903</v>
      </c>
      <c r="G2630" s="58" t="s">
        <v>7286</v>
      </c>
      <c r="H2630" s="58" t="s">
        <v>1796</v>
      </c>
      <c r="I2630" s="64" t="s">
        <v>7287</v>
      </c>
      <c r="J2630" s="66"/>
      <c r="K2630" s="66"/>
      <c r="L2630" s="68"/>
      <c r="M2630" s="63" t="str">
        <f>HYPERLINK("http://nsgreg.nga.mil/genc/view?v=870685&amp;end_month=12&amp;end_day=31&amp;end_year=2016","Correlation")</f>
        <v>Correlation</v>
      </c>
    </row>
    <row r="2631" spans="1:13" x14ac:dyDescent="0.2">
      <c r="A2631" s="113"/>
      <c r="B2631" s="58" t="s">
        <v>7288</v>
      </c>
      <c r="C2631" s="58" t="s">
        <v>1796</v>
      </c>
      <c r="D2631" s="58" t="s">
        <v>7289</v>
      </c>
      <c r="E2631" s="60" t="b">
        <v>1</v>
      </c>
      <c r="F2631" s="80" t="s">
        <v>903</v>
      </c>
      <c r="G2631" s="58" t="s">
        <v>7288</v>
      </c>
      <c r="H2631" s="58" t="s">
        <v>1796</v>
      </c>
      <c r="I2631" s="64" t="s">
        <v>7289</v>
      </c>
      <c r="J2631" s="66"/>
      <c r="K2631" s="66"/>
      <c r="L2631" s="68"/>
      <c r="M2631" s="63" t="str">
        <f>HYPERLINK("http://nsgreg.nga.mil/genc/view?v=870686&amp;end_month=12&amp;end_day=31&amp;end_year=2016","Correlation")</f>
        <v>Correlation</v>
      </c>
    </row>
    <row r="2632" spans="1:13" x14ac:dyDescent="0.2">
      <c r="A2632" s="113"/>
      <c r="B2632" s="58" t="s">
        <v>7290</v>
      </c>
      <c r="C2632" s="58" t="s">
        <v>1796</v>
      </c>
      <c r="D2632" s="58" t="s">
        <v>7291</v>
      </c>
      <c r="E2632" s="60" t="b">
        <v>1</v>
      </c>
      <c r="F2632" s="80" t="s">
        <v>903</v>
      </c>
      <c r="G2632" s="58" t="s">
        <v>7290</v>
      </c>
      <c r="H2632" s="58" t="s">
        <v>1796</v>
      </c>
      <c r="I2632" s="64" t="s">
        <v>7291</v>
      </c>
      <c r="J2632" s="66"/>
      <c r="K2632" s="66"/>
      <c r="L2632" s="68"/>
      <c r="M2632" s="63" t="str">
        <f>HYPERLINK("http://nsgreg.nga.mil/genc/view?v=870687&amp;end_month=12&amp;end_day=31&amp;end_year=2016","Correlation")</f>
        <v>Correlation</v>
      </c>
    </row>
    <row r="2633" spans="1:13" x14ac:dyDescent="0.2">
      <c r="A2633" s="113"/>
      <c r="B2633" s="58" t="s">
        <v>7292</v>
      </c>
      <c r="C2633" s="58" t="s">
        <v>1796</v>
      </c>
      <c r="D2633" s="58" t="s">
        <v>7293</v>
      </c>
      <c r="E2633" s="60" t="b">
        <v>1</v>
      </c>
      <c r="F2633" s="80" t="s">
        <v>903</v>
      </c>
      <c r="G2633" s="58" t="s">
        <v>7292</v>
      </c>
      <c r="H2633" s="58" t="s">
        <v>1796</v>
      </c>
      <c r="I2633" s="64" t="s">
        <v>7293</v>
      </c>
      <c r="J2633" s="66"/>
      <c r="K2633" s="66"/>
      <c r="L2633" s="68"/>
      <c r="M2633" s="63" t="str">
        <f>HYPERLINK("http://nsgreg.nga.mil/genc/view?v=870690&amp;end_month=12&amp;end_day=31&amp;end_year=2016","Correlation")</f>
        <v>Correlation</v>
      </c>
    </row>
    <row r="2634" spans="1:13" x14ac:dyDescent="0.2">
      <c r="A2634" s="113"/>
      <c r="B2634" s="58" t="s">
        <v>7294</v>
      </c>
      <c r="C2634" s="58" t="s">
        <v>1681</v>
      </c>
      <c r="D2634" s="58" t="s">
        <v>7295</v>
      </c>
      <c r="E2634" s="60" t="b">
        <v>1</v>
      </c>
      <c r="F2634" s="80" t="s">
        <v>903</v>
      </c>
      <c r="G2634" s="58" t="s">
        <v>7294</v>
      </c>
      <c r="H2634" s="58" t="s">
        <v>1681</v>
      </c>
      <c r="I2634" s="64" t="s">
        <v>7295</v>
      </c>
      <c r="J2634" s="66"/>
      <c r="K2634" s="66"/>
      <c r="L2634" s="68"/>
      <c r="M2634" s="63" t="str">
        <f>HYPERLINK("http://nsgreg.nga.mil/genc/view?v=870689&amp;end_month=12&amp;end_day=31&amp;end_year=2016","Correlation")</f>
        <v>Correlation</v>
      </c>
    </row>
    <row r="2635" spans="1:13" x14ac:dyDescent="0.2">
      <c r="A2635" s="113"/>
      <c r="B2635" s="58" t="s">
        <v>7294</v>
      </c>
      <c r="C2635" s="58" t="s">
        <v>1796</v>
      </c>
      <c r="D2635" s="58" t="s">
        <v>7296</v>
      </c>
      <c r="E2635" s="60" t="b">
        <v>1</v>
      </c>
      <c r="F2635" s="80" t="s">
        <v>903</v>
      </c>
      <c r="G2635" s="58" t="s">
        <v>7294</v>
      </c>
      <c r="H2635" s="58" t="s">
        <v>1796</v>
      </c>
      <c r="I2635" s="64" t="s">
        <v>7296</v>
      </c>
      <c r="J2635" s="66"/>
      <c r="K2635" s="66"/>
      <c r="L2635" s="68"/>
      <c r="M2635" s="63" t="str">
        <f>HYPERLINK("http://nsgreg.nga.mil/genc/view?v=870688&amp;end_month=12&amp;end_day=31&amp;end_year=2016","Correlation")</f>
        <v>Correlation</v>
      </c>
    </row>
    <row r="2636" spans="1:13" x14ac:dyDescent="0.2">
      <c r="A2636" s="113"/>
      <c r="B2636" s="58" t="s">
        <v>7297</v>
      </c>
      <c r="C2636" s="58" t="s">
        <v>1681</v>
      </c>
      <c r="D2636" s="58" t="s">
        <v>7298</v>
      </c>
      <c r="E2636" s="60" t="b">
        <v>1</v>
      </c>
      <c r="F2636" s="80" t="s">
        <v>903</v>
      </c>
      <c r="G2636" s="58" t="s">
        <v>7297</v>
      </c>
      <c r="H2636" s="58" t="s">
        <v>1681</v>
      </c>
      <c r="I2636" s="64" t="s">
        <v>7298</v>
      </c>
      <c r="J2636" s="66"/>
      <c r="K2636" s="66"/>
      <c r="L2636" s="68"/>
      <c r="M2636" s="63" t="str">
        <f>HYPERLINK("http://nsgreg.nga.mil/genc/view?v=870691&amp;end_month=12&amp;end_day=31&amp;end_year=2016","Correlation")</f>
        <v>Correlation</v>
      </c>
    </row>
    <row r="2637" spans="1:13" x14ac:dyDescent="0.2">
      <c r="A2637" s="113"/>
      <c r="B2637" s="58" t="s">
        <v>7299</v>
      </c>
      <c r="C2637" s="58" t="s">
        <v>1796</v>
      </c>
      <c r="D2637" s="58" t="s">
        <v>7300</v>
      </c>
      <c r="E2637" s="60" t="b">
        <v>1</v>
      </c>
      <c r="F2637" s="80" t="s">
        <v>903</v>
      </c>
      <c r="G2637" s="58" t="s">
        <v>7299</v>
      </c>
      <c r="H2637" s="58" t="s">
        <v>1796</v>
      </c>
      <c r="I2637" s="64" t="s">
        <v>7300</v>
      </c>
      <c r="J2637" s="66"/>
      <c r="K2637" s="66"/>
      <c r="L2637" s="68"/>
      <c r="M2637" s="63" t="str">
        <f>HYPERLINK("http://nsgreg.nga.mil/genc/view?v=870693&amp;end_month=12&amp;end_day=31&amp;end_year=2016","Correlation")</f>
        <v>Correlation</v>
      </c>
    </row>
    <row r="2638" spans="1:13" x14ac:dyDescent="0.2">
      <c r="A2638" s="113"/>
      <c r="B2638" s="58" t="s">
        <v>7303</v>
      </c>
      <c r="C2638" s="58" t="s">
        <v>1659</v>
      </c>
      <c r="D2638" s="58" t="s">
        <v>7302</v>
      </c>
      <c r="E2638" s="60" t="b">
        <v>1</v>
      </c>
      <c r="F2638" s="80" t="s">
        <v>903</v>
      </c>
      <c r="G2638" s="58" t="s">
        <v>7301</v>
      </c>
      <c r="H2638" s="58" t="s">
        <v>1659</v>
      </c>
      <c r="I2638" s="64" t="s">
        <v>7302</v>
      </c>
      <c r="J2638" s="66"/>
      <c r="K2638" s="66"/>
      <c r="L2638" s="68"/>
      <c r="M2638" s="63" t="str">
        <f>HYPERLINK("http://nsgreg.nga.mil/genc/view?v=870692&amp;end_month=12&amp;end_day=31&amp;end_year=2016","Correlation")</f>
        <v>Correlation</v>
      </c>
    </row>
    <row r="2639" spans="1:13" x14ac:dyDescent="0.2">
      <c r="A2639" s="113"/>
      <c r="B2639" s="58" t="s">
        <v>7304</v>
      </c>
      <c r="C2639" s="58" t="s">
        <v>1796</v>
      </c>
      <c r="D2639" s="58" t="s">
        <v>7305</v>
      </c>
      <c r="E2639" s="60" t="b">
        <v>1</v>
      </c>
      <c r="F2639" s="80" t="s">
        <v>903</v>
      </c>
      <c r="G2639" s="58" t="s">
        <v>7304</v>
      </c>
      <c r="H2639" s="58" t="s">
        <v>1796</v>
      </c>
      <c r="I2639" s="64" t="s">
        <v>7305</v>
      </c>
      <c r="J2639" s="66"/>
      <c r="K2639" s="66"/>
      <c r="L2639" s="68"/>
      <c r="M2639" s="63" t="str">
        <f>HYPERLINK("http://nsgreg.nga.mil/genc/view?v=870694&amp;end_month=12&amp;end_day=31&amp;end_year=2016","Correlation")</f>
        <v>Correlation</v>
      </c>
    </row>
    <row r="2640" spans="1:13" x14ac:dyDescent="0.2">
      <c r="A2640" s="114"/>
      <c r="B2640" s="71" t="s">
        <v>7306</v>
      </c>
      <c r="C2640" s="71" t="s">
        <v>1681</v>
      </c>
      <c r="D2640" s="71" t="s">
        <v>7307</v>
      </c>
      <c r="E2640" s="73" t="b">
        <v>1</v>
      </c>
      <c r="F2640" s="81" t="s">
        <v>903</v>
      </c>
      <c r="G2640" s="71" t="s">
        <v>7306</v>
      </c>
      <c r="H2640" s="71" t="s">
        <v>1681</v>
      </c>
      <c r="I2640" s="74" t="s">
        <v>7307</v>
      </c>
      <c r="J2640" s="76"/>
      <c r="K2640" s="76"/>
      <c r="L2640" s="82"/>
      <c r="M2640" s="77" t="str">
        <f>HYPERLINK("http://nsgreg.nga.mil/genc/view?v=870695&amp;end_month=12&amp;end_day=31&amp;end_year=2016","Correlation")</f>
        <v>Correlation</v>
      </c>
    </row>
    <row r="2641" spans="1:13" x14ac:dyDescent="0.2">
      <c r="A2641" s="112" t="s">
        <v>914</v>
      </c>
      <c r="B2641" s="50" t="s">
        <v>7308</v>
      </c>
      <c r="C2641" s="50" t="s">
        <v>1763</v>
      </c>
      <c r="D2641" s="50" t="s">
        <v>7309</v>
      </c>
      <c r="E2641" s="52" t="b">
        <v>1</v>
      </c>
      <c r="F2641" s="78" t="s">
        <v>914</v>
      </c>
      <c r="G2641" s="50" t="s">
        <v>7308</v>
      </c>
      <c r="H2641" s="50" t="s">
        <v>1763</v>
      </c>
      <c r="I2641" s="53" t="s">
        <v>7309</v>
      </c>
      <c r="J2641" s="55"/>
      <c r="K2641" s="55"/>
      <c r="L2641" s="79"/>
      <c r="M2641" s="56" t="str">
        <f>HYPERLINK("http://nsgreg.nga.mil/genc/view?v=870755&amp;end_month=12&amp;end_day=31&amp;end_year=2016","Correlation")</f>
        <v>Correlation</v>
      </c>
    </row>
    <row r="2642" spans="1:13" x14ac:dyDescent="0.2">
      <c r="A2642" s="113"/>
      <c r="B2642" s="58" t="s">
        <v>7310</v>
      </c>
      <c r="C2642" s="58" t="s">
        <v>1763</v>
      </c>
      <c r="D2642" s="58" t="s">
        <v>7311</v>
      </c>
      <c r="E2642" s="60" t="b">
        <v>1</v>
      </c>
      <c r="F2642" s="80" t="s">
        <v>914</v>
      </c>
      <c r="G2642" s="58" t="s">
        <v>7310</v>
      </c>
      <c r="H2642" s="58" t="s">
        <v>1763</v>
      </c>
      <c r="I2642" s="64" t="s">
        <v>7311</v>
      </c>
      <c r="J2642" s="66"/>
      <c r="K2642" s="66"/>
      <c r="L2642" s="68"/>
      <c r="M2642" s="63" t="str">
        <f>HYPERLINK("http://nsgreg.nga.mil/genc/view?v=870756&amp;end_month=12&amp;end_day=31&amp;end_year=2016","Correlation")</f>
        <v>Correlation</v>
      </c>
    </row>
    <row r="2643" spans="1:13" x14ac:dyDescent="0.2">
      <c r="A2643" s="113"/>
      <c r="B2643" s="58" t="s">
        <v>7312</v>
      </c>
      <c r="C2643" s="58" t="s">
        <v>1763</v>
      </c>
      <c r="D2643" s="58" t="s">
        <v>7313</v>
      </c>
      <c r="E2643" s="60" t="b">
        <v>1</v>
      </c>
      <c r="F2643" s="80" t="s">
        <v>914</v>
      </c>
      <c r="G2643" s="58" t="s">
        <v>7312</v>
      </c>
      <c r="H2643" s="58" t="s">
        <v>1763</v>
      </c>
      <c r="I2643" s="64" t="s">
        <v>7313</v>
      </c>
      <c r="J2643" s="66"/>
      <c r="K2643" s="66"/>
      <c r="L2643" s="68"/>
      <c r="M2643" s="63" t="str">
        <f>HYPERLINK("http://nsgreg.nga.mil/genc/view?v=870757&amp;end_month=12&amp;end_day=31&amp;end_year=2016","Correlation")</f>
        <v>Correlation</v>
      </c>
    </row>
    <row r="2644" spans="1:13" x14ac:dyDescent="0.2">
      <c r="A2644" s="113"/>
      <c r="B2644" s="58" t="s">
        <v>7314</v>
      </c>
      <c r="C2644" s="58" t="s">
        <v>1763</v>
      </c>
      <c r="D2644" s="58" t="s">
        <v>7315</v>
      </c>
      <c r="E2644" s="60" t="b">
        <v>1</v>
      </c>
      <c r="F2644" s="80" t="s">
        <v>914</v>
      </c>
      <c r="G2644" s="58" t="s">
        <v>7314</v>
      </c>
      <c r="H2644" s="58" t="s">
        <v>1763</v>
      </c>
      <c r="I2644" s="64" t="s">
        <v>7315</v>
      </c>
      <c r="J2644" s="66"/>
      <c r="K2644" s="66"/>
      <c r="L2644" s="68"/>
      <c r="M2644" s="63" t="str">
        <f>HYPERLINK("http://nsgreg.nga.mil/genc/view?v=870758&amp;end_month=12&amp;end_day=31&amp;end_year=2016","Correlation")</f>
        <v>Correlation</v>
      </c>
    </row>
    <row r="2645" spans="1:13" x14ac:dyDescent="0.2">
      <c r="A2645" s="113"/>
      <c r="B2645" s="58" t="s">
        <v>7316</v>
      </c>
      <c r="C2645" s="58" t="s">
        <v>1763</v>
      </c>
      <c r="D2645" s="58" t="s">
        <v>7317</v>
      </c>
      <c r="E2645" s="60" t="b">
        <v>1</v>
      </c>
      <c r="F2645" s="80" t="s">
        <v>914</v>
      </c>
      <c r="G2645" s="58" t="s">
        <v>7316</v>
      </c>
      <c r="H2645" s="58" t="s">
        <v>1763</v>
      </c>
      <c r="I2645" s="64" t="s">
        <v>7317</v>
      </c>
      <c r="J2645" s="66"/>
      <c r="K2645" s="66"/>
      <c r="L2645" s="68"/>
      <c r="M2645" s="63" t="str">
        <f>HYPERLINK("http://nsgreg.nga.mil/genc/view?v=870760&amp;end_month=12&amp;end_day=31&amp;end_year=2016","Correlation")</f>
        <v>Correlation</v>
      </c>
    </row>
    <row r="2646" spans="1:13" x14ac:dyDescent="0.2">
      <c r="A2646" s="113"/>
      <c r="B2646" s="58" t="s">
        <v>7318</v>
      </c>
      <c r="C2646" s="58" t="s">
        <v>1763</v>
      </c>
      <c r="D2646" s="58" t="s">
        <v>7319</v>
      </c>
      <c r="E2646" s="60" t="b">
        <v>1</v>
      </c>
      <c r="F2646" s="80" t="s">
        <v>914</v>
      </c>
      <c r="G2646" s="58" t="s">
        <v>7318</v>
      </c>
      <c r="H2646" s="58" t="s">
        <v>1763</v>
      </c>
      <c r="I2646" s="64" t="s">
        <v>7319</v>
      </c>
      <c r="J2646" s="66"/>
      <c r="K2646" s="66"/>
      <c r="L2646" s="68"/>
      <c r="M2646" s="63" t="str">
        <f>HYPERLINK("http://nsgreg.nga.mil/genc/view?v=870759&amp;end_month=12&amp;end_day=31&amp;end_year=2016","Correlation")</f>
        <v>Correlation</v>
      </c>
    </row>
    <row r="2647" spans="1:13" x14ac:dyDescent="0.2">
      <c r="A2647" s="113"/>
      <c r="B2647" s="58" t="s">
        <v>7322</v>
      </c>
      <c r="C2647" s="58" t="s">
        <v>2457</v>
      </c>
      <c r="D2647" s="58" t="s">
        <v>7321</v>
      </c>
      <c r="E2647" s="60" t="b">
        <v>1</v>
      </c>
      <c r="F2647" s="80" t="s">
        <v>914</v>
      </c>
      <c r="G2647" s="58" t="s">
        <v>7320</v>
      </c>
      <c r="H2647" s="58" t="s">
        <v>1681</v>
      </c>
      <c r="I2647" s="64" t="s">
        <v>7321</v>
      </c>
      <c r="J2647" s="66"/>
      <c r="K2647" s="66"/>
      <c r="L2647" s="68"/>
      <c r="M2647" s="63" t="str">
        <f>HYPERLINK("http://nsgreg.nga.mil/genc/view?v=870763&amp;end_month=12&amp;end_day=31&amp;end_year=2016","Correlation")</f>
        <v>Correlation</v>
      </c>
    </row>
    <row r="2648" spans="1:13" x14ac:dyDescent="0.2">
      <c r="A2648" s="113"/>
      <c r="B2648" s="58" t="s">
        <v>7323</v>
      </c>
      <c r="C2648" s="58" t="s">
        <v>1763</v>
      </c>
      <c r="D2648" s="58" t="s">
        <v>7324</v>
      </c>
      <c r="E2648" s="60" t="b">
        <v>1</v>
      </c>
      <c r="F2648" s="80" t="s">
        <v>914</v>
      </c>
      <c r="G2648" s="58" t="s">
        <v>7323</v>
      </c>
      <c r="H2648" s="58" t="s">
        <v>1763</v>
      </c>
      <c r="I2648" s="64" t="s">
        <v>7324</v>
      </c>
      <c r="J2648" s="66"/>
      <c r="K2648" s="66"/>
      <c r="L2648" s="68"/>
      <c r="M2648" s="63" t="str">
        <f>HYPERLINK("http://nsgreg.nga.mil/genc/view?v=870761&amp;end_month=12&amp;end_day=31&amp;end_year=2016","Correlation")</f>
        <v>Correlation</v>
      </c>
    </row>
    <row r="2649" spans="1:13" x14ac:dyDescent="0.2">
      <c r="A2649" s="113"/>
      <c r="B2649" s="58" t="s">
        <v>7325</v>
      </c>
      <c r="C2649" s="58" t="s">
        <v>1763</v>
      </c>
      <c r="D2649" s="58" t="s">
        <v>7326</v>
      </c>
      <c r="E2649" s="60" t="b">
        <v>1</v>
      </c>
      <c r="F2649" s="80" t="s">
        <v>914</v>
      </c>
      <c r="G2649" s="58" t="s">
        <v>7325</v>
      </c>
      <c r="H2649" s="58" t="s">
        <v>1763</v>
      </c>
      <c r="I2649" s="64" t="s">
        <v>7326</v>
      </c>
      <c r="J2649" s="66"/>
      <c r="K2649" s="66"/>
      <c r="L2649" s="68"/>
      <c r="M2649" s="63" t="str">
        <f>HYPERLINK("http://nsgreg.nga.mil/genc/view?v=870762&amp;end_month=12&amp;end_day=31&amp;end_year=2016","Correlation")</f>
        <v>Correlation</v>
      </c>
    </row>
    <row r="2650" spans="1:13" x14ac:dyDescent="0.2">
      <c r="A2650" s="113"/>
      <c r="B2650" s="58" t="s">
        <v>7327</v>
      </c>
      <c r="C2650" s="58" t="s">
        <v>1763</v>
      </c>
      <c r="D2650" s="58" t="s">
        <v>7328</v>
      </c>
      <c r="E2650" s="60" t="b">
        <v>1</v>
      </c>
      <c r="F2650" s="80" t="s">
        <v>914</v>
      </c>
      <c r="G2650" s="58" t="s">
        <v>7327</v>
      </c>
      <c r="H2650" s="58" t="s">
        <v>1763</v>
      </c>
      <c r="I2650" s="64" t="s">
        <v>7328</v>
      </c>
      <c r="J2650" s="66"/>
      <c r="K2650" s="66"/>
      <c r="L2650" s="68"/>
      <c r="M2650" s="63" t="str">
        <f>HYPERLINK("http://nsgreg.nga.mil/genc/view?v=870764&amp;end_month=12&amp;end_day=31&amp;end_year=2016","Correlation")</f>
        <v>Correlation</v>
      </c>
    </row>
    <row r="2651" spans="1:13" x14ac:dyDescent="0.2">
      <c r="A2651" s="113"/>
      <c r="B2651" s="58" t="s">
        <v>7329</v>
      </c>
      <c r="C2651" s="58" t="s">
        <v>1763</v>
      </c>
      <c r="D2651" s="58" t="s">
        <v>7330</v>
      </c>
      <c r="E2651" s="60" t="b">
        <v>1</v>
      </c>
      <c r="F2651" s="80" t="s">
        <v>914</v>
      </c>
      <c r="G2651" s="58" t="s">
        <v>7329</v>
      </c>
      <c r="H2651" s="58" t="s">
        <v>1763</v>
      </c>
      <c r="I2651" s="64" t="s">
        <v>7330</v>
      </c>
      <c r="J2651" s="66"/>
      <c r="K2651" s="66"/>
      <c r="L2651" s="68"/>
      <c r="M2651" s="63" t="str">
        <f>HYPERLINK("http://nsgreg.nga.mil/genc/view?v=870766&amp;end_month=12&amp;end_day=31&amp;end_year=2016","Correlation")</f>
        <v>Correlation</v>
      </c>
    </row>
    <row r="2652" spans="1:13" x14ac:dyDescent="0.2">
      <c r="A2652" s="113"/>
      <c r="B2652" s="58" t="s">
        <v>7331</v>
      </c>
      <c r="C2652" s="58" t="s">
        <v>1763</v>
      </c>
      <c r="D2652" s="58" t="s">
        <v>7332</v>
      </c>
      <c r="E2652" s="60" t="b">
        <v>1</v>
      </c>
      <c r="F2652" s="80" t="s">
        <v>914</v>
      </c>
      <c r="G2652" s="58" t="s">
        <v>7331</v>
      </c>
      <c r="H2652" s="58" t="s">
        <v>1763</v>
      </c>
      <c r="I2652" s="64" t="s">
        <v>7332</v>
      </c>
      <c r="J2652" s="66"/>
      <c r="K2652" s="66"/>
      <c r="L2652" s="68"/>
      <c r="M2652" s="63" t="str">
        <f>HYPERLINK("http://nsgreg.nga.mil/genc/view?v=870765&amp;end_month=12&amp;end_day=31&amp;end_year=2016","Correlation")</f>
        <v>Correlation</v>
      </c>
    </row>
    <row r="2653" spans="1:13" x14ac:dyDescent="0.2">
      <c r="A2653" s="113"/>
      <c r="B2653" s="58" t="s">
        <v>7333</v>
      </c>
      <c r="C2653" s="58" t="s">
        <v>1763</v>
      </c>
      <c r="D2653" s="58" t="s">
        <v>7334</v>
      </c>
      <c r="E2653" s="60" t="b">
        <v>1</v>
      </c>
      <c r="F2653" s="80" t="s">
        <v>914</v>
      </c>
      <c r="G2653" s="58" t="s">
        <v>7333</v>
      </c>
      <c r="H2653" s="58" t="s">
        <v>1763</v>
      </c>
      <c r="I2653" s="64" t="s">
        <v>7334</v>
      </c>
      <c r="J2653" s="66"/>
      <c r="K2653" s="66"/>
      <c r="L2653" s="68"/>
      <c r="M2653" s="63" t="str">
        <f>HYPERLINK("http://nsgreg.nga.mil/genc/view?v=870767&amp;end_month=12&amp;end_day=31&amp;end_year=2016","Correlation")</f>
        <v>Correlation</v>
      </c>
    </row>
    <row r="2654" spans="1:13" x14ac:dyDescent="0.2">
      <c r="A2654" s="113"/>
      <c r="B2654" s="58" t="s">
        <v>7335</v>
      </c>
      <c r="C2654" s="58" t="s">
        <v>1763</v>
      </c>
      <c r="D2654" s="58" t="s">
        <v>7336</v>
      </c>
      <c r="E2654" s="60" t="b">
        <v>1</v>
      </c>
      <c r="F2654" s="80" t="s">
        <v>914</v>
      </c>
      <c r="G2654" s="58" t="s">
        <v>7335</v>
      </c>
      <c r="H2654" s="58" t="s">
        <v>1763</v>
      </c>
      <c r="I2654" s="64" t="s">
        <v>7336</v>
      </c>
      <c r="J2654" s="66"/>
      <c r="K2654" s="66"/>
      <c r="L2654" s="68"/>
      <c r="M2654" s="63" t="str">
        <f>HYPERLINK("http://nsgreg.nga.mil/genc/view?v=870768&amp;end_month=12&amp;end_day=31&amp;end_year=2016","Correlation")</f>
        <v>Correlation</v>
      </c>
    </row>
    <row r="2655" spans="1:13" x14ac:dyDescent="0.2">
      <c r="A2655" s="113"/>
      <c r="B2655" s="58" t="s">
        <v>7337</v>
      </c>
      <c r="C2655" s="58" t="s">
        <v>1763</v>
      </c>
      <c r="D2655" s="58" t="s">
        <v>7338</v>
      </c>
      <c r="E2655" s="60" t="b">
        <v>1</v>
      </c>
      <c r="F2655" s="80" t="s">
        <v>914</v>
      </c>
      <c r="G2655" s="58" t="s">
        <v>7337</v>
      </c>
      <c r="H2655" s="58" t="s">
        <v>1763</v>
      </c>
      <c r="I2655" s="64" t="s">
        <v>7338</v>
      </c>
      <c r="J2655" s="66"/>
      <c r="K2655" s="66"/>
      <c r="L2655" s="68"/>
      <c r="M2655" s="63" t="str">
        <f>HYPERLINK("http://nsgreg.nga.mil/genc/view?v=870769&amp;end_month=12&amp;end_day=31&amp;end_year=2016","Correlation")</f>
        <v>Correlation</v>
      </c>
    </row>
    <row r="2656" spans="1:13" x14ac:dyDescent="0.2">
      <c r="A2656" s="113"/>
      <c r="B2656" s="58" t="s">
        <v>7339</v>
      </c>
      <c r="C2656" s="58" t="s">
        <v>1763</v>
      </c>
      <c r="D2656" s="58" t="s">
        <v>7340</v>
      </c>
      <c r="E2656" s="60" t="b">
        <v>1</v>
      </c>
      <c r="F2656" s="80" t="s">
        <v>914</v>
      </c>
      <c r="G2656" s="58" t="s">
        <v>7339</v>
      </c>
      <c r="H2656" s="58" t="s">
        <v>1763</v>
      </c>
      <c r="I2656" s="64" t="s">
        <v>7340</v>
      </c>
      <c r="J2656" s="66"/>
      <c r="K2656" s="66"/>
      <c r="L2656" s="68"/>
      <c r="M2656" s="63" t="str">
        <f>HYPERLINK("http://nsgreg.nga.mil/genc/view?v=870770&amp;end_month=12&amp;end_day=31&amp;end_year=2016","Correlation")</f>
        <v>Correlation</v>
      </c>
    </row>
    <row r="2657" spans="1:13" x14ac:dyDescent="0.2">
      <c r="A2657" s="113"/>
      <c r="B2657" s="58" t="s">
        <v>7341</v>
      </c>
      <c r="C2657" s="58" t="s">
        <v>1763</v>
      </c>
      <c r="D2657" s="58" t="s">
        <v>7342</v>
      </c>
      <c r="E2657" s="60" t="b">
        <v>1</v>
      </c>
      <c r="F2657" s="80" t="s">
        <v>914</v>
      </c>
      <c r="G2657" s="58" t="s">
        <v>7341</v>
      </c>
      <c r="H2657" s="58" t="s">
        <v>1763</v>
      </c>
      <c r="I2657" s="64" t="s">
        <v>7342</v>
      </c>
      <c r="J2657" s="66"/>
      <c r="K2657" s="66"/>
      <c r="L2657" s="68"/>
      <c r="M2657" s="63" t="str">
        <f>HYPERLINK("http://nsgreg.nga.mil/genc/view?v=870771&amp;end_month=12&amp;end_day=31&amp;end_year=2016","Correlation")</f>
        <v>Correlation</v>
      </c>
    </row>
    <row r="2658" spans="1:13" x14ac:dyDescent="0.2">
      <c r="A2658" s="113"/>
      <c r="B2658" s="58" t="s">
        <v>7343</v>
      </c>
      <c r="C2658" s="58" t="s">
        <v>1763</v>
      </c>
      <c r="D2658" s="58" t="s">
        <v>7344</v>
      </c>
      <c r="E2658" s="60" t="b">
        <v>1</v>
      </c>
      <c r="F2658" s="80" t="s">
        <v>914</v>
      </c>
      <c r="G2658" s="58" t="s">
        <v>7343</v>
      </c>
      <c r="H2658" s="58" t="s">
        <v>1763</v>
      </c>
      <c r="I2658" s="64" t="s">
        <v>7344</v>
      </c>
      <c r="J2658" s="66"/>
      <c r="K2658" s="66"/>
      <c r="L2658" s="68"/>
      <c r="M2658" s="63" t="str">
        <f>HYPERLINK("http://nsgreg.nga.mil/genc/view?v=870772&amp;end_month=12&amp;end_day=31&amp;end_year=2016","Correlation")</f>
        <v>Correlation</v>
      </c>
    </row>
    <row r="2659" spans="1:13" x14ac:dyDescent="0.2">
      <c r="A2659" s="113"/>
      <c r="B2659" s="58" t="s">
        <v>7345</v>
      </c>
      <c r="C2659" s="58" t="s">
        <v>1763</v>
      </c>
      <c r="D2659" s="58" t="s">
        <v>7346</v>
      </c>
      <c r="E2659" s="60" t="b">
        <v>1</v>
      </c>
      <c r="F2659" s="80" t="s">
        <v>914</v>
      </c>
      <c r="G2659" s="58" t="s">
        <v>7345</v>
      </c>
      <c r="H2659" s="58" t="s">
        <v>1763</v>
      </c>
      <c r="I2659" s="64" t="s">
        <v>7346</v>
      </c>
      <c r="J2659" s="66"/>
      <c r="K2659" s="66"/>
      <c r="L2659" s="68"/>
      <c r="M2659" s="63" t="str">
        <f>HYPERLINK("http://nsgreg.nga.mil/genc/view?v=870773&amp;end_month=12&amp;end_day=31&amp;end_year=2016","Correlation")</f>
        <v>Correlation</v>
      </c>
    </row>
    <row r="2660" spans="1:13" x14ac:dyDescent="0.2">
      <c r="A2660" s="113"/>
      <c r="B2660" s="58" t="s">
        <v>7347</v>
      </c>
      <c r="C2660" s="58" t="s">
        <v>1763</v>
      </c>
      <c r="D2660" s="58" t="s">
        <v>7348</v>
      </c>
      <c r="E2660" s="60" t="b">
        <v>1</v>
      </c>
      <c r="F2660" s="80" t="s">
        <v>914</v>
      </c>
      <c r="G2660" s="58" t="s">
        <v>7347</v>
      </c>
      <c r="H2660" s="58" t="s">
        <v>1763</v>
      </c>
      <c r="I2660" s="64" t="s">
        <v>7348</v>
      </c>
      <c r="J2660" s="66"/>
      <c r="K2660" s="66"/>
      <c r="L2660" s="68"/>
      <c r="M2660" s="63" t="str">
        <f>HYPERLINK("http://nsgreg.nga.mil/genc/view?v=870774&amp;end_month=12&amp;end_day=31&amp;end_year=2016","Correlation")</f>
        <v>Correlation</v>
      </c>
    </row>
    <row r="2661" spans="1:13" x14ac:dyDescent="0.2">
      <c r="A2661" s="113"/>
      <c r="B2661" s="58" t="s">
        <v>7349</v>
      </c>
      <c r="C2661" s="58" t="s">
        <v>1763</v>
      </c>
      <c r="D2661" s="58" t="s">
        <v>7350</v>
      </c>
      <c r="E2661" s="60" t="b">
        <v>1</v>
      </c>
      <c r="F2661" s="80" t="s">
        <v>914</v>
      </c>
      <c r="G2661" s="58" t="s">
        <v>7349</v>
      </c>
      <c r="H2661" s="58" t="s">
        <v>1763</v>
      </c>
      <c r="I2661" s="64" t="s">
        <v>7350</v>
      </c>
      <c r="J2661" s="66"/>
      <c r="K2661" s="66"/>
      <c r="L2661" s="68"/>
      <c r="M2661" s="63" t="str">
        <f>HYPERLINK("http://nsgreg.nga.mil/genc/view?v=870775&amp;end_month=12&amp;end_day=31&amp;end_year=2016","Correlation")</f>
        <v>Correlation</v>
      </c>
    </row>
    <row r="2662" spans="1:13" x14ac:dyDescent="0.2">
      <c r="A2662" s="113"/>
      <c r="B2662" s="58" t="s">
        <v>7351</v>
      </c>
      <c r="C2662" s="58" t="s">
        <v>1763</v>
      </c>
      <c r="D2662" s="58" t="s">
        <v>7352</v>
      </c>
      <c r="E2662" s="60" t="b">
        <v>1</v>
      </c>
      <c r="F2662" s="80" t="s">
        <v>914</v>
      </c>
      <c r="G2662" s="58" t="s">
        <v>7351</v>
      </c>
      <c r="H2662" s="58" t="s">
        <v>1763</v>
      </c>
      <c r="I2662" s="64" t="s">
        <v>7352</v>
      </c>
      <c r="J2662" s="66"/>
      <c r="K2662" s="66"/>
      <c r="L2662" s="68"/>
      <c r="M2662" s="63" t="str">
        <f>HYPERLINK("http://nsgreg.nga.mil/genc/view?v=870776&amp;end_month=12&amp;end_day=31&amp;end_year=2016","Correlation")</f>
        <v>Correlation</v>
      </c>
    </row>
    <row r="2663" spans="1:13" x14ac:dyDescent="0.2">
      <c r="A2663" s="113"/>
      <c r="B2663" s="58" t="s">
        <v>7353</v>
      </c>
      <c r="C2663" s="58" t="s">
        <v>1763</v>
      </c>
      <c r="D2663" s="58" t="s">
        <v>7354</v>
      </c>
      <c r="E2663" s="60" t="b">
        <v>1</v>
      </c>
      <c r="F2663" s="80" t="s">
        <v>914</v>
      </c>
      <c r="G2663" s="58" t="s">
        <v>7353</v>
      </c>
      <c r="H2663" s="58" t="s">
        <v>1763</v>
      </c>
      <c r="I2663" s="64" t="s">
        <v>7354</v>
      </c>
      <c r="J2663" s="66"/>
      <c r="K2663" s="66"/>
      <c r="L2663" s="68"/>
      <c r="M2663" s="63" t="str">
        <f>HYPERLINK("http://nsgreg.nga.mil/genc/view?v=870777&amp;end_month=12&amp;end_day=31&amp;end_year=2016","Correlation")</f>
        <v>Correlation</v>
      </c>
    </row>
    <row r="2664" spans="1:13" x14ac:dyDescent="0.2">
      <c r="A2664" s="113"/>
      <c r="B2664" s="58" t="s">
        <v>7355</v>
      </c>
      <c r="C2664" s="58" t="s">
        <v>1763</v>
      </c>
      <c r="D2664" s="58" t="s">
        <v>7356</v>
      </c>
      <c r="E2664" s="60" t="b">
        <v>1</v>
      </c>
      <c r="F2664" s="80" t="s">
        <v>914</v>
      </c>
      <c r="G2664" s="58" t="s">
        <v>7355</v>
      </c>
      <c r="H2664" s="58" t="s">
        <v>1763</v>
      </c>
      <c r="I2664" s="64" t="s">
        <v>7356</v>
      </c>
      <c r="J2664" s="66"/>
      <c r="K2664" s="66"/>
      <c r="L2664" s="68"/>
      <c r="M2664" s="63" t="str">
        <f>HYPERLINK("http://nsgreg.nga.mil/genc/view?v=870779&amp;end_month=12&amp;end_day=31&amp;end_year=2016","Correlation")</f>
        <v>Correlation</v>
      </c>
    </row>
    <row r="2665" spans="1:13" x14ac:dyDescent="0.2">
      <c r="A2665" s="113"/>
      <c r="B2665" s="58" t="s">
        <v>7357</v>
      </c>
      <c r="C2665" s="58" t="s">
        <v>1763</v>
      </c>
      <c r="D2665" s="58" t="s">
        <v>7358</v>
      </c>
      <c r="E2665" s="60" t="b">
        <v>1</v>
      </c>
      <c r="F2665" s="80" t="s">
        <v>914</v>
      </c>
      <c r="G2665" s="58" t="s">
        <v>7357</v>
      </c>
      <c r="H2665" s="58" t="s">
        <v>1763</v>
      </c>
      <c r="I2665" s="64" t="s">
        <v>7358</v>
      </c>
      <c r="J2665" s="66"/>
      <c r="K2665" s="66"/>
      <c r="L2665" s="68"/>
      <c r="M2665" s="63" t="str">
        <f>HYPERLINK("http://nsgreg.nga.mil/genc/view?v=870778&amp;end_month=12&amp;end_day=31&amp;end_year=2016","Correlation")</f>
        <v>Correlation</v>
      </c>
    </row>
    <row r="2666" spans="1:13" x14ac:dyDescent="0.2">
      <c r="A2666" s="113"/>
      <c r="B2666" s="58" t="s">
        <v>7359</v>
      </c>
      <c r="C2666" s="58" t="s">
        <v>1763</v>
      </c>
      <c r="D2666" s="58" t="s">
        <v>7360</v>
      </c>
      <c r="E2666" s="60" t="b">
        <v>1</v>
      </c>
      <c r="F2666" s="80" t="s">
        <v>914</v>
      </c>
      <c r="G2666" s="58" t="s">
        <v>7359</v>
      </c>
      <c r="H2666" s="58" t="s">
        <v>1763</v>
      </c>
      <c r="I2666" s="64" t="s">
        <v>7360</v>
      </c>
      <c r="J2666" s="66"/>
      <c r="K2666" s="66"/>
      <c r="L2666" s="68"/>
      <c r="M2666" s="63" t="str">
        <f>HYPERLINK("http://nsgreg.nga.mil/genc/view?v=870780&amp;end_month=12&amp;end_day=31&amp;end_year=2016","Correlation")</f>
        <v>Correlation</v>
      </c>
    </row>
    <row r="2667" spans="1:13" x14ac:dyDescent="0.2">
      <c r="A2667" s="113"/>
      <c r="B2667" s="58" t="s">
        <v>7361</v>
      </c>
      <c r="C2667" s="58" t="s">
        <v>1763</v>
      </c>
      <c r="D2667" s="58" t="s">
        <v>7362</v>
      </c>
      <c r="E2667" s="60" t="b">
        <v>1</v>
      </c>
      <c r="F2667" s="80" t="s">
        <v>914</v>
      </c>
      <c r="G2667" s="58" t="s">
        <v>7361</v>
      </c>
      <c r="H2667" s="58" t="s">
        <v>1763</v>
      </c>
      <c r="I2667" s="64" t="s">
        <v>7362</v>
      </c>
      <c r="J2667" s="66"/>
      <c r="K2667" s="66"/>
      <c r="L2667" s="68"/>
      <c r="M2667" s="63" t="str">
        <f>HYPERLINK("http://nsgreg.nga.mil/genc/view?v=870781&amp;end_month=12&amp;end_day=31&amp;end_year=2016","Correlation")</f>
        <v>Correlation</v>
      </c>
    </row>
    <row r="2668" spans="1:13" x14ac:dyDescent="0.2">
      <c r="A2668" s="113"/>
      <c r="B2668" s="58" t="s">
        <v>7363</v>
      </c>
      <c r="C2668" s="58" t="s">
        <v>1763</v>
      </c>
      <c r="D2668" s="58" t="s">
        <v>7364</v>
      </c>
      <c r="E2668" s="60" t="b">
        <v>1</v>
      </c>
      <c r="F2668" s="80" t="s">
        <v>914</v>
      </c>
      <c r="G2668" s="58" t="s">
        <v>7363</v>
      </c>
      <c r="H2668" s="58" t="s">
        <v>1763</v>
      </c>
      <c r="I2668" s="64" t="s">
        <v>7364</v>
      </c>
      <c r="J2668" s="66"/>
      <c r="K2668" s="66"/>
      <c r="L2668" s="68"/>
      <c r="M2668" s="63" t="str">
        <f>HYPERLINK("http://nsgreg.nga.mil/genc/view?v=870782&amp;end_month=12&amp;end_day=31&amp;end_year=2016","Correlation")</f>
        <v>Correlation</v>
      </c>
    </row>
    <row r="2669" spans="1:13" x14ac:dyDescent="0.2">
      <c r="A2669" s="113"/>
      <c r="B2669" s="58" t="s">
        <v>7365</v>
      </c>
      <c r="C2669" s="58" t="s">
        <v>1763</v>
      </c>
      <c r="D2669" s="58" t="s">
        <v>7366</v>
      </c>
      <c r="E2669" s="60" t="b">
        <v>1</v>
      </c>
      <c r="F2669" s="80" t="s">
        <v>914</v>
      </c>
      <c r="G2669" s="58" t="s">
        <v>7365</v>
      </c>
      <c r="H2669" s="58" t="s">
        <v>1763</v>
      </c>
      <c r="I2669" s="64" t="s">
        <v>7366</v>
      </c>
      <c r="J2669" s="66"/>
      <c r="K2669" s="66"/>
      <c r="L2669" s="68"/>
      <c r="M2669" s="63" t="str">
        <f>HYPERLINK("http://nsgreg.nga.mil/genc/view?v=870783&amp;end_month=12&amp;end_day=31&amp;end_year=2016","Correlation")</f>
        <v>Correlation</v>
      </c>
    </row>
    <row r="2670" spans="1:13" x14ac:dyDescent="0.2">
      <c r="A2670" s="113"/>
      <c r="B2670" s="58" t="s">
        <v>7369</v>
      </c>
      <c r="C2670" s="58" t="s">
        <v>1763</v>
      </c>
      <c r="D2670" s="58" t="s">
        <v>7368</v>
      </c>
      <c r="E2670" s="60" t="b">
        <v>1</v>
      </c>
      <c r="F2670" s="80" t="s">
        <v>914</v>
      </c>
      <c r="G2670" s="58" t="s">
        <v>7367</v>
      </c>
      <c r="H2670" s="58" t="s">
        <v>1763</v>
      </c>
      <c r="I2670" s="64" t="s">
        <v>7368</v>
      </c>
      <c r="J2670" s="66"/>
      <c r="K2670" s="66"/>
      <c r="L2670" s="68"/>
      <c r="M2670" s="63" t="str">
        <f>HYPERLINK("http://nsgreg.nga.mil/genc/view?v=870784&amp;end_month=12&amp;end_day=31&amp;end_year=2016","Correlation")</f>
        <v>Correlation</v>
      </c>
    </row>
    <row r="2671" spans="1:13" x14ac:dyDescent="0.2">
      <c r="A2671" s="113"/>
      <c r="B2671" s="58" t="s">
        <v>7370</v>
      </c>
      <c r="C2671" s="58" t="s">
        <v>1763</v>
      </c>
      <c r="D2671" s="58" t="s">
        <v>7371</v>
      </c>
      <c r="E2671" s="60" t="b">
        <v>1</v>
      </c>
      <c r="F2671" s="80" t="s">
        <v>914</v>
      </c>
      <c r="G2671" s="58" t="s">
        <v>7370</v>
      </c>
      <c r="H2671" s="58" t="s">
        <v>1763</v>
      </c>
      <c r="I2671" s="64" t="s">
        <v>7371</v>
      </c>
      <c r="J2671" s="66"/>
      <c r="K2671" s="66"/>
      <c r="L2671" s="68"/>
      <c r="M2671" s="63" t="str">
        <f>HYPERLINK("http://nsgreg.nga.mil/genc/view?v=870785&amp;end_month=12&amp;end_day=31&amp;end_year=2016","Correlation")</f>
        <v>Correlation</v>
      </c>
    </row>
    <row r="2672" spans="1:13" x14ac:dyDescent="0.2">
      <c r="A2672" s="114"/>
      <c r="B2672" s="71" t="s">
        <v>7372</v>
      </c>
      <c r="C2672" s="71" t="s">
        <v>1763</v>
      </c>
      <c r="D2672" s="71" t="s">
        <v>7373</v>
      </c>
      <c r="E2672" s="73" t="b">
        <v>1</v>
      </c>
      <c r="F2672" s="81" t="s">
        <v>914</v>
      </c>
      <c r="G2672" s="71" t="s">
        <v>7372</v>
      </c>
      <c r="H2672" s="71" t="s">
        <v>1763</v>
      </c>
      <c r="I2672" s="74" t="s">
        <v>7373</v>
      </c>
      <c r="J2672" s="76"/>
      <c r="K2672" s="76"/>
      <c r="L2672" s="82"/>
      <c r="M2672" s="77" t="str">
        <f>HYPERLINK("http://nsgreg.nga.mil/genc/view?v=870786&amp;end_month=12&amp;end_day=31&amp;end_year=2016","Correlation")</f>
        <v>Correlation</v>
      </c>
    </row>
    <row r="2673" spans="1:13" x14ac:dyDescent="0.2">
      <c r="A2673" s="112" t="s">
        <v>922</v>
      </c>
      <c r="B2673" s="50" t="s">
        <v>7374</v>
      </c>
      <c r="C2673" s="50" t="s">
        <v>1763</v>
      </c>
      <c r="D2673" s="50" t="s">
        <v>7375</v>
      </c>
      <c r="E2673" s="52" t="b">
        <v>1</v>
      </c>
      <c r="F2673" s="78" t="s">
        <v>918</v>
      </c>
      <c r="G2673" s="50" t="s">
        <v>7374</v>
      </c>
      <c r="H2673" s="50" t="s">
        <v>1763</v>
      </c>
      <c r="I2673" s="53" t="s">
        <v>7375</v>
      </c>
      <c r="J2673" s="55"/>
      <c r="K2673" s="55"/>
      <c r="L2673" s="79"/>
      <c r="M2673" s="56" t="str">
        <f>HYPERLINK("http://nsgreg.nga.mil/genc/view?v=868834&amp;end_month=12&amp;end_day=31&amp;end_year=2016","Correlation")</f>
        <v>Correlation</v>
      </c>
    </row>
    <row r="2674" spans="1:13" x14ac:dyDescent="0.2">
      <c r="A2674" s="113"/>
      <c r="B2674" s="58" t="s">
        <v>7376</v>
      </c>
      <c r="C2674" s="58" t="s">
        <v>1763</v>
      </c>
      <c r="D2674" s="58" t="s">
        <v>7377</v>
      </c>
      <c r="E2674" s="60" t="b">
        <v>1</v>
      </c>
      <c r="F2674" s="80" t="s">
        <v>918</v>
      </c>
      <c r="G2674" s="58" t="s">
        <v>7376</v>
      </c>
      <c r="H2674" s="58" t="s">
        <v>1763</v>
      </c>
      <c r="I2674" s="64" t="s">
        <v>7377</v>
      </c>
      <c r="J2674" s="66"/>
      <c r="K2674" s="66"/>
      <c r="L2674" s="68"/>
      <c r="M2674" s="63" t="str">
        <f>HYPERLINK("http://nsgreg.nga.mil/genc/view?v=868832&amp;end_month=12&amp;end_day=31&amp;end_year=2016","Correlation")</f>
        <v>Correlation</v>
      </c>
    </row>
    <row r="2675" spans="1:13" x14ac:dyDescent="0.2">
      <c r="A2675" s="113"/>
      <c r="B2675" s="58" t="s">
        <v>7378</v>
      </c>
      <c r="C2675" s="58" t="s">
        <v>1763</v>
      </c>
      <c r="D2675" s="58" t="s">
        <v>7379</v>
      </c>
      <c r="E2675" s="60" t="b">
        <v>1</v>
      </c>
      <c r="F2675" s="80" t="s">
        <v>918</v>
      </c>
      <c r="G2675" s="58" t="s">
        <v>7378</v>
      </c>
      <c r="H2675" s="58" t="s">
        <v>1763</v>
      </c>
      <c r="I2675" s="64" t="s">
        <v>7379</v>
      </c>
      <c r="J2675" s="66"/>
      <c r="K2675" s="66"/>
      <c r="L2675" s="68"/>
      <c r="M2675" s="63" t="str">
        <f>HYPERLINK("http://nsgreg.nga.mil/genc/view?v=868833&amp;end_month=12&amp;end_day=31&amp;end_year=2016","Correlation")</f>
        <v>Correlation</v>
      </c>
    </row>
    <row r="2676" spans="1:13" x14ac:dyDescent="0.2">
      <c r="A2676" s="114"/>
      <c r="B2676" s="71" t="s">
        <v>7380</v>
      </c>
      <c r="C2676" s="71" t="s">
        <v>1763</v>
      </c>
      <c r="D2676" s="71" t="s">
        <v>7381</v>
      </c>
      <c r="E2676" s="73" t="b">
        <v>1</v>
      </c>
      <c r="F2676" s="81" t="s">
        <v>918</v>
      </c>
      <c r="G2676" s="71" t="s">
        <v>7380</v>
      </c>
      <c r="H2676" s="71" t="s">
        <v>1763</v>
      </c>
      <c r="I2676" s="74" t="s">
        <v>7381</v>
      </c>
      <c r="J2676" s="76"/>
      <c r="K2676" s="76"/>
      <c r="L2676" s="82"/>
      <c r="M2676" s="77" t="str">
        <f>HYPERLINK("http://nsgreg.nga.mil/genc/view?v=868835&amp;end_month=12&amp;end_day=31&amp;end_year=2016","Correlation")</f>
        <v>Correlation</v>
      </c>
    </row>
    <row r="2677" spans="1:13" x14ac:dyDescent="0.2">
      <c r="A2677" s="112" t="s">
        <v>933</v>
      </c>
      <c r="B2677" s="50" t="s">
        <v>7382</v>
      </c>
      <c r="C2677" s="50" t="s">
        <v>1796</v>
      </c>
      <c r="D2677" s="50" t="s">
        <v>7383</v>
      </c>
      <c r="E2677" s="52" t="b">
        <v>1</v>
      </c>
      <c r="F2677" s="78" t="s">
        <v>929</v>
      </c>
      <c r="G2677" s="50" t="s">
        <v>7382</v>
      </c>
      <c r="H2677" s="50" t="s">
        <v>1796</v>
      </c>
      <c r="I2677" s="53" t="s">
        <v>7383</v>
      </c>
      <c r="J2677" s="55"/>
      <c r="K2677" s="55"/>
      <c r="L2677" s="79"/>
      <c r="M2677" s="56" t="str">
        <f>HYPERLINK("http://nsgreg.nga.mil/genc/view?v=870387&amp;end_month=12&amp;end_day=31&amp;end_year=2016","Correlation")</f>
        <v>Correlation</v>
      </c>
    </row>
    <row r="2678" spans="1:13" x14ac:dyDescent="0.2">
      <c r="A2678" s="113"/>
      <c r="B2678" s="58" t="s">
        <v>7384</v>
      </c>
      <c r="C2678" s="58" t="s">
        <v>1681</v>
      </c>
      <c r="D2678" s="58" t="s">
        <v>7385</v>
      </c>
      <c r="E2678" s="60" t="b">
        <v>1</v>
      </c>
      <c r="F2678" s="80" t="s">
        <v>929</v>
      </c>
      <c r="G2678" s="58" t="s">
        <v>7384</v>
      </c>
      <c r="H2678" s="58" t="s">
        <v>1816</v>
      </c>
      <c r="I2678" s="64" t="s">
        <v>7385</v>
      </c>
      <c r="J2678" s="66"/>
      <c r="K2678" s="66"/>
      <c r="L2678" s="68"/>
      <c r="M2678" s="63" t="str">
        <f>HYPERLINK("http://nsgreg.nga.mil/genc/view?v=870388&amp;end_month=12&amp;end_day=31&amp;end_year=2016","Correlation")</f>
        <v>Correlation</v>
      </c>
    </row>
    <row r="2679" spans="1:13" x14ac:dyDescent="0.2">
      <c r="A2679" s="113"/>
      <c r="B2679" s="58" t="s">
        <v>7386</v>
      </c>
      <c r="C2679" s="58" t="s">
        <v>1796</v>
      </c>
      <c r="D2679" s="58" t="s">
        <v>7387</v>
      </c>
      <c r="E2679" s="60" t="b">
        <v>1</v>
      </c>
      <c r="F2679" s="80" t="s">
        <v>929</v>
      </c>
      <c r="G2679" s="58" t="s">
        <v>7386</v>
      </c>
      <c r="H2679" s="58" t="s">
        <v>1796</v>
      </c>
      <c r="I2679" s="64" t="s">
        <v>7387</v>
      </c>
      <c r="J2679" s="66"/>
      <c r="K2679" s="66"/>
      <c r="L2679" s="68"/>
      <c r="M2679" s="63" t="str">
        <f>HYPERLINK("http://nsgreg.nga.mil/genc/view?v=870391&amp;end_month=12&amp;end_day=31&amp;end_year=2016","Correlation")</f>
        <v>Correlation</v>
      </c>
    </row>
    <row r="2680" spans="1:13" x14ac:dyDescent="0.2">
      <c r="A2680" s="113"/>
      <c r="B2680" s="58" t="s">
        <v>7388</v>
      </c>
      <c r="C2680" s="58" t="s">
        <v>1681</v>
      </c>
      <c r="D2680" s="58" t="s">
        <v>7389</v>
      </c>
      <c r="E2680" s="60" t="b">
        <v>1</v>
      </c>
      <c r="F2680" s="80" t="s">
        <v>929</v>
      </c>
      <c r="G2680" s="58" t="s">
        <v>7388</v>
      </c>
      <c r="H2680" s="58" t="s">
        <v>1816</v>
      </c>
      <c r="I2680" s="64" t="s">
        <v>7389</v>
      </c>
      <c r="J2680" s="66"/>
      <c r="K2680" s="66"/>
      <c r="L2680" s="68"/>
      <c r="M2680" s="63" t="str">
        <f>HYPERLINK("http://nsgreg.nga.mil/genc/view?v=870389&amp;end_month=12&amp;end_day=31&amp;end_year=2016","Correlation")</f>
        <v>Correlation</v>
      </c>
    </row>
    <row r="2681" spans="1:13" x14ac:dyDescent="0.2">
      <c r="A2681" s="113"/>
      <c r="B2681" s="58" t="s">
        <v>7390</v>
      </c>
      <c r="C2681" s="58" t="s">
        <v>1796</v>
      </c>
      <c r="D2681" s="58" t="s">
        <v>7391</v>
      </c>
      <c r="E2681" s="60" t="b">
        <v>1</v>
      </c>
      <c r="F2681" s="80" t="s">
        <v>929</v>
      </c>
      <c r="G2681" s="58" t="s">
        <v>7390</v>
      </c>
      <c r="H2681" s="58" t="s">
        <v>1796</v>
      </c>
      <c r="I2681" s="64" t="s">
        <v>7391</v>
      </c>
      <c r="J2681" s="66"/>
      <c r="K2681" s="66"/>
      <c r="L2681" s="68"/>
      <c r="M2681" s="63" t="str">
        <f>HYPERLINK("http://nsgreg.nga.mil/genc/view?v=870390&amp;end_month=12&amp;end_day=31&amp;end_year=2016","Correlation")</f>
        <v>Correlation</v>
      </c>
    </row>
    <row r="2682" spans="1:13" x14ac:dyDescent="0.2">
      <c r="A2682" s="113"/>
      <c r="B2682" s="58" t="s">
        <v>7392</v>
      </c>
      <c r="C2682" s="58" t="s">
        <v>1796</v>
      </c>
      <c r="D2682" s="58" t="s">
        <v>7393</v>
      </c>
      <c r="E2682" s="60" t="b">
        <v>1</v>
      </c>
      <c r="F2682" s="80" t="s">
        <v>929</v>
      </c>
      <c r="G2682" s="58" t="s">
        <v>7392</v>
      </c>
      <c r="H2682" s="58" t="s">
        <v>1796</v>
      </c>
      <c r="I2682" s="64" t="s">
        <v>7393</v>
      </c>
      <c r="J2682" s="66"/>
      <c r="K2682" s="66"/>
      <c r="L2682" s="68"/>
      <c r="M2682" s="63" t="str">
        <f>HYPERLINK("http://nsgreg.nga.mil/genc/view?v=870392&amp;end_month=12&amp;end_day=31&amp;end_year=2016","Correlation")</f>
        <v>Correlation</v>
      </c>
    </row>
    <row r="2683" spans="1:13" x14ac:dyDescent="0.2">
      <c r="A2683" s="113"/>
      <c r="B2683" s="58" t="s">
        <v>7394</v>
      </c>
      <c r="C2683" s="58" t="s">
        <v>1796</v>
      </c>
      <c r="D2683" s="58" t="s">
        <v>7395</v>
      </c>
      <c r="E2683" s="60" t="b">
        <v>1</v>
      </c>
      <c r="F2683" s="80" t="s">
        <v>929</v>
      </c>
      <c r="G2683" s="58" t="s">
        <v>7394</v>
      </c>
      <c r="H2683" s="58" t="s">
        <v>1796</v>
      </c>
      <c r="I2683" s="64" t="s">
        <v>7395</v>
      </c>
      <c r="J2683" s="66"/>
      <c r="K2683" s="66"/>
      <c r="L2683" s="68"/>
      <c r="M2683" s="63" t="str">
        <f>HYPERLINK("http://nsgreg.nga.mil/genc/view?v=870393&amp;end_month=12&amp;end_day=31&amp;end_year=2016","Correlation")</f>
        <v>Correlation</v>
      </c>
    </row>
    <row r="2684" spans="1:13" x14ac:dyDescent="0.2">
      <c r="A2684" s="113"/>
      <c r="B2684" s="58" t="s">
        <v>7396</v>
      </c>
      <c r="C2684" s="58" t="s">
        <v>1796</v>
      </c>
      <c r="D2684" s="58" t="s">
        <v>7397</v>
      </c>
      <c r="E2684" s="60" t="b">
        <v>1</v>
      </c>
      <c r="F2684" s="80" t="s">
        <v>929</v>
      </c>
      <c r="G2684" s="58" t="s">
        <v>7396</v>
      </c>
      <c r="H2684" s="58" t="s">
        <v>1796</v>
      </c>
      <c r="I2684" s="64" t="s">
        <v>7397</v>
      </c>
      <c r="J2684" s="66"/>
      <c r="K2684" s="66"/>
      <c r="L2684" s="68"/>
      <c r="M2684" s="63" t="str">
        <f>HYPERLINK("http://nsgreg.nga.mil/genc/view?v=870397&amp;end_month=12&amp;end_day=31&amp;end_year=2016","Correlation")</f>
        <v>Correlation</v>
      </c>
    </row>
    <row r="2685" spans="1:13" x14ac:dyDescent="0.2">
      <c r="A2685" s="113"/>
      <c r="B2685" s="58" t="s">
        <v>7398</v>
      </c>
      <c r="C2685" s="58" t="s">
        <v>1796</v>
      </c>
      <c r="D2685" s="58" t="s">
        <v>7399</v>
      </c>
      <c r="E2685" s="60" t="b">
        <v>1</v>
      </c>
      <c r="F2685" s="80" t="s">
        <v>929</v>
      </c>
      <c r="G2685" s="58" t="s">
        <v>7398</v>
      </c>
      <c r="H2685" s="58" t="s">
        <v>1796</v>
      </c>
      <c r="I2685" s="64" t="s">
        <v>7399</v>
      </c>
      <c r="J2685" s="66"/>
      <c r="K2685" s="66"/>
      <c r="L2685" s="68"/>
      <c r="M2685" s="63" t="str">
        <f>HYPERLINK("http://nsgreg.nga.mil/genc/view?v=870396&amp;end_month=12&amp;end_day=31&amp;end_year=2016","Correlation")</f>
        <v>Correlation</v>
      </c>
    </row>
    <row r="2686" spans="1:13" x14ac:dyDescent="0.2">
      <c r="A2686" s="113"/>
      <c r="B2686" s="58" t="s">
        <v>7400</v>
      </c>
      <c r="C2686" s="58" t="s">
        <v>1681</v>
      </c>
      <c r="D2686" s="58" t="s">
        <v>7401</v>
      </c>
      <c r="E2686" s="60" t="b">
        <v>1</v>
      </c>
      <c r="F2686" s="80" t="s">
        <v>929</v>
      </c>
      <c r="G2686" s="58" t="s">
        <v>7400</v>
      </c>
      <c r="H2686" s="58" t="s">
        <v>1816</v>
      </c>
      <c r="I2686" s="64" t="s">
        <v>7401</v>
      </c>
      <c r="J2686" s="66"/>
      <c r="K2686" s="66"/>
      <c r="L2686" s="68"/>
      <c r="M2686" s="63" t="str">
        <f>HYPERLINK("http://nsgreg.nga.mil/genc/view?v=870398&amp;end_month=12&amp;end_day=31&amp;end_year=2016","Correlation")</f>
        <v>Correlation</v>
      </c>
    </row>
    <row r="2687" spans="1:13" x14ac:dyDescent="0.2">
      <c r="A2687" s="113"/>
      <c r="B2687" s="58" t="s">
        <v>7402</v>
      </c>
      <c r="C2687" s="58" t="s">
        <v>1796</v>
      </c>
      <c r="D2687" s="58" t="s">
        <v>7403</v>
      </c>
      <c r="E2687" s="60" t="b">
        <v>1</v>
      </c>
      <c r="F2687" s="80" t="s">
        <v>929</v>
      </c>
      <c r="G2687" s="58" t="s">
        <v>7402</v>
      </c>
      <c r="H2687" s="58" t="s">
        <v>1796</v>
      </c>
      <c r="I2687" s="64" t="s">
        <v>7403</v>
      </c>
      <c r="J2687" s="66"/>
      <c r="K2687" s="66"/>
      <c r="L2687" s="68"/>
      <c r="M2687" s="63" t="str">
        <f>HYPERLINK("http://nsgreg.nga.mil/genc/view?v=870394&amp;end_month=12&amp;end_day=31&amp;end_year=2016","Correlation")</f>
        <v>Correlation</v>
      </c>
    </row>
    <row r="2688" spans="1:13" x14ac:dyDescent="0.2">
      <c r="A2688" s="113"/>
      <c r="B2688" s="58" t="s">
        <v>7404</v>
      </c>
      <c r="C2688" s="58" t="s">
        <v>1796</v>
      </c>
      <c r="D2688" s="58" t="s">
        <v>7405</v>
      </c>
      <c r="E2688" s="60" t="b">
        <v>1</v>
      </c>
      <c r="F2688" s="80" t="s">
        <v>929</v>
      </c>
      <c r="G2688" s="58" t="s">
        <v>7404</v>
      </c>
      <c r="H2688" s="58" t="s">
        <v>1796</v>
      </c>
      <c r="I2688" s="64" t="s">
        <v>7405</v>
      </c>
      <c r="J2688" s="66"/>
      <c r="K2688" s="66"/>
      <c r="L2688" s="68"/>
      <c r="M2688" s="63" t="str">
        <f>HYPERLINK("http://nsgreg.nga.mil/genc/view?v=870395&amp;end_month=12&amp;end_day=31&amp;end_year=2016","Correlation")</f>
        <v>Correlation</v>
      </c>
    </row>
    <row r="2689" spans="1:13" x14ac:dyDescent="0.2">
      <c r="A2689" s="113"/>
      <c r="B2689" s="58" t="s">
        <v>7406</v>
      </c>
      <c r="C2689" s="58" t="s">
        <v>1796</v>
      </c>
      <c r="D2689" s="58" t="s">
        <v>7407</v>
      </c>
      <c r="E2689" s="60" t="b">
        <v>1</v>
      </c>
      <c r="F2689" s="80" t="s">
        <v>929</v>
      </c>
      <c r="G2689" s="58" t="s">
        <v>7406</v>
      </c>
      <c r="H2689" s="58" t="s">
        <v>1796</v>
      </c>
      <c r="I2689" s="64" t="s">
        <v>7407</v>
      </c>
      <c r="J2689" s="66"/>
      <c r="K2689" s="66"/>
      <c r="L2689" s="68"/>
      <c r="M2689" s="63" t="str">
        <f>HYPERLINK("http://nsgreg.nga.mil/genc/view?v=870399&amp;end_month=12&amp;end_day=31&amp;end_year=2016","Correlation")</f>
        <v>Correlation</v>
      </c>
    </row>
    <row r="2690" spans="1:13" x14ac:dyDescent="0.2">
      <c r="A2690" s="113"/>
      <c r="B2690" s="58" t="s">
        <v>7408</v>
      </c>
      <c r="C2690" s="58" t="s">
        <v>1796</v>
      </c>
      <c r="D2690" s="58" t="s">
        <v>7409</v>
      </c>
      <c r="E2690" s="60" t="b">
        <v>1</v>
      </c>
      <c r="F2690" s="80" t="s">
        <v>929</v>
      </c>
      <c r="G2690" s="58" t="s">
        <v>7408</v>
      </c>
      <c r="H2690" s="58" t="s">
        <v>1796</v>
      </c>
      <c r="I2690" s="64" t="s">
        <v>7409</v>
      </c>
      <c r="J2690" s="66"/>
      <c r="K2690" s="66"/>
      <c r="L2690" s="68"/>
      <c r="M2690" s="63" t="str">
        <f>HYPERLINK("http://nsgreg.nga.mil/genc/view?v=870400&amp;end_month=12&amp;end_day=31&amp;end_year=2016","Correlation")</f>
        <v>Correlation</v>
      </c>
    </row>
    <row r="2691" spans="1:13" x14ac:dyDescent="0.2">
      <c r="A2691" s="113"/>
      <c r="B2691" s="58" t="s">
        <v>7410</v>
      </c>
      <c r="C2691" s="58" t="s">
        <v>1796</v>
      </c>
      <c r="D2691" s="58" t="s">
        <v>7411</v>
      </c>
      <c r="E2691" s="60" t="b">
        <v>1</v>
      </c>
      <c r="F2691" s="80" t="s">
        <v>929</v>
      </c>
      <c r="G2691" s="58" t="s">
        <v>7410</v>
      </c>
      <c r="H2691" s="58" t="s">
        <v>1796</v>
      </c>
      <c r="I2691" s="64" t="s">
        <v>7411</v>
      </c>
      <c r="J2691" s="66"/>
      <c r="K2691" s="66"/>
      <c r="L2691" s="68"/>
      <c r="M2691" s="63" t="str">
        <f>HYPERLINK("http://nsgreg.nga.mil/genc/view?v=870401&amp;end_month=12&amp;end_day=31&amp;end_year=2016","Correlation")</f>
        <v>Correlation</v>
      </c>
    </row>
    <row r="2692" spans="1:13" x14ac:dyDescent="0.2">
      <c r="A2692" s="113"/>
      <c r="B2692" s="58" t="s">
        <v>7412</v>
      </c>
      <c r="C2692" s="58" t="s">
        <v>1796</v>
      </c>
      <c r="D2692" s="58" t="s">
        <v>7413</v>
      </c>
      <c r="E2692" s="60" t="b">
        <v>1</v>
      </c>
      <c r="F2692" s="80" t="s">
        <v>929</v>
      </c>
      <c r="G2692" s="58" t="s">
        <v>7412</v>
      </c>
      <c r="H2692" s="58" t="s">
        <v>1796</v>
      </c>
      <c r="I2692" s="64" t="s">
        <v>7413</v>
      </c>
      <c r="J2692" s="66"/>
      <c r="K2692" s="66"/>
      <c r="L2692" s="68"/>
      <c r="M2692" s="63" t="str">
        <f>HYPERLINK("http://nsgreg.nga.mil/genc/view?v=870402&amp;end_month=12&amp;end_day=31&amp;end_year=2016","Correlation")</f>
        <v>Correlation</v>
      </c>
    </row>
    <row r="2693" spans="1:13" x14ac:dyDescent="0.2">
      <c r="A2693" s="113"/>
      <c r="B2693" s="58" t="s">
        <v>7414</v>
      </c>
      <c r="C2693" s="58" t="s">
        <v>1796</v>
      </c>
      <c r="D2693" s="58" t="s">
        <v>7415</v>
      </c>
      <c r="E2693" s="60" t="b">
        <v>1</v>
      </c>
      <c r="F2693" s="80" t="s">
        <v>929</v>
      </c>
      <c r="G2693" s="58" t="s">
        <v>7414</v>
      </c>
      <c r="H2693" s="58" t="s">
        <v>1796</v>
      </c>
      <c r="I2693" s="64" t="s">
        <v>7415</v>
      </c>
      <c r="J2693" s="66"/>
      <c r="K2693" s="66"/>
      <c r="L2693" s="68"/>
      <c r="M2693" s="63" t="str">
        <f>HYPERLINK("http://nsgreg.nga.mil/genc/view?v=870403&amp;end_month=12&amp;end_day=31&amp;end_year=2016","Correlation")</f>
        <v>Correlation</v>
      </c>
    </row>
    <row r="2694" spans="1:13" x14ac:dyDescent="0.2">
      <c r="A2694" s="113"/>
      <c r="B2694" s="58" t="s">
        <v>7416</v>
      </c>
      <c r="C2694" s="58" t="s">
        <v>1796</v>
      </c>
      <c r="D2694" s="58" t="s">
        <v>7417</v>
      </c>
      <c r="E2694" s="60" t="b">
        <v>1</v>
      </c>
      <c r="F2694" s="80" t="s">
        <v>929</v>
      </c>
      <c r="G2694" s="58" t="s">
        <v>7416</v>
      </c>
      <c r="H2694" s="58" t="s">
        <v>1796</v>
      </c>
      <c r="I2694" s="64" t="s">
        <v>7417</v>
      </c>
      <c r="J2694" s="66"/>
      <c r="K2694" s="66"/>
      <c r="L2694" s="68"/>
      <c r="M2694" s="63" t="str">
        <f>HYPERLINK("http://nsgreg.nga.mil/genc/view?v=870404&amp;end_month=12&amp;end_day=31&amp;end_year=2016","Correlation")</f>
        <v>Correlation</v>
      </c>
    </row>
    <row r="2695" spans="1:13" x14ac:dyDescent="0.2">
      <c r="A2695" s="113"/>
      <c r="B2695" s="58" t="s">
        <v>7421</v>
      </c>
      <c r="C2695" s="58" t="s">
        <v>7419</v>
      </c>
      <c r="D2695" s="58" t="s">
        <v>7420</v>
      </c>
      <c r="E2695" s="60" t="b">
        <v>1</v>
      </c>
      <c r="F2695" s="80" t="s">
        <v>929</v>
      </c>
      <c r="G2695" s="58" t="s">
        <v>7418</v>
      </c>
      <c r="H2695" s="58" t="s">
        <v>7419</v>
      </c>
      <c r="I2695" s="64" t="s">
        <v>7420</v>
      </c>
      <c r="J2695" s="66"/>
      <c r="K2695" s="66"/>
      <c r="L2695" s="68"/>
      <c r="M2695" s="63" t="str">
        <f>HYPERLINK("http://nsgreg.nga.mil/genc/view?v=870405&amp;end_month=12&amp;end_day=31&amp;end_year=2016","Correlation")</f>
        <v>Correlation</v>
      </c>
    </row>
    <row r="2696" spans="1:13" x14ac:dyDescent="0.2">
      <c r="A2696" s="113"/>
      <c r="B2696" s="58" t="s">
        <v>7422</v>
      </c>
      <c r="C2696" s="58" t="s">
        <v>1796</v>
      </c>
      <c r="D2696" s="58" t="s">
        <v>7423</v>
      </c>
      <c r="E2696" s="60" t="b">
        <v>1</v>
      </c>
      <c r="F2696" s="80" t="s">
        <v>929</v>
      </c>
      <c r="G2696" s="58" t="s">
        <v>7422</v>
      </c>
      <c r="H2696" s="58" t="s">
        <v>1796</v>
      </c>
      <c r="I2696" s="64" t="s">
        <v>7423</v>
      </c>
      <c r="J2696" s="66"/>
      <c r="K2696" s="66"/>
      <c r="L2696" s="68"/>
      <c r="M2696" s="63" t="str">
        <f>HYPERLINK("http://nsgreg.nga.mil/genc/view?v=870406&amp;end_month=12&amp;end_day=31&amp;end_year=2016","Correlation")</f>
        <v>Correlation</v>
      </c>
    </row>
    <row r="2697" spans="1:13" x14ac:dyDescent="0.2">
      <c r="A2697" s="113"/>
      <c r="B2697" s="58" t="s">
        <v>7424</v>
      </c>
      <c r="C2697" s="58" t="s">
        <v>1796</v>
      </c>
      <c r="D2697" s="58" t="s">
        <v>7425</v>
      </c>
      <c r="E2697" s="60" t="b">
        <v>1</v>
      </c>
      <c r="F2697" s="80" t="s">
        <v>929</v>
      </c>
      <c r="G2697" s="58" t="s">
        <v>7424</v>
      </c>
      <c r="H2697" s="58" t="s">
        <v>1796</v>
      </c>
      <c r="I2697" s="64" t="s">
        <v>7425</v>
      </c>
      <c r="J2697" s="66"/>
      <c r="K2697" s="66"/>
      <c r="L2697" s="68"/>
      <c r="M2697" s="63" t="str">
        <f>HYPERLINK("http://nsgreg.nga.mil/genc/view?v=870407&amp;end_month=12&amp;end_day=31&amp;end_year=2016","Correlation")</f>
        <v>Correlation</v>
      </c>
    </row>
    <row r="2698" spans="1:13" x14ac:dyDescent="0.2">
      <c r="A2698" s="113"/>
      <c r="B2698" s="58" t="s">
        <v>7426</v>
      </c>
      <c r="C2698" s="58" t="s">
        <v>1796</v>
      </c>
      <c r="D2698" s="58" t="s">
        <v>7427</v>
      </c>
      <c r="E2698" s="60" t="b">
        <v>1</v>
      </c>
      <c r="F2698" s="80" t="s">
        <v>929</v>
      </c>
      <c r="G2698" s="58" t="s">
        <v>7426</v>
      </c>
      <c r="H2698" s="58" t="s">
        <v>1796</v>
      </c>
      <c r="I2698" s="64" t="s">
        <v>7427</v>
      </c>
      <c r="J2698" s="66"/>
      <c r="K2698" s="66"/>
      <c r="L2698" s="68"/>
      <c r="M2698" s="63" t="str">
        <f>HYPERLINK("http://nsgreg.nga.mil/genc/view?v=870408&amp;end_month=12&amp;end_day=31&amp;end_year=2016","Correlation")</f>
        <v>Correlation</v>
      </c>
    </row>
    <row r="2699" spans="1:13" x14ac:dyDescent="0.2">
      <c r="A2699" s="113"/>
      <c r="B2699" s="58" t="s">
        <v>7428</v>
      </c>
      <c r="C2699" s="58" t="s">
        <v>1796</v>
      </c>
      <c r="D2699" s="58" t="s">
        <v>7429</v>
      </c>
      <c r="E2699" s="60" t="b">
        <v>1</v>
      </c>
      <c r="F2699" s="80" t="s">
        <v>929</v>
      </c>
      <c r="G2699" s="58" t="s">
        <v>7428</v>
      </c>
      <c r="H2699" s="58" t="s">
        <v>1796</v>
      </c>
      <c r="I2699" s="64" t="s">
        <v>7429</v>
      </c>
      <c r="J2699" s="66"/>
      <c r="K2699" s="66"/>
      <c r="L2699" s="68"/>
      <c r="M2699" s="63" t="str">
        <f>HYPERLINK("http://nsgreg.nga.mil/genc/view?v=870409&amp;end_month=12&amp;end_day=31&amp;end_year=2016","Correlation")</f>
        <v>Correlation</v>
      </c>
    </row>
    <row r="2700" spans="1:13" x14ac:dyDescent="0.2">
      <c r="A2700" s="113"/>
      <c r="B2700" s="58" t="s">
        <v>7430</v>
      </c>
      <c r="C2700" s="58" t="s">
        <v>1796</v>
      </c>
      <c r="D2700" s="58" t="s">
        <v>7431</v>
      </c>
      <c r="E2700" s="60" t="b">
        <v>1</v>
      </c>
      <c r="F2700" s="80" t="s">
        <v>929</v>
      </c>
      <c r="G2700" s="58" t="s">
        <v>7430</v>
      </c>
      <c r="H2700" s="58" t="s">
        <v>1796</v>
      </c>
      <c r="I2700" s="64" t="s">
        <v>7431</v>
      </c>
      <c r="J2700" s="66"/>
      <c r="K2700" s="66"/>
      <c r="L2700" s="68"/>
      <c r="M2700" s="63" t="str">
        <f>HYPERLINK("http://nsgreg.nga.mil/genc/view?v=870410&amp;end_month=12&amp;end_day=31&amp;end_year=2016","Correlation")</f>
        <v>Correlation</v>
      </c>
    </row>
    <row r="2701" spans="1:13" x14ac:dyDescent="0.2">
      <c r="A2701" s="113"/>
      <c r="B2701" s="58" t="s">
        <v>7432</v>
      </c>
      <c r="C2701" s="58" t="s">
        <v>1796</v>
      </c>
      <c r="D2701" s="58" t="s">
        <v>7433</v>
      </c>
      <c r="E2701" s="60" t="b">
        <v>1</v>
      </c>
      <c r="F2701" s="80" t="s">
        <v>929</v>
      </c>
      <c r="G2701" s="58" t="s">
        <v>7432</v>
      </c>
      <c r="H2701" s="58" t="s">
        <v>1796</v>
      </c>
      <c r="I2701" s="64" t="s">
        <v>7433</v>
      </c>
      <c r="J2701" s="66"/>
      <c r="K2701" s="66"/>
      <c r="L2701" s="68"/>
      <c r="M2701" s="63" t="str">
        <f>HYPERLINK("http://nsgreg.nga.mil/genc/view?v=870411&amp;end_month=12&amp;end_day=31&amp;end_year=2016","Correlation")</f>
        <v>Correlation</v>
      </c>
    </row>
    <row r="2702" spans="1:13" x14ac:dyDescent="0.2">
      <c r="A2702" s="113"/>
      <c r="B2702" s="58" t="s">
        <v>7434</v>
      </c>
      <c r="C2702" s="58" t="s">
        <v>1796</v>
      </c>
      <c r="D2702" s="58" t="s">
        <v>7435</v>
      </c>
      <c r="E2702" s="60" t="b">
        <v>1</v>
      </c>
      <c r="F2702" s="80" t="s">
        <v>929</v>
      </c>
      <c r="G2702" s="58" t="s">
        <v>7434</v>
      </c>
      <c r="H2702" s="58" t="s">
        <v>1796</v>
      </c>
      <c r="I2702" s="64" t="s">
        <v>7435</v>
      </c>
      <c r="J2702" s="66"/>
      <c r="K2702" s="66"/>
      <c r="L2702" s="68"/>
      <c r="M2702" s="63" t="str">
        <f>HYPERLINK("http://nsgreg.nga.mil/genc/view?v=870412&amp;end_month=12&amp;end_day=31&amp;end_year=2016","Correlation")</f>
        <v>Correlation</v>
      </c>
    </row>
    <row r="2703" spans="1:13" x14ac:dyDescent="0.2">
      <c r="A2703" s="113"/>
      <c r="B2703" s="58" t="s">
        <v>7436</v>
      </c>
      <c r="C2703" s="58" t="s">
        <v>1796</v>
      </c>
      <c r="D2703" s="58" t="s">
        <v>7437</v>
      </c>
      <c r="E2703" s="60" t="b">
        <v>1</v>
      </c>
      <c r="F2703" s="80" t="s">
        <v>929</v>
      </c>
      <c r="G2703" s="58" t="s">
        <v>7436</v>
      </c>
      <c r="H2703" s="58" t="s">
        <v>1796</v>
      </c>
      <c r="I2703" s="64" t="s">
        <v>7437</v>
      </c>
      <c r="J2703" s="66"/>
      <c r="K2703" s="66"/>
      <c r="L2703" s="68"/>
      <c r="M2703" s="63" t="str">
        <f>HYPERLINK("http://nsgreg.nga.mil/genc/view?v=870413&amp;end_month=12&amp;end_day=31&amp;end_year=2016","Correlation")</f>
        <v>Correlation</v>
      </c>
    </row>
    <row r="2704" spans="1:13" x14ac:dyDescent="0.2">
      <c r="A2704" s="113"/>
      <c r="B2704" s="58" t="s">
        <v>7438</v>
      </c>
      <c r="C2704" s="58" t="s">
        <v>1796</v>
      </c>
      <c r="D2704" s="58" t="s">
        <v>7439</v>
      </c>
      <c r="E2704" s="60" t="b">
        <v>1</v>
      </c>
      <c r="F2704" s="80" t="s">
        <v>929</v>
      </c>
      <c r="G2704" s="58" t="s">
        <v>7438</v>
      </c>
      <c r="H2704" s="58" t="s">
        <v>1796</v>
      </c>
      <c r="I2704" s="64" t="s">
        <v>7439</v>
      </c>
      <c r="J2704" s="66"/>
      <c r="K2704" s="66"/>
      <c r="L2704" s="68"/>
      <c r="M2704" s="63" t="str">
        <f>HYPERLINK("http://nsgreg.nga.mil/genc/view?v=870414&amp;end_month=12&amp;end_day=31&amp;end_year=2016","Correlation")</f>
        <v>Correlation</v>
      </c>
    </row>
    <row r="2705" spans="1:13" x14ac:dyDescent="0.2">
      <c r="A2705" s="113"/>
      <c r="B2705" s="58" t="s">
        <v>7440</v>
      </c>
      <c r="C2705" s="58" t="s">
        <v>1796</v>
      </c>
      <c r="D2705" s="58" t="s">
        <v>7441</v>
      </c>
      <c r="E2705" s="60" t="b">
        <v>1</v>
      </c>
      <c r="F2705" s="80" t="s">
        <v>929</v>
      </c>
      <c r="G2705" s="58" t="s">
        <v>7440</v>
      </c>
      <c r="H2705" s="58" t="s">
        <v>1796</v>
      </c>
      <c r="I2705" s="64" t="s">
        <v>7441</v>
      </c>
      <c r="J2705" s="66"/>
      <c r="K2705" s="66"/>
      <c r="L2705" s="68"/>
      <c r="M2705" s="63" t="str">
        <f>HYPERLINK("http://nsgreg.nga.mil/genc/view?v=870416&amp;end_month=12&amp;end_day=31&amp;end_year=2016","Correlation")</f>
        <v>Correlation</v>
      </c>
    </row>
    <row r="2706" spans="1:13" x14ac:dyDescent="0.2">
      <c r="A2706" s="113"/>
      <c r="B2706" s="58" t="s">
        <v>7442</v>
      </c>
      <c r="C2706" s="58" t="s">
        <v>1796</v>
      </c>
      <c r="D2706" s="58" t="s">
        <v>7443</v>
      </c>
      <c r="E2706" s="60" t="b">
        <v>1</v>
      </c>
      <c r="F2706" s="80" t="s">
        <v>929</v>
      </c>
      <c r="G2706" s="58" t="s">
        <v>7442</v>
      </c>
      <c r="H2706" s="58" t="s">
        <v>1796</v>
      </c>
      <c r="I2706" s="64" t="s">
        <v>7443</v>
      </c>
      <c r="J2706" s="66"/>
      <c r="K2706" s="66"/>
      <c r="L2706" s="68"/>
      <c r="M2706" s="63" t="str">
        <f>HYPERLINK("http://nsgreg.nga.mil/genc/view?v=870415&amp;end_month=12&amp;end_day=31&amp;end_year=2016","Correlation")</f>
        <v>Correlation</v>
      </c>
    </row>
    <row r="2707" spans="1:13" x14ac:dyDescent="0.2">
      <c r="A2707" s="113"/>
      <c r="B2707" s="58" t="s">
        <v>7444</v>
      </c>
      <c r="C2707" s="58" t="s">
        <v>1796</v>
      </c>
      <c r="D2707" s="58" t="s">
        <v>7445</v>
      </c>
      <c r="E2707" s="60" t="b">
        <v>1</v>
      </c>
      <c r="F2707" s="80" t="s">
        <v>929</v>
      </c>
      <c r="G2707" s="58" t="s">
        <v>7444</v>
      </c>
      <c r="H2707" s="58" t="s">
        <v>1796</v>
      </c>
      <c r="I2707" s="64" t="s">
        <v>7445</v>
      </c>
      <c r="J2707" s="66"/>
      <c r="K2707" s="66"/>
      <c r="L2707" s="68"/>
      <c r="M2707" s="63" t="str">
        <f>HYPERLINK("http://nsgreg.nga.mil/genc/view?v=870418&amp;end_month=12&amp;end_day=31&amp;end_year=2016","Correlation")</f>
        <v>Correlation</v>
      </c>
    </row>
    <row r="2708" spans="1:13" x14ac:dyDescent="0.2">
      <c r="A2708" s="113"/>
      <c r="B2708" s="58" t="s">
        <v>7448</v>
      </c>
      <c r="C2708" s="58" t="s">
        <v>1796</v>
      </c>
      <c r="D2708" s="58" t="s">
        <v>7447</v>
      </c>
      <c r="E2708" s="60" t="b">
        <v>1</v>
      </c>
      <c r="F2708" s="80" t="s">
        <v>929</v>
      </c>
      <c r="G2708" s="58" t="s">
        <v>7446</v>
      </c>
      <c r="H2708" s="58" t="s">
        <v>1796</v>
      </c>
      <c r="I2708" s="64" t="s">
        <v>7447</v>
      </c>
      <c r="J2708" s="66"/>
      <c r="K2708" s="66"/>
      <c r="L2708" s="68"/>
      <c r="M2708" s="63" t="str">
        <f>HYPERLINK("http://nsgreg.nga.mil/genc/view?v=870420&amp;end_month=12&amp;end_day=31&amp;end_year=2016","Correlation")</f>
        <v>Correlation</v>
      </c>
    </row>
    <row r="2709" spans="1:13" x14ac:dyDescent="0.2">
      <c r="A2709" s="113"/>
      <c r="B2709" s="58" t="s">
        <v>7452</v>
      </c>
      <c r="C2709" s="58" t="s">
        <v>7450</v>
      </c>
      <c r="D2709" s="58" t="s">
        <v>7451</v>
      </c>
      <c r="E2709" s="60" t="b">
        <v>1</v>
      </c>
      <c r="F2709" s="80" t="s">
        <v>929</v>
      </c>
      <c r="G2709" s="58" t="s">
        <v>7449</v>
      </c>
      <c r="H2709" s="58" t="s">
        <v>7450</v>
      </c>
      <c r="I2709" s="64" t="s">
        <v>7451</v>
      </c>
      <c r="J2709" s="66"/>
      <c r="K2709" s="66"/>
      <c r="L2709" s="68"/>
      <c r="M2709" s="63" t="str">
        <f>HYPERLINK("http://nsgreg.nga.mil/genc/view?v=870417&amp;end_month=12&amp;end_day=31&amp;end_year=2016","Correlation")</f>
        <v>Correlation</v>
      </c>
    </row>
    <row r="2710" spans="1:13" x14ac:dyDescent="0.2">
      <c r="A2710" s="113"/>
      <c r="B2710" s="58" t="s">
        <v>7453</v>
      </c>
      <c r="C2710" s="58" t="s">
        <v>1796</v>
      </c>
      <c r="D2710" s="58" t="s">
        <v>7454</v>
      </c>
      <c r="E2710" s="60" t="b">
        <v>1</v>
      </c>
      <c r="F2710" s="80" t="s">
        <v>929</v>
      </c>
      <c r="G2710" s="58" t="s">
        <v>7453</v>
      </c>
      <c r="H2710" s="58" t="s">
        <v>1796</v>
      </c>
      <c r="I2710" s="64" t="s">
        <v>7454</v>
      </c>
      <c r="J2710" s="66"/>
      <c r="K2710" s="66"/>
      <c r="L2710" s="68"/>
      <c r="M2710" s="63" t="str">
        <f>HYPERLINK("http://nsgreg.nga.mil/genc/view?v=870419&amp;end_month=12&amp;end_day=31&amp;end_year=2016","Correlation")</f>
        <v>Correlation</v>
      </c>
    </row>
    <row r="2711" spans="1:13" x14ac:dyDescent="0.2">
      <c r="A2711" s="113"/>
      <c r="B2711" s="58" t="s">
        <v>7455</v>
      </c>
      <c r="C2711" s="58" t="s">
        <v>1796</v>
      </c>
      <c r="D2711" s="58" t="s">
        <v>7456</v>
      </c>
      <c r="E2711" s="60" t="b">
        <v>1</v>
      </c>
      <c r="F2711" s="80" t="s">
        <v>929</v>
      </c>
      <c r="G2711" s="58" t="s">
        <v>7455</v>
      </c>
      <c r="H2711" s="58" t="s">
        <v>1796</v>
      </c>
      <c r="I2711" s="64" t="s">
        <v>7456</v>
      </c>
      <c r="J2711" s="66"/>
      <c r="K2711" s="66"/>
      <c r="L2711" s="68"/>
      <c r="M2711" s="63" t="str">
        <f>HYPERLINK("http://nsgreg.nga.mil/genc/view?v=870421&amp;end_month=12&amp;end_day=31&amp;end_year=2016","Correlation")</f>
        <v>Correlation</v>
      </c>
    </row>
    <row r="2712" spans="1:13" x14ac:dyDescent="0.2">
      <c r="A2712" s="113"/>
      <c r="B2712" s="58" t="s">
        <v>7457</v>
      </c>
      <c r="C2712" s="58" t="s">
        <v>1796</v>
      </c>
      <c r="D2712" s="58" t="s">
        <v>7458</v>
      </c>
      <c r="E2712" s="60" t="b">
        <v>1</v>
      </c>
      <c r="F2712" s="80" t="s">
        <v>929</v>
      </c>
      <c r="G2712" s="58" t="s">
        <v>7457</v>
      </c>
      <c r="H2712" s="58" t="s">
        <v>1796</v>
      </c>
      <c r="I2712" s="64" t="s">
        <v>7458</v>
      </c>
      <c r="J2712" s="66"/>
      <c r="K2712" s="66"/>
      <c r="L2712" s="68"/>
      <c r="M2712" s="63" t="str">
        <f>HYPERLINK("http://nsgreg.nga.mil/genc/view?v=870422&amp;end_month=12&amp;end_day=31&amp;end_year=2016","Correlation")</f>
        <v>Correlation</v>
      </c>
    </row>
    <row r="2713" spans="1:13" x14ac:dyDescent="0.2">
      <c r="A2713" s="114"/>
      <c r="B2713" s="71" t="s">
        <v>7459</v>
      </c>
      <c r="C2713" s="71" t="s">
        <v>1796</v>
      </c>
      <c r="D2713" s="71" t="s">
        <v>7460</v>
      </c>
      <c r="E2713" s="73" t="b">
        <v>1</v>
      </c>
      <c r="F2713" s="81" t="s">
        <v>929</v>
      </c>
      <c r="G2713" s="71" t="s">
        <v>7459</v>
      </c>
      <c r="H2713" s="71" t="s">
        <v>1796</v>
      </c>
      <c r="I2713" s="74" t="s">
        <v>7460</v>
      </c>
      <c r="J2713" s="76"/>
      <c r="K2713" s="76"/>
      <c r="L2713" s="82"/>
      <c r="M2713" s="77" t="str">
        <f>HYPERLINK("http://nsgreg.nga.mil/genc/view?v=870423&amp;end_month=12&amp;end_day=31&amp;end_year=2016","Correlation")</f>
        <v>Correlation</v>
      </c>
    </row>
    <row r="2714" spans="1:13" x14ac:dyDescent="0.2">
      <c r="A2714" s="112" t="s">
        <v>934</v>
      </c>
      <c r="B2714" s="50" t="s">
        <v>7461</v>
      </c>
      <c r="C2714" s="50" t="s">
        <v>7462</v>
      </c>
      <c r="D2714" s="50" t="s">
        <v>7463</v>
      </c>
      <c r="E2714" s="52" t="b">
        <v>1</v>
      </c>
      <c r="F2714" s="78" t="s">
        <v>934</v>
      </c>
      <c r="G2714" s="50" t="s">
        <v>7461</v>
      </c>
      <c r="H2714" s="50" t="s">
        <v>7462</v>
      </c>
      <c r="I2714" s="53" t="s">
        <v>7463</v>
      </c>
      <c r="J2714" s="55"/>
      <c r="K2714" s="55"/>
      <c r="L2714" s="79"/>
      <c r="M2714" s="56" t="str">
        <f>HYPERLINK("http://nsgreg.nga.mil/genc/view?v=870372&amp;end_month=12&amp;end_day=31&amp;end_year=2016","Correlation")</f>
        <v>Correlation</v>
      </c>
    </row>
    <row r="2715" spans="1:13" x14ac:dyDescent="0.2">
      <c r="A2715" s="113"/>
      <c r="B2715" s="58" t="s">
        <v>7464</v>
      </c>
      <c r="C2715" s="58" t="s">
        <v>7462</v>
      </c>
      <c r="D2715" s="58" t="s">
        <v>7465</v>
      </c>
      <c r="E2715" s="60" t="b">
        <v>1</v>
      </c>
      <c r="F2715" s="80" t="s">
        <v>934</v>
      </c>
      <c r="G2715" s="58" t="s">
        <v>7464</v>
      </c>
      <c r="H2715" s="58" t="s">
        <v>7462</v>
      </c>
      <c r="I2715" s="64" t="s">
        <v>7465</v>
      </c>
      <c r="J2715" s="66"/>
      <c r="K2715" s="66"/>
      <c r="L2715" s="68"/>
      <c r="M2715" s="63" t="str">
        <f>HYPERLINK("http://nsgreg.nga.mil/genc/view?v=870374&amp;end_month=12&amp;end_day=31&amp;end_year=2016","Correlation")</f>
        <v>Correlation</v>
      </c>
    </row>
    <row r="2716" spans="1:13" x14ac:dyDescent="0.2">
      <c r="A2716" s="113"/>
      <c r="B2716" s="58" t="s">
        <v>7466</v>
      </c>
      <c r="C2716" s="58" t="s">
        <v>7462</v>
      </c>
      <c r="D2716" s="58" t="s">
        <v>7467</v>
      </c>
      <c r="E2716" s="60" t="b">
        <v>1</v>
      </c>
      <c r="F2716" s="80" t="s">
        <v>934</v>
      </c>
      <c r="G2716" s="58" t="s">
        <v>7466</v>
      </c>
      <c r="H2716" s="58" t="s">
        <v>7462</v>
      </c>
      <c r="I2716" s="64" t="s">
        <v>7467</v>
      </c>
      <c r="J2716" s="66"/>
      <c r="K2716" s="66"/>
      <c r="L2716" s="68"/>
      <c r="M2716" s="63" t="str">
        <f>HYPERLINK("http://nsgreg.nga.mil/genc/view?v=870370&amp;end_month=12&amp;end_day=31&amp;end_year=2016","Correlation")</f>
        <v>Correlation</v>
      </c>
    </row>
    <row r="2717" spans="1:13" x14ac:dyDescent="0.2">
      <c r="A2717" s="113"/>
      <c r="B2717" s="58" t="s">
        <v>7468</v>
      </c>
      <c r="C2717" s="58" t="s">
        <v>7462</v>
      </c>
      <c r="D2717" s="58" t="s">
        <v>7469</v>
      </c>
      <c r="E2717" s="60" t="b">
        <v>1</v>
      </c>
      <c r="F2717" s="80" t="s">
        <v>934</v>
      </c>
      <c r="G2717" s="58" t="s">
        <v>7468</v>
      </c>
      <c r="H2717" s="58" t="s">
        <v>7462</v>
      </c>
      <c r="I2717" s="64" t="s">
        <v>7469</v>
      </c>
      <c r="J2717" s="66"/>
      <c r="K2717" s="66"/>
      <c r="L2717" s="68"/>
      <c r="M2717" s="63" t="str">
        <f>HYPERLINK("http://nsgreg.nga.mil/genc/view?v=870371&amp;end_month=12&amp;end_day=31&amp;end_year=2016","Correlation")</f>
        <v>Correlation</v>
      </c>
    </row>
    <row r="2718" spans="1:13" x14ac:dyDescent="0.2">
      <c r="A2718" s="113"/>
      <c r="B2718" s="58" t="s">
        <v>7470</v>
      </c>
      <c r="C2718" s="58" t="s">
        <v>7462</v>
      </c>
      <c r="D2718" s="58" t="s">
        <v>7471</v>
      </c>
      <c r="E2718" s="60" t="b">
        <v>1</v>
      </c>
      <c r="F2718" s="80" t="s">
        <v>934</v>
      </c>
      <c r="G2718" s="58" t="s">
        <v>7470</v>
      </c>
      <c r="H2718" s="58" t="s">
        <v>7462</v>
      </c>
      <c r="I2718" s="64" t="s">
        <v>7471</v>
      </c>
      <c r="J2718" s="66"/>
      <c r="K2718" s="66"/>
      <c r="L2718" s="68"/>
      <c r="M2718" s="63" t="str">
        <f>HYPERLINK("http://nsgreg.nga.mil/genc/view?v=870373&amp;end_month=12&amp;end_day=31&amp;end_year=2016","Correlation")</f>
        <v>Correlation</v>
      </c>
    </row>
    <row r="2719" spans="1:13" x14ac:dyDescent="0.2">
      <c r="A2719" s="113"/>
      <c r="B2719" s="58" t="s">
        <v>7472</v>
      </c>
      <c r="C2719" s="58" t="s">
        <v>7462</v>
      </c>
      <c r="D2719" s="58" t="s">
        <v>7473</v>
      </c>
      <c r="E2719" s="60" t="b">
        <v>1</v>
      </c>
      <c r="F2719" s="80" t="s">
        <v>934</v>
      </c>
      <c r="G2719" s="58" t="s">
        <v>7472</v>
      </c>
      <c r="H2719" s="58" t="s">
        <v>7462</v>
      </c>
      <c r="I2719" s="64" t="s">
        <v>7473</v>
      </c>
      <c r="J2719" s="66"/>
      <c r="K2719" s="66"/>
      <c r="L2719" s="68"/>
      <c r="M2719" s="63" t="str">
        <f>HYPERLINK("http://nsgreg.nga.mil/genc/view?v=870375&amp;end_month=12&amp;end_day=31&amp;end_year=2016","Correlation")</f>
        <v>Correlation</v>
      </c>
    </row>
    <row r="2720" spans="1:13" x14ac:dyDescent="0.2">
      <c r="A2720" s="113"/>
      <c r="B2720" s="58" t="s">
        <v>7474</v>
      </c>
      <c r="C2720" s="58" t="s">
        <v>7462</v>
      </c>
      <c r="D2720" s="58" t="s">
        <v>7475</v>
      </c>
      <c r="E2720" s="60" t="b">
        <v>1</v>
      </c>
      <c r="F2720" s="80" t="s">
        <v>934</v>
      </c>
      <c r="G2720" s="58" t="s">
        <v>7474</v>
      </c>
      <c r="H2720" s="58" t="s">
        <v>7462</v>
      </c>
      <c r="I2720" s="64" t="s">
        <v>7475</v>
      </c>
      <c r="J2720" s="66"/>
      <c r="K2720" s="66"/>
      <c r="L2720" s="68"/>
      <c r="M2720" s="63" t="str">
        <f>HYPERLINK("http://nsgreg.nga.mil/genc/view?v=870383&amp;end_month=12&amp;end_day=31&amp;end_year=2016","Correlation")</f>
        <v>Correlation</v>
      </c>
    </row>
    <row r="2721" spans="1:13" x14ac:dyDescent="0.2">
      <c r="A2721" s="113"/>
      <c r="B2721" s="58" t="s">
        <v>7476</v>
      </c>
      <c r="C2721" s="58" t="s">
        <v>7462</v>
      </c>
      <c r="D2721" s="58" t="s">
        <v>7477</v>
      </c>
      <c r="E2721" s="60" t="b">
        <v>1</v>
      </c>
      <c r="F2721" s="80" t="s">
        <v>934</v>
      </c>
      <c r="G2721" s="58" t="s">
        <v>7476</v>
      </c>
      <c r="H2721" s="58" t="s">
        <v>7462</v>
      </c>
      <c r="I2721" s="64" t="s">
        <v>7477</v>
      </c>
      <c r="J2721" s="66"/>
      <c r="K2721" s="66"/>
      <c r="L2721" s="68"/>
      <c r="M2721" s="63" t="str">
        <f>HYPERLINK("http://nsgreg.nga.mil/genc/view?v=870376&amp;end_month=12&amp;end_day=31&amp;end_year=2016","Correlation")</f>
        <v>Correlation</v>
      </c>
    </row>
    <row r="2722" spans="1:13" x14ac:dyDescent="0.2">
      <c r="A2722" s="113"/>
      <c r="B2722" s="58" t="s">
        <v>7478</v>
      </c>
      <c r="C2722" s="58" t="s">
        <v>7462</v>
      </c>
      <c r="D2722" s="58" t="s">
        <v>7479</v>
      </c>
      <c r="E2722" s="60" t="b">
        <v>1</v>
      </c>
      <c r="F2722" s="80" t="s">
        <v>934</v>
      </c>
      <c r="G2722" s="58" t="s">
        <v>7478</v>
      </c>
      <c r="H2722" s="58" t="s">
        <v>7462</v>
      </c>
      <c r="I2722" s="64" t="s">
        <v>7479</v>
      </c>
      <c r="J2722" s="66"/>
      <c r="K2722" s="66"/>
      <c r="L2722" s="68"/>
      <c r="M2722" s="63" t="str">
        <f>HYPERLINK("http://nsgreg.nga.mil/genc/view?v=870379&amp;end_month=12&amp;end_day=31&amp;end_year=2016","Correlation")</f>
        <v>Correlation</v>
      </c>
    </row>
    <row r="2723" spans="1:13" x14ac:dyDescent="0.2">
      <c r="A2723" s="113"/>
      <c r="B2723" s="58" t="s">
        <v>7480</v>
      </c>
      <c r="C2723" s="58" t="s">
        <v>7462</v>
      </c>
      <c r="D2723" s="58" t="s">
        <v>7481</v>
      </c>
      <c r="E2723" s="60" t="b">
        <v>1</v>
      </c>
      <c r="F2723" s="80" t="s">
        <v>934</v>
      </c>
      <c r="G2723" s="58" t="s">
        <v>7480</v>
      </c>
      <c r="H2723" s="58" t="s">
        <v>7462</v>
      </c>
      <c r="I2723" s="64" t="s">
        <v>7481</v>
      </c>
      <c r="J2723" s="66"/>
      <c r="K2723" s="66"/>
      <c r="L2723" s="68"/>
      <c r="M2723" s="63" t="str">
        <f>HYPERLINK("http://nsgreg.nga.mil/genc/view?v=870378&amp;end_month=12&amp;end_day=31&amp;end_year=2016","Correlation")</f>
        <v>Correlation</v>
      </c>
    </row>
    <row r="2724" spans="1:13" x14ac:dyDescent="0.2">
      <c r="A2724" s="113"/>
      <c r="B2724" s="58" t="s">
        <v>7482</v>
      </c>
      <c r="C2724" s="58" t="s">
        <v>7462</v>
      </c>
      <c r="D2724" s="58" t="s">
        <v>7483</v>
      </c>
      <c r="E2724" s="60" t="b">
        <v>1</v>
      </c>
      <c r="F2724" s="80" t="s">
        <v>934</v>
      </c>
      <c r="G2724" s="58" t="s">
        <v>7482</v>
      </c>
      <c r="H2724" s="58" t="s">
        <v>7462</v>
      </c>
      <c r="I2724" s="64" t="s">
        <v>7483</v>
      </c>
      <c r="J2724" s="66"/>
      <c r="K2724" s="66"/>
      <c r="L2724" s="68"/>
      <c r="M2724" s="63" t="str">
        <f>HYPERLINK("http://nsgreg.nga.mil/genc/view?v=870377&amp;end_month=12&amp;end_day=31&amp;end_year=2016","Correlation")</f>
        <v>Correlation</v>
      </c>
    </row>
    <row r="2725" spans="1:13" x14ac:dyDescent="0.2">
      <c r="A2725" s="113"/>
      <c r="B2725" s="58" t="s">
        <v>7484</v>
      </c>
      <c r="C2725" s="58" t="s">
        <v>7462</v>
      </c>
      <c r="D2725" s="58" t="s">
        <v>7485</v>
      </c>
      <c r="E2725" s="60" t="b">
        <v>1</v>
      </c>
      <c r="F2725" s="80" t="s">
        <v>934</v>
      </c>
      <c r="G2725" s="58" t="s">
        <v>7484</v>
      </c>
      <c r="H2725" s="58" t="s">
        <v>7462</v>
      </c>
      <c r="I2725" s="64" t="s">
        <v>7485</v>
      </c>
      <c r="J2725" s="66"/>
      <c r="K2725" s="66"/>
      <c r="L2725" s="68"/>
      <c r="M2725" s="63" t="str">
        <f>HYPERLINK("http://nsgreg.nga.mil/genc/view?v=870380&amp;end_month=12&amp;end_day=31&amp;end_year=2016","Correlation")</f>
        <v>Correlation</v>
      </c>
    </row>
    <row r="2726" spans="1:13" x14ac:dyDescent="0.2">
      <c r="A2726" s="113"/>
      <c r="B2726" s="58" t="s">
        <v>7486</v>
      </c>
      <c r="C2726" s="58" t="s">
        <v>7462</v>
      </c>
      <c r="D2726" s="58" t="s">
        <v>7487</v>
      </c>
      <c r="E2726" s="60" t="b">
        <v>1</v>
      </c>
      <c r="F2726" s="80" t="s">
        <v>934</v>
      </c>
      <c r="G2726" s="58" t="s">
        <v>7486</v>
      </c>
      <c r="H2726" s="58" t="s">
        <v>7462</v>
      </c>
      <c r="I2726" s="64" t="s">
        <v>7487</v>
      </c>
      <c r="J2726" s="66"/>
      <c r="K2726" s="66"/>
      <c r="L2726" s="68"/>
      <c r="M2726" s="63" t="str">
        <f>HYPERLINK("http://nsgreg.nga.mil/genc/view?v=870381&amp;end_month=12&amp;end_day=31&amp;end_year=2016","Correlation")</f>
        <v>Correlation</v>
      </c>
    </row>
    <row r="2727" spans="1:13" x14ac:dyDescent="0.2">
      <c r="A2727" s="113"/>
      <c r="B2727" s="58" t="s">
        <v>7488</v>
      </c>
      <c r="C2727" s="58" t="s">
        <v>7462</v>
      </c>
      <c r="D2727" s="58" t="s">
        <v>7489</v>
      </c>
      <c r="E2727" s="60" t="b">
        <v>1</v>
      </c>
      <c r="F2727" s="80" t="s">
        <v>934</v>
      </c>
      <c r="G2727" s="58" t="s">
        <v>7488</v>
      </c>
      <c r="H2727" s="58" t="s">
        <v>7462</v>
      </c>
      <c r="I2727" s="64" t="s">
        <v>7489</v>
      </c>
      <c r="J2727" s="66"/>
      <c r="K2727" s="66"/>
      <c r="L2727" s="68"/>
      <c r="M2727" s="63" t="str">
        <f>HYPERLINK("http://nsgreg.nga.mil/genc/view?v=870382&amp;end_month=12&amp;end_day=31&amp;end_year=2016","Correlation")</f>
        <v>Correlation</v>
      </c>
    </row>
    <row r="2728" spans="1:13" x14ac:dyDescent="0.2">
      <c r="A2728" s="113"/>
      <c r="B2728" s="58" t="s">
        <v>7490</v>
      </c>
      <c r="C2728" s="58" t="s">
        <v>7462</v>
      </c>
      <c r="D2728" s="58" t="s">
        <v>7491</v>
      </c>
      <c r="E2728" s="60" t="b">
        <v>1</v>
      </c>
      <c r="F2728" s="80" t="s">
        <v>934</v>
      </c>
      <c r="G2728" s="58" t="s">
        <v>7490</v>
      </c>
      <c r="H2728" s="58" t="s">
        <v>7462</v>
      </c>
      <c r="I2728" s="64" t="s">
        <v>7491</v>
      </c>
      <c r="J2728" s="66"/>
      <c r="K2728" s="66"/>
      <c r="L2728" s="68"/>
      <c r="M2728" s="63" t="str">
        <f>HYPERLINK("http://nsgreg.nga.mil/genc/view?v=870385&amp;end_month=12&amp;end_day=31&amp;end_year=2016","Correlation")</f>
        <v>Correlation</v>
      </c>
    </row>
    <row r="2729" spans="1:13" x14ac:dyDescent="0.2">
      <c r="A2729" s="113"/>
      <c r="B2729" s="58" t="s">
        <v>7492</v>
      </c>
      <c r="C2729" s="58" t="s">
        <v>7462</v>
      </c>
      <c r="D2729" s="58" t="s">
        <v>7493</v>
      </c>
      <c r="E2729" s="60" t="b">
        <v>1</v>
      </c>
      <c r="F2729" s="80" t="s">
        <v>934</v>
      </c>
      <c r="G2729" s="58" t="s">
        <v>7492</v>
      </c>
      <c r="H2729" s="58" t="s">
        <v>7462</v>
      </c>
      <c r="I2729" s="64" t="s">
        <v>7493</v>
      </c>
      <c r="J2729" s="66"/>
      <c r="K2729" s="66"/>
      <c r="L2729" s="68"/>
      <c r="M2729" s="63" t="str">
        <f>HYPERLINK("http://nsgreg.nga.mil/genc/view?v=870384&amp;end_month=12&amp;end_day=31&amp;end_year=2016","Correlation")</f>
        <v>Correlation</v>
      </c>
    </row>
    <row r="2730" spans="1:13" x14ac:dyDescent="0.2">
      <c r="A2730" s="114"/>
      <c r="B2730" s="71" t="s">
        <v>7494</v>
      </c>
      <c r="C2730" s="71" t="s">
        <v>7462</v>
      </c>
      <c r="D2730" s="71" t="s">
        <v>7495</v>
      </c>
      <c r="E2730" s="73" t="b">
        <v>1</v>
      </c>
      <c r="F2730" s="81" t="s">
        <v>934</v>
      </c>
      <c r="G2730" s="71" t="s">
        <v>7494</v>
      </c>
      <c r="H2730" s="71" t="s">
        <v>7462</v>
      </c>
      <c r="I2730" s="74" t="s">
        <v>7495</v>
      </c>
      <c r="J2730" s="76"/>
      <c r="K2730" s="76"/>
      <c r="L2730" s="82"/>
      <c r="M2730" s="77" t="str">
        <f>HYPERLINK("http://nsgreg.nga.mil/genc/view?v=870386&amp;end_month=12&amp;end_day=31&amp;end_year=2016","Correlation")</f>
        <v>Correlation</v>
      </c>
    </row>
    <row r="2731" spans="1:13" x14ac:dyDescent="0.2">
      <c r="A2731" s="112" t="s">
        <v>938</v>
      </c>
      <c r="B2731" s="50" t="s">
        <v>7496</v>
      </c>
      <c r="C2731" s="50" t="s">
        <v>1413</v>
      </c>
      <c r="D2731" s="50" t="s">
        <v>7497</v>
      </c>
      <c r="E2731" s="52" t="b">
        <v>1</v>
      </c>
      <c r="F2731" s="78" t="s">
        <v>938</v>
      </c>
      <c r="G2731" s="50" t="s">
        <v>7496</v>
      </c>
      <c r="H2731" s="50" t="s">
        <v>1413</v>
      </c>
      <c r="I2731" s="53" t="s">
        <v>7497</v>
      </c>
      <c r="J2731" s="55"/>
      <c r="K2731" s="55"/>
      <c r="L2731" s="79"/>
      <c r="M2731" s="56" t="str">
        <f>HYPERLINK("http://nsgreg.nga.mil/genc/view?v=870594&amp;end_month=12&amp;end_day=31&amp;end_year=2016","Correlation")</f>
        <v>Correlation</v>
      </c>
    </row>
    <row r="2732" spans="1:13" x14ac:dyDescent="0.2">
      <c r="A2732" s="113"/>
      <c r="B2732" s="58" t="s">
        <v>7498</v>
      </c>
      <c r="C2732" s="58" t="s">
        <v>1413</v>
      </c>
      <c r="D2732" s="58" t="s">
        <v>7499</v>
      </c>
      <c r="E2732" s="60" t="b">
        <v>1</v>
      </c>
      <c r="F2732" s="80" t="s">
        <v>938</v>
      </c>
      <c r="G2732" s="58" t="s">
        <v>7498</v>
      </c>
      <c r="H2732" s="58" t="s">
        <v>1413</v>
      </c>
      <c r="I2732" s="64" t="s">
        <v>7499</v>
      </c>
      <c r="J2732" s="66"/>
      <c r="K2732" s="66"/>
      <c r="L2732" s="68"/>
      <c r="M2732" s="63" t="str">
        <f>HYPERLINK("http://nsgreg.nga.mil/genc/view?v=870592&amp;end_month=12&amp;end_day=31&amp;end_year=2016","Correlation")</f>
        <v>Correlation</v>
      </c>
    </row>
    <row r="2733" spans="1:13" x14ac:dyDescent="0.2">
      <c r="A2733" s="113"/>
      <c r="B2733" s="58" t="s">
        <v>7500</v>
      </c>
      <c r="C2733" s="58" t="s">
        <v>1413</v>
      </c>
      <c r="D2733" s="58" t="s">
        <v>7501</v>
      </c>
      <c r="E2733" s="60" t="b">
        <v>1</v>
      </c>
      <c r="F2733" s="80" t="s">
        <v>938</v>
      </c>
      <c r="G2733" s="58" t="s">
        <v>7500</v>
      </c>
      <c r="H2733" s="58" t="s">
        <v>1413</v>
      </c>
      <c r="I2733" s="64" t="s">
        <v>7501</v>
      </c>
      <c r="J2733" s="66"/>
      <c r="K2733" s="66"/>
      <c r="L2733" s="68"/>
      <c r="M2733" s="63" t="str">
        <f>HYPERLINK("http://nsgreg.nga.mil/genc/view?v=870593&amp;end_month=12&amp;end_day=31&amp;end_year=2016","Correlation")</f>
        <v>Correlation</v>
      </c>
    </row>
    <row r="2734" spans="1:13" x14ac:dyDescent="0.2">
      <c r="A2734" s="113"/>
      <c r="B2734" s="58" t="s">
        <v>7502</v>
      </c>
      <c r="C2734" s="58" t="s">
        <v>1413</v>
      </c>
      <c r="D2734" s="58" t="s">
        <v>7503</v>
      </c>
      <c r="E2734" s="60" t="b">
        <v>1</v>
      </c>
      <c r="F2734" s="80" t="s">
        <v>938</v>
      </c>
      <c r="G2734" s="58" t="s">
        <v>7502</v>
      </c>
      <c r="H2734" s="58" t="s">
        <v>1413</v>
      </c>
      <c r="I2734" s="64" t="s">
        <v>7503</v>
      </c>
      <c r="J2734" s="66"/>
      <c r="K2734" s="66"/>
      <c r="L2734" s="68"/>
      <c r="M2734" s="63" t="str">
        <f>HYPERLINK("http://nsgreg.nga.mil/genc/view?v=870591&amp;end_month=12&amp;end_day=31&amp;end_year=2016","Correlation")</f>
        <v>Correlation</v>
      </c>
    </row>
    <row r="2735" spans="1:13" x14ac:dyDescent="0.2">
      <c r="A2735" s="113"/>
      <c r="B2735" s="58" t="s">
        <v>7506</v>
      </c>
      <c r="C2735" s="58" t="s">
        <v>1413</v>
      </c>
      <c r="D2735" s="58" t="s">
        <v>7505</v>
      </c>
      <c r="E2735" s="60" t="b">
        <v>1</v>
      </c>
      <c r="F2735" s="80" t="s">
        <v>938</v>
      </c>
      <c r="G2735" s="58" t="s">
        <v>7504</v>
      </c>
      <c r="H2735" s="58" t="s">
        <v>1413</v>
      </c>
      <c r="I2735" s="64" t="s">
        <v>7505</v>
      </c>
      <c r="J2735" s="66"/>
      <c r="K2735" s="66"/>
      <c r="L2735" s="68"/>
      <c r="M2735" s="63" t="str">
        <f>HYPERLINK("http://nsgreg.nga.mil/genc/view?v=870575&amp;end_month=12&amp;end_day=31&amp;end_year=2016","Correlation")</f>
        <v>Correlation</v>
      </c>
    </row>
    <row r="2736" spans="1:13" x14ac:dyDescent="0.2">
      <c r="A2736" s="113"/>
      <c r="B2736" s="58" t="s">
        <v>7507</v>
      </c>
      <c r="C2736" s="58" t="s">
        <v>1413</v>
      </c>
      <c r="D2736" s="58" t="s">
        <v>7508</v>
      </c>
      <c r="E2736" s="60" t="b">
        <v>1</v>
      </c>
      <c r="F2736" s="80" t="s">
        <v>938</v>
      </c>
      <c r="G2736" s="58" t="s">
        <v>7507</v>
      </c>
      <c r="H2736" s="58" t="s">
        <v>1413</v>
      </c>
      <c r="I2736" s="64" t="s">
        <v>7508</v>
      </c>
      <c r="J2736" s="66"/>
      <c r="K2736" s="66"/>
      <c r="L2736" s="68"/>
      <c r="M2736" s="63" t="str">
        <f>HYPERLINK("http://nsgreg.nga.mil/genc/view?v=870587&amp;end_month=12&amp;end_day=31&amp;end_year=2016","Correlation")</f>
        <v>Correlation</v>
      </c>
    </row>
    <row r="2737" spans="1:13" x14ac:dyDescent="0.2">
      <c r="A2737" s="113"/>
      <c r="B2737" s="58" t="s">
        <v>7509</v>
      </c>
      <c r="C2737" s="58" t="s">
        <v>1413</v>
      </c>
      <c r="D2737" s="58" t="s">
        <v>7510</v>
      </c>
      <c r="E2737" s="60" t="b">
        <v>1</v>
      </c>
      <c r="F2737" s="80" t="s">
        <v>938</v>
      </c>
      <c r="G2737" s="58" t="s">
        <v>7509</v>
      </c>
      <c r="H2737" s="58" t="s">
        <v>1413</v>
      </c>
      <c r="I2737" s="64" t="s">
        <v>7510</v>
      </c>
      <c r="J2737" s="66"/>
      <c r="K2737" s="66"/>
      <c r="L2737" s="68"/>
      <c r="M2737" s="63" t="str">
        <f>HYPERLINK("http://nsgreg.nga.mil/genc/view?v=870588&amp;end_month=12&amp;end_day=31&amp;end_year=2016","Correlation")</f>
        <v>Correlation</v>
      </c>
    </row>
    <row r="2738" spans="1:13" x14ac:dyDescent="0.2">
      <c r="A2738" s="113"/>
      <c r="B2738" s="58" t="s">
        <v>7511</v>
      </c>
      <c r="C2738" s="58" t="s">
        <v>1413</v>
      </c>
      <c r="D2738" s="58" t="s">
        <v>7512</v>
      </c>
      <c r="E2738" s="60" t="b">
        <v>1</v>
      </c>
      <c r="F2738" s="80" t="s">
        <v>938</v>
      </c>
      <c r="G2738" s="58" t="s">
        <v>7511</v>
      </c>
      <c r="H2738" s="58" t="s">
        <v>1413</v>
      </c>
      <c r="I2738" s="64" t="s">
        <v>7512</v>
      </c>
      <c r="J2738" s="66"/>
      <c r="K2738" s="66"/>
      <c r="L2738" s="68"/>
      <c r="M2738" s="63" t="str">
        <f>HYPERLINK("http://nsgreg.nga.mil/genc/view?v=870586&amp;end_month=12&amp;end_day=31&amp;end_year=2016","Correlation")</f>
        <v>Correlation</v>
      </c>
    </row>
    <row r="2739" spans="1:13" x14ac:dyDescent="0.2">
      <c r="A2739" s="113"/>
      <c r="B2739" s="58" t="s">
        <v>7513</v>
      </c>
      <c r="C2739" s="58" t="s">
        <v>1413</v>
      </c>
      <c r="D2739" s="58" t="s">
        <v>7514</v>
      </c>
      <c r="E2739" s="60" t="b">
        <v>1</v>
      </c>
      <c r="F2739" s="80" t="s">
        <v>938</v>
      </c>
      <c r="G2739" s="58" t="s">
        <v>7513</v>
      </c>
      <c r="H2739" s="58" t="s">
        <v>1413</v>
      </c>
      <c r="I2739" s="64" t="s">
        <v>7514</v>
      </c>
      <c r="J2739" s="66"/>
      <c r="K2739" s="66"/>
      <c r="L2739" s="68"/>
      <c r="M2739" s="63" t="str">
        <f>HYPERLINK("http://nsgreg.nga.mil/genc/view?v=870585&amp;end_month=12&amp;end_day=31&amp;end_year=2016","Correlation")</f>
        <v>Correlation</v>
      </c>
    </row>
    <row r="2740" spans="1:13" x14ac:dyDescent="0.2">
      <c r="A2740" s="113"/>
      <c r="B2740" s="58" t="s">
        <v>7515</v>
      </c>
      <c r="C2740" s="58" t="s">
        <v>1413</v>
      </c>
      <c r="D2740" s="58" t="s">
        <v>7516</v>
      </c>
      <c r="E2740" s="60" t="b">
        <v>1</v>
      </c>
      <c r="F2740" s="80" t="s">
        <v>938</v>
      </c>
      <c r="G2740" s="58" t="s">
        <v>7515</v>
      </c>
      <c r="H2740" s="58" t="s">
        <v>1413</v>
      </c>
      <c r="I2740" s="64" t="s">
        <v>7516</v>
      </c>
      <c r="J2740" s="66"/>
      <c r="K2740" s="66"/>
      <c r="L2740" s="68"/>
      <c r="M2740" s="63" t="str">
        <f>HYPERLINK("http://nsgreg.nga.mil/genc/view?v=870590&amp;end_month=12&amp;end_day=31&amp;end_year=2016","Correlation")</f>
        <v>Correlation</v>
      </c>
    </row>
    <row r="2741" spans="1:13" x14ac:dyDescent="0.2">
      <c r="A2741" s="113"/>
      <c r="B2741" s="58" t="s">
        <v>7519</v>
      </c>
      <c r="C2741" s="58" t="s">
        <v>1413</v>
      </c>
      <c r="D2741" s="58" t="s">
        <v>7518</v>
      </c>
      <c r="E2741" s="60" t="b">
        <v>1</v>
      </c>
      <c r="F2741" s="80" t="s">
        <v>938</v>
      </c>
      <c r="G2741" s="58" t="s">
        <v>7517</v>
      </c>
      <c r="H2741" s="58" t="s">
        <v>1413</v>
      </c>
      <c r="I2741" s="64" t="s">
        <v>7518</v>
      </c>
      <c r="J2741" s="66"/>
      <c r="K2741" s="66"/>
      <c r="L2741" s="68"/>
      <c r="M2741" s="63" t="str">
        <f>HYPERLINK("http://nsgreg.nga.mil/genc/view?v=870589&amp;end_month=12&amp;end_day=31&amp;end_year=2016","Correlation")</f>
        <v>Correlation</v>
      </c>
    </row>
    <row r="2742" spans="1:13" x14ac:dyDescent="0.2">
      <c r="A2742" s="113"/>
      <c r="B2742" s="58" t="s">
        <v>7520</v>
      </c>
      <c r="C2742" s="58" t="s">
        <v>1413</v>
      </c>
      <c r="D2742" s="58" t="s">
        <v>7521</v>
      </c>
      <c r="E2742" s="60" t="b">
        <v>1</v>
      </c>
      <c r="F2742" s="80" t="s">
        <v>938</v>
      </c>
      <c r="G2742" s="58" t="s">
        <v>7520</v>
      </c>
      <c r="H2742" s="58" t="s">
        <v>1413</v>
      </c>
      <c r="I2742" s="64" t="s">
        <v>7521</v>
      </c>
      <c r="J2742" s="66"/>
      <c r="K2742" s="66"/>
      <c r="L2742" s="68"/>
      <c r="M2742" s="63" t="str">
        <f>HYPERLINK("http://nsgreg.nga.mil/genc/view?v=870576&amp;end_month=12&amp;end_day=31&amp;end_year=2016","Correlation")</f>
        <v>Correlation</v>
      </c>
    </row>
    <row r="2743" spans="1:13" x14ac:dyDescent="0.2">
      <c r="A2743" s="113"/>
      <c r="B2743" s="58" t="s">
        <v>7522</v>
      </c>
      <c r="C2743" s="58" t="s">
        <v>1413</v>
      </c>
      <c r="D2743" s="58" t="s">
        <v>7523</v>
      </c>
      <c r="E2743" s="60" t="b">
        <v>1</v>
      </c>
      <c r="F2743" s="80" t="s">
        <v>938</v>
      </c>
      <c r="G2743" s="58" t="s">
        <v>7522</v>
      </c>
      <c r="H2743" s="58" t="s">
        <v>1413</v>
      </c>
      <c r="I2743" s="64" t="s">
        <v>7523</v>
      </c>
      <c r="J2743" s="66"/>
      <c r="K2743" s="66"/>
      <c r="L2743" s="68"/>
      <c r="M2743" s="63" t="str">
        <f>HYPERLINK("http://nsgreg.nga.mil/genc/view?v=870578&amp;end_month=12&amp;end_day=31&amp;end_year=2016","Correlation")</f>
        <v>Correlation</v>
      </c>
    </row>
    <row r="2744" spans="1:13" x14ac:dyDescent="0.2">
      <c r="A2744" s="113"/>
      <c r="B2744" s="58" t="s">
        <v>7524</v>
      </c>
      <c r="C2744" s="58" t="s">
        <v>1413</v>
      </c>
      <c r="D2744" s="58" t="s">
        <v>7525</v>
      </c>
      <c r="E2744" s="60" t="b">
        <v>1</v>
      </c>
      <c r="F2744" s="80" t="s">
        <v>938</v>
      </c>
      <c r="G2744" s="58" t="s">
        <v>7524</v>
      </c>
      <c r="H2744" s="58" t="s">
        <v>1413</v>
      </c>
      <c r="I2744" s="64" t="s">
        <v>7525</v>
      </c>
      <c r="J2744" s="66"/>
      <c r="K2744" s="66"/>
      <c r="L2744" s="68"/>
      <c r="M2744" s="63" t="str">
        <f>HYPERLINK("http://nsgreg.nga.mil/genc/view?v=870577&amp;end_month=12&amp;end_day=31&amp;end_year=2016","Correlation")</f>
        <v>Correlation</v>
      </c>
    </row>
    <row r="2745" spans="1:13" x14ac:dyDescent="0.2">
      <c r="A2745" s="113"/>
      <c r="B2745" s="58" t="s">
        <v>7526</v>
      </c>
      <c r="C2745" s="58" t="s">
        <v>1413</v>
      </c>
      <c r="D2745" s="58" t="s">
        <v>7527</v>
      </c>
      <c r="E2745" s="60" t="b">
        <v>1</v>
      </c>
      <c r="F2745" s="80" t="s">
        <v>938</v>
      </c>
      <c r="G2745" s="58" t="s">
        <v>7526</v>
      </c>
      <c r="H2745" s="58" t="s">
        <v>1413</v>
      </c>
      <c r="I2745" s="64" t="s">
        <v>7527</v>
      </c>
      <c r="J2745" s="66"/>
      <c r="K2745" s="66"/>
      <c r="L2745" s="68"/>
      <c r="M2745" s="63" t="str">
        <f>HYPERLINK("http://nsgreg.nga.mil/genc/view?v=870583&amp;end_month=12&amp;end_day=31&amp;end_year=2016","Correlation")</f>
        <v>Correlation</v>
      </c>
    </row>
    <row r="2746" spans="1:13" x14ac:dyDescent="0.2">
      <c r="A2746" s="113"/>
      <c r="B2746" s="58" t="s">
        <v>7528</v>
      </c>
      <c r="C2746" s="58" t="s">
        <v>1413</v>
      </c>
      <c r="D2746" s="58" t="s">
        <v>7529</v>
      </c>
      <c r="E2746" s="60" t="b">
        <v>1</v>
      </c>
      <c r="F2746" s="80" t="s">
        <v>938</v>
      </c>
      <c r="G2746" s="58" t="s">
        <v>7528</v>
      </c>
      <c r="H2746" s="58" t="s">
        <v>1413</v>
      </c>
      <c r="I2746" s="64" t="s">
        <v>7529</v>
      </c>
      <c r="J2746" s="66"/>
      <c r="K2746" s="66"/>
      <c r="L2746" s="68"/>
      <c r="M2746" s="63" t="str">
        <f>HYPERLINK("http://nsgreg.nga.mil/genc/view?v=870574&amp;end_month=12&amp;end_day=31&amp;end_year=2016","Correlation")</f>
        <v>Correlation</v>
      </c>
    </row>
    <row r="2747" spans="1:13" x14ac:dyDescent="0.2">
      <c r="A2747" s="113"/>
      <c r="B2747" s="58" t="s">
        <v>7530</v>
      </c>
      <c r="C2747" s="58" t="s">
        <v>1413</v>
      </c>
      <c r="D2747" s="58" t="s">
        <v>7531</v>
      </c>
      <c r="E2747" s="60" t="b">
        <v>1</v>
      </c>
      <c r="F2747" s="80" t="s">
        <v>938</v>
      </c>
      <c r="G2747" s="58" t="s">
        <v>7530</v>
      </c>
      <c r="H2747" s="58" t="s">
        <v>1413</v>
      </c>
      <c r="I2747" s="64" t="s">
        <v>7531</v>
      </c>
      <c r="J2747" s="66"/>
      <c r="K2747" s="66"/>
      <c r="L2747" s="68"/>
      <c r="M2747" s="63" t="str">
        <f>HYPERLINK("http://nsgreg.nga.mil/genc/view?v=870584&amp;end_month=12&amp;end_day=31&amp;end_year=2016","Correlation")</f>
        <v>Correlation</v>
      </c>
    </row>
    <row r="2748" spans="1:13" x14ac:dyDescent="0.2">
      <c r="A2748" s="113"/>
      <c r="B2748" s="58" t="s">
        <v>7532</v>
      </c>
      <c r="C2748" s="58" t="s">
        <v>1413</v>
      </c>
      <c r="D2748" s="58" t="s">
        <v>7533</v>
      </c>
      <c r="E2748" s="60" t="b">
        <v>1</v>
      </c>
      <c r="F2748" s="80" t="s">
        <v>938</v>
      </c>
      <c r="G2748" s="58" t="s">
        <v>7532</v>
      </c>
      <c r="H2748" s="58" t="s">
        <v>1413</v>
      </c>
      <c r="I2748" s="64" t="s">
        <v>7533</v>
      </c>
      <c r="J2748" s="66"/>
      <c r="K2748" s="66"/>
      <c r="L2748" s="68"/>
      <c r="M2748" s="63" t="str">
        <f>HYPERLINK("http://nsgreg.nga.mil/genc/view?v=870581&amp;end_month=12&amp;end_day=31&amp;end_year=2016","Correlation")</f>
        <v>Correlation</v>
      </c>
    </row>
    <row r="2749" spans="1:13" x14ac:dyDescent="0.2">
      <c r="A2749" s="113"/>
      <c r="B2749" s="58" t="s">
        <v>7534</v>
      </c>
      <c r="C2749" s="58" t="s">
        <v>1413</v>
      </c>
      <c r="D2749" s="58" t="s">
        <v>7535</v>
      </c>
      <c r="E2749" s="60" t="b">
        <v>1</v>
      </c>
      <c r="F2749" s="80" t="s">
        <v>938</v>
      </c>
      <c r="G2749" s="58" t="s">
        <v>7534</v>
      </c>
      <c r="H2749" s="58" t="s">
        <v>1413</v>
      </c>
      <c r="I2749" s="64" t="s">
        <v>7535</v>
      </c>
      <c r="J2749" s="66"/>
      <c r="K2749" s="66"/>
      <c r="L2749" s="68"/>
      <c r="M2749" s="63" t="str">
        <f>HYPERLINK("http://nsgreg.nga.mil/genc/view?v=870582&amp;end_month=12&amp;end_day=31&amp;end_year=2016","Correlation")</f>
        <v>Correlation</v>
      </c>
    </row>
    <row r="2750" spans="1:13" x14ac:dyDescent="0.2">
      <c r="A2750" s="113"/>
      <c r="B2750" s="58" t="s">
        <v>7536</v>
      </c>
      <c r="C2750" s="58" t="s">
        <v>1413</v>
      </c>
      <c r="D2750" s="58" t="s">
        <v>7537</v>
      </c>
      <c r="E2750" s="60" t="b">
        <v>1</v>
      </c>
      <c r="F2750" s="80" t="s">
        <v>938</v>
      </c>
      <c r="G2750" s="58" t="s">
        <v>7536</v>
      </c>
      <c r="H2750" s="58" t="s">
        <v>1413</v>
      </c>
      <c r="I2750" s="64" t="s">
        <v>7537</v>
      </c>
      <c r="J2750" s="66"/>
      <c r="K2750" s="66"/>
      <c r="L2750" s="68"/>
      <c r="M2750" s="63" t="str">
        <f>HYPERLINK("http://nsgreg.nga.mil/genc/view?v=870580&amp;end_month=12&amp;end_day=31&amp;end_year=2016","Correlation")</f>
        <v>Correlation</v>
      </c>
    </row>
    <row r="2751" spans="1:13" x14ac:dyDescent="0.2">
      <c r="A2751" s="113"/>
      <c r="B2751" s="58" t="s">
        <v>7538</v>
      </c>
      <c r="C2751" s="58" t="s">
        <v>3577</v>
      </c>
      <c r="D2751" s="58" t="s">
        <v>7539</v>
      </c>
      <c r="E2751" s="60" t="b">
        <v>1</v>
      </c>
      <c r="F2751" s="80" t="s">
        <v>938</v>
      </c>
      <c r="G2751" s="58" t="s">
        <v>7538</v>
      </c>
      <c r="H2751" s="58" t="s">
        <v>1681</v>
      </c>
      <c r="I2751" s="64" t="s">
        <v>7539</v>
      </c>
      <c r="J2751" s="66"/>
      <c r="K2751" s="66"/>
      <c r="L2751" s="68"/>
      <c r="M2751" s="63" t="str">
        <f>HYPERLINK("http://nsgreg.nga.mil/genc/view?v=870595&amp;end_month=12&amp;end_day=31&amp;end_year=2016","Correlation")</f>
        <v>Correlation</v>
      </c>
    </row>
    <row r="2752" spans="1:13" x14ac:dyDescent="0.2">
      <c r="A2752" s="114"/>
      <c r="B2752" s="71" t="s">
        <v>7540</v>
      </c>
      <c r="C2752" s="71" t="s">
        <v>1413</v>
      </c>
      <c r="D2752" s="71" t="s">
        <v>7541</v>
      </c>
      <c r="E2752" s="73" t="b">
        <v>1</v>
      </c>
      <c r="F2752" s="81" t="s">
        <v>938</v>
      </c>
      <c r="G2752" s="71" t="s">
        <v>7540</v>
      </c>
      <c r="H2752" s="71" t="s">
        <v>1413</v>
      </c>
      <c r="I2752" s="74" t="s">
        <v>7541</v>
      </c>
      <c r="J2752" s="76"/>
      <c r="K2752" s="76"/>
      <c r="L2752" s="82"/>
      <c r="M2752" s="77" t="str">
        <f>HYPERLINK("http://nsgreg.nga.mil/genc/view?v=870579&amp;end_month=12&amp;end_day=31&amp;end_year=2016","Correlation")</f>
        <v>Correlation</v>
      </c>
    </row>
    <row r="2753" spans="1:13" x14ac:dyDescent="0.2">
      <c r="A2753" s="112" t="s">
        <v>942</v>
      </c>
      <c r="B2753" s="50" t="s">
        <v>7542</v>
      </c>
      <c r="C2753" s="50" t="s">
        <v>1816</v>
      </c>
      <c r="D2753" s="50" t="s">
        <v>7543</v>
      </c>
      <c r="E2753" s="52" t="b">
        <v>1</v>
      </c>
      <c r="F2753" s="78" t="s">
        <v>942</v>
      </c>
      <c r="G2753" s="50" t="s">
        <v>7542</v>
      </c>
      <c r="H2753" s="50" t="s">
        <v>1816</v>
      </c>
      <c r="I2753" s="53" t="s">
        <v>7543</v>
      </c>
      <c r="J2753" s="55"/>
      <c r="K2753" s="55"/>
      <c r="L2753" s="79"/>
      <c r="M2753" s="56" t="str">
        <f>HYPERLINK("http://nsgreg.nga.mil/genc/view?v=870424&amp;end_month=12&amp;end_day=31&amp;end_year=2016","Correlation")</f>
        <v>Correlation</v>
      </c>
    </row>
    <row r="2754" spans="1:13" x14ac:dyDescent="0.2">
      <c r="A2754" s="113"/>
      <c r="B2754" s="58" t="s">
        <v>7544</v>
      </c>
      <c r="C2754" s="58" t="s">
        <v>1816</v>
      </c>
      <c r="D2754" s="58" t="s">
        <v>7545</v>
      </c>
      <c r="E2754" s="60" t="b">
        <v>1</v>
      </c>
      <c r="F2754" s="80" t="s">
        <v>942</v>
      </c>
      <c r="G2754" s="58" t="s">
        <v>7544</v>
      </c>
      <c r="H2754" s="58" t="s">
        <v>1816</v>
      </c>
      <c r="I2754" s="64" t="s">
        <v>7545</v>
      </c>
      <c r="J2754" s="66"/>
      <c r="K2754" s="66"/>
      <c r="L2754" s="68"/>
      <c r="M2754" s="63" t="str">
        <f>HYPERLINK("http://nsgreg.nga.mil/genc/view?v=870425&amp;end_month=12&amp;end_day=31&amp;end_year=2016","Correlation")</f>
        <v>Correlation</v>
      </c>
    </row>
    <row r="2755" spans="1:13" x14ac:dyDescent="0.2">
      <c r="A2755" s="113"/>
      <c r="B2755" s="58" t="s">
        <v>7546</v>
      </c>
      <c r="C2755" s="58" t="s">
        <v>1816</v>
      </c>
      <c r="D2755" s="58" t="s">
        <v>7547</v>
      </c>
      <c r="E2755" s="60" t="b">
        <v>1</v>
      </c>
      <c r="F2755" s="80" t="s">
        <v>942</v>
      </c>
      <c r="G2755" s="58" t="s">
        <v>7546</v>
      </c>
      <c r="H2755" s="58" t="s">
        <v>1816</v>
      </c>
      <c r="I2755" s="64" t="s">
        <v>7547</v>
      </c>
      <c r="J2755" s="66"/>
      <c r="K2755" s="66"/>
      <c r="L2755" s="68"/>
      <c r="M2755" s="63" t="str">
        <f>HYPERLINK("http://nsgreg.nga.mil/genc/view?v=870426&amp;end_month=12&amp;end_day=31&amp;end_year=2016","Correlation")</f>
        <v>Correlation</v>
      </c>
    </row>
    <row r="2756" spans="1:13" x14ac:dyDescent="0.2">
      <c r="A2756" s="113"/>
      <c r="B2756" s="58" t="s">
        <v>7548</v>
      </c>
      <c r="C2756" s="58" t="s">
        <v>1816</v>
      </c>
      <c r="D2756" s="58" t="s">
        <v>7549</v>
      </c>
      <c r="E2756" s="60" t="b">
        <v>1</v>
      </c>
      <c r="F2756" s="80" t="s">
        <v>942</v>
      </c>
      <c r="G2756" s="58" t="s">
        <v>7548</v>
      </c>
      <c r="H2756" s="58" t="s">
        <v>1816</v>
      </c>
      <c r="I2756" s="64" t="s">
        <v>7549</v>
      </c>
      <c r="J2756" s="66"/>
      <c r="K2756" s="66"/>
      <c r="L2756" s="68"/>
      <c r="M2756" s="63" t="str">
        <f>HYPERLINK("http://nsgreg.nga.mil/genc/view?v=870427&amp;end_month=12&amp;end_day=31&amp;end_year=2016","Correlation")</f>
        <v>Correlation</v>
      </c>
    </row>
    <row r="2757" spans="1:13" x14ac:dyDescent="0.2">
      <c r="A2757" s="113"/>
      <c r="B2757" s="58" t="s">
        <v>7550</v>
      </c>
      <c r="C2757" s="58" t="s">
        <v>1816</v>
      </c>
      <c r="D2757" s="58" t="s">
        <v>7551</v>
      </c>
      <c r="E2757" s="60" t="b">
        <v>1</v>
      </c>
      <c r="F2757" s="80" t="s">
        <v>942</v>
      </c>
      <c r="G2757" s="58" t="s">
        <v>7550</v>
      </c>
      <c r="H2757" s="58" t="s">
        <v>1816</v>
      </c>
      <c r="I2757" s="64" t="s">
        <v>7551</v>
      </c>
      <c r="J2757" s="66"/>
      <c r="K2757" s="66"/>
      <c r="L2757" s="68"/>
      <c r="M2757" s="63" t="str">
        <f>HYPERLINK("http://nsgreg.nga.mil/genc/view?v=870428&amp;end_month=12&amp;end_day=31&amp;end_year=2016","Correlation")</f>
        <v>Correlation</v>
      </c>
    </row>
    <row r="2758" spans="1:13" x14ac:dyDescent="0.2">
      <c r="A2758" s="113"/>
      <c r="B2758" s="58" t="s">
        <v>7552</v>
      </c>
      <c r="C2758" s="58" t="s">
        <v>1816</v>
      </c>
      <c r="D2758" s="58" t="s">
        <v>7553</v>
      </c>
      <c r="E2758" s="60" t="b">
        <v>1</v>
      </c>
      <c r="F2758" s="80" t="s">
        <v>942</v>
      </c>
      <c r="G2758" s="58" t="s">
        <v>7552</v>
      </c>
      <c r="H2758" s="58" t="s">
        <v>1816</v>
      </c>
      <c r="I2758" s="64" t="s">
        <v>7553</v>
      </c>
      <c r="J2758" s="66"/>
      <c r="K2758" s="66"/>
      <c r="L2758" s="68"/>
      <c r="M2758" s="63" t="str">
        <f>HYPERLINK("http://nsgreg.nga.mil/genc/view?v=870429&amp;end_month=12&amp;end_day=31&amp;end_year=2016","Correlation")</f>
        <v>Correlation</v>
      </c>
    </row>
    <row r="2759" spans="1:13" x14ac:dyDescent="0.2">
      <c r="A2759" s="113"/>
      <c r="B2759" s="58" t="s">
        <v>7554</v>
      </c>
      <c r="C2759" s="58" t="s">
        <v>1816</v>
      </c>
      <c r="D2759" s="58" t="s">
        <v>7555</v>
      </c>
      <c r="E2759" s="60" t="b">
        <v>1</v>
      </c>
      <c r="F2759" s="80" t="s">
        <v>942</v>
      </c>
      <c r="G2759" s="58" t="s">
        <v>7554</v>
      </c>
      <c r="H2759" s="58" t="s">
        <v>1816</v>
      </c>
      <c r="I2759" s="64" t="s">
        <v>7555</v>
      </c>
      <c r="J2759" s="66"/>
      <c r="K2759" s="66"/>
      <c r="L2759" s="68"/>
      <c r="M2759" s="63" t="str">
        <f>HYPERLINK("http://nsgreg.nga.mil/genc/view?v=870430&amp;end_month=12&amp;end_day=31&amp;end_year=2016","Correlation")</f>
        <v>Correlation</v>
      </c>
    </row>
    <row r="2760" spans="1:13" x14ac:dyDescent="0.2">
      <c r="A2760" s="113"/>
      <c r="B2760" s="58" t="s">
        <v>7556</v>
      </c>
      <c r="C2760" s="58" t="s">
        <v>1816</v>
      </c>
      <c r="D2760" s="58" t="s">
        <v>7557</v>
      </c>
      <c r="E2760" s="60" t="b">
        <v>1</v>
      </c>
      <c r="F2760" s="80" t="s">
        <v>942</v>
      </c>
      <c r="G2760" s="58" t="s">
        <v>7556</v>
      </c>
      <c r="H2760" s="58" t="s">
        <v>1816</v>
      </c>
      <c r="I2760" s="64" t="s">
        <v>7557</v>
      </c>
      <c r="J2760" s="66"/>
      <c r="K2760" s="66"/>
      <c r="L2760" s="68"/>
      <c r="M2760" s="63" t="str">
        <f>HYPERLINK("http://nsgreg.nga.mil/genc/view?v=870445&amp;end_month=12&amp;end_day=31&amp;end_year=2016","Correlation")</f>
        <v>Correlation</v>
      </c>
    </row>
    <row r="2761" spans="1:13" x14ac:dyDescent="0.2">
      <c r="A2761" s="113"/>
      <c r="B2761" s="58" t="s">
        <v>7560</v>
      </c>
      <c r="C2761" s="58" t="s">
        <v>1816</v>
      </c>
      <c r="D2761" s="58" t="s">
        <v>7559</v>
      </c>
      <c r="E2761" s="60" t="b">
        <v>1</v>
      </c>
      <c r="F2761" s="80" t="s">
        <v>942</v>
      </c>
      <c r="G2761" s="58" t="s">
        <v>7558</v>
      </c>
      <c r="H2761" s="58" t="s">
        <v>1816</v>
      </c>
      <c r="I2761" s="64" t="s">
        <v>7559</v>
      </c>
      <c r="J2761" s="66"/>
      <c r="K2761" s="66"/>
      <c r="L2761" s="68"/>
      <c r="M2761" s="63" t="str">
        <f>HYPERLINK("http://nsgreg.nga.mil/genc/view?v=870431&amp;end_month=12&amp;end_day=31&amp;end_year=2016","Correlation")</f>
        <v>Correlation</v>
      </c>
    </row>
    <row r="2762" spans="1:13" x14ac:dyDescent="0.2">
      <c r="A2762" s="113"/>
      <c r="B2762" s="58" t="s">
        <v>7561</v>
      </c>
      <c r="C2762" s="58" t="s">
        <v>1816</v>
      </c>
      <c r="D2762" s="58" t="s">
        <v>7562</v>
      </c>
      <c r="E2762" s="60" t="b">
        <v>1</v>
      </c>
      <c r="F2762" s="80" t="s">
        <v>942</v>
      </c>
      <c r="G2762" s="58" t="s">
        <v>7561</v>
      </c>
      <c r="H2762" s="58" t="s">
        <v>1816</v>
      </c>
      <c r="I2762" s="64" t="s">
        <v>7562</v>
      </c>
      <c r="J2762" s="66"/>
      <c r="K2762" s="66"/>
      <c r="L2762" s="68"/>
      <c r="M2762" s="63" t="str">
        <f>HYPERLINK("http://nsgreg.nga.mil/genc/view?v=870432&amp;end_month=12&amp;end_day=31&amp;end_year=2016","Correlation")</f>
        <v>Correlation</v>
      </c>
    </row>
    <row r="2763" spans="1:13" x14ac:dyDescent="0.2">
      <c r="A2763" s="113"/>
      <c r="B2763" s="58" t="s">
        <v>7563</v>
      </c>
      <c r="C2763" s="58" t="s">
        <v>1816</v>
      </c>
      <c r="D2763" s="58" t="s">
        <v>7564</v>
      </c>
      <c r="E2763" s="60" t="b">
        <v>1</v>
      </c>
      <c r="F2763" s="80" t="s">
        <v>942</v>
      </c>
      <c r="G2763" s="58" t="s">
        <v>7563</v>
      </c>
      <c r="H2763" s="58" t="s">
        <v>1816</v>
      </c>
      <c r="I2763" s="64" t="s">
        <v>7564</v>
      </c>
      <c r="J2763" s="66"/>
      <c r="K2763" s="66"/>
      <c r="L2763" s="68"/>
      <c r="M2763" s="63" t="str">
        <f>HYPERLINK("http://nsgreg.nga.mil/genc/view?v=870433&amp;end_month=12&amp;end_day=31&amp;end_year=2016","Correlation")</f>
        <v>Correlation</v>
      </c>
    </row>
    <row r="2764" spans="1:13" x14ac:dyDescent="0.2">
      <c r="A2764" s="113"/>
      <c r="B2764" s="58" t="s">
        <v>7565</v>
      </c>
      <c r="C2764" s="58" t="s">
        <v>1816</v>
      </c>
      <c r="D2764" s="58" t="s">
        <v>7566</v>
      </c>
      <c r="E2764" s="60" t="b">
        <v>1</v>
      </c>
      <c r="F2764" s="80" t="s">
        <v>942</v>
      </c>
      <c r="G2764" s="58" t="s">
        <v>7565</v>
      </c>
      <c r="H2764" s="58" t="s">
        <v>1816</v>
      </c>
      <c r="I2764" s="64" t="s">
        <v>7566</v>
      </c>
      <c r="J2764" s="66"/>
      <c r="K2764" s="66"/>
      <c r="L2764" s="68"/>
      <c r="M2764" s="63" t="str">
        <f>HYPERLINK("http://nsgreg.nga.mil/genc/view?v=870434&amp;end_month=12&amp;end_day=31&amp;end_year=2016","Correlation")</f>
        <v>Correlation</v>
      </c>
    </row>
    <row r="2765" spans="1:13" x14ac:dyDescent="0.2">
      <c r="A2765" s="113"/>
      <c r="B2765" s="58" t="s">
        <v>7567</v>
      </c>
      <c r="C2765" s="58" t="s">
        <v>1816</v>
      </c>
      <c r="D2765" s="58" t="s">
        <v>7568</v>
      </c>
      <c r="E2765" s="60" t="b">
        <v>1</v>
      </c>
      <c r="F2765" s="80" t="s">
        <v>942</v>
      </c>
      <c r="G2765" s="58" t="s">
        <v>7567</v>
      </c>
      <c r="H2765" s="58" t="s">
        <v>1816</v>
      </c>
      <c r="I2765" s="64" t="s">
        <v>7568</v>
      </c>
      <c r="J2765" s="66"/>
      <c r="K2765" s="66"/>
      <c r="L2765" s="68"/>
      <c r="M2765" s="63" t="str">
        <f>HYPERLINK("http://nsgreg.nga.mil/genc/view?v=870435&amp;end_month=12&amp;end_day=31&amp;end_year=2016","Correlation")</f>
        <v>Correlation</v>
      </c>
    </row>
    <row r="2766" spans="1:13" x14ac:dyDescent="0.2">
      <c r="A2766" s="113"/>
      <c r="B2766" s="58" t="s">
        <v>7569</v>
      </c>
      <c r="C2766" s="58" t="s">
        <v>1816</v>
      </c>
      <c r="D2766" s="58" t="s">
        <v>7570</v>
      </c>
      <c r="E2766" s="60" t="b">
        <v>1</v>
      </c>
      <c r="F2766" s="80" t="s">
        <v>942</v>
      </c>
      <c r="G2766" s="58" t="s">
        <v>7569</v>
      </c>
      <c r="H2766" s="58" t="s">
        <v>1816</v>
      </c>
      <c r="I2766" s="64" t="s">
        <v>7570</v>
      </c>
      <c r="J2766" s="66"/>
      <c r="K2766" s="66"/>
      <c r="L2766" s="68"/>
      <c r="M2766" s="63" t="str">
        <f>HYPERLINK("http://nsgreg.nga.mil/genc/view?v=870446&amp;end_month=12&amp;end_day=31&amp;end_year=2016","Correlation")</f>
        <v>Correlation</v>
      </c>
    </row>
    <row r="2767" spans="1:13" x14ac:dyDescent="0.2">
      <c r="A2767" s="113"/>
      <c r="B2767" s="58" t="s">
        <v>7571</v>
      </c>
      <c r="C2767" s="58" t="s">
        <v>1816</v>
      </c>
      <c r="D2767" s="58" t="s">
        <v>7572</v>
      </c>
      <c r="E2767" s="60" t="b">
        <v>1</v>
      </c>
      <c r="F2767" s="80" t="s">
        <v>942</v>
      </c>
      <c r="G2767" s="58" t="s">
        <v>7571</v>
      </c>
      <c r="H2767" s="58" t="s">
        <v>1816</v>
      </c>
      <c r="I2767" s="64" t="s">
        <v>7572</v>
      </c>
      <c r="J2767" s="66"/>
      <c r="K2767" s="66"/>
      <c r="L2767" s="68"/>
      <c r="M2767" s="63" t="str">
        <f>HYPERLINK("http://nsgreg.nga.mil/genc/view?v=870436&amp;end_month=12&amp;end_day=31&amp;end_year=2016","Correlation")</f>
        <v>Correlation</v>
      </c>
    </row>
    <row r="2768" spans="1:13" x14ac:dyDescent="0.2">
      <c r="A2768" s="113"/>
      <c r="B2768" s="58" t="s">
        <v>7573</v>
      </c>
      <c r="C2768" s="58" t="s">
        <v>1816</v>
      </c>
      <c r="D2768" s="58" t="s">
        <v>7574</v>
      </c>
      <c r="E2768" s="60" t="b">
        <v>1</v>
      </c>
      <c r="F2768" s="80" t="s">
        <v>942</v>
      </c>
      <c r="G2768" s="58" t="s">
        <v>7573</v>
      </c>
      <c r="H2768" s="58" t="s">
        <v>1816</v>
      </c>
      <c r="I2768" s="64" t="s">
        <v>7574</v>
      </c>
      <c r="J2768" s="66"/>
      <c r="K2768" s="66"/>
      <c r="L2768" s="68"/>
      <c r="M2768" s="63" t="str">
        <f>HYPERLINK("http://nsgreg.nga.mil/genc/view?v=870437&amp;end_month=12&amp;end_day=31&amp;end_year=2016","Correlation")</f>
        <v>Correlation</v>
      </c>
    </row>
    <row r="2769" spans="1:13" x14ac:dyDescent="0.2">
      <c r="A2769" s="113"/>
      <c r="B2769" s="58" t="s">
        <v>7575</v>
      </c>
      <c r="C2769" s="58" t="s">
        <v>1816</v>
      </c>
      <c r="D2769" s="58" t="s">
        <v>7576</v>
      </c>
      <c r="E2769" s="60" t="b">
        <v>1</v>
      </c>
      <c r="F2769" s="80" t="s">
        <v>942</v>
      </c>
      <c r="G2769" s="58" t="s">
        <v>7575</v>
      </c>
      <c r="H2769" s="58" t="s">
        <v>1816</v>
      </c>
      <c r="I2769" s="64" t="s">
        <v>7576</v>
      </c>
      <c r="J2769" s="66"/>
      <c r="K2769" s="66"/>
      <c r="L2769" s="68"/>
      <c r="M2769" s="63" t="str">
        <f>HYPERLINK("http://nsgreg.nga.mil/genc/view?v=870438&amp;end_month=12&amp;end_day=31&amp;end_year=2016","Correlation")</f>
        <v>Correlation</v>
      </c>
    </row>
    <row r="2770" spans="1:13" x14ac:dyDescent="0.2">
      <c r="A2770" s="113"/>
      <c r="B2770" s="58" t="s">
        <v>7577</v>
      </c>
      <c r="C2770" s="58" t="s">
        <v>1816</v>
      </c>
      <c r="D2770" s="58" t="s">
        <v>7578</v>
      </c>
      <c r="E2770" s="60" t="b">
        <v>1</v>
      </c>
      <c r="F2770" s="80" t="s">
        <v>942</v>
      </c>
      <c r="G2770" s="58" t="s">
        <v>7577</v>
      </c>
      <c r="H2770" s="58" t="s">
        <v>1816</v>
      </c>
      <c r="I2770" s="64" t="s">
        <v>7578</v>
      </c>
      <c r="J2770" s="66"/>
      <c r="K2770" s="66"/>
      <c r="L2770" s="68"/>
      <c r="M2770" s="63" t="str">
        <f>HYPERLINK("http://nsgreg.nga.mil/genc/view?v=870439&amp;end_month=12&amp;end_day=31&amp;end_year=2016","Correlation")</f>
        <v>Correlation</v>
      </c>
    </row>
    <row r="2771" spans="1:13" x14ac:dyDescent="0.2">
      <c r="A2771" s="113"/>
      <c r="B2771" s="58" t="s">
        <v>7579</v>
      </c>
      <c r="C2771" s="58" t="s">
        <v>1816</v>
      </c>
      <c r="D2771" s="58" t="s">
        <v>7580</v>
      </c>
      <c r="E2771" s="60" t="b">
        <v>1</v>
      </c>
      <c r="F2771" s="80" t="s">
        <v>942</v>
      </c>
      <c r="G2771" s="58" t="s">
        <v>7579</v>
      </c>
      <c r="H2771" s="58" t="s">
        <v>1816</v>
      </c>
      <c r="I2771" s="64" t="s">
        <v>7580</v>
      </c>
      <c r="J2771" s="66"/>
      <c r="K2771" s="66"/>
      <c r="L2771" s="68"/>
      <c r="M2771" s="63" t="str">
        <f>HYPERLINK("http://nsgreg.nga.mil/genc/view?v=870440&amp;end_month=12&amp;end_day=31&amp;end_year=2016","Correlation")</f>
        <v>Correlation</v>
      </c>
    </row>
    <row r="2772" spans="1:13" x14ac:dyDescent="0.2">
      <c r="A2772" s="113"/>
      <c r="B2772" s="58" t="s">
        <v>7581</v>
      </c>
      <c r="C2772" s="58" t="s">
        <v>1816</v>
      </c>
      <c r="D2772" s="58" t="s">
        <v>7582</v>
      </c>
      <c r="E2772" s="60" t="b">
        <v>1</v>
      </c>
      <c r="F2772" s="80" t="s">
        <v>942</v>
      </c>
      <c r="G2772" s="58" t="s">
        <v>7581</v>
      </c>
      <c r="H2772" s="58" t="s">
        <v>1816</v>
      </c>
      <c r="I2772" s="64" t="s">
        <v>7582</v>
      </c>
      <c r="J2772" s="66"/>
      <c r="K2772" s="66"/>
      <c r="L2772" s="68"/>
      <c r="M2772" s="63" t="str">
        <f>HYPERLINK("http://nsgreg.nga.mil/genc/view?v=870441&amp;end_month=12&amp;end_day=31&amp;end_year=2016","Correlation")</f>
        <v>Correlation</v>
      </c>
    </row>
    <row r="2773" spans="1:13" x14ac:dyDescent="0.2">
      <c r="A2773" s="113"/>
      <c r="B2773" s="58" t="s">
        <v>7583</v>
      </c>
      <c r="C2773" s="58" t="s">
        <v>1816</v>
      </c>
      <c r="D2773" s="58" t="s">
        <v>7584</v>
      </c>
      <c r="E2773" s="60" t="b">
        <v>1</v>
      </c>
      <c r="F2773" s="80" t="s">
        <v>942</v>
      </c>
      <c r="G2773" s="58" t="s">
        <v>7583</v>
      </c>
      <c r="H2773" s="58" t="s">
        <v>1816</v>
      </c>
      <c r="I2773" s="64" t="s">
        <v>7584</v>
      </c>
      <c r="J2773" s="66"/>
      <c r="K2773" s="66"/>
      <c r="L2773" s="68"/>
      <c r="M2773" s="63" t="str">
        <f>HYPERLINK("http://nsgreg.nga.mil/genc/view?v=870442&amp;end_month=12&amp;end_day=31&amp;end_year=2016","Correlation")</f>
        <v>Correlation</v>
      </c>
    </row>
    <row r="2774" spans="1:13" x14ac:dyDescent="0.2">
      <c r="A2774" s="113"/>
      <c r="B2774" s="58" t="s">
        <v>7585</v>
      </c>
      <c r="C2774" s="58" t="s">
        <v>1816</v>
      </c>
      <c r="D2774" s="58" t="s">
        <v>7586</v>
      </c>
      <c r="E2774" s="60" t="b">
        <v>1</v>
      </c>
      <c r="F2774" s="80" t="s">
        <v>942</v>
      </c>
      <c r="G2774" s="58" t="s">
        <v>7585</v>
      </c>
      <c r="H2774" s="58" t="s">
        <v>1816</v>
      </c>
      <c r="I2774" s="64" t="s">
        <v>7586</v>
      </c>
      <c r="J2774" s="66"/>
      <c r="K2774" s="66"/>
      <c r="L2774" s="68"/>
      <c r="M2774" s="63" t="str">
        <f>HYPERLINK("http://nsgreg.nga.mil/genc/view?v=870443&amp;end_month=12&amp;end_day=31&amp;end_year=2016","Correlation")</f>
        <v>Correlation</v>
      </c>
    </row>
    <row r="2775" spans="1:13" x14ac:dyDescent="0.2">
      <c r="A2775" s="114"/>
      <c r="B2775" s="71" t="s">
        <v>7587</v>
      </c>
      <c r="C2775" s="71" t="s">
        <v>1816</v>
      </c>
      <c r="D2775" s="71" t="s">
        <v>7588</v>
      </c>
      <c r="E2775" s="73" t="b">
        <v>1</v>
      </c>
      <c r="F2775" s="81" t="s">
        <v>942</v>
      </c>
      <c r="G2775" s="71" t="s">
        <v>7587</v>
      </c>
      <c r="H2775" s="71" t="s">
        <v>1816</v>
      </c>
      <c r="I2775" s="74" t="s">
        <v>7588</v>
      </c>
      <c r="J2775" s="76"/>
      <c r="K2775" s="76"/>
      <c r="L2775" s="82"/>
      <c r="M2775" s="77" t="str">
        <f>HYPERLINK("http://nsgreg.nga.mil/genc/view?v=870444&amp;end_month=12&amp;end_day=31&amp;end_year=2016","Correlation")</f>
        <v>Correlation</v>
      </c>
    </row>
    <row r="2776" spans="1:13" x14ac:dyDescent="0.2">
      <c r="A2776" s="112" t="s">
        <v>950</v>
      </c>
      <c r="B2776" s="50" t="s">
        <v>12355</v>
      </c>
      <c r="C2776" s="50" t="s">
        <v>2925</v>
      </c>
      <c r="D2776" s="50" t="s">
        <v>12356</v>
      </c>
      <c r="E2776" s="52" t="b">
        <v>1</v>
      </c>
      <c r="F2776" s="83" t="s">
        <v>167</v>
      </c>
      <c r="G2776" s="83"/>
      <c r="H2776" s="83"/>
      <c r="I2776" s="83"/>
      <c r="J2776" s="83"/>
      <c r="K2776" s="83"/>
      <c r="L2776" s="84"/>
      <c r="M2776" s="56" t="str">
        <f>HYPERLINK("http://nsgreg.nga.mil/genc/view?v=870307&amp;end_month=12&amp;end_day=31&amp;end_year=2016","Correlation")</f>
        <v>Correlation</v>
      </c>
    </row>
    <row r="2777" spans="1:13" x14ac:dyDescent="0.2">
      <c r="A2777" s="113"/>
      <c r="B2777" s="58" t="s">
        <v>12357</v>
      </c>
      <c r="C2777" s="58" t="s">
        <v>1413</v>
      </c>
      <c r="D2777" s="58" t="s">
        <v>12358</v>
      </c>
      <c r="E2777" s="60" t="b">
        <v>1</v>
      </c>
      <c r="F2777" s="61" t="s">
        <v>167</v>
      </c>
      <c r="G2777" s="61"/>
      <c r="H2777" s="61"/>
      <c r="I2777" s="61"/>
      <c r="J2777" s="61"/>
      <c r="K2777" s="61"/>
      <c r="L2777" s="62"/>
      <c r="M2777" s="63" t="str">
        <f>HYPERLINK("http://nsgreg.nga.mil/genc/view?v=870328&amp;end_month=12&amp;end_day=31&amp;end_year=2016","Correlation")</f>
        <v>Correlation</v>
      </c>
    </row>
    <row r="2778" spans="1:13" x14ac:dyDescent="0.2">
      <c r="A2778" s="113"/>
      <c r="B2778" s="58" t="s">
        <v>12359</v>
      </c>
      <c r="C2778" s="58" t="s">
        <v>1413</v>
      </c>
      <c r="D2778" s="58" t="s">
        <v>12360</v>
      </c>
      <c r="E2778" s="60" t="b">
        <v>1</v>
      </c>
      <c r="F2778" s="61" t="s">
        <v>167</v>
      </c>
      <c r="G2778" s="61"/>
      <c r="H2778" s="61"/>
      <c r="I2778" s="61"/>
      <c r="J2778" s="61"/>
      <c r="K2778" s="61"/>
      <c r="L2778" s="62"/>
      <c r="M2778" s="63" t="str">
        <f>HYPERLINK("http://nsgreg.nga.mil/genc/view?v=870329&amp;end_month=12&amp;end_day=31&amp;end_year=2016","Correlation")</f>
        <v>Correlation</v>
      </c>
    </row>
    <row r="2779" spans="1:13" x14ac:dyDescent="0.2">
      <c r="A2779" s="113"/>
      <c r="B2779" s="58" t="s">
        <v>12361</v>
      </c>
      <c r="C2779" s="58" t="s">
        <v>2925</v>
      </c>
      <c r="D2779" s="58" t="s">
        <v>12362</v>
      </c>
      <c r="E2779" s="60" t="b">
        <v>1</v>
      </c>
      <c r="F2779" s="61" t="s">
        <v>167</v>
      </c>
      <c r="G2779" s="61"/>
      <c r="H2779" s="61"/>
      <c r="I2779" s="61"/>
      <c r="J2779" s="61"/>
      <c r="K2779" s="61"/>
      <c r="L2779" s="62"/>
      <c r="M2779" s="63" t="str">
        <f>HYPERLINK("http://nsgreg.nga.mil/genc/view?v=870308&amp;end_month=12&amp;end_day=31&amp;end_year=2016","Correlation")</f>
        <v>Correlation</v>
      </c>
    </row>
    <row r="2780" spans="1:13" x14ac:dyDescent="0.2">
      <c r="A2780" s="113"/>
      <c r="B2780" s="58" t="s">
        <v>12363</v>
      </c>
      <c r="C2780" s="58" t="s">
        <v>1413</v>
      </c>
      <c r="D2780" s="58" t="s">
        <v>12364</v>
      </c>
      <c r="E2780" s="60" t="b">
        <v>1</v>
      </c>
      <c r="F2780" s="61" t="s">
        <v>167</v>
      </c>
      <c r="G2780" s="61"/>
      <c r="H2780" s="61"/>
      <c r="I2780" s="61"/>
      <c r="J2780" s="61"/>
      <c r="K2780" s="61"/>
      <c r="L2780" s="62"/>
      <c r="M2780" s="63" t="str">
        <f>HYPERLINK("http://nsgreg.nga.mil/genc/view?v=870309&amp;end_month=12&amp;end_day=31&amp;end_year=2016","Correlation")</f>
        <v>Correlation</v>
      </c>
    </row>
    <row r="2781" spans="1:13" x14ac:dyDescent="0.2">
      <c r="A2781" s="113"/>
      <c r="B2781" s="58" t="s">
        <v>12365</v>
      </c>
      <c r="C2781" s="58" t="s">
        <v>1413</v>
      </c>
      <c r="D2781" s="58" t="s">
        <v>12366</v>
      </c>
      <c r="E2781" s="60" t="b">
        <v>1</v>
      </c>
      <c r="F2781" s="61" t="s">
        <v>167</v>
      </c>
      <c r="G2781" s="61"/>
      <c r="H2781" s="61"/>
      <c r="I2781" s="61"/>
      <c r="J2781" s="61"/>
      <c r="K2781" s="61"/>
      <c r="L2781" s="62"/>
      <c r="M2781" s="63" t="str">
        <f>HYPERLINK("http://nsgreg.nga.mil/genc/view?v=870310&amp;end_month=12&amp;end_day=31&amp;end_year=2016","Correlation")</f>
        <v>Correlation</v>
      </c>
    </row>
    <row r="2782" spans="1:13" x14ac:dyDescent="0.2">
      <c r="A2782" s="113"/>
      <c r="B2782" s="58" t="s">
        <v>12367</v>
      </c>
      <c r="C2782" s="58" t="s">
        <v>1413</v>
      </c>
      <c r="D2782" s="58" t="s">
        <v>12368</v>
      </c>
      <c r="E2782" s="60" t="b">
        <v>1</v>
      </c>
      <c r="F2782" s="61" t="s">
        <v>167</v>
      </c>
      <c r="G2782" s="61"/>
      <c r="H2782" s="61"/>
      <c r="I2782" s="61"/>
      <c r="J2782" s="61"/>
      <c r="K2782" s="61"/>
      <c r="L2782" s="62"/>
      <c r="M2782" s="63" t="str">
        <f>HYPERLINK("http://nsgreg.nga.mil/genc/view?v=870311&amp;end_month=12&amp;end_day=31&amp;end_year=2016","Correlation")</f>
        <v>Correlation</v>
      </c>
    </row>
    <row r="2783" spans="1:13" x14ac:dyDescent="0.2">
      <c r="A2783" s="113"/>
      <c r="B2783" s="58" t="s">
        <v>12369</v>
      </c>
      <c r="C2783" s="58" t="s">
        <v>1413</v>
      </c>
      <c r="D2783" s="58" t="s">
        <v>12370</v>
      </c>
      <c r="E2783" s="60" t="b">
        <v>1</v>
      </c>
      <c r="F2783" s="61" t="s">
        <v>167</v>
      </c>
      <c r="G2783" s="61"/>
      <c r="H2783" s="61"/>
      <c r="I2783" s="61"/>
      <c r="J2783" s="61"/>
      <c r="K2783" s="61"/>
      <c r="L2783" s="62"/>
      <c r="M2783" s="63" t="str">
        <f>HYPERLINK("http://nsgreg.nga.mil/genc/view?v=870313&amp;end_month=12&amp;end_day=31&amp;end_year=2016","Correlation")</f>
        <v>Correlation</v>
      </c>
    </row>
    <row r="2784" spans="1:13" x14ac:dyDescent="0.2">
      <c r="A2784" s="113"/>
      <c r="B2784" s="58" t="s">
        <v>12371</v>
      </c>
      <c r="C2784" s="58" t="s">
        <v>1413</v>
      </c>
      <c r="D2784" s="58" t="s">
        <v>12372</v>
      </c>
      <c r="E2784" s="60" t="b">
        <v>1</v>
      </c>
      <c r="F2784" s="61" t="s">
        <v>167</v>
      </c>
      <c r="G2784" s="61"/>
      <c r="H2784" s="61"/>
      <c r="I2784" s="61"/>
      <c r="J2784" s="61"/>
      <c r="K2784" s="61"/>
      <c r="L2784" s="62"/>
      <c r="M2784" s="63" t="str">
        <f>HYPERLINK("http://nsgreg.nga.mil/genc/view?v=870312&amp;end_month=12&amp;end_day=31&amp;end_year=2016","Correlation")</f>
        <v>Correlation</v>
      </c>
    </row>
    <row r="2785" spans="1:13" x14ac:dyDescent="0.2">
      <c r="A2785" s="113"/>
      <c r="B2785" s="58" t="s">
        <v>12373</v>
      </c>
      <c r="C2785" s="58" t="s">
        <v>1413</v>
      </c>
      <c r="D2785" s="58" t="s">
        <v>12374</v>
      </c>
      <c r="E2785" s="60" t="b">
        <v>1</v>
      </c>
      <c r="F2785" s="61" t="s">
        <v>167</v>
      </c>
      <c r="G2785" s="61"/>
      <c r="H2785" s="61"/>
      <c r="I2785" s="61"/>
      <c r="J2785" s="61"/>
      <c r="K2785" s="61"/>
      <c r="L2785" s="62"/>
      <c r="M2785" s="63" t="str">
        <f>HYPERLINK("http://nsgreg.nga.mil/genc/view?v=870314&amp;end_month=12&amp;end_day=31&amp;end_year=2016","Correlation")</f>
        <v>Correlation</v>
      </c>
    </row>
    <row r="2786" spans="1:13" x14ac:dyDescent="0.2">
      <c r="A2786" s="113"/>
      <c r="B2786" s="58" t="s">
        <v>12375</v>
      </c>
      <c r="C2786" s="58" t="s">
        <v>1413</v>
      </c>
      <c r="D2786" s="58" t="s">
        <v>12376</v>
      </c>
      <c r="E2786" s="60" t="b">
        <v>1</v>
      </c>
      <c r="F2786" s="61" t="s">
        <v>167</v>
      </c>
      <c r="G2786" s="61"/>
      <c r="H2786" s="61"/>
      <c r="I2786" s="61"/>
      <c r="J2786" s="61"/>
      <c r="K2786" s="61"/>
      <c r="L2786" s="62"/>
      <c r="M2786" s="63" t="str">
        <f>HYPERLINK("http://nsgreg.nga.mil/genc/view?v=870315&amp;end_month=12&amp;end_day=31&amp;end_year=2016","Correlation")</f>
        <v>Correlation</v>
      </c>
    </row>
    <row r="2787" spans="1:13" x14ac:dyDescent="0.2">
      <c r="A2787" s="113"/>
      <c r="B2787" s="58" t="s">
        <v>12377</v>
      </c>
      <c r="C2787" s="58" t="s">
        <v>2925</v>
      </c>
      <c r="D2787" s="58" t="s">
        <v>12378</v>
      </c>
      <c r="E2787" s="60" t="b">
        <v>1</v>
      </c>
      <c r="F2787" s="61" t="s">
        <v>167</v>
      </c>
      <c r="G2787" s="61"/>
      <c r="H2787" s="61"/>
      <c r="I2787" s="61"/>
      <c r="J2787" s="61"/>
      <c r="K2787" s="61"/>
      <c r="L2787" s="62"/>
      <c r="M2787" s="63" t="str">
        <f>HYPERLINK("http://nsgreg.nga.mil/genc/view?v=870316&amp;end_month=12&amp;end_day=31&amp;end_year=2016","Correlation")</f>
        <v>Correlation</v>
      </c>
    </row>
    <row r="2788" spans="1:13" x14ac:dyDescent="0.2">
      <c r="A2788" s="113"/>
      <c r="B2788" s="58" t="s">
        <v>12379</v>
      </c>
      <c r="C2788" s="58" t="s">
        <v>1728</v>
      </c>
      <c r="D2788" s="58" t="s">
        <v>12380</v>
      </c>
      <c r="E2788" s="60" t="b">
        <v>1</v>
      </c>
      <c r="F2788" s="61" t="s">
        <v>167</v>
      </c>
      <c r="G2788" s="61"/>
      <c r="H2788" s="61"/>
      <c r="I2788" s="61"/>
      <c r="J2788" s="61"/>
      <c r="K2788" s="61"/>
      <c r="L2788" s="62"/>
      <c r="M2788" s="63" t="str">
        <f>HYPERLINK("http://nsgreg.nga.mil/genc/view?v=870299&amp;end_month=12&amp;end_day=31&amp;end_year=2016","Correlation")</f>
        <v>Correlation</v>
      </c>
    </row>
    <row r="2789" spans="1:13" x14ac:dyDescent="0.2">
      <c r="A2789" s="113"/>
      <c r="B2789" s="58" t="s">
        <v>12381</v>
      </c>
      <c r="C2789" s="58" t="s">
        <v>1413</v>
      </c>
      <c r="D2789" s="58" t="s">
        <v>12382</v>
      </c>
      <c r="E2789" s="60" t="b">
        <v>1</v>
      </c>
      <c r="F2789" s="61" t="s">
        <v>167</v>
      </c>
      <c r="G2789" s="61"/>
      <c r="H2789" s="61"/>
      <c r="I2789" s="61"/>
      <c r="J2789" s="61"/>
      <c r="K2789" s="61"/>
      <c r="L2789" s="62"/>
      <c r="M2789" s="63" t="str">
        <f>HYPERLINK("http://nsgreg.nga.mil/genc/view?v=870317&amp;end_month=12&amp;end_day=31&amp;end_year=2016","Correlation")</f>
        <v>Correlation</v>
      </c>
    </row>
    <row r="2790" spans="1:13" x14ac:dyDescent="0.2">
      <c r="A2790" s="113"/>
      <c r="B2790" s="58" t="s">
        <v>12383</v>
      </c>
      <c r="C2790" s="58" t="s">
        <v>1413</v>
      </c>
      <c r="D2790" s="58" t="s">
        <v>12384</v>
      </c>
      <c r="E2790" s="60" t="b">
        <v>1</v>
      </c>
      <c r="F2790" s="61" t="s">
        <v>167</v>
      </c>
      <c r="G2790" s="61"/>
      <c r="H2790" s="61"/>
      <c r="I2790" s="61"/>
      <c r="J2790" s="61"/>
      <c r="K2790" s="61"/>
      <c r="L2790" s="62"/>
      <c r="M2790" s="63" t="str">
        <f>HYPERLINK("http://nsgreg.nga.mil/genc/view?v=870318&amp;end_month=12&amp;end_day=31&amp;end_year=2016","Correlation")</f>
        <v>Correlation</v>
      </c>
    </row>
    <row r="2791" spans="1:13" x14ac:dyDescent="0.2">
      <c r="A2791" s="113"/>
      <c r="B2791" s="58" t="s">
        <v>12385</v>
      </c>
      <c r="C2791" s="58" t="s">
        <v>1413</v>
      </c>
      <c r="D2791" s="58" t="s">
        <v>12386</v>
      </c>
      <c r="E2791" s="60" t="b">
        <v>1</v>
      </c>
      <c r="F2791" s="61" t="s">
        <v>167</v>
      </c>
      <c r="G2791" s="61"/>
      <c r="H2791" s="61"/>
      <c r="I2791" s="61"/>
      <c r="J2791" s="61"/>
      <c r="K2791" s="61"/>
      <c r="L2791" s="62"/>
      <c r="M2791" s="63" t="str">
        <f>HYPERLINK("http://nsgreg.nga.mil/genc/view?v=870319&amp;end_month=12&amp;end_day=31&amp;end_year=2016","Correlation")</f>
        <v>Correlation</v>
      </c>
    </row>
    <row r="2792" spans="1:13" x14ac:dyDescent="0.2">
      <c r="A2792" s="113"/>
      <c r="B2792" s="58" t="s">
        <v>12387</v>
      </c>
      <c r="C2792" s="58" t="s">
        <v>1728</v>
      </c>
      <c r="D2792" s="58" t="s">
        <v>12388</v>
      </c>
      <c r="E2792" s="60" t="b">
        <v>1</v>
      </c>
      <c r="F2792" s="61" t="s">
        <v>167</v>
      </c>
      <c r="G2792" s="61"/>
      <c r="H2792" s="61"/>
      <c r="I2792" s="61"/>
      <c r="J2792" s="61"/>
      <c r="K2792" s="61"/>
      <c r="L2792" s="62"/>
      <c r="M2792" s="63" t="str">
        <f>HYPERLINK("http://nsgreg.nga.mil/genc/view?v=870300&amp;end_month=12&amp;end_day=31&amp;end_year=2016","Correlation")</f>
        <v>Correlation</v>
      </c>
    </row>
    <row r="2793" spans="1:13" x14ac:dyDescent="0.2">
      <c r="A2793" s="113"/>
      <c r="B2793" s="58" t="s">
        <v>12389</v>
      </c>
      <c r="C2793" s="58" t="s">
        <v>1413</v>
      </c>
      <c r="D2793" s="58" t="s">
        <v>12390</v>
      </c>
      <c r="E2793" s="60" t="b">
        <v>1</v>
      </c>
      <c r="F2793" s="61" t="s">
        <v>167</v>
      </c>
      <c r="G2793" s="61"/>
      <c r="H2793" s="61"/>
      <c r="I2793" s="61"/>
      <c r="J2793" s="61"/>
      <c r="K2793" s="61"/>
      <c r="L2793" s="62"/>
      <c r="M2793" s="63" t="str">
        <f>HYPERLINK("http://nsgreg.nga.mil/genc/view?v=870327&amp;end_month=12&amp;end_day=31&amp;end_year=2016","Correlation")</f>
        <v>Correlation</v>
      </c>
    </row>
    <row r="2794" spans="1:13" x14ac:dyDescent="0.2">
      <c r="A2794" s="113"/>
      <c r="B2794" s="58" t="s">
        <v>12391</v>
      </c>
      <c r="C2794" s="58" t="s">
        <v>1413</v>
      </c>
      <c r="D2794" s="58" t="s">
        <v>12392</v>
      </c>
      <c r="E2794" s="60" t="b">
        <v>1</v>
      </c>
      <c r="F2794" s="61" t="s">
        <v>167</v>
      </c>
      <c r="G2794" s="61"/>
      <c r="H2794" s="61"/>
      <c r="I2794" s="61"/>
      <c r="J2794" s="61"/>
      <c r="K2794" s="61"/>
      <c r="L2794" s="62"/>
      <c r="M2794" s="63" t="str">
        <f>HYPERLINK("http://nsgreg.nga.mil/genc/view?v=870332&amp;end_month=12&amp;end_day=31&amp;end_year=2016","Correlation")</f>
        <v>Correlation</v>
      </c>
    </row>
    <row r="2795" spans="1:13" x14ac:dyDescent="0.2">
      <c r="A2795" s="113"/>
      <c r="B2795" s="58" t="s">
        <v>12393</v>
      </c>
      <c r="C2795" s="58" t="s">
        <v>1413</v>
      </c>
      <c r="D2795" s="58" t="s">
        <v>12394</v>
      </c>
      <c r="E2795" s="60" t="b">
        <v>1</v>
      </c>
      <c r="F2795" s="61" t="s">
        <v>167</v>
      </c>
      <c r="G2795" s="61"/>
      <c r="H2795" s="61"/>
      <c r="I2795" s="61"/>
      <c r="J2795" s="61"/>
      <c r="K2795" s="61"/>
      <c r="L2795" s="62"/>
      <c r="M2795" s="63" t="str">
        <f>HYPERLINK("http://nsgreg.nga.mil/genc/view?v=870320&amp;end_month=12&amp;end_day=31&amp;end_year=2016","Correlation")</f>
        <v>Correlation</v>
      </c>
    </row>
    <row r="2796" spans="1:13" x14ac:dyDescent="0.2">
      <c r="A2796" s="113"/>
      <c r="B2796" s="58" t="s">
        <v>12395</v>
      </c>
      <c r="C2796" s="58" t="s">
        <v>1413</v>
      </c>
      <c r="D2796" s="58" t="s">
        <v>12396</v>
      </c>
      <c r="E2796" s="60" t="b">
        <v>1</v>
      </c>
      <c r="F2796" s="61" t="s">
        <v>167</v>
      </c>
      <c r="G2796" s="61"/>
      <c r="H2796" s="61"/>
      <c r="I2796" s="61"/>
      <c r="J2796" s="61"/>
      <c r="K2796" s="61"/>
      <c r="L2796" s="62"/>
      <c r="M2796" s="63" t="str">
        <f>HYPERLINK("http://nsgreg.nga.mil/genc/view?v=870321&amp;end_month=12&amp;end_day=31&amp;end_year=2016","Correlation")</f>
        <v>Correlation</v>
      </c>
    </row>
    <row r="2797" spans="1:13" x14ac:dyDescent="0.2">
      <c r="A2797" s="113"/>
      <c r="B2797" s="58" t="s">
        <v>12397</v>
      </c>
      <c r="C2797" s="58" t="s">
        <v>1413</v>
      </c>
      <c r="D2797" s="58" t="s">
        <v>12398</v>
      </c>
      <c r="E2797" s="60" t="b">
        <v>1</v>
      </c>
      <c r="F2797" s="61" t="s">
        <v>167</v>
      </c>
      <c r="G2797" s="61"/>
      <c r="H2797" s="61"/>
      <c r="I2797" s="61"/>
      <c r="J2797" s="61"/>
      <c r="K2797" s="61"/>
      <c r="L2797" s="62"/>
      <c r="M2797" s="63" t="str">
        <f>HYPERLINK("http://nsgreg.nga.mil/genc/view?v=870322&amp;end_month=12&amp;end_day=31&amp;end_year=2016","Correlation")</f>
        <v>Correlation</v>
      </c>
    </row>
    <row r="2798" spans="1:13" x14ac:dyDescent="0.2">
      <c r="A2798" s="113"/>
      <c r="B2798" s="58" t="s">
        <v>12399</v>
      </c>
      <c r="C2798" s="58" t="s">
        <v>2925</v>
      </c>
      <c r="D2798" s="58" t="s">
        <v>12400</v>
      </c>
      <c r="E2798" s="60" t="b">
        <v>1</v>
      </c>
      <c r="F2798" s="61" t="s">
        <v>167</v>
      </c>
      <c r="G2798" s="61"/>
      <c r="H2798" s="61"/>
      <c r="I2798" s="61"/>
      <c r="J2798" s="61"/>
      <c r="K2798" s="61"/>
      <c r="L2798" s="62"/>
      <c r="M2798" s="63" t="str">
        <f>HYPERLINK("http://nsgreg.nga.mil/genc/view?v=870323&amp;end_month=12&amp;end_day=31&amp;end_year=2016","Correlation")</f>
        <v>Correlation</v>
      </c>
    </row>
    <row r="2799" spans="1:13" x14ac:dyDescent="0.2">
      <c r="A2799" s="113"/>
      <c r="B2799" s="58" t="s">
        <v>12401</v>
      </c>
      <c r="C2799" s="58" t="s">
        <v>1728</v>
      </c>
      <c r="D2799" s="58" t="s">
        <v>12402</v>
      </c>
      <c r="E2799" s="60" t="b">
        <v>1</v>
      </c>
      <c r="F2799" s="61" t="s">
        <v>167</v>
      </c>
      <c r="G2799" s="61"/>
      <c r="H2799" s="61"/>
      <c r="I2799" s="61"/>
      <c r="J2799" s="61"/>
      <c r="K2799" s="61"/>
      <c r="L2799" s="62"/>
      <c r="M2799" s="63" t="str">
        <f>HYPERLINK("http://nsgreg.nga.mil/genc/view?v=870295&amp;end_month=12&amp;end_day=31&amp;end_year=2016","Correlation")</f>
        <v>Correlation</v>
      </c>
    </row>
    <row r="2800" spans="1:13" x14ac:dyDescent="0.2">
      <c r="A2800" s="113"/>
      <c r="B2800" s="58" t="s">
        <v>12403</v>
      </c>
      <c r="C2800" s="58" t="s">
        <v>2925</v>
      </c>
      <c r="D2800" s="58" t="s">
        <v>12404</v>
      </c>
      <c r="E2800" s="60" t="b">
        <v>1</v>
      </c>
      <c r="F2800" s="61" t="s">
        <v>167</v>
      </c>
      <c r="G2800" s="61"/>
      <c r="H2800" s="61"/>
      <c r="I2800" s="61"/>
      <c r="J2800" s="61"/>
      <c r="K2800" s="61"/>
      <c r="L2800" s="62"/>
      <c r="M2800" s="63" t="str">
        <f>HYPERLINK("http://nsgreg.nga.mil/genc/view?v=870324&amp;end_month=12&amp;end_day=31&amp;end_year=2016","Correlation")</f>
        <v>Correlation</v>
      </c>
    </row>
    <row r="2801" spans="1:13" x14ac:dyDescent="0.2">
      <c r="A2801" s="113"/>
      <c r="B2801" s="58" t="s">
        <v>12405</v>
      </c>
      <c r="C2801" s="58" t="s">
        <v>1413</v>
      </c>
      <c r="D2801" s="58" t="s">
        <v>12406</v>
      </c>
      <c r="E2801" s="60" t="b">
        <v>1</v>
      </c>
      <c r="F2801" s="61" t="s">
        <v>167</v>
      </c>
      <c r="G2801" s="61"/>
      <c r="H2801" s="61"/>
      <c r="I2801" s="61"/>
      <c r="J2801" s="61"/>
      <c r="K2801" s="61"/>
      <c r="L2801" s="62"/>
      <c r="M2801" s="63" t="str">
        <f>HYPERLINK("http://nsgreg.nga.mil/genc/view?v=870325&amp;end_month=12&amp;end_day=31&amp;end_year=2016","Correlation")</f>
        <v>Correlation</v>
      </c>
    </row>
    <row r="2802" spans="1:13" x14ac:dyDescent="0.2">
      <c r="A2802" s="113"/>
      <c r="B2802" s="58" t="s">
        <v>12407</v>
      </c>
      <c r="C2802" s="58" t="s">
        <v>1728</v>
      </c>
      <c r="D2802" s="58" t="s">
        <v>12408</v>
      </c>
      <c r="E2802" s="60" t="b">
        <v>1</v>
      </c>
      <c r="F2802" s="61" t="s">
        <v>167</v>
      </c>
      <c r="G2802" s="61"/>
      <c r="H2802" s="61"/>
      <c r="I2802" s="61"/>
      <c r="J2802" s="61"/>
      <c r="K2802" s="61"/>
      <c r="L2802" s="62"/>
      <c r="M2802" s="63" t="str">
        <f>HYPERLINK("http://nsgreg.nga.mil/genc/view?v=870292&amp;end_month=12&amp;end_day=31&amp;end_year=2016","Correlation")</f>
        <v>Correlation</v>
      </c>
    </row>
    <row r="2803" spans="1:13" x14ac:dyDescent="0.2">
      <c r="A2803" s="113"/>
      <c r="B2803" s="58" t="s">
        <v>12409</v>
      </c>
      <c r="C2803" s="58" t="s">
        <v>1728</v>
      </c>
      <c r="D2803" s="58" t="s">
        <v>12410</v>
      </c>
      <c r="E2803" s="60" t="b">
        <v>1</v>
      </c>
      <c r="F2803" s="61" t="s">
        <v>167</v>
      </c>
      <c r="G2803" s="61"/>
      <c r="H2803" s="61"/>
      <c r="I2803" s="61"/>
      <c r="J2803" s="61"/>
      <c r="K2803" s="61"/>
      <c r="L2803" s="62"/>
      <c r="M2803" s="63" t="str">
        <f>HYPERLINK("http://nsgreg.nga.mil/genc/view?v=870298&amp;end_month=12&amp;end_day=31&amp;end_year=2016","Correlation")</f>
        <v>Correlation</v>
      </c>
    </row>
    <row r="2804" spans="1:13" x14ac:dyDescent="0.2">
      <c r="A2804" s="113"/>
      <c r="B2804" s="58" t="s">
        <v>12411</v>
      </c>
      <c r="C2804" s="58" t="s">
        <v>1413</v>
      </c>
      <c r="D2804" s="58" t="s">
        <v>12412</v>
      </c>
      <c r="E2804" s="60" t="b">
        <v>1</v>
      </c>
      <c r="F2804" s="61" t="s">
        <v>167</v>
      </c>
      <c r="G2804" s="61"/>
      <c r="H2804" s="61"/>
      <c r="I2804" s="61"/>
      <c r="J2804" s="61"/>
      <c r="K2804" s="61"/>
      <c r="L2804" s="62"/>
      <c r="M2804" s="63" t="str">
        <f>HYPERLINK("http://nsgreg.nga.mil/genc/view?v=870326&amp;end_month=12&amp;end_day=31&amp;end_year=2016","Correlation")</f>
        <v>Correlation</v>
      </c>
    </row>
    <row r="2805" spans="1:13" x14ac:dyDescent="0.2">
      <c r="A2805" s="113"/>
      <c r="B2805" s="58" t="s">
        <v>12413</v>
      </c>
      <c r="C2805" s="58" t="s">
        <v>1728</v>
      </c>
      <c r="D2805" s="58" t="s">
        <v>12414</v>
      </c>
      <c r="E2805" s="60" t="b">
        <v>1</v>
      </c>
      <c r="F2805" s="61" t="s">
        <v>167</v>
      </c>
      <c r="G2805" s="61"/>
      <c r="H2805" s="61"/>
      <c r="I2805" s="61"/>
      <c r="J2805" s="61"/>
      <c r="K2805" s="61"/>
      <c r="L2805" s="62"/>
      <c r="M2805" s="63" t="str">
        <f>HYPERLINK("http://nsgreg.nga.mil/genc/view?v=870304&amp;end_month=12&amp;end_day=31&amp;end_year=2016","Correlation")</f>
        <v>Correlation</v>
      </c>
    </row>
    <row r="2806" spans="1:13" x14ac:dyDescent="0.2">
      <c r="A2806" s="113"/>
      <c r="B2806" s="58" t="s">
        <v>12415</v>
      </c>
      <c r="C2806" s="58" t="s">
        <v>1413</v>
      </c>
      <c r="D2806" s="58" t="s">
        <v>12416</v>
      </c>
      <c r="E2806" s="60" t="b">
        <v>1</v>
      </c>
      <c r="F2806" s="61" t="s">
        <v>167</v>
      </c>
      <c r="G2806" s="61"/>
      <c r="H2806" s="61"/>
      <c r="I2806" s="61"/>
      <c r="J2806" s="61"/>
      <c r="K2806" s="61"/>
      <c r="L2806" s="62"/>
      <c r="M2806" s="63" t="str">
        <f>HYPERLINK("http://nsgreg.nga.mil/genc/view?v=870330&amp;end_month=12&amp;end_day=31&amp;end_year=2016","Correlation")</f>
        <v>Correlation</v>
      </c>
    </row>
    <row r="2807" spans="1:13" x14ac:dyDescent="0.2">
      <c r="A2807" s="113"/>
      <c r="B2807" s="58" t="s">
        <v>12417</v>
      </c>
      <c r="C2807" s="58" t="s">
        <v>2925</v>
      </c>
      <c r="D2807" s="58" t="s">
        <v>12418</v>
      </c>
      <c r="E2807" s="60" t="b">
        <v>1</v>
      </c>
      <c r="F2807" s="61" t="s">
        <v>167</v>
      </c>
      <c r="G2807" s="61"/>
      <c r="H2807" s="61"/>
      <c r="I2807" s="61"/>
      <c r="J2807" s="61"/>
      <c r="K2807" s="61"/>
      <c r="L2807" s="62"/>
      <c r="M2807" s="63" t="str">
        <f>HYPERLINK("http://nsgreg.nga.mil/genc/view?v=870331&amp;end_month=12&amp;end_day=31&amp;end_year=2016","Correlation")</f>
        <v>Correlation</v>
      </c>
    </row>
    <row r="2808" spans="1:13" x14ac:dyDescent="0.2">
      <c r="A2808" s="113"/>
      <c r="B2808" s="58" t="s">
        <v>12419</v>
      </c>
      <c r="C2808" s="58" t="s">
        <v>1413</v>
      </c>
      <c r="D2808" s="58" t="s">
        <v>12420</v>
      </c>
      <c r="E2808" s="60" t="b">
        <v>1</v>
      </c>
      <c r="F2808" s="61" t="s">
        <v>167</v>
      </c>
      <c r="G2808" s="61"/>
      <c r="H2808" s="61"/>
      <c r="I2808" s="61"/>
      <c r="J2808" s="61"/>
      <c r="K2808" s="61"/>
      <c r="L2808" s="62"/>
      <c r="M2808" s="63" t="str">
        <f>HYPERLINK("http://nsgreg.nga.mil/genc/view?v=870333&amp;end_month=12&amp;end_day=31&amp;end_year=2016","Correlation")</f>
        <v>Correlation</v>
      </c>
    </row>
    <row r="2809" spans="1:13" x14ac:dyDescent="0.2">
      <c r="A2809" s="113"/>
      <c r="B2809" s="58" t="s">
        <v>12421</v>
      </c>
      <c r="C2809" s="58" t="s">
        <v>1413</v>
      </c>
      <c r="D2809" s="58" t="s">
        <v>12422</v>
      </c>
      <c r="E2809" s="60" t="b">
        <v>1</v>
      </c>
      <c r="F2809" s="61" t="s">
        <v>167</v>
      </c>
      <c r="G2809" s="61"/>
      <c r="H2809" s="61"/>
      <c r="I2809" s="61"/>
      <c r="J2809" s="61"/>
      <c r="K2809" s="61"/>
      <c r="L2809" s="62"/>
      <c r="M2809" s="63" t="str">
        <f>HYPERLINK("http://nsgreg.nga.mil/genc/view?v=870335&amp;end_month=12&amp;end_day=31&amp;end_year=2016","Correlation")</f>
        <v>Correlation</v>
      </c>
    </row>
    <row r="2810" spans="1:13" x14ac:dyDescent="0.2">
      <c r="A2810" s="113"/>
      <c r="B2810" s="58" t="s">
        <v>12423</v>
      </c>
      <c r="C2810" s="58" t="s">
        <v>1413</v>
      </c>
      <c r="D2810" s="58" t="s">
        <v>12424</v>
      </c>
      <c r="E2810" s="60" t="b">
        <v>1</v>
      </c>
      <c r="F2810" s="61" t="s">
        <v>167</v>
      </c>
      <c r="G2810" s="61"/>
      <c r="H2810" s="61"/>
      <c r="I2810" s="61"/>
      <c r="J2810" s="61"/>
      <c r="K2810" s="61"/>
      <c r="L2810" s="62"/>
      <c r="M2810" s="63" t="str">
        <f>HYPERLINK("http://nsgreg.nga.mil/genc/view?v=870334&amp;end_month=12&amp;end_day=31&amp;end_year=2016","Correlation")</f>
        <v>Correlation</v>
      </c>
    </row>
    <row r="2811" spans="1:13" x14ac:dyDescent="0.2">
      <c r="A2811" s="113"/>
      <c r="B2811" s="58" t="s">
        <v>12425</v>
      </c>
      <c r="C2811" s="58" t="s">
        <v>1413</v>
      </c>
      <c r="D2811" s="58" t="s">
        <v>12426</v>
      </c>
      <c r="E2811" s="60" t="b">
        <v>1</v>
      </c>
      <c r="F2811" s="61" t="s">
        <v>167</v>
      </c>
      <c r="G2811" s="61"/>
      <c r="H2811" s="61"/>
      <c r="I2811" s="61"/>
      <c r="J2811" s="61"/>
      <c r="K2811" s="61"/>
      <c r="L2811" s="62"/>
      <c r="M2811" s="63" t="str">
        <f>HYPERLINK("http://nsgreg.nga.mil/genc/view?v=870336&amp;end_month=12&amp;end_day=31&amp;end_year=2016","Correlation")</f>
        <v>Correlation</v>
      </c>
    </row>
    <row r="2812" spans="1:13" x14ac:dyDescent="0.2">
      <c r="A2812" s="113"/>
      <c r="B2812" s="58" t="s">
        <v>12427</v>
      </c>
      <c r="C2812" s="58" t="s">
        <v>1413</v>
      </c>
      <c r="D2812" s="58" t="s">
        <v>12428</v>
      </c>
      <c r="E2812" s="60" t="b">
        <v>1</v>
      </c>
      <c r="F2812" s="61" t="s">
        <v>167</v>
      </c>
      <c r="G2812" s="61"/>
      <c r="H2812" s="61"/>
      <c r="I2812" s="61"/>
      <c r="J2812" s="61"/>
      <c r="K2812" s="61"/>
      <c r="L2812" s="62"/>
      <c r="M2812" s="63" t="str">
        <f>HYPERLINK("http://nsgreg.nga.mil/genc/view?v=870337&amp;end_month=12&amp;end_day=31&amp;end_year=2016","Correlation")</f>
        <v>Correlation</v>
      </c>
    </row>
    <row r="2813" spans="1:13" x14ac:dyDescent="0.2">
      <c r="A2813" s="113"/>
      <c r="B2813" s="58" t="s">
        <v>12429</v>
      </c>
      <c r="C2813" s="58" t="s">
        <v>1413</v>
      </c>
      <c r="D2813" s="58" t="s">
        <v>12430</v>
      </c>
      <c r="E2813" s="60" t="b">
        <v>1</v>
      </c>
      <c r="F2813" s="61" t="s">
        <v>167</v>
      </c>
      <c r="G2813" s="61"/>
      <c r="H2813" s="61"/>
      <c r="I2813" s="61"/>
      <c r="J2813" s="61"/>
      <c r="K2813" s="61"/>
      <c r="L2813" s="62"/>
      <c r="M2813" s="63" t="str">
        <f>HYPERLINK("http://nsgreg.nga.mil/genc/view?v=870338&amp;end_month=12&amp;end_day=31&amp;end_year=2016","Correlation")</f>
        <v>Correlation</v>
      </c>
    </row>
    <row r="2814" spans="1:13" x14ac:dyDescent="0.2">
      <c r="A2814" s="113"/>
      <c r="B2814" s="58" t="s">
        <v>12431</v>
      </c>
      <c r="C2814" s="58" t="s">
        <v>1413</v>
      </c>
      <c r="D2814" s="58" t="s">
        <v>12432</v>
      </c>
      <c r="E2814" s="60" t="b">
        <v>1</v>
      </c>
      <c r="F2814" s="61" t="s">
        <v>167</v>
      </c>
      <c r="G2814" s="61"/>
      <c r="H2814" s="61"/>
      <c r="I2814" s="61"/>
      <c r="J2814" s="61"/>
      <c r="K2814" s="61"/>
      <c r="L2814" s="62"/>
      <c r="M2814" s="63" t="str">
        <f>HYPERLINK("http://nsgreg.nga.mil/genc/view?v=870339&amp;end_month=12&amp;end_day=31&amp;end_year=2016","Correlation")</f>
        <v>Correlation</v>
      </c>
    </row>
    <row r="2815" spans="1:13" x14ac:dyDescent="0.2">
      <c r="A2815" s="113"/>
      <c r="B2815" s="58" t="s">
        <v>12433</v>
      </c>
      <c r="C2815" s="58" t="s">
        <v>1728</v>
      </c>
      <c r="D2815" s="58" t="s">
        <v>12434</v>
      </c>
      <c r="E2815" s="60" t="b">
        <v>1</v>
      </c>
      <c r="F2815" s="61" t="s">
        <v>167</v>
      </c>
      <c r="G2815" s="61"/>
      <c r="H2815" s="61"/>
      <c r="I2815" s="61"/>
      <c r="J2815" s="61"/>
      <c r="K2815" s="61"/>
      <c r="L2815" s="62"/>
      <c r="M2815" s="63" t="str">
        <f>HYPERLINK("http://nsgreg.nga.mil/genc/view?v=870305&amp;end_month=12&amp;end_day=31&amp;end_year=2016","Correlation")</f>
        <v>Correlation</v>
      </c>
    </row>
    <row r="2816" spans="1:13" x14ac:dyDescent="0.2">
      <c r="A2816" s="113"/>
      <c r="B2816" s="58" t="s">
        <v>12435</v>
      </c>
      <c r="C2816" s="58" t="s">
        <v>1413</v>
      </c>
      <c r="D2816" s="58" t="s">
        <v>12436</v>
      </c>
      <c r="E2816" s="60" t="b">
        <v>1</v>
      </c>
      <c r="F2816" s="61" t="s">
        <v>167</v>
      </c>
      <c r="G2816" s="61"/>
      <c r="H2816" s="61"/>
      <c r="I2816" s="61"/>
      <c r="J2816" s="61"/>
      <c r="K2816" s="61"/>
      <c r="L2816" s="62"/>
      <c r="M2816" s="63" t="str">
        <f>HYPERLINK("http://nsgreg.nga.mil/genc/view?v=870340&amp;end_month=12&amp;end_day=31&amp;end_year=2016","Correlation")</f>
        <v>Correlation</v>
      </c>
    </row>
    <row r="2817" spans="1:13" x14ac:dyDescent="0.2">
      <c r="A2817" s="113"/>
      <c r="B2817" s="58" t="s">
        <v>12437</v>
      </c>
      <c r="C2817" s="58" t="s">
        <v>1728</v>
      </c>
      <c r="D2817" s="58" t="s">
        <v>12438</v>
      </c>
      <c r="E2817" s="60" t="b">
        <v>1</v>
      </c>
      <c r="F2817" s="61" t="s">
        <v>167</v>
      </c>
      <c r="G2817" s="61"/>
      <c r="H2817" s="61"/>
      <c r="I2817" s="61"/>
      <c r="J2817" s="61"/>
      <c r="K2817" s="61"/>
      <c r="L2817" s="62"/>
      <c r="M2817" s="63" t="str">
        <f>HYPERLINK("http://nsgreg.nga.mil/genc/view?v=870294&amp;end_month=12&amp;end_day=31&amp;end_year=2016","Correlation")</f>
        <v>Correlation</v>
      </c>
    </row>
    <row r="2818" spans="1:13" x14ac:dyDescent="0.2">
      <c r="A2818" s="113"/>
      <c r="B2818" s="58" t="s">
        <v>12439</v>
      </c>
      <c r="C2818" s="58" t="s">
        <v>2925</v>
      </c>
      <c r="D2818" s="58" t="s">
        <v>12440</v>
      </c>
      <c r="E2818" s="60" t="b">
        <v>1</v>
      </c>
      <c r="F2818" s="61" t="s">
        <v>167</v>
      </c>
      <c r="G2818" s="61"/>
      <c r="H2818" s="61"/>
      <c r="I2818" s="61"/>
      <c r="J2818" s="61"/>
      <c r="K2818" s="61"/>
      <c r="L2818" s="62"/>
      <c r="M2818" s="63" t="str">
        <f>HYPERLINK("http://nsgreg.nga.mil/genc/view?v=870343&amp;end_month=12&amp;end_day=31&amp;end_year=2016","Correlation")</f>
        <v>Correlation</v>
      </c>
    </row>
    <row r="2819" spans="1:13" x14ac:dyDescent="0.2">
      <c r="A2819" s="113"/>
      <c r="B2819" s="58" t="s">
        <v>12441</v>
      </c>
      <c r="C2819" s="58" t="s">
        <v>2925</v>
      </c>
      <c r="D2819" s="58" t="s">
        <v>12442</v>
      </c>
      <c r="E2819" s="60" t="b">
        <v>1</v>
      </c>
      <c r="F2819" s="61" t="s">
        <v>167</v>
      </c>
      <c r="G2819" s="61"/>
      <c r="H2819" s="61"/>
      <c r="I2819" s="61"/>
      <c r="J2819" s="61"/>
      <c r="K2819" s="61"/>
      <c r="L2819" s="62"/>
      <c r="M2819" s="63" t="str">
        <f>HYPERLINK("http://nsgreg.nga.mil/genc/view?v=870344&amp;end_month=12&amp;end_day=31&amp;end_year=2016","Correlation")</f>
        <v>Correlation</v>
      </c>
    </row>
    <row r="2820" spans="1:13" x14ac:dyDescent="0.2">
      <c r="A2820" s="113"/>
      <c r="B2820" s="58" t="s">
        <v>12443</v>
      </c>
      <c r="C2820" s="58" t="s">
        <v>1728</v>
      </c>
      <c r="D2820" s="58" t="s">
        <v>12444</v>
      </c>
      <c r="E2820" s="60" t="b">
        <v>1</v>
      </c>
      <c r="F2820" s="61" t="s">
        <v>167</v>
      </c>
      <c r="G2820" s="61"/>
      <c r="H2820" s="61"/>
      <c r="I2820" s="61"/>
      <c r="J2820" s="61"/>
      <c r="K2820" s="61"/>
      <c r="L2820" s="62"/>
      <c r="M2820" s="63" t="str">
        <f>HYPERLINK("http://nsgreg.nga.mil/genc/view?v=870301&amp;end_month=12&amp;end_day=31&amp;end_year=2016","Correlation")</f>
        <v>Correlation</v>
      </c>
    </row>
    <row r="2821" spans="1:13" x14ac:dyDescent="0.2">
      <c r="A2821" s="113"/>
      <c r="B2821" s="58" t="s">
        <v>12445</v>
      </c>
      <c r="C2821" s="58" t="s">
        <v>1413</v>
      </c>
      <c r="D2821" s="58" t="s">
        <v>12446</v>
      </c>
      <c r="E2821" s="60" t="b">
        <v>1</v>
      </c>
      <c r="F2821" s="61" t="s">
        <v>167</v>
      </c>
      <c r="G2821" s="61"/>
      <c r="H2821" s="61"/>
      <c r="I2821" s="61"/>
      <c r="J2821" s="61"/>
      <c r="K2821" s="61"/>
      <c r="L2821" s="62"/>
      <c r="M2821" s="63" t="str">
        <f>HYPERLINK("http://nsgreg.nga.mil/genc/view?v=870341&amp;end_month=12&amp;end_day=31&amp;end_year=2016","Correlation")</f>
        <v>Correlation</v>
      </c>
    </row>
    <row r="2822" spans="1:13" x14ac:dyDescent="0.2">
      <c r="A2822" s="113"/>
      <c r="B2822" s="58" t="s">
        <v>12447</v>
      </c>
      <c r="C2822" s="58" t="s">
        <v>2925</v>
      </c>
      <c r="D2822" s="58" t="s">
        <v>12448</v>
      </c>
      <c r="E2822" s="60" t="b">
        <v>1</v>
      </c>
      <c r="F2822" s="61" t="s">
        <v>167</v>
      </c>
      <c r="G2822" s="61"/>
      <c r="H2822" s="61"/>
      <c r="I2822" s="61"/>
      <c r="J2822" s="61"/>
      <c r="K2822" s="61"/>
      <c r="L2822" s="62"/>
      <c r="M2822" s="63" t="str">
        <f>HYPERLINK("http://nsgreg.nga.mil/genc/view?v=870342&amp;end_month=12&amp;end_day=31&amp;end_year=2016","Correlation")</f>
        <v>Correlation</v>
      </c>
    </row>
    <row r="2823" spans="1:13" x14ac:dyDescent="0.2">
      <c r="A2823" s="113"/>
      <c r="B2823" s="58" t="s">
        <v>12449</v>
      </c>
      <c r="C2823" s="58" t="s">
        <v>1728</v>
      </c>
      <c r="D2823" s="58" t="s">
        <v>12450</v>
      </c>
      <c r="E2823" s="60" t="b">
        <v>1</v>
      </c>
      <c r="F2823" s="61" t="s">
        <v>167</v>
      </c>
      <c r="G2823" s="61"/>
      <c r="H2823" s="61"/>
      <c r="I2823" s="61"/>
      <c r="J2823" s="61"/>
      <c r="K2823" s="61"/>
      <c r="L2823" s="62"/>
      <c r="M2823" s="63" t="str">
        <f>HYPERLINK("http://nsgreg.nga.mil/genc/view?v=870296&amp;end_month=12&amp;end_day=31&amp;end_year=2016","Correlation")</f>
        <v>Correlation</v>
      </c>
    </row>
    <row r="2824" spans="1:13" x14ac:dyDescent="0.2">
      <c r="A2824" s="113"/>
      <c r="B2824" s="58" t="s">
        <v>12451</v>
      </c>
      <c r="C2824" s="58" t="s">
        <v>2925</v>
      </c>
      <c r="D2824" s="58" t="s">
        <v>12452</v>
      </c>
      <c r="E2824" s="60" t="b">
        <v>1</v>
      </c>
      <c r="F2824" s="61" t="s">
        <v>167</v>
      </c>
      <c r="G2824" s="61"/>
      <c r="H2824" s="61"/>
      <c r="I2824" s="61"/>
      <c r="J2824" s="61"/>
      <c r="K2824" s="61"/>
      <c r="L2824" s="62"/>
      <c r="M2824" s="63" t="str">
        <f>HYPERLINK("http://nsgreg.nga.mil/genc/view?v=870345&amp;end_month=12&amp;end_day=31&amp;end_year=2016","Correlation")</f>
        <v>Correlation</v>
      </c>
    </row>
    <row r="2825" spans="1:13" x14ac:dyDescent="0.2">
      <c r="A2825" s="113"/>
      <c r="B2825" s="58" t="s">
        <v>12453</v>
      </c>
      <c r="C2825" s="58" t="s">
        <v>1413</v>
      </c>
      <c r="D2825" s="58" t="s">
        <v>12454</v>
      </c>
      <c r="E2825" s="60" t="b">
        <v>1</v>
      </c>
      <c r="F2825" s="61" t="s">
        <v>167</v>
      </c>
      <c r="G2825" s="61"/>
      <c r="H2825" s="61"/>
      <c r="I2825" s="61"/>
      <c r="J2825" s="61"/>
      <c r="K2825" s="61"/>
      <c r="L2825" s="62"/>
      <c r="M2825" s="63" t="str">
        <f>HYPERLINK("http://nsgreg.nga.mil/genc/view?v=870346&amp;end_month=12&amp;end_day=31&amp;end_year=2016","Correlation")</f>
        <v>Correlation</v>
      </c>
    </row>
    <row r="2826" spans="1:13" x14ac:dyDescent="0.2">
      <c r="A2826" s="113"/>
      <c r="B2826" s="58" t="s">
        <v>12455</v>
      </c>
      <c r="C2826" s="58" t="s">
        <v>1413</v>
      </c>
      <c r="D2826" s="58" t="s">
        <v>12456</v>
      </c>
      <c r="E2826" s="60" t="b">
        <v>1</v>
      </c>
      <c r="F2826" s="61" t="s">
        <v>167</v>
      </c>
      <c r="G2826" s="61"/>
      <c r="H2826" s="61"/>
      <c r="I2826" s="61"/>
      <c r="J2826" s="61"/>
      <c r="K2826" s="61"/>
      <c r="L2826" s="62"/>
      <c r="M2826" s="63" t="str">
        <f>HYPERLINK("http://nsgreg.nga.mil/genc/view?v=870347&amp;end_month=12&amp;end_day=31&amp;end_year=2016","Correlation")</f>
        <v>Correlation</v>
      </c>
    </row>
    <row r="2827" spans="1:13" x14ac:dyDescent="0.2">
      <c r="A2827" s="113"/>
      <c r="B2827" s="58" t="s">
        <v>12457</v>
      </c>
      <c r="C2827" s="58" t="s">
        <v>1413</v>
      </c>
      <c r="D2827" s="58" t="s">
        <v>12458</v>
      </c>
      <c r="E2827" s="60" t="b">
        <v>1</v>
      </c>
      <c r="F2827" s="61" t="s">
        <v>167</v>
      </c>
      <c r="G2827" s="61"/>
      <c r="H2827" s="61"/>
      <c r="I2827" s="61"/>
      <c r="J2827" s="61"/>
      <c r="K2827" s="61"/>
      <c r="L2827" s="62"/>
      <c r="M2827" s="63" t="str">
        <f>HYPERLINK("http://nsgreg.nga.mil/genc/view?v=870348&amp;end_month=12&amp;end_day=31&amp;end_year=2016","Correlation")</f>
        <v>Correlation</v>
      </c>
    </row>
    <row r="2828" spans="1:13" x14ac:dyDescent="0.2">
      <c r="A2828" s="113"/>
      <c r="B2828" s="58" t="s">
        <v>12459</v>
      </c>
      <c r="C2828" s="58" t="s">
        <v>1413</v>
      </c>
      <c r="D2828" s="58" t="s">
        <v>12460</v>
      </c>
      <c r="E2828" s="60" t="b">
        <v>1</v>
      </c>
      <c r="F2828" s="61" t="s">
        <v>167</v>
      </c>
      <c r="G2828" s="61"/>
      <c r="H2828" s="61"/>
      <c r="I2828" s="61"/>
      <c r="J2828" s="61"/>
      <c r="K2828" s="61"/>
      <c r="L2828" s="62"/>
      <c r="M2828" s="63" t="str">
        <f>HYPERLINK("http://nsgreg.nga.mil/genc/view?v=870349&amp;end_month=12&amp;end_day=31&amp;end_year=2016","Correlation")</f>
        <v>Correlation</v>
      </c>
    </row>
    <row r="2829" spans="1:13" x14ac:dyDescent="0.2">
      <c r="A2829" s="113"/>
      <c r="B2829" s="58" t="s">
        <v>12461</v>
      </c>
      <c r="C2829" s="58" t="s">
        <v>1413</v>
      </c>
      <c r="D2829" s="58" t="s">
        <v>12462</v>
      </c>
      <c r="E2829" s="60" t="b">
        <v>1</v>
      </c>
      <c r="F2829" s="61" t="s">
        <v>167</v>
      </c>
      <c r="G2829" s="61"/>
      <c r="H2829" s="61"/>
      <c r="I2829" s="61"/>
      <c r="J2829" s="61"/>
      <c r="K2829" s="61"/>
      <c r="L2829" s="62"/>
      <c r="M2829" s="63" t="str">
        <f>HYPERLINK("http://nsgreg.nga.mil/genc/view?v=870350&amp;end_month=12&amp;end_day=31&amp;end_year=2016","Correlation")</f>
        <v>Correlation</v>
      </c>
    </row>
    <row r="2830" spans="1:13" x14ac:dyDescent="0.2">
      <c r="A2830" s="113"/>
      <c r="B2830" s="58" t="s">
        <v>12463</v>
      </c>
      <c r="C2830" s="58" t="s">
        <v>1728</v>
      </c>
      <c r="D2830" s="58" t="s">
        <v>12464</v>
      </c>
      <c r="E2830" s="60" t="b">
        <v>1</v>
      </c>
      <c r="F2830" s="61" t="s">
        <v>167</v>
      </c>
      <c r="G2830" s="61"/>
      <c r="H2830" s="61"/>
      <c r="I2830" s="61"/>
      <c r="J2830" s="61"/>
      <c r="K2830" s="61"/>
      <c r="L2830" s="62"/>
      <c r="M2830" s="63" t="str">
        <f>HYPERLINK("http://nsgreg.nga.mil/genc/view?v=870306&amp;end_month=12&amp;end_day=31&amp;end_year=2016","Correlation")</f>
        <v>Correlation</v>
      </c>
    </row>
    <row r="2831" spans="1:13" x14ac:dyDescent="0.2">
      <c r="A2831" s="113"/>
      <c r="B2831" s="58" t="s">
        <v>12465</v>
      </c>
      <c r="C2831" s="58" t="s">
        <v>2925</v>
      </c>
      <c r="D2831" s="58" t="s">
        <v>12466</v>
      </c>
      <c r="E2831" s="60" t="b">
        <v>1</v>
      </c>
      <c r="F2831" s="61" t="s">
        <v>167</v>
      </c>
      <c r="G2831" s="61"/>
      <c r="H2831" s="61"/>
      <c r="I2831" s="61"/>
      <c r="J2831" s="61"/>
      <c r="K2831" s="61"/>
      <c r="L2831" s="62"/>
      <c r="M2831" s="63" t="str">
        <f>HYPERLINK("http://nsgreg.nga.mil/genc/view?v=870351&amp;end_month=12&amp;end_day=31&amp;end_year=2016","Correlation")</f>
        <v>Correlation</v>
      </c>
    </row>
    <row r="2832" spans="1:13" x14ac:dyDescent="0.2">
      <c r="A2832" s="113"/>
      <c r="B2832" s="58" t="s">
        <v>7131</v>
      </c>
      <c r="C2832" s="58" t="s">
        <v>2925</v>
      </c>
      <c r="D2832" s="58" t="s">
        <v>12467</v>
      </c>
      <c r="E2832" s="60" t="b">
        <v>1</v>
      </c>
      <c r="F2832" s="61" t="s">
        <v>167</v>
      </c>
      <c r="G2832" s="61"/>
      <c r="H2832" s="61"/>
      <c r="I2832" s="61"/>
      <c r="J2832" s="61"/>
      <c r="K2832" s="61"/>
      <c r="L2832" s="62"/>
      <c r="M2832" s="63" t="str">
        <f>HYPERLINK("http://nsgreg.nga.mil/genc/view?v=870352&amp;end_month=12&amp;end_day=31&amp;end_year=2016","Correlation")</f>
        <v>Correlation</v>
      </c>
    </row>
    <row r="2833" spans="1:13" x14ac:dyDescent="0.2">
      <c r="A2833" s="113"/>
      <c r="B2833" s="58" t="s">
        <v>12468</v>
      </c>
      <c r="C2833" s="58" t="s">
        <v>1728</v>
      </c>
      <c r="D2833" s="58" t="s">
        <v>12469</v>
      </c>
      <c r="E2833" s="60" t="b">
        <v>1</v>
      </c>
      <c r="F2833" s="61" t="s">
        <v>167</v>
      </c>
      <c r="G2833" s="61"/>
      <c r="H2833" s="61"/>
      <c r="I2833" s="61"/>
      <c r="J2833" s="61"/>
      <c r="K2833" s="61"/>
      <c r="L2833" s="62"/>
      <c r="M2833" s="63" t="str">
        <f>HYPERLINK("http://nsgreg.nga.mil/genc/view?v=870297&amp;end_month=12&amp;end_day=31&amp;end_year=2016","Correlation")</f>
        <v>Correlation</v>
      </c>
    </row>
    <row r="2834" spans="1:13" x14ac:dyDescent="0.2">
      <c r="A2834" s="113"/>
      <c r="B2834" s="58" t="s">
        <v>7137</v>
      </c>
      <c r="C2834" s="58" t="s">
        <v>1413</v>
      </c>
      <c r="D2834" s="58" t="s">
        <v>12470</v>
      </c>
      <c r="E2834" s="60" t="b">
        <v>1</v>
      </c>
      <c r="F2834" s="61" t="s">
        <v>167</v>
      </c>
      <c r="G2834" s="61"/>
      <c r="H2834" s="61"/>
      <c r="I2834" s="61"/>
      <c r="J2834" s="61"/>
      <c r="K2834" s="61"/>
      <c r="L2834" s="62"/>
      <c r="M2834" s="63" t="str">
        <f>HYPERLINK("http://nsgreg.nga.mil/genc/view?v=870353&amp;end_month=12&amp;end_day=31&amp;end_year=2016","Correlation")</f>
        <v>Correlation</v>
      </c>
    </row>
    <row r="2835" spans="1:13" x14ac:dyDescent="0.2">
      <c r="A2835" s="113"/>
      <c r="B2835" s="58" t="s">
        <v>12471</v>
      </c>
      <c r="C2835" s="58" t="s">
        <v>2925</v>
      </c>
      <c r="D2835" s="58" t="s">
        <v>12472</v>
      </c>
      <c r="E2835" s="60" t="b">
        <v>1</v>
      </c>
      <c r="F2835" s="61" t="s">
        <v>167</v>
      </c>
      <c r="G2835" s="61"/>
      <c r="H2835" s="61"/>
      <c r="I2835" s="61"/>
      <c r="J2835" s="61"/>
      <c r="K2835" s="61"/>
      <c r="L2835" s="62"/>
      <c r="M2835" s="63" t="str">
        <f>HYPERLINK("http://nsgreg.nga.mil/genc/view?v=870354&amp;end_month=12&amp;end_day=31&amp;end_year=2016","Correlation")</f>
        <v>Correlation</v>
      </c>
    </row>
    <row r="2836" spans="1:13" x14ac:dyDescent="0.2">
      <c r="A2836" s="113"/>
      <c r="B2836" s="58" t="s">
        <v>12473</v>
      </c>
      <c r="C2836" s="58" t="s">
        <v>1413</v>
      </c>
      <c r="D2836" s="58" t="s">
        <v>12474</v>
      </c>
      <c r="E2836" s="60" t="b">
        <v>1</v>
      </c>
      <c r="F2836" s="61" t="s">
        <v>167</v>
      </c>
      <c r="G2836" s="61"/>
      <c r="H2836" s="61"/>
      <c r="I2836" s="61"/>
      <c r="J2836" s="61"/>
      <c r="K2836" s="61"/>
      <c r="L2836" s="62"/>
      <c r="M2836" s="63" t="str">
        <f>HYPERLINK("http://nsgreg.nga.mil/genc/view?v=870355&amp;end_month=12&amp;end_day=31&amp;end_year=2016","Correlation")</f>
        <v>Correlation</v>
      </c>
    </row>
    <row r="2837" spans="1:13" x14ac:dyDescent="0.2">
      <c r="A2837" s="113"/>
      <c r="B2837" s="58" t="s">
        <v>12475</v>
      </c>
      <c r="C2837" s="58" t="s">
        <v>1413</v>
      </c>
      <c r="D2837" s="58" t="s">
        <v>12476</v>
      </c>
      <c r="E2837" s="60" t="b">
        <v>1</v>
      </c>
      <c r="F2837" s="61" t="s">
        <v>167</v>
      </c>
      <c r="G2837" s="61"/>
      <c r="H2837" s="61"/>
      <c r="I2837" s="61"/>
      <c r="J2837" s="61"/>
      <c r="K2837" s="61"/>
      <c r="L2837" s="62"/>
      <c r="M2837" s="63" t="str">
        <f>HYPERLINK("http://nsgreg.nga.mil/genc/view?v=870356&amp;end_month=12&amp;end_day=31&amp;end_year=2016","Correlation")</f>
        <v>Correlation</v>
      </c>
    </row>
    <row r="2838" spans="1:13" x14ac:dyDescent="0.2">
      <c r="A2838" s="113"/>
      <c r="B2838" s="58" t="s">
        <v>12477</v>
      </c>
      <c r="C2838" s="58" t="s">
        <v>1413</v>
      </c>
      <c r="D2838" s="58" t="s">
        <v>12478</v>
      </c>
      <c r="E2838" s="60" t="b">
        <v>1</v>
      </c>
      <c r="F2838" s="61" t="s">
        <v>167</v>
      </c>
      <c r="G2838" s="61"/>
      <c r="H2838" s="61"/>
      <c r="I2838" s="61"/>
      <c r="J2838" s="61"/>
      <c r="K2838" s="61"/>
      <c r="L2838" s="62"/>
      <c r="M2838" s="63" t="str">
        <f>HYPERLINK("http://nsgreg.nga.mil/genc/view?v=870357&amp;end_month=12&amp;end_day=31&amp;end_year=2016","Correlation")</f>
        <v>Correlation</v>
      </c>
    </row>
    <row r="2839" spans="1:13" x14ac:dyDescent="0.2">
      <c r="A2839" s="113"/>
      <c r="B2839" s="58" t="s">
        <v>12479</v>
      </c>
      <c r="C2839" s="58" t="s">
        <v>2925</v>
      </c>
      <c r="D2839" s="58" t="s">
        <v>12480</v>
      </c>
      <c r="E2839" s="60" t="b">
        <v>1</v>
      </c>
      <c r="F2839" s="61" t="s">
        <v>167</v>
      </c>
      <c r="G2839" s="61"/>
      <c r="H2839" s="61"/>
      <c r="I2839" s="61"/>
      <c r="J2839" s="61"/>
      <c r="K2839" s="61"/>
      <c r="L2839" s="62"/>
      <c r="M2839" s="63" t="str">
        <f>HYPERLINK("http://nsgreg.nga.mil/genc/view?v=870359&amp;end_month=12&amp;end_day=31&amp;end_year=2016","Correlation")</f>
        <v>Correlation</v>
      </c>
    </row>
    <row r="2840" spans="1:13" x14ac:dyDescent="0.2">
      <c r="A2840" s="113"/>
      <c r="B2840" s="58" t="s">
        <v>12481</v>
      </c>
      <c r="C2840" s="58" t="s">
        <v>2925</v>
      </c>
      <c r="D2840" s="58" t="s">
        <v>12482</v>
      </c>
      <c r="E2840" s="60" t="b">
        <v>1</v>
      </c>
      <c r="F2840" s="61" t="s">
        <v>167</v>
      </c>
      <c r="G2840" s="61"/>
      <c r="H2840" s="61"/>
      <c r="I2840" s="61"/>
      <c r="J2840" s="61"/>
      <c r="K2840" s="61"/>
      <c r="L2840" s="62"/>
      <c r="M2840" s="63" t="str">
        <f>HYPERLINK("http://nsgreg.nga.mil/genc/view?v=870358&amp;end_month=12&amp;end_day=31&amp;end_year=2016","Correlation")</f>
        <v>Correlation</v>
      </c>
    </row>
    <row r="2841" spans="1:13" x14ac:dyDescent="0.2">
      <c r="A2841" s="113"/>
      <c r="B2841" s="58" t="s">
        <v>12483</v>
      </c>
      <c r="C2841" s="58" t="s">
        <v>1728</v>
      </c>
      <c r="D2841" s="58" t="s">
        <v>12484</v>
      </c>
      <c r="E2841" s="60" t="b">
        <v>1</v>
      </c>
      <c r="F2841" s="61" t="s">
        <v>167</v>
      </c>
      <c r="G2841" s="61"/>
      <c r="H2841" s="61"/>
      <c r="I2841" s="61"/>
      <c r="J2841" s="61"/>
      <c r="K2841" s="61"/>
      <c r="L2841" s="62"/>
      <c r="M2841" s="63" t="str">
        <f>HYPERLINK("http://nsgreg.nga.mil/genc/view?v=870303&amp;end_month=12&amp;end_day=31&amp;end_year=2016","Correlation")</f>
        <v>Correlation</v>
      </c>
    </row>
    <row r="2842" spans="1:13" x14ac:dyDescent="0.2">
      <c r="A2842" s="113"/>
      <c r="B2842" s="58" t="s">
        <v>12485</v>
      </c>
      <c r="C2842" s="58" t="s">
        <v>1728</v>
      </c>
      <c r="D2842" s="58" t="s">
        <v>12486</v>
      </c>
      <c r="E2842" s="60" t="b">
        <v>1</v>
      </c>
      <c r="F2842" s="61" t="s">
        <v>167</v>
      </c>
      <c r="G2842" s="61"/>
      <c r="H2842" s="61"/>
      <c r="I2842" s="61"/>
      <c r="J2842" s="61"/>
      <c r="K2842" s="61"/>
      <c r="L2842" s="62"/>
      <c r="M2842" s="63" t="str">
        <f>HYPERLINK("http://nsgreg.nga.mil/genc/view?v=870302&amp;end_month=12&amp;end_day=31&amp;end_year=2016","Correlation")</f>
        <v>Correlation</v>
      </c>
    </row>
    <row r="2843" spans="1:13" x14ac:dyDescent="0.2">
      <c r="A2843" s="113"/>
      <c r="B2843" s="58" t="s">
        <v>12487</v>
      </c>
      <c r="C2843" s="58" t="s">
        <v>2925</v>
      </c>
      <c r="D2843" s="58" t="s">
        <v>12488</v>
      </c>
      <c r="E2843" s="60" t="b">
        <v>1</v>
      </c>
      <c r="F2843" s="61" t="s">
        <v>167</v>
      </c>
      <c r="G2843" s="61"/>
      <c r="H2843" s="61"/>
      <c r="I2843" s="61"/>
      <c r="J2843" s="61"/>
      <c r="K2843" s="61"/>
      <c r="L2843" s="62"/>
      <c r="M2843" s="63" t="str">
        <f>HYPERLINK("http://nsgreg.nga.mil/genc/view?v=870367&amp;end_month=12&amp;end_day=31&amp;end_year=2016","Correlation")</f>
        <v>Correlation</v>
      </c>
    </row>
    <row r="2844" spans="1:13" x14ac:dyDescent="0.2">
      <c r="A2844" s="113"/>
      <c r="B2844" s="58" t="s">
        <v>12489</v>
      </c>
      <c r="C2844" s="58" t="s">
        <v>1728</v>
      </c>
      <c r="D2844" s="58" t="s">
        <v>12490</v>
      </c>
      <c r="E2844" s="60" t="b">
        <v>1</v>
      </c>
      <c r="F2844" s="61" t="s">
        <v>167</v>
      </c>
      <c r="G2844" s="61"/>
      <c r="H2844" s="61"/>
      <c r="I2844" s="61"/>
      <c r="J2844" s="61"/>
      <c r="K2844" s="61"/>
      <c r="L2844" s="62"/>
      <c r="M2844" s="63" t="str">
        <f>HYPERLINK("http://nsgreg.nga.mil/genc/view?v=870291&amp;end_month=12&amp;end_day=31&amp;end_year=2016","Correlation")</f>
        <v>Correlation</v>
      </c>
    </row>
    <row r="2845" spans="1:13" x14ac:dyDescent="0.2">
      <c r="A2845" s="113"/>
      <c r="B2845" s="58" t="s">
        <v>12491</v>
      </c>
      <c r="C2845" s="58" t="s">
        <v>1413</v>
      </c>
      <c r="D2845" s="58" t="s">
        <v>12492</v>
      </c>
      <c r="E2845" s="60" t="b">
        <v>1</v>
      </c>
      <c r="F2845" s="61" t="s">
        <v>167</v>
      </c>
      <c r="G2845" s="61"/>
      <c r="H2845" s="61"/>
      <c r="I2845" s="61"/>
      <c r="J2845" s="61"/>
      <c r="K2845" s="61"/>
      <c r="L2845" s="62"/>
      <c r="M2845" s="63" t="str">
        <f>HYPERLINK("http://nsgreg.nga.mil/genc/view?v=870368&amp;end_month=12&amp;end_day=31&amp;end_year=2016","Correlation")</f>
        <v>Correlation</v>
      </c>
    </row>
    <row r="2846" spans="1:13" x14ac:dyDescent="0.2">
      <c r="A2846" s="113"/>
      <c r="B2846" s="58" t="s">
        <v>12493</v>
      </c>
      <c r="C2846" s="58" t="s">
        <v>1413</v>
      </c>
      <c r="D2846" s="58" t="s">
        <v>12494</v>
      </c>
      <c r="E2846" s="60" t="b">
        <v>1</v>
      </c>
      <c r="F2846" s="61" t="s">
        <v>167</v>
      </c>
      <c r="G2846" s="61"/>
      <c r="H2846" s="61"/>
      <c r="I2846" s="61"/>
      <c r="J2846" s="61"/>
      <c r="K2846" s="61"/>
      <c r="L2846" s="62"/>
      <c r="M2846" s="63" t="str">
        <f>HYPERLINK("http://nsgreg.nga.mil/genc/view?v=870361&amp;end_month=12&amp;end_day=31&amp;end_year=2016","Correlation")</f>
        <v>Correlation</v>
      </c>
    </row>
    <row r="2847" spans="1:13" x14ac:dyDescent="0.2">
      <c r="A2847" s="113"/>
      <c r="B2847" s="58" t="s">
        <v>12495</v>
      </c>
      <c r="C2847" s="58" t="s">
        <v>1413</v>
      </c>
      <c r="D2847" s="58" t="s">
        <v>12496</v>
      </c>
      <c r="E2847" s="60" t="b">
        <v>1</v>
      </c>
      <c r="F2847" s="61" t="s">
        <v>167</v>
      </c>
      <c r="G2847" s="61"/>
      <c r="H2847" s="61"/>
      <c r="I2847" s="61"/>
      <c r="J2847" s="61"/>
      <c r="K2847" s="61"/>
      <c r="L2847" s="62"/>
      <c r="M2847" s="63" t="str">
        <f>HYPERLINK("http://nsgreg.nga.mil/genc/view?v=870360&amp;end_month=12&amp;end_day=31&amp;end_year=2016","Correlation")</f>
        <v>Correlation</v>
      </c>
    </row>
    <row r="2848" spans="1:13" x14ac:dyDescent="0.2">
      <c r="A2848" s="113"/>
      <c r="B2848" s="58" t="s">
        <v>12497</v>
      </c>
      <c r="C2848" s="58" t="s">
        <v>1413</v>
      </c>
      <c r="D2848" s="58" t="s">
        <v>12498</v>
      </c>
      <c r="E2848" s="60" t="b">
        <v>1</v>
      </c>
      <c r="F2848" s="61" t="s">
        <v>167</v>
      </c>
      <c r="G2848" s="61"/>
      <c r="H2848" s="61"/>
      <c r="I2848" s="61"/>
      <c r="J2848" s="61"/>
      <c r="K2848" s="61"/>
      <c r="L2848" s="62"/>
      <c r="M2848" s="63" t="str">
        <f>HYPERLINK("http://nsgreg.nga.mil/genc/view?v=870362&amp;end_month=12&amp;end_day=31&amp;end_year=2016","Correlation")</f>
        <v>Correlation</v>
      </c>
    </row>
    <row r="2849" spans="1:13" x14ac:dyDescent="0.2">
      <c r="A2849" s="113"/>
      <c r="B2849" s="58" t="s">
        <v>12499</v>
      </c>
      <c r="C2849" s="58" t="s">
        <v>1413</v>
      </c>
      <c r="D2849" s="58" t="s">
        <v>12500</v>
      </c>
      <c r="E2849" s="60" t="b">
        <v>1</v>
      </c>
      <c r="F2849" s="61" t="s">
        <v>167</v>
      </c>
      <c r="G2849" s="61"/>
      <c r="H2849" s="61"/>
      <c r="I2849" s="61"/>
      <c r="J2849" s="61"/>
      <c r="K2849" s="61"/>
      <c r="L2849" s="62"/>
      <c r="M2849" s="63" t="str">
        <f>HYPERLINK("http://nsgreg.nga.mil/genc/view?v=870363&amp;end_month=12&amp;end_day=31&amp;end_year=2016","Correlation")</f>
        <v>Correlation</v>
      </c>
    </row>
    <row r="2850" spans="1:13" x14ac:dyDescent="0.2">
      <c r="A2850" s="113"/>
      <c r="B2850" s="58" t="s">
        <v>12501</v>
      </c>
      <c r="C2850" s="58" t="s">
        <v>1413</v>
      </c>
      <c r="D2850" s="58" t="s">
        <v>12502</v>
      </c>
      <c r="E2850" s="60" t="b">
        <v>1</v>
      </c>
      <c r="F2850" s="61" t="s">
        <v>167</v>
      </c>
      <c r="G2850" s="61"/>
      <c r="H2850" s="61"/>
      <c r="I2850" s="61"/>
      <c r="J2850" s="61"/>
      <c r="K2850" s="61"/>
      <c r="L2850" s="62"/>
      <c r="M2850" s="63" t="str">
        <f>HYPERLINK("http://nsgreg.nga.mil/genc/view?v=870364&amp;end_month=12&amp;end_day=31&amp;end_year=2016","Correlation")</f>
        <v>Correlation</v>
      </c>
    </row>
    <row r="2851" spans="1:13" x14ac:dyDescent="0.2">
      <c r="A2851" s="113"/>
      <c r="B2851" s="58" t="s">
        <v>12503</v>
      </c>
      <c r="C2851" s="58" t="s">
        <v>1728</v>
      </c>
      <c r="D2851" s="58" t="s">
        <v>12504</v>
      </c>
      <c r="E2851" s="60" t="b">
        <v>1</v>
      </c>
      <c r="F2851" s="61" t="s">
        <v>167</v>
      </c>
      <c r="G2851" s="61"/>
      <c r="H2851" s="61"/>
      <c r="I2851" s="61"/>
      <c r="J2851" s="61"/>
      <c r="K2851" s="61"/>
      <c r="L2851" s="62"/>
      <c r="M2851" s="63" t="str">
        <f>HYPERLINK("http://nsgreg.nga.mil/genc/view?v=870293&amp;end_month=12&amp;end_day=31&amp;end_year=2016","Correlation")</f>
        <v>Correlation</v>
      </c>
    </row>
    <row r="2852" spans="1:13" x14ac:dyDescent="0.2">
      <c r="A2852" s="113"/>
      <c r="B2852" s="58" t="s">
        <v>12505</v>
      </c>
      <c r="C2852" s="58" t="s">
        <v>2925</v>
      </c>
      <c r="D2852" s="58" t="s">
        <v>12506</v>
      </c>
      <c r="E2852" s="60" t="b">
        <v>1</v>
      </c>
      <c r="F2852" s="61" t="s">
        <v>167</v>
      </c>
      <c r="G2852" s="61"/>
      <c r="H2852" s="61"/>
      <c r="I2852" s="61"/>
      <c r="J2852" s="61"/>
      <c r="K2852" s="61"/>
      <c r="L2852" s="62"/>
      <c r="M2852" s="63" t="str">
        <f>HYPERLINK("http://nsgreg.nga.mil/genc/view?v=870365&amp;end_month=12&amp;end_day=31&amp;end_year=2016","Correlation")</f>
        <v>Correlation</v>
      </c>
    </row>
    <row r="2853" spans="1:13" x14ac:dyDescent="0.2">
      <c r="A2853" s="113"/>
      <c r="B2853" s="58" t="s">
        <v>12507</v>
      </c>
      <c r="C2853" s="58" t="s">
        <v>1413</v>
      </c>
      <c r="D2853" s="58" t="s">
        <v>12508</v>
      </c>
      <c r="E2853" s="60" t="b">
        <v>1</v>
      </c>
      <c r="F2853" s="61" t="s">
        <v>167</v>
      </c>
      <c r="G2853" s="61"/>
      <c r="H2853" s="61"/>
      <c r="I2853" s="61"/>
      <c r="J2853" s="61"/>
      <c r="K2853" s="61"/>
      <c r="L2853" s="62"/>
      <c r="M2853" s="63" t="str">
        <f>HYPERLINK("http://nsgreg.nga.mil/genc/view?v=870366&amp;end_month=12&amp;end_day=31&amp;end_year=2016","Correlation")</f>
        <v>Correlation</v>
      </c>
    </row>
    <row r="2854" spans="1:13" x14ac:dyDescent="0.2">
      <c r="A2854" s="114"/>
      <c r="B2854" s="71" t="s">
        <v>12509</v>
      </c>
      <c r="C2854" s="71" t="s">
        <v>1413</v>
      </c>
      <c r="D2854" s="71" t="s">
        <v>12510</v>
      </c>
      <c r="E2854" s="73" t="b">
        <v>1</v>
      </c>
      <c r="F2854" s="85" t="s">
        <v>167</v>
      </c>
      <c r="G2854" s="85"/>
      <c r="H2854" s="85"/>
      <c r="I2854" s="85"/>
      <c r="J2854" s="85"/>
      <c r="K2854" s="85"/>
      <c r="L2854" s="86"/>
      <c r="M2854" s="77" t="str">
        <f>HYPERLINK("http://nsgreg.nga.mil/genc/view?v=870369&amp;end_month=12&amp;end_day=31&amp;end_year=2016","Correlation")</f>
        <v>Correlation</v>
      </c>
    </row>
    <row r="2855" spans="1:13" x14ac:dyDescent="0.2">
      <c r="A2855" s="112" t="s">
        <v>954</v>
      </c>
      <c r="B2855" s="50" t="s">
        <v>7616</v>
      </c>
      <c r="C2855" s="50" t="s">
        <v>1413</v>
      </c>
      <c r="D2855" s="50" t="s">
        <v>7617</v>
      </c>
      <c r="E2855" s="52" t="b">
        <v>1</v>
      </c>
      <c r="F2855" s="78" t="s">
        <v>954</v>
      </c>
      <c r="G2855" s="50" t="s">
        <v>7616</v>
      </c>
      <c r="H2855" s="50" t="s">
        <v>1413</v>
      </c>
      <c r="I2855" s="53" t="s">
        <v>7617</v>
      </c>
      <c r="J2855" s="55"/>
      <c r="K2855" s="55"/>
      <c r="L2855" s="79"/>
      <c r="M2855" s="56" t="str">
        <f>HYPERLINK("http://nsgreg.nga.mil/genc/view?v=870810&amp;end_month=12&amp;end_day=31&amp;end_year=2016","Correlation")</f>
        <v>Correlation</v>
      </c>
    </row>
    <row r="2856" spans="1:13" x14ac:dyDescent="0.2">
      <c r="A2856" s="113"/>
      <c r="B2856" s="58" t="s">
        <v>7618</v>
      </c>
      <c r="C2856" s="58" t="s">
        <v>1413</v>
      </c>
      <c r="D2856" s="58" t="s">
        <v>7619</v>
      </c>
      <c r="E2856" s="60" t="b">
        <v>1</v>
      </c>
      <c r="F2856" s="80" t="s">
        <v>954</v>
      </c>
      <c r="G2856" s="58" t="s">
        <v>7618</v>
      </c>
      <c r="H2856" s="58" t="s">
        <v>1413</v>
      </c>
      <c r="I2856" s="64" t="s">
        <v>7619</v>
      </c>
      <c r="J2856" s="66"/>
      <c r="K2856" s="66"/>
      <c r="L2856" s="68"/>
      <c r="M2856" s="63" t="str">
        <f>HYPERLINK("http://nsgreg.nga.mil/genc/view?v=870805&amp;end_month=12&amp;end_day=31&amp;end_year=2016","Correlation")</f>
        <v>Correlation</v>
      </c>
    </row>
    <row r="2857" spans="1:13" x14ac:dyDescent="0.2">
      <c r="A2857" s="113"/>
      <c r="B2857" s="58" t="s">
        <v>7620</v>
      </c>
      <c r="C2857" s="58" t="s">
        <v>1413</v>
      </c>
      <c r="D2857" s="58" t="s">
        <v>7621</v>
      </c>
      <c r="E2857" s="60" t="b">
        <v>1</v>
      </c>
      <c r="F2857" s="80" t="s">
        <v>954</v>
      </c>
      <c r="G2857" s="58" t="s">
        <v>7620</v>
      </c>
      <c r="H2857" s="58" t="s">
        <v>1413</v>
      </c>
      <c r="I2857" s="64" t="s">
        <v>7621</v>
      </c>
      <c r="J2857" s="66"/>
      <c r="K2857" s="66"/>
      <c r="L2857" s="68"/>
      <c r="M2857" s="63" t="str">
        <f>HYPERLINK("http://nsgreg.nga.mil/genc/view?v=870806&amp;end_month=12&amp;end_day=31&amp;end_year=2016","Correlation")</f>
        <v>Correlation</v>
      </c>
    </row>
    <row r="2858" spans="1:13" x14ac:dyDescent="0.2">
      <c r="A2858" s="113"/>
      <c r="B2858" s="58" t="s">
        <v>7622</v>
      </c>
      <c r="C2858" s="58" t="s">
        <v>1413</v>
      </c>
      <c r="D2858" s="58" t="s">
        <v>7623</v>
      </c>
      <c r="E2858" s="60" t="b">
        <v>1</v>
      </c>
      <c r="F2858" s="80" t="s">
        <v>954</v>
      </c>
      <c r="G2858" s="58" t="s">
        <v>7622</v>
      </c>
      <c r="H2858" s="58" t="s">
        <v>1413</v>
      </c>
      <c r="I2858" s="64" t="s">
        <v>7623</v>
      </c>
      <c r="J2858" s="66"/>
      <c r="K2858" s="66"/>
      <c r="L2858" s="68"/>
      <c r="M2858" s="63" t="str">
        <f>HYPERLINK("http://nsgreg.nga.mil/genc/view?v=870804&amp;end_month=12&amp;end_day=31&amp;end_year=2016","Correlation")</f>
        <v>Correlation</v>
      </c>
    </row>
    <row r="2859" spans="1:13" x14ac:dyDescent="0.2">
      <c r="A2859" s="113"/>
      <c r="B2859" s="58" t="s">
        <v>7624</v>
      </c>
      <c r="C2859" s="58" t="s">
        <v>1681</v>
      </c>
      <c r="D2859" s="58" t="s">
        <v>7625</v>
      </c>
      <c r="E2859" s="60" t="b">
        <v>1</v>
      </c>
      <c r="F2859" s="80" t="s">
        <v>954</v>
      </c>
      <c r="G2859" s="58" t="s">
        <v>7624</v>
      </c>
      <c r="H2859" s="58" t="s">
        <v>1681</v>
      </c>
      <c r="I2859" s="64" t="s">
        <v>7625</v>
      </c>
      <c r="J2859" s="66"/>
      <c r="K2859" s="66"/>
      <c r="L2859" s="68"/>
      <c r="M2859" s="63" t="str">
        <f>HYPERLINK("http://nsgreg.nga.mil/genc/view?v=870808&amp;end_month=12&amp;end_day=31&amp;end_year=2016","Correlation")</f>
        <v>Correlation</v>
      </c>
    </row>
    <row r="2860" spans="1:13" x14ac:dyDescent="0.2">
      <c r="A2860" s="113"/>
      <c r="B2860" s="58" t="s">
        <v>7624</v>
      </c>
      <c r="C2860" s="58" t="s">
        <v>1413</v>
      </c>
      <c r="D2860" s="58" t="s">
        <v>7626</v>
      </c>
      <c r="E2860" s="60" t="b">
        <v>1</v>
      </c>
      <c r="F2860" s="80" t="s">
        <v>954</v>
      </c>
      <c r="G2860" s="58" t="s">
        <v>7624</v>
      </c>
      <c r="H2860" s="58" t="s">
        <v>1413</v>
      </c>
      <c r="I2860" s="64" t="s">
        <v>7626</v>
      </c>
      <c r="J2860" s="66"/>
      <c r="K2860" s="66"/>
      <c r="L2860" s="68"/>
      <c r="M2860" s="63" t="str">
        <f>HYPERLINK("http://nsgreg.nga.mil/genc/view?v=870807&amp;end_month=12&amp;end_day=31&amp;end_year=2016","Correlation")</f>
        <v>Correlation</v>
      </c>
    </row>
    <row r="2861" spans="1:13" x14ac:dyDescent="0.2">
      <c r="A2861" s="113"/>
      <c r="B2861" s="58" t="s">
        <v>7627</v>
      </c>
      <c r="C2861" s="58" t="s">
        <v>1413</v>
      </c>
      <c r="D2861" s="58" t="s">
        <v>7628</v>
      </c>
      <c r="E2861" s="60" t="b">
        <v>1</v>
      </c>
      <c r="F2861" s="80" t="s">
        <v>954</v>
      </c>
      <c r="G2861" s="58" t="s">
        <v>7627</v>
      </c>
      <c r="H2861" s="58" t="s">
        <v>1413</v>
      </c>
      <c r="I2861" s="64" t="s">
        <v>7628</v>
      </c>
      <c r="J2861" s="66"/>
      <c r="K2861" s="66"/>
      <c r="L2861" s="68"/>
      <c r="M2861" s="63" t="str">
        <f>HYPERLINK("http://nsgreg.nga.mil/genc/view?v=870809&amp;end_month=12&amp;end_day=31&amp;end_year=2016","Correlation")</f>
        <v>Correlation</v>
      </c>
    </row>
    <row r="2862" spans="1:13" x14ac:dyDescent="0.2">
      <c r="A2862" s="113"/>
      <c r="B2862" s="58" t="s">
        <v>7629</v>
      </c>
      <c r="C2862" s="58" t="s">
        <v>1413</v>
      </c>
      <c r="D2862" s="58" t="s">
        <v>7630</v>
      </c>
      <c r="E2862" s="60" t="b">
        <v>1</v>
      </c>
      <c r="F2862" s="80" t="s">
        <v>954</v>
      </c>
      <c r="G2862" s="58" t="s">
        <v>7629</v>
      </c>
      <c r="H2862" s="58" t="s">
        <v>1413</v>
      </c>
      <c r="I2862" s="64" t="s">
        <v>7630</v>
      </c>
      <c r="J2862" s="66"/>
      <c r="K2862" s="66"/>
      <c r="L2862" s="68"/>
      <c r="M2862" s="63" t="str">
        <f>HYPERLINK("http://nsgreg.nga.mil/genc/view?v=870803&amp;end_month=12&amp;end_day=31&amp;end_year=2016","Correlation")</f>
        <v>Correlation</v>
      </c>
    </row>
    <row r="2863" spans="1:13" x14ac:dyDescent="0.2">
      <c r="A2863" s="113"/>
      <c r="B2863" s="58" t="s">
        <v>7631</v>
      </c>
      <c r="C2863" s="58" t="s">
        <v>1413</v>
      </c>
      <c r="D2863" s="58" t="s">
        <v>7632</v>
      </c>
      <c r="E2863" s="60" t="b">
        <v>1</v>
      </c>
      <c r="F2863" s="80" t="s">
        <v>954</v>
      </c>
      <c r="G2863" s="58" t="s">
        <v>7631</v>
      </c>
      <c r="H2863" s="58" t="s">
        <v>1413</v>
      </c>
      <c r="I2863" s="64" t="s">
        <v>7632</v>
      </c>
      <c r="J2863" s="66"/>
      <c r="K2863" s="66"/>
      <c r="L2863" s="68"/>
      <c r="M2863" s="63" t="str">
        <f>HYPERLINK("http://nsgreg.nga.mil/genc/view?v=870812&amp;end_month=12&amp;end_day=31&amp;end_year=2016","Correlation")</f>
        <v>Correlation</v>
      </c>
    </row>
    <row r="2864" spans="1:13" x14ac:dyDescent="0.2">
      <c r="A2864" s="113"/>
      <c r="B2864" s="58" t="s">
        <v>7633</v>
      </c>
      <c r="C2864" s="58" t="s">
        <v>1413</v>
      </c>
      <c r="D2864" s="58" t="s">
        <v>7634</v>
      </c>
      <c r="E2864" s="60" t="b">
        <v>1</v>
      </c>
      <c r="F2864" s="80" t="s">
        <v>954</v>
      </c>
      <c r="G2864" s="58" t="s">
        <v>7633</v>
      </c>
      <c r="H2864" s="58" t="s">
        <v>1413</v>
      </c>
      <c r="I2864" s="64" t="s">
        <v>7634</v>
      </c>
      <c r="J2864" s="66"/>
      <c r="K2864" s="66"/>
      <c r="L2864" s="68"/>
      <c r="M2864" s="63" t="str">
        <f>HYPERLINK("http://nsgreg.nga.mil/genc/view?v=870813&amp;end_month=12&amp;end_day=31&amp;end_year=2016","Correlation")</f>
        <v>Correlation</v>
      </c>
    </row>
    <row r="2865" spans="1:13" x14ac:dyDescent="0.2">
      <c r="A2865" s="114"/>
      <c r="B2865" s="71" t="s">
        <v>7635</v>
      </c>
      <c r="C2865" s="71" t="s">
        <v>1413</v>
      </c>
      <c r="D2865" s="71" t="s">
        <v>7636</v>
      </c>
      <c r="E2865" s="73" t="b">
        <v>1</v>
      </c>
      <c r="F2865" s="81" t="s">
        <v>954</v>
      </c>
      <c r="G2865" s="71" t="s">
        <v>7635</v>
      </c>
      <c r="H2865" s="71" t="s">
        <v>1413</v>
      </c>
      <c r="I2865" s="74" t="s">
        <v>7636</v>
      </c>
      <c r="J2865" s="76"/>
      <c r="K2865" s="76"/>
      <c r="L2865" s="82"/>
      <c r="M2865" s="77" t="str">
        <f>HYPERLINK("http://nsgreg.nga.mil/genc/view?v=870811&amp;end_month=12&amp;end_day=31&amp;end_year=2016","Correlation")</f>
        <v>Correlation</v>
      </c>
    </row>
    <row r="2866" spans="1:13" x14ac:dyDescent="0.2">
      <c r="A2866" s="112" t="s">
        <v>355</v>
      </c>
      <c r="B2866" s="50" t="s">
        <v>2683</v>
      </c>
      <c r="C2866" s="50" t="s">
        <v>1728</v>
      </c>
      <c r="D2866" s="50" t="s">
        <v>2682</v>
      </c>
      <c r="E2866" s="52" t="b">
        <v>1</v>
      </c>
      <c r="F2866" s="78" t="s">
        <v>351</v>
      </c>
      <c r="G2866" s="50" t="s">
        <v>2681</v>
      </c>
      <c r="H2866" s="50" t="s">
        <v>1728</v>
      </c>
      <c r="I2866" s="53" t="s">
        <v>2682</v>
      </c>
      <c r="J2866" s="55"/>
      <c r="K2866" s="55"/>
      <c r="L2866" s="79"/>
      <c r="M2866" s="56" t="str">
        <f>HYPERLINK("http://nsgreg.nga.mil/genc/view?v=870565&amp;end_month=12&amp;end_day=31&amp;end_year=2016","Correlation")</f>
        <v>Correlation</v>
      </c>
    </row>
    <row r="2867" spans="1:13" x14ac:dyDescent="0.2">
      <c r="A2867" s="113"/>
      <c r="B2867" s="58" t="s">
        <v>2684</v>
      </c>
      <c r="C2867" s="58" t="s">
        <v>1728</v>
      </c>
      <c r="D2867" s="58" t="s">
        <v>2685</v>
      </c>
      <c r="E2867" s="60" t="b">
        <v>1</v>
      </c>
      <c r="F2867" s="80" t="s">
        <v>351</v>
      </c>
      <c r="G2867" s="58" t="s">
        <v>2684</v>
      </c>
      <c r="H2867" s="58" t="s">
        <v>1728</v>
      </c>
      <c r="I2867" s="64" t="s">
        <v>2685</v>
      </c>
      <c r="J2867" s="66"/>
      <c r="K2867" s="66"/>
      <c r="L2867" s="68"/>
      <c r="M2867" s="63" t="str">
        <f>HYPERLINK("http://nsgreg.nga.mil/genc/view?v=870560&amp;end_month=12&amp;end_day=31&amp;end_year=2016","Correlation")</f>
        <v>Correlation</v>
      </c>
    </row>
    <row r="2868" spans="1:13" x14ac:dyDescent="0.2">
      <c r="A2868" s="113"/>
      <c r="B2868" s="58" t="s">
        <v>2688</v>
      </c>
      <c r="C2868" s="58" t="s">
        <v>1763</v>
      </c>
      <c r="D2868" s="58" t="s">
        <v>2687</v>
      </c>
      <c r="E2868" s="60" t="b">
        <v>1</v>
      </c>
      <c r="F2868" s="80" t="s">
        <v>351</v>
      </c>
      <c r="G2868" s="58" t="s">
        <v>2686</v>
      </c>
      <c r="H2868" s="58" t="s">
        <v>1763</v>
      </c>
      <c r="I2868" s="64" t="s">
        <v>2687</v>
      </c>
      <c r="J2868" s="66"/>
      <c r="K2868" s="66"/>
      <c r="L2868" s="68"/>
      <c r="M2868" s="63" t="str">
        <f>HYPERLINK("http://nsgreg.nga.mil/genc/view?v=870569&amp;end_month=12&amp;end_day=31&amp;end_year=2016","Correlation")</f>
        <v>Correlation</v>
      </c>
    </row>
    <row r="2869" spans="1:13" x14ac:dyDescent="0.2">
      <c r="A2869" s="113"/>
      <c r="B2869" s="58" t="s">
        <v>2691</v>
      </c>
      <c r="C2869" s="58" t="s">
        <v>1763</v>
      </c>
      <c r="D2869" s="58" t="s">
        <v>2690</v>
      </c>
      <c r="E2869" s="60" t="b">
        <v>1</v>
      </c>
      <c r="F2869" s="80" t="s">
        <v>351</v>
      </c>
      <c r="G2869" s="58" t="s">
        <v>2689</v>
      </c>
      <c r="H2869" s="58" t="s">
        <v>1763</v>
      </c>
      <c r="I2869" s="64" t="s">
        <v>2690</v>
      </c>
      <c r="J2869" s="66"/>
      <c r="K2869" s="66"/>
      <c r="L2869" s="68"/>
      <c r="M2869" s="63" t="str">
        <f>HYPERLINK("http://nsgreg.nga.mil/genc/view?v=870566&amp;end_month=12&amp;end_day=31&amp;end_year=2016","Correlation")</f>
        <v>Correlation</v>
      </c>
    </row>
    <row r="2870" spans="1:13" x14ac:dyDescent="0.2">
      <c r="A2870" s="113"/>
      <c r="B2870" s="58" t="s">
        <v>2694</v>
      </c>
      <c r="C2870" s="58" t="s">
        <v>1763</v>
      </c>
      <c r="D2870" s="58" t="s">
        <v>2693</v>
      </c>
      <c r="E2870" s="60" t="b">
        <v>1</v>
      </c>
      <c r="F2870" s="80" t="s">
        <v>351</v>
      </c>
      <c r="G2870" s="58" t="s">
        <v>2692</v>
      </c>
      <c r="H2870" s="58" t="s">
        <v>1763</v>
      </c>
      <c r="I2870" s="64" t="s">
        <v>2693</v>
      </c>
      <c r="J2870" s="66"/>
      <c r="K2870" s="66"/>
      <c r="L2870" s="68"/>
      <c r="M2870" s="63" t="str">
        <f>HYPERLINK("http://nsgreg.nga.mil/genc/view?v=870567&amp;end_month=12&amp;end_day=31&amp;end_year=2016","Correlation")</f>
        <v>Correlation</v>
      </c>
    </row>
    <row r="2871" spans="1:13" x14ac:dyDescent="0.2">
      <c r="A2871" s="113"/>
      <c r="B2871" s="58" t="s">
        <v>2697</v>
      </c>
      <c r="C2871" s="58" t="s">
        <v>1763</v>
      </c>
      <c r="D2871" s="58" t="s">
        <v>2696</v>
      </c>
      <c r="E2871" s="60" t="b">
        <v>1</v>
      </c>
      <c r="F2871" s="80" t="s">
        <v>351</v>
      </c>
      <c r="G2871" s="58" t="s">
        <v>2695</v>
      </c>
      <c r="H2871" s="58" t="s">
        <v>1763</v>
      </c>
      <c r="I2871" s="64" t="s">
        <v>2696</v>
      </c>
      <c r="J2871" s="66"/>
      <c r="K2871" s="66"/>
      <c r="L2871" s="68"/>
      <c r="M2871" s="63" t="str">
        <f>HYPERLINK("http://nsgreg.nga.mil/genc/view?v=870568&amp;end_month=12&amp;end_day=31&amp;end_year=2016","Correlation")</f>
        <v>Correlation</v>
      </c>
    </row>
    <row r="2872" spans="1:13" x14ac:dyDescent="0.2">
      <c r="A2872" s="113"/>
      <c r="B2872" s="58" t="s">
        <v>2698</v>
      </c>
      <c r="C2872" s="58" t="s">
        <v>1728</v>
      </c>
      <c r="D2872" s="58" t="s">
        <v>2699</v>
      </c>
      <c r="E2872" s="60" t="b">
        <v>1</v>
      </c>
      <c r="F2872" s="80" t="s">
        <v>351</v>
      </c>
      <c r="G2872" s="58" t="s">
        <v>2698</v>
      </c>
      <c r="H2872" s="58" t="s">
        <v>1728</v>
      </c>
      <c r="I2872" s="64" t="s">
        <v>2699</v>
      </c>
      <c r="J2872" s="66"/>
      <c r="K2872" s="66"/>
      <c r="L2872" s="68"/>
      <c r="M2872" s="63" t="str">
        <f>HYPERLINK("http://nsgreg.nga.mil/genc/view?v=870561&amp;end_month=12&amp;end_day=31&amp;end_year=2016","Correlation")</f>
        <v>Correlation</v>
      </c>
    </row>
    <row r="2873" spans="1:13" x14ac:dyDescent="0.2">
      <c r="A2873" s="113"/>
      <c r="B2873" s="58" t="s">
        <v>2700</v>
      </c>
      <c r="C2873" s="58" t="s">
        <v>1728</v>
      </c>
      <c r="D2873" s="58" t="s">
        <v>2701</v>
      </c>
      <c r="E2873" s="60" t="b">
        <v>1</v>
      </c>
      <c r="F2873" s="80" t="s">
        <v>351</v>
      </c>
      <c r="G2873" s="58" t="s">
        <v>2700</v>
      </c>
      <c r="H2873" s="58" t="s">
        <v>1728</v>
      </c>
      <c r="I2873" s="64" t="s">
        <v>2701</v>
      </c>
      <c r="J2873" s="66"/>
      <c r="K2873" s="66"/>
      <c r="L2873" s="68"/>
      <c r="M2873" s="63" t="str">
        <f>HYPERLINK("http://nsgreg.nga.mil/genc/view?v=870562&amp;end_month=12&amp;end_day=31&amp;end_year=2016","Correlation")</f>
        <v>Correlation</v>
      </c>
    </row>
    <row r="2874" spans="1:13" x14ac:dyDescent="0.2">
      <c r="A2874" s="113"/>
      <c r="B2874" s="58" t="s">
        <v>2704</v>
      </c>
      <c r="C2874" s="58" t="s">
        <v>1763</v>
      </c>
      <c r="D2874" s="58" t="s">
        <v>2703</v>
      </c>
      <c r="E2874" s="60" t="b">
        <v>1</v>
      </c>
      <c r="F2874" s="80" t="s">
        <v>351</v>
      </c>
      <c r="G2874" s="58" t="s">
        <v>2702</v>
      </c>
      <c r="H2874" s="58" t="s">
        <v>1763</v>
      </c>
      <c r="I2874" s="64" t="s">
        <v>2703</v>
      </c>
      <c r="J2874" s="66"/>
      <c r="K2874" s="66"/>
      <c r="L2874" s="68"/>
      <c r="M2874" s="63" t="str">
        <f>HYPERLINK("http://nsgreg.nga.mil/genc/view?v=870570&amp;end_month=12&amp;end_day=31&amp;end_year=2016","Correlation")</f>
        <v>Correlation</v>
      </c>
    </row>
    <row r="2875" spans="1:13" x14ac:dyDescent="0.2">
      <c r="A2875" s="113"/>
      <c r="B2875" s="58" t="s">
        <v>2705</v>
      </c>
      <c r="C2875" s="58" t="s">
        <v>2706</v>
      </c>
      <c r="D2875" s="58" t="s">
        <v>2707</v>
      </c>
      <c r="E2875" s="60" t="b">
        <v>1</v>
      </c>
      <c r="F2875" s="80" t="s">
        <v>351</v>
      </c>
      <c r="G2875" s="58" t="s">
        <v>2705</v>
      </c>
      <c r="H2875" s="58" t="s">
        <v>2706</v>
      </c>
      <c r="I2875" s="64" t="s">
        <v>2707</v>
      </c>
      <c r="J2875" s="66"/>
      <c r="K2875" s="66"/>
      <c r="L2875" s="68"/>
      <c r="M2875" s="63" t="str">
        <f>HYPERLINK("http://nsgreg.nga.mil/genc/view?v=870573&amp;end_month=12&amp;end_day=31&amp;end_year=2016","Correlation")</f>
        <v>Correlation</v>
      </c>
    </row>
    <row r="2876" spans="1:13" x14ac:dyDescent="0.2">
      <c r="A2876" s="113"/>
      <c r="B2876" s="58" t="s">
        <v>2710</v>
      </c>
      <c r="C2876" s="58" t="s">
        <v>1763</v>
      </c>
      <c r="D2876" s="58" t="s">
        <v>2709</v>
      </c>
      <c r="E2876" s="60" t="b">
        <v>1</v>
      </c>
      <c r="F2876" s="80" t="s">
        <v>351</v>
      </c>
      <c r="G2876" s="58" t="s">
        <v>2708</v>
      </c>
      <c r="H2876" s="58" t="s">
        <v>1763</v>
      </c>
      <c r="I2876" s="64" t="s">
        <v>2709</v>
      </c>
      <c r="J2876" s="66"/>
      <c r="K2876" s="66"/>
      <c r="L2876" s="68"/>
      <c r="M2876" s="63" t="str">
        <f>HYPERLINK("http://nsgreg.nga.mil/genc/view?v=870571&amp;end_month=12&amp;end_day=31&amp;end_year=2016","Correlation")</f>
        <v>Correlation</v>
      </c>
    </row>
    <row r="2877" spans="1:13" x14ac:dyDescent="0.2">
      <c r="A2877" s="113"/>
      <c r="B2877" s="58" t="s">
        <v>2711</v>
      </c>
      <c r="C2877" s="58" t="s">
        <v>1728</v>
      </c>
      <c r="D2877" s="58" t="s">
        <v>2712</v>
      </c>
      <c r="E2877" s="60" t="b">
        <v>1</v>
      </c>
      <c r="F2877" s="80" t="s">
        <v>351</v>
      </c>
      <c r="G2877" s="58" t="s">
        <v>2711</v>
      </c>
      <c r="H2877" s="58" t="s">
        <v>1728</v>
      </c>
      <c r="I2877" s="64" t="s">
        <v>2712</v>
      </c>
      <c r="J2877" s="66"/>
      <c r="K2877" s="66"/>
      <c r="L2877" s="68"/>
      <c r="M2877" s="63" t="str">
        <f>HYPERLINK("http://nsgreg.nga.mil/genc/view?v=870559&amp;end_month=12&amp;end_day=31&amp;end_year=2016","Correlation")</f>
        <v>Correlation</v>
      </c>
    </row>
    <row r="2878" spans="1:13" x14ac:dyDescent="0.2">
      <c r="A2878" s="113"/>
      <c r="B2878" s="58" t="s">
        <v>2715</v>
      </c>
      <c r="C2878" s="58" t="s">
        <v>1763</v>
      </c>
      <c r="D2878" s="58" t="s">
        <v>2714</v>
      </c>
      <c r="E2878" s="60" t="b">
        <v>1</v>
      </c>
      <c r="F2878" s="80" t="s">
        <v>351</v>
      </c>
      <c r="G2878" s="58" t="s">
        <v>2713</v>
      </c>
      <c r="H2878" s="58" t="s">
        <v>1763</v>
      </c>
      <c r="I2878" s="64" t="s">
        <v>2714</v>
      </c>
      <c r="J2878" s="66"/>
      <c r="K2878" s="66"/>
      <c r="L2878" s="68"/>
      <c r="M2878" s="63" t="str">
        <f>HYPERLINK("http://nsgreg.nga.mil/genc/view?v=870572&amp;end_month=12&amp;end_day=31&amp;end_year=2016","Correlation")</f>
        <v>Correlation</v>
      </c>
    </row>
    <row r="2879" spans="1:13" x14ac:dyDescent="0.2">
      <c r="A2879" s="113"/>
      <c r="B2879" s="58" t="s">
        <v>2718</v>
      </c>
      <c r="C2879" s="58" t="s">
        <v>1728</v>
      </c>
      <c r="D2879" s="58" t="s">
        <v>2717</v>
      </c>
      <c r="E2879" s="60" t="b">
        <v>1</v>
      </c>
      <c r="F2879" s="80" t="s">
        <v>351</v>
      </c>
      <c r="G2879" s="58" t="s">
        <v>2716</v>
      </c>
      <c r="H2879" s="58" t="s">
        <v>1728</v>
      </c>
      <c r="I2879" s="64" t="s">
        <v>2717</v>
      </c>
      <c r="J2879" s="66"/>
      <c r="K2879" s="66"/>
      <c r="L2879" s="68"/>
      <c r="M2879" s="63" t="str">
        <f>HYPERLINK("http://nsgreg.nga.mil/genc/view?v=870563&amp;end_month=12&amp;end_day=31&amp;end_year=2016","Correlation")</f>
        <v>Correlation</v>
      </c>
    </row>
    <row r="2880" spans="1:13" x14ac:dyDescent="0.2">
      <c r="A2880" s="114"/>
      <c r="B2880" s="71" t="s">
        <v>2719</v>
      </c>
      <c r="C2880" s="71" t="s">
        <v>1728</v>
      </c>
      <c r="D2880" s="71" t="s">
        <v>2720</v>
      </c>
      <c r="E2880" s="73" t="b">
        <v>1</v>
      </c>
      <c r="F2880" s="81" t="s">
        <v>351</v>
      </c>
      <c r="G2880" s="71" t="s">
        <v>2719</v>
      </c>
      <c r="H2880" s="71" t="s">
        <v>1728</v>
      </c>
      <c r="I2880" s="74" t="s">
        <v>2720</v>
      </c>
      <c r="J2880" s="76"/>
      <c r="K2880" s="76"/>
      <c r="L2880" s="82"/>
      <c r="M2880" s="77" t="str">
        <f>HYPERLINK("http://nsgreg.nga.mil/genc/view?v=870564&amp;end_month=12&amp;end_day=31&amp;end_year=2016","Correlation")</f>
        <v>Correlation</v>
      </c>
    </row>
    <row r="2881" spans="1:13" x14ac:dyDescent="0.2">
      <c r="A2881" s="112" t="s">
        <v>958</v>
      </c>
      <c r="B2881" s="50" t="s">
        <v>7637</v>
      </c>
      <c r="C2881" s="50" t="s">
        <v>1728</v>
      </c>
      <c r="D2881" s="50" t="s">
        <v>7638</v>
      </c>
      <c r="E2881" s="52" t="b">
        <v>1</v>
      </c>
      <c r="F2881" s="78" t="s">
        <v>958</v>
      </c>
      <c r="G2881" s="50" t="s">
        <v>7637</v>
      </c>
      <c r="H2881" s="50" t="s">
        <v>1728</v>
      </c>
      <c r="I2881" s="53" t="s">
        <v>7638</v>
      </c>
      <c r="J2881" s="55"/>
      <c r="K2881" s="55"/>
      <c r="L2881" s="79"/>
      <c r="M2881" s="56" t="str">
        <f>HYPERLINK("http://nsgreg.nga.mil/genc/view?v=870815&amp;end_month=12&amp;end_day=31&amp;end_year=2016","Correlation")</f>
        <v>Correlation</v>
      </c>
    </row>
    <row r="2882" spans="1:13" x14ac:dyDescent="0.2">
      <c r="A2882" s="113"/>
      <c r="B2882" s="58" t="s">
        <v>7639</v>
      </c>
      <c r="C2882" s="58" t="s">
        <v>1728</v>
      </c>
      <c r="D2882" s="58" t="s">
        <v>7640</v>
      </c>
      <c r="E2882" s="60" t="b">
        <v>1</v>
      </c>
      <c r="F2882" s="80" t="s">
        <v>958</v>
      </c>
      <c r="G2882" s="58" t="s">
        <v>7639</v>
      </c>
      <c r="H2882" s="58" t="s">
        <v>1728</v>
      </c>
      <c r="I2882" s="64" t="s">
        <v>7640</v>
      </c>
      <c r="J2882" s="66"/>
      <c r="K2882" s="66"/>
      <c r="L2882" s="68"/>
      <c r="M2882" s="63" t="str">
        <f>HYPERLINK("http://nsgreg.nga.mil/genc/view?v=870816&amp;end_month=12&amp;end_day=31&amp;end_year=2016","Correlation")</f>
        <v>Correlation</v>
      </c>
    </row>
    <row r="2883" spans="1:13" x14ac:dyDescent="0.2">
      <c r="A2883" s="113"/>
      <c r="B2883" s="58" t="s">
        <v>7643</v>
      </c>
      <c r="C2883" s="58" t="s">
        <v>1728</v>
      </c>
      <c r="D2883" s="58" t="s">
        <v>7642</v>
      </c>
      <c r="E2883" s="60" t="b">
        <v>1</v>
      </c>
      <c r="F2883" s="80" t="s">
        <v>958</v>
      </c>
      <c r="G2883" s="58" t="s">
        <v>7641</v>
      </c>
      <c r="H2883" s="58" t="s">
        <v>1728</v>
      </c>
      <c r="I2883" s="64" t="s">
        <v>7642</v>
      </c>
      <c r="J2883" s="66"/>
      <c r="K2883" s="66"/>
      <c r="L2883" s="68"/>
      <c r="M2883" s="63" t="str">
        <f>HYPERLINK("http://nsgreg.nga.mil/genc/view?v=870817&amp;end_month=12&amp;end_day=31&amp;end_year=2016","Correlation")</f>
        <v>Correlation</v>
      </c>
    </row>
    <row r="2884" spans="1:13" x14ac:dyDescent="0.2">
      <c r="A2884" s="113"/>
      <c r="B2884" s="58" t="s">
        <v>7644</v>
      </c>
      <c r="C2884" s="58" t="s">
        <v>1728</v>
      </c>
      <c r="D2884" s="58" t="s">
        <v>7645</v>
      </c>
      <c r="E2884" s="60" t="b">
        <v>1</v>
      </c>
      <c r="F2884" s="80" t="s">
        <v>958</v>
      </c>
      <c r="G2884" s="58" t="s">
        <v>7644</v>
      </c>
      <c r="H2884" s="58" t="s">
        <v>1728</v>
      </c>
      <c r="I2884" s="64" t="s">
        <v>7645</v>
      </c>
      <c r="J2884" s="66"/>
      <c r="K2884" s="66"/>
      <c r="L2884" s="68"/>
      <c r="M2884" s="63" t="str">
        <f>HYPERLINK("http://nsgreg.nga.mil/genc/view?v=870818&amp;end_month=12&amp;end_day=31&amp;end_year=2016","Correlation")</f>
        <v>Correlation</v>
      </c>
    </row>
    <row r="2885" spans="1:13" x14ac:dyDescent="0.2">
      <c r="A2885" s="113"/>
      <c r="B2885" s="58" t="s">
        <v>7646</v>
      </c>
      <c r="C2885" s="58" t="s">
        <v>1728</v>
      </c>
      <c r="D2885" s="58" t="s">
        <v>7647</v>
      </c>
      <c r="E2885" s="60" t="b">
        <v>1</v>
      </c>
      <c r="F2885" s="80" t="s">
        <v>958</v>
      </c>
      <c r="G2885" s="58" t="s">
        <v>7646</v>
      </c>
      <c r="H2885" s="58" t="s">
        <v>1728</v>
      </c>
      <c r="I2885" s="64" t="s">
        <v>7647</v>
      </c>
      <c r="J2885" s="66"/>
      <c r="K2885" s="66"/>
      <c r="L2885" s="68"/>
      <c r="M2885" s="63" t="str">
        <f>HYPERLINK("http://nsgreg.nga.mil/genc/view?v=870821&amp;end_month=12&amp;end_day=31&amp;end_year=2016","Correlation")</f>
        <v>Correlation</v>
      </c>
    </row>
    <row r="2886" spans="1:13" x14ac:dyDescent="0.2">
      <c r="A2886" s="113"/>
      <c r="B2886" s="58" t="s">
        <v>7648</v>
      </c>
      <c r="C2886" s="58" t="s">
        <v>1728</v>
      </c>
      <c r="D2886" s="58" t="s">
        <v>7649</v>
      </c>
      <c r="E2886" s="60" t="b">
        <v>1</v>
      </c>
      <c r="F2886" s="80" t="s">
        <v>958</v>
      </c>
      <c r="G2886" s="58" t="s">
        <v>7648</v>
      </c>
      <c r="H2886" s="58" t="s">
        <v>1728</v>
      </c>
      <c r="I2886" s="64" t="s">
        <v>7649</v>
      </c>
      <c r="J2886" s="66"/>
      <c r="K2886" s="66"/>
      <c r="L2886" s="68"/>
      <c r="M2886" s="63" t="str">
        <f>HYPERLINK("http://nsgreg.nga.mil/genc/view?v=870819&amp;end_month=12&amp;end_day=31&amp;end_year=2016","Correlation")</f>
        <v>Correlation</v>
      </c>
    </row>
    <row r="2887" spans="1:13" x14ac:dyDescent="0.2">
      <c r="A2887" s="113"/>
      <c r="B2887" s="58" t="s">
        <v>7650</v>
      </c>
      <c r="C2887" s="58" t="s">
        <v>1728</v>
      </c>
      <c r="D2887" s="58" t="s">
        <v>7651</v>
      </c>
      <c r="E2887" s="60" t="b">
        <v>1</v>
      </c>
      <c r="F2887" s="80" t="s">
        <v>958</v>
      </c>
      <c r="G2887" s="58" t="s">
        <v>7650</v>
      </c>
      <c r="H2887" s="58" t="s">
        <v>1728</v>
      </c>
      <c r="I2887" s="64" t="s">
        <v>7651</v>
      </c>
      <c r="J2887" s="66"/>
      <c r="K2887" s="66"/>
      <c r="L2887" s="68"/>
      <c r="M2887" s="63" t="str">
        <f>HYPERLINK("http://nsgreg.nga.mil/genc/view?v=870820&amp;end_month=12&amp;end_day=31&amp;end_year=2016","Correlation")</f>
        <v>Correlation</v>
      </c>
    </row>
    <row r="2888" spans="1:13" x14ac:dyDescent="0.2">
      <c r="A2888" s="113"/>
      <c r="B2888" s="58" t="s">
        <v>7652</v>
      </c>
      <c r="C2888" s="58" t="s">
        <v>1728</v>
      </c>
      <c r="D2888" s="58" t="s">
        <v>7653</v>
      </c>
      <c r="E2888" s="60" t="b">
        <v>1</v>
      </c>
      <c r="F2888" s="80" t="s">
        <v>958</v>
      </c>
      <c r="G2888" s="58" t="s">
        <v>7652</v>
      </c>
      <c r="H2888" s="58" t="s">
        <v>1728</v>
      </c>
      <c r="I2888" s="64" t="s">
        <v>7653</v>
      </c>
      <c r="J2888" s="66"/>
      <c r="K2888" s="66"/>
      <c r="L2888" s="68"/>
      <c r="M2888" s="63" t="str">
        <f>HYPERLINK("http://nsgreg.nga.mil/genc/view?v=870827&amp;end_month=12&amp;end_day=31&amp;end_year=2016","Correlation")</f>
        <v>Correlation</v>
      </c>
    </row>
    <row r="2889" spans="1:13" x14ac:dyDescent="0.2">
      <c r="A2889" s="113"/>
      <c r="B2889" s="58" t="s">
        <v>7654</v>
      </c>
      <c r="C2889" s="58" t="s">
        <v>1728</v>
      </c>
      <c r="D2889" s="58" t="s">
        <v>7655</v>
      </c>
      <c r="E2889" s="60" t="b">
        <v>1</v>
      </c>
      <c r="F2889" s="80" t="s">
        <v>958</v>
      </c>
      <c r="G2889" s="58" t="s">
        <v>7654</v>
      </c>
      <c r="H2889" s="58" t="s">
        <v>1728</v>
      </c>
      <c r="I2889" s="64" t="s">
        <v>7655</v>
      </c>
      <c r="J2889" s="66"/>
      <c r="K2889" s="66"/>
      <c r="L2889" s="68"/>
      <c r="M2889" s="63" t="str">
        <f>HYPERLINK("http://nsgreg.nga.mil/genc/view?v=870823&amp;end_month=12&amp;end_day=31&amp;end_year=2016","Correlation")</f>
        <v>Correlation</v>
      </c>
    </row>
    <row r="2890" spans="1:13" x14ac:dyDescent="0.2">
      <c r="A2890" s="113"/>
      <c r="B2890" s="58" t="s">
        <v>7656</v>
      </c>
      <c r="C2890" s="58" t="s">
        <v>1728</v>
      </c>
      <c r="D2890" s="58" t="s">
        <v>7657</v>
      </c>
      <c r="E2890" s="60" t="b">
        <v>1</v>
      </c>
      <c r="F2890" s="80" t="s">
        <v>958</v>
      </c>
      <c r="G2890" s="58" t="s">
        <v>7656</v>
      </c>
      <c r="H2890" s="58" t="s">
        <v>1728</v>
      </c>
      <c r="I2890" s="64" t="s">
        <v>7657</v>
      </c>
      <c r="J2890" s="66"/>
      <c r="K2890" s="66"/>
      <c r="L2890" s="68"/>
      <c r="M2890" s="63" t="str">
        <f>HYPERLINK("http://nsgreg.nga.mil/genc/view?v=870825&amp;end_month=12&amp;end_day=31&amp;end_year=2016","Correlation")</f>
        <v>Correlation</v>
      </c>
    </row>
    <row r="2891" spans="1:13" x14ac:dyDescent="0.2">
      <c r="A2891" s="113"/>
      <c r="B2891" s="58" t="s">
        <v>7658</v>
      </c>
      <c r="C2891" s="58" t="s">
        <v>1728</v>
      </c>
      <c r="D2891" s="58" t="s">
        <v>7659</v>
      </c>
      <c r="E2891" s="60" t="b">
        <v>1</v>
      </c>
      <c r="F2891" s="80" t="s">
        <v>958</v>
      </c>
      <c r="G2891" s="58" t="s">
        <v>7658</v>
      </c>
      <c r="H2891" s="58" t="s">
        <v>1728</v>
      </c>
      <c r="I2891" s="64" t="s">
        <v>7659</v>
      </c>
      <c r="J2891" s="66"/>
      <c r="K2891" s="66"/>
      <c r="L2891" s="68"/>
      <c r="M2891" s="63" t="str">
        <f>HYPERLINK("http://nsgreg.nga.mil/genc/view?v=870824&amp;end_month=12&amp;end_day=31&amp;end_year=2016","Correlation")</f>
        <v>Correlation</v>
      </c>
    </row>
    <row r="2892" spans="1:13" x14ac:dyDescent="0.2">
      <c r="A2892" s="113"/>
      <c r="B2892" s="58" t="s">
        <v>7660</v>
      </c>
      <c r="C2892" s="58" t="s">
        <v>1728</v>
      </c>
      <c r="D2892" s="58" t="s">
        <v>7661</v>
      </c>
      <c r="E2892" s="60" t="b">
        <v>1</v>
      </c>
      <c r="F2892" s="80" t="s">
        <v>958</v>
      </c>
      <c r="G2892" s="58" t="s">
        <v>7660</v>
      </c>
      <c r="H2892" s="58" t="s">
        <v>1728</v>
      </c>
      <c r="I2892" s="64" t="s">
        <v>7661</v>
      </c>
      <c r="J2892" s="66"/>
      <c r="K2892" s="66"/>
      <c r="L2892" s="68"/>
      <c r="M2892" s="63" t="str">
        <f>HYPERLINK("http://nsgreg.nga.mil/genc/view?v=870826&amp;end_month=12&amp;end_day=31&amp;end_year=2016","Correlation")</f>
        <v>Correlation</v>
      </c>
    </row>
    <row r="2893" spans="1:13" x14ac:dyDescent="0.2">
      <c r="A2893" s="113"/>
      <c r="B2893" s="58" t="s">
        <v>7662</v>
      </c>
      <c r="C2893" s="58" t="s">
        <v>1728</v>
      </c>
      <c r="D2893" s="58" t="s">
        <v>7663</v>
      </c>
      <c r="E2893" s="60" t="b">
        <v>1</v>
      </c>
      <c r="F2893" s="80" t="s">
        <v>958</v>
      </c>
      <c r="G2893" s="58" t="s">
        <v>7662</v>
      </c>
      <c r="H2893" s="58" t="s">
        <v>1728</v>
      </c>
      <c r="I2893" s="64" t="s">
        <v>7663</v>
      </c>
      <c r="J2893" s="66"/>
      <c r="K2893" s="66"/>
      <c r="L2893" s="68"/>
      <c r="M2893" s="63" t="str">
        <f>HYPERLINK("http://nsgreg.nga.mil/genc/view?v=870822&amp;end_month=12&amp;end_day=31&amp;end_year=2016","Correlation")</f>
        <v>Correlation</v>
      </c>
    </row>
    <row r="2894" spans="1:13" x14ac:dyDescent="0.2">
      <c r="A2894" s="114"/>
      <c r="B2894" s="71" t="s">
        <v>7664</v>
      </c>
      <c r="C2894" s="71" t="s">
        <v>1728</v>
      </c>
      <c r="D2894" s="71" t="s">
        <v>7665</v>
      </c>
      <c r="E2894" s="73" t="b">
        <v>1</v>
      </c>
      <c r="F2894" s="81" t="s">
        <v>958</v>
      </c>
      <c r="G2894" s="71" t="s">
        <v>7664</v>
      </c>
      <c r="H2894" s="71" t="s">
        <v>1728</v>
      </c>
      <c r="I2894" s="74" t="s">
        <v>7665</v>
      </c>
      <c r="J2894" s="76"/>
      <c r="K2894" s="76"/>
      <c r="L2894" s="82"/>
      <c r="M2894" s="77" t="str">
        <f>HYPERLINK("http://nsgreg.nga.mil/genc/view?v=870814&amp;end_month=12&amp;end_day=31&amp;end_year=2016","Correlation")</f>
        <v>Correlation</v>
      </c>
    </row>
    <row r="2895" spans="1:13" x14ac:dyDescent="0.2">
      <c r="A2895" s="112" t="s">
        <v>962</v>
      </c>
      <c r="B2895" s="50" t="s">
        <v>7666</v>
      </c>
      <c r="C2895" s="50" t="s">
        <v>1796</v>
      </c>
      <c r="D2895" s="50" t="s">
        <v>7667</v>
      </c>
      <c r="E2895" s="52" t="b">
        <v>1</v>
      </c>
      <c r="F2895" s="78" t="s">
        <v>962</v>
      </c>
      <c r="G2895" s="50" t="s">
        <v>7666</v>
      </c>
      <c r="H2895" s="50" t="s">
        <v>1796</v>
      </c>
      <c r="I2895" s="53" t="s">
        <v>7667</v>
      </c>
      <c r="J2895" s="55"/>
      <c r="K2895" s="55"/>
      <c r="L2895" s="79"/>
      <c r="M2895" s="56" t="str">
        <f>HYPERLINK("http://nsgreg.nga.mil/genc/view?v=870948&amp;end_month=12&amp;end_day=31&amp;end_year=2016","Correlation")</f>
        <v>Correlation</v>
      </c>
    </row>
    <row r="2896" spans="1:13" x14ac:dyDescent="0.2">
      <c r="A2896" s="113"/>
      <c r="B2896" s="58" t="s">
        <v>7668</v>
      </c>
      <c r="C2896" s="58" t="s">
        <v>1796</v>
      </c>
      <c r="D2896" s="58" t="s">
        <v>7669</v>
      </c>
      <c r="E2896" s="60" t="b">
        <v>1</v>
      </c>
      <c r="F2896" s="80" t="s">
        <v>962</v>
      </c>
      <c r="G2896" s="58" t="s">
        <v>7668</v>
      </c>
      <c r="H2896" s="58" t="s">
        <v>1796</v>
      </c>
      <c r="I2896" s="64" t="s">
        <v>7669</v>
      </c>
      <c r="J2896" s="66"/>
      <c r="K2896" s="66"/>
      <c r="L2896" s="68"/>
      <c r="M2896" s="63" t="str">
        <f>HYPERLINK("http://nsgreg.nga.mil/genc/view?v=870949&amp;end_month=12&amp;end_day=31&amp;end_year=2016","Correlation")</f>
        <v>Correlation</v>
      </c>
    </row>
    <row r="2897" spans="1:13" x14ac:dyDescent="0.2">
      <c r="A2897" s="113"/>
      <c r="B2897" s="58" t="s">
        <v>7670</v>
      </c>
      <c r="C2897" s="58" t="s">
        <v>1796</v>
      </c>
      <c r="D2897" s="58" t="s">
        <v>7671</v>
      </c>
      <c r="E2897" s="60" t="b">
        <v>1</v>
      </c>
      <c r="F2897" s="80" t="s">
        <v>962</v>
      </c>
      <c r="G2897" s="58" t="s">
        <v>7670</v>
      </c>
      <c r="H2897" s="58" t="s">
        <v>1796</v>
      </c>
      <c r="I2897" s="64" t="s">
        <v>7671</v>
      </c>
      <c r="J2897" s="66"/>
      <c r="K2897" s="66"/>
      <c r="L2897" s="68"/>
      <c r="M2897" s="63" t="str">
        <f>HYPERLINK("http://nsgreg.nga.mil/genc/view?v=870950&amp;end_month=12&amp;end_day=31&amp;end_year=2016","Correlation")</f>
        <v>Correlation</v>
      </c>
    </row>
    <row r="2898" spans="1:13" x14ac:dyDescent="0.2">
      <c r="A2898" s="113"/>
      <c r="B2898" s="58" t="s">
        <v>7672</v>
      </c>
      <c r="C2898" s="58" t="s">
        <v>1796</v>
      </c>
      <c r="D2898" s="58" t="s">
        <v>7673</v>
      </c>
      <c r="E2898" s="60" t="b">
        <v>1</v>
      </c>
      <c r="F2898" s="80" t="s">
        <v>962</v>
      </c>
      <c r="G2898" s="58" t="s">
        <v>7672</v>
      </c>
      <c r="H2898" s="58" t="s">
        <v>1796</v>
      </c>
      <c r="I2898" s="64" t="s">
        <v>7673</v>
      </c>
      <c r="J2898" s="66"/>
      <c r="K2898" s="66"/>
      <c r="L2898" s="68"/>
      <c r="M2898" s="63" t="str">
        <f>HYPERLINK("http://nsgreg.nga.mil/genc/view?v=870951&amp;end_month=12&amp;end_day=31&amp;end_year=2016","Correlation")</f>
        <v>Correlation</v>
      </c>
    </row>
    <row r="2899" spans="1:13" x14ac:dyDescent="0.2">
      <c r="A2899" s="113"/>
      <c r="B2899" s="58" t="s">
        <v>7674</v>
      </c>
      <c r="C2899" s="58" t="s">
        <v>1796</v>
      </c>
      <c r="D2899" s="58" t="s">
        <v>7675</v>
      </c>
      <c r="E2899" s="60" t="b">
        <v>1</v>
      </c>
      <c r="F2899" s="80" t="s">
        <v>962</v>
      </c>
      <c r="G2899" s="58" t="s">
        <v>7674</v>
      </c>
      <c r="H2899" s="58" t="s">
        <v>1796</v>
      </c>
      <c r="I2899" s="64" t="s">
        <v>7675</v>
      </c>
      <c r="J2899" s="66"/>
      <c r="K2899" s="66"/>
      <c r="L2899" s="68"/>
      <c r="M2899" s="63" t="str">
        <f>HYPERLINK("http://nsgreg.nga.mil/genc/view?v=870952&amp;end_month=12&amp;end_day=31&amp;end_year=2016","Correlation")</f>
        <v>Correlation</v>
      </c>
    </row>
    <row r="2900" spans="1:13" x14ac:dyDescent="0.2">
      <c r="A2900" s="113"/>
      <c r="B2900" s="58" t="s">
        <v>7676</v>
      </c>
      <c r="C2900" s="58" t="s">
        <v>1796</v>
      </c>
      <c r="D2900" s="58" t="s">
        <v>7677</v>
      </c>
      <c r="E2900" s="60" t="b">
        <v>1</v>
      </c>
      <c r="F2900" s="80" t="s">
        <v>962</v>
      </c>
      <c r="G2900" s="58" t="s">
        <v>7676</v>
      </c>
      <c r="H2900" s="58" t="s">
        <v>1796</v>
      </c>
      <c r="I2900" s="64" t="s">
        <v>7677</v>
      </c>
      <c r="J2900" s="66"/>
      <c r="K2900" s="66"/>
      <c r="L2900" s="68"/>
      <c r="M2900" s="63" t="str">
        <f>HYPERLINK("http://nsgreg.nga.mil/genc/view?v=870953&amp;end_month=12&amp;end_day=31&amp;end_year=2016","Correlation")</f>
        <v>Correlation</v>
      </c>
    </row>
    <row r="2901" spans="1:13" x14ac:dyDescent="0.2">
      <c r="A2901" s="113"/>
      <c r="B2901" s="58" t="s">
        <v>7678</v>
      </c>
      <c r="C2901" s="58" t="s">
        <v>1796</v>
      </c>
      <c r="D2901" s="58" t="s">
        <v>7679</v>
      </c>
      <c r="E2901" s="60" t="b">
        <v>1</v>
      </c>
      <c r="F2901" s="80" t="s">
        <v>962</v>
      </c>
      <c r="G2901" s="58" t="s">
        <v>7678</v>
      </c>
      <c r="H2901" s="58" t="s">
        <v>1796</v>
      </c>
      <c r="I2901" s="64" t="s">
        <v>7679</v>
      </c>
      <c r="J2901" s="66"/>
      <c r="K2901" s="66"/>
      <c r="L2901" s="68"/>
      <c r="M2901" s="63" t="str">
        <f>HYPERLINK("http://nsgreg.nga.mil/genc/view?v=870954&amp;end_month=12&amp;end_day=31&amp;end_year=2016","Correlation")</f>
        <v>Correlation</v>
      </c>
    </row>
    <row r="2902" spans="1:13" x14ac:dyDescent="0.2">
      <c r="A2902" s="113"/>
      <c r="B2902" s="58" t="s">
        <v>7680</v>
      </c>
      <c r="C2902" s="58" t="s">
        <v>1796</v>
      </c>
      <c r="D2902" s="58" t="s">
        <v>7681</v>
      </c>
      <c r="E2902" s="60" t="b">
        <v>1</v>
      </c>
      <c r="F2902" s="80" t="s">
        <v>962</v>
      </c>
      <c r="G2902" s="58" t="s">
        <v>7680</v>
      </c>
      <c r="H2902" s="58" t="s">
        <v>1796</v>
      </c>
      <c r="I2902" s="64" t="s">
        <v>7681</v>
      </c>
      <c r="J2902" s="66"/>
      <c r="K2902" s="66"/>
      <c r="L2902" s="68"/>
      <c r="M2902" s="63" t="str">
        <f>HYPERLINK("http://nsgreg.nga.mil/genc/view?v=870955&amp;end_month=12&amp;end_day=31&amp;end_year=2016","Correlation")</f>
        <v>Correlation</v>
      </c>
    </row>
    <row r="2903" spans="1:13" x14ac:dyDescent="0.2">
      <c r="A2903" s="113"/>
      <c r="B2903" s="58" t="s">
        <v>7682</v>
      </c>
      <c r="C2903" s="58" t="s">
        <v>1796</v>
      </c>
      <c r="D2903" s="58" t="s">
        <v>7683</v>
      </c>
      <c r="E2903" s="60" t="b">
        <v>1</v>
      </c>
      <c r="F2903" s="80" t="s">
        <v>962</v>
      </c>
      <c r="G2903" s="58" t="s">
        <v>7682</v>
      </c>
      <c r="H2903" s="58" t="s">
        <v>1796</v>
      </c>
      <c r="I2903" s="64" t="s">
        <v>7683</v>
      </c>
      <c r="J2903" s="66"/>
      <c r="K2903" s="66"/>
      <c r="L2903" s="68"/>
      <c r="M2903" s="63" t="str">
        <f>HYPERLINK("http://nsgreg.nga.mil/genc/view?v=870956&amp;end_month=12&amp;end_day=31&amp;end_year=2016","Correlation")</f>
        <v>Correlation</v>
      </c>
    </row>
    <row r="2904" spans="1:13" x14ac:dyDescent="0.2">
      <c r="A2904" s="113"/>
      <c r="B2904" s="58" t="s">
        <v>7684</v>
      </c>
      <c r="C2904" s="58" t="s">
        <v>1796</v>
      </c>
      <c r="D2904" s="58" t="s">
        <v>7685</v>
      </c>
      <c r="E2904" s="60" t="b">
        <v>1</v>
      </c>
      <c r="F2904" s="80" t="s">
        <v>962</v>
      </c>
      <c r="G2904" s="58" t="s">
        <v>7684</v>
      </c>
      <c r="H2904" s="58" t="s">
        <v>1796</v>
      </c>
      <c r="I2904" s="64" t="s">
        <v>7685</v>
      </c>
      <c r="J2904" s="66"/>
      <c r="K2904" s="66"/>
      <c r="L2904" s="68"/>
      <c r="M2904" s="63" t="str">
        <f>HYPERLINK("http://nsgreg.nga.mil/genc/view?v=870957&amp;end_month=12&amp;end_day=31&amp;end_year=2016","Correlation")</f>
        <v>Correlation</v>
      </c>
    </row>
    <row r="2905" spans="1:13" x14ac:dyDescent="0.2">
      <c r="A2905" s="113"/>
      <c r="B2905" s="58" t="s">
        <v>7686</v>
      </c>
      <c r="C2905" s="58" t="s">
        <v>1796</v>
      </c>
      <c r="D2905" s="58" t="s">
        <v>7687</v>
      </c>
      <c r="E2905" s="60" t="b">
        <v>1</v>
      </c>
      <c r="F2905" s="80" t="s">
        <v>962</v>
      </c>
      <c r="G2905" s="58" t="s">
        <v>7686</v>
      </c>
      <c r="H2905" s="58" t="s">
        <v>1796</v>
      </c>
      <c r="I2905" s="64" t="s">
        <v>7687</v>
      </c>
      <c r="J2905" s="66"/>
      <c r="K2905" s="66"/>
      <c r="L2905" s="68"/>
      <c r="M2905" s="63" t="str">
        <f>HYPERLINK("http://nsgreg.nga.mil/genc/view?v=870958&amp;end_month=12&amp;end_day=31&amp;end_year=2016","Correlation")</f>
        <v>Correlation</v>
      </c>
    </row>
    <row r="2906" spans="1:13" x14ac:dyDescent="0.2">
      <c r="A2906" s="113"/>
      <c r="B2906" s="58" t="s">
        <v>7688</v>
      </c>
      <c r="C2906" s="58" t="s">
        <v>1796</v>
      </c>
      <c r="D2906" s="58" t="s">
        <v>7689</v>
      </c>
      <c r="E2906" s="60" t="b">
        <v>1</v>
      </c>
      <c r="F2906" s="80" t="s">
        <v>962</v>
      </c>
      <c r="G2906" s="58" t="s">
        <v>7688</v>
      </c>
      <c r="H2906" s="58" t="s">
        <v>1796</v>
      </c>
      <c r="I2906" s="64" t="s">
        <v>7689</v>
      </c>
      <c r="J2906" s="66"/>
      <c r="K2906" s="66"/>
      <c r="L2906" s="68"/>
      <c r="M2906" s="63" t="str">
        <f>HYPERLINK("http://nsgreg.nga.mil/genc/view?v=870959&amp;end_month=12&amp;end_day=31&amp;end_year=2016","Correlation")</f>
        <v>Correlation</v>
      </c>
    </row>
    <row r="2907" spans="1:13" x14ac:dyDescent="0.2">
      <c r="A2907" s="113"/>
      <c r="B2907" s="58" t="s">
        <v>7690</v>
      </c>
      <c r="C2907" s="58" t="s">
        <v>1796</v>
      </c>
      <c r="D2907" s="58" t="s">
        <v>7691</v>
      </c>
      <c r="E2907" s="60" t="b">
        <v>1</v>
      </c>
      <c r="F2907" s="80" t="s">
        <v>962</v>
      </c>
      <c r="G2907" s="58" t="s">
        <v>7690</v>
      </c>
      <c r="H2907" s="58" t="s">
        <v>1796</v>
      </c>
      <c r="I2907" s="64" t="s">
        <v>7691</v>
      </c>
      <c r="J2907" s="66"/>
      <c r="K2907" s="66"/>
      <c r="L2907" s="68"/>
      <c r="M2907" s="63" t="str">
        <f>HYPERLINK("http://nsgreg.nga.mil/genc/view?v=870960&amp;end_month=12&amp;end_day=31&amp;end_year=2016","Correlation")</f>
        <v>Correlation</v>
      </c>
    </row>
    <row r="2908" spans="1:13" x14ac:dyDescent="0.2">
      <c r="A2908" s="114"/>
      <c r="B2908" s="71" t="s">
        <v>7692</v>
      </c>
      <c r="C2908" s="71" t="s">
        <v>1796</v>
      </c>
      <c r="D2908" s="71" t="s">
        <v>7693</v>
      </c>
      <c r="E2908" s="73" t="b">
        <v>1</v>
      </c>
      <c r="F2908" s="81" t="s">
        <v>962</v>
      </c>
      <c r="G2908" s="71" t="s">
        <v>7692</v>
      </c>
      <c r="H2908" s="71" t="s">
        <v>1796</v>
      </c>
      <c r="I2908" s="74" t="s">
        <v>7693</v>
      </c>
      <c r="J2908" s="76"/>
      <c r="K2908" s="76"/>
      <c r="L2908" s="82"/>
      <c r="M2908" s="77" t="str">
        <f>HYPERLINK("http://nsgreg.nga.mil/genc/view?v=870961&amp;end_month=12&amp;end_day=31&amp;end_year=2016","Correlation")</f>
        <v>Correlation</v>
      </c>
    </row>
    <row r="2909" spans="1:13" x14ac:dyDescent="0.2">
      <c r="A2909" s="112" t="s">
        <v>972</v>
      </c>
      <c r="B2909" s="50" t="s">
        <v>7697</v>
      </c>
      <c r="C2909" s="50" t="s">
        <v>7695</v>
      </c>
      <c r="D2909" s="50" t="s">
        <v>7696</v>
      </c>
      <c r="E2909" s="52" t="b">
        <v>1</v>
      </c>
      <c r="F2909" s="78" t="s">
        <v>972</v>
      </c>
      <c r="G2909" s="50" t="s">
        <v>7694</v>
      </c>
      <c r="H2909" s="50" t="s">
        <v>7695</v>
      </c>
      <c r="I2909" s="53" t="s">
        <v>7696</v>
      </c>
      <c r="J2909" s="55"/>
      <c r="K2909" s="55"/>
      <c r="L2909" s="79"/>
      <c r="M2909" s="56" t="str">
        <f>HYPERLINK("http://nsgreg.nga.mil/genc/view?v=870934&amp;end_month=12&amp;end_day=31&amp;end_year=2016","Correlation")</f>
        <v>Correlation</v>
      </c>
    </row>
    <row r="2910" spans="1:13" x14ac:dyDescent="0.2">
      <c r="A2910" s="113"/>
      <c r="B2910" s="58" t="s">
        <v>7700</v>
      </c>
      <c r="C2910" s="58" t="s">
        <v>7695</v>
      </c>
      <c r="D2910" s="58" t="s">
        <v>7699</v>
      </c>
      <c r="E2910" s="60" t="b">
        <v>1</v>
      </c>
      <c r="F2910" s="80" t="s">
        <v>972</v>
      </c>
      <c r="G2910" s="58" t="s">
        <v>7698</v>
      </c>
      <c r="H2910" s="58" t="s">
        <v>7695</v>
      </c>
      <c r="I2910" s="64" t="s">
        <v>7699</v>
      </c>
      <c r="J2910" s="66"/>
      <c r="K2910" s="66"/>
      <c r="L2910" s="68"/>
      <c r="M2910" s="63" t="str">
        <f>HYPERLINK("http://nsgreg.nga.mil/genc/view?v=870935&amp;end_month=12&amp;end_day=31&amp;end_year=2016","Correlation")</f>
        <v>Correlation</v>
      </c>
    </row>
    <row r="2911" spans="1:13" x14ac:dyDescent="0.2">
      <c r="A2911" s="113"/>
      <c r="B2911" s="58" t="s">
        <v>7703</v>
      </c>
      <c r="C2911" s="58" t="s">
        <v>7695</v>
      </c>
      <c r="D2911" s="58" t="s">
        <v>7702</v>
      </c>
      <c r="E2911" s="60" t="b">
        <v>1</v>
      </c>
      <c r="F2911" s="80" t="s">
        <v>972</v>
      </c>
      <c r="G2911" s="58" t="s">
        <v>7701</v>
      </c>
      <c r="H2911" s="58" t="s">
        <v>7695</v>
      </c>
      <c r="I2911" s="64" t="s">
        <v>7702</v>
      </c>
      <c r="J2911" s="66"/>
      <c r="K2911" s="66"/>
      <c r="L2911" s="68"/>
      <c r="M2911" s="63" t="str">
        <f>HYPERLINK("http://nsgreg.nga.mil/genc/view?v=870936&amp;end_month=12&amp;end_day=31&amp;end_year=2016","Correlation")</f>
        <v>Correlation</v>
      </c>
    </row>
    <row r="2912" spans="1:13" x14ac:dyDescent="0.2">
      <c r="A2912" s="113"/>
      <c r="B2912" s="58" t="s">
        <v>7706</v>
      </c>
      <c r="C2912" s="58" t="s">
        <v>7695</v>
      </c>
      <c r="D2912" s="58" t="s">
        <v>7705</v>
      </c>
      <c r="E2912" s="60" t="b">
        <v>1</v>
      </c>
      <c r="F2912" s="80" t="s">
        <v>972</v>
      </c>
      <c r="G2912" s="58" t="s">
        <v>7704</v>
      </c>
      <c r="H2912" s="58" t="s">
        <v>7695</v>
      </c>
      <c r="I2912" s="64" t="s">
        <v>7705</v>
      </c>
      <c r="J2912" s="66"/>
      <c r="K2912" s="66"/>
      <c r="L2912" s="68"/>
      <c r="M2912" s="63" t="str">
        <f>HYPERLINK("http://nsgreg.nga.mil/genc/view?v=870937&amp;end_month=12&amp;end_day=31&amp;end_year=2016","Correlation")</f>
        <v>Correlation</v>
      </c>
    </row>
    <row r="2913" spans="1:13" x14ac:dyDescent="0.2">
      <c r="A2913" s="113"/>
      <c r="B2913" s="58" t="s">
        <v>7707</v>
      </c>
      <c r="C2913" s="58" t="s">
        <v>7695</v>
      </c>
      <c r="D2913" s="58" t="s">
        <v>7708</v>
      </c>
      <c r="E2913" s="60" t="b">
        <v>1</v>
      </c>
      <c r="F2913" s="80" t="s">
        <v>972</v>
      </c>
      <c r="G2913" s="58" t="s">
        <v>7707</v>
      </c>
      <c r="H2913" s="58" t="s">
        <v>7695</v>
      </c>
      <c r="I2913" s="64" t="s">
        <v>7708</v>
      </c>
      <c r="J2913" s="66"/>
      <c r="K2913" s="66"/>
      <c r="L2913" s="68"/>
      <c r="M2913" s="63" t="str">
        <f>HYPERLINK("http://nsgreg.nga.mil/genc/view?v=870938&amp;end_month=12&amp;end_day=31&amp;end_year=2016","Correlation")</f>
        <v>Correlation</v>
      </c>
    </row>
    <row r="2914" spans="1:13" x14ac:dyDescent="0.2">
      <c r="A2914" s="113"/>
      <c r="B2914" s="58" t="s">
        <v>7711</v>
      </c>
      <c r="C2914" s="58" t="s">
        <v>7695</v>
      </c>
      <c r="D2914" s="58" t="s">
        <v>7710</v>
      </c>
      <c r="E2914" s="60" t="b">
        <v>1</v>
      </c>
      <c r="F2914" s="80" t="s">
        <v>972</v>
      </c>
      <c r="G2914" s="58" t="s">
        <v>7709</v>
      </c>
      <c r="H2914" s="58" t="s">
        <v>7695</v>
      </c>
      <c r="I2914" s="64" t="s">
        <v>7710</v>
      </c>
      <c r="J2914" s="66"/>
      <c r="K2914" s="66"/>
      <c r="L2914" s="68"/>
      <c r="M2914" s="63" t="str">
        <f>HYPERLINK("http://nsgreg.nga.mil/genc/view?v=870939&amp;end_month=12&amp;end_day=31&amp;end_year=2016","Correlation")</f>
        <v>Correlation</v>
      </c>
    </row>
    <row r="2915" spans="1:13" x14ac:dyDescent="0.2">
      <c r="A2915" s="113"/>
      <c r="B2915" s="58" t="s">
        <v>7714</v>
      </c>
      <c r="C2915" s="58" t="s">
        <v>7695</v>
      </c>
      <c r="D2915" s="58" t="s">
        <v>7713</v>
      </c>
      <c r="E2915" s="60" t="b">
        <v>1</v>
      </c>
      <c r="F2915" s="80" t="s">
        <v>972</v>
      </c>
      <c r="G2915" s="58" t="s">
        <v>7712</v>
      </c>
      <c r="H2915" s="58" t="s">
        <v>7695</v>
      </c>
      <c r="I2915" s="64" t="s">
        <v>7713</v>
      </c>
      <c r="J2915" s="66"/>
      <c r="K2915" s="66"/>
      <c r="L2915" s="68"/>
      <c r="M2915" s="63" t="str">
        <f>HYPERLINK("http://nsgreg.nga.mil/genc/view?v=870940&amp;end_month=12&amp;end_day=31&amp;end_year=2016","Correlation")</f>
        <v>Correlation</v>
      </c>
    </row>
    <row r="2916" spans="1:13" x14ac:dyDescent="0.2">
      <c r="A2916" s="113"/>
      <c r="B2916" s="58" t="s">
        <v>7717</v>
      </c>
      <c r="C2916" s="58" t="s">
        <v>7695</v>
      </c>
      <c r="D2916" s="58" t="s">
        <v>7716</v>
      </c>
      <c r="E2916" s="60" t="b">
        <v>1</v>
      </c>
      <c r="F2916" s="80" t="s">
        <v>972</v>
      </c>
      <c r="G2916" s="58" t="s">
        <v>7715</v>
      </c>
      <c r="H2916" s="58" t="s">
        <v>7695</v>
      </c>
      <c r="I2916" s="64" t="s">
        <v>7716</v>
      </c>
      <c r="J2916" s="66"/>
      <c r="K2916" s="66"/>
      <c r="L2916" s="68"/>
      <c r="M2916" s="63" t="str">
        <f>HYPERLINK("http://nsgreg.nga.mil/genc/view?v=870941&amp;end_month=12&amp;end_day=31&amp;end_year=2016","Correlation")</f>
        <v>Correlation</v>
      </c>
    </row>
    <row r="2917" spans="1:13" x14ac:dyDescent="0.2">
      <c r="A2917" s="113"/>
      <c r="B2917" s="58" t="s">
        <v>7718</v>
      </c>
      <c r="C2917" s="58" t="s">
        <v>7719</v>
      </c>
      <c r="D2917" s="58" t="s">
        <v>7720</v>
      </c>
      <c r="E2917" s="60" t="b">
        <v>1</v>
      </c>
      <c r="F2917" s="80" t="s">
        <v>972</v>
      </c>
      <c r="G2917" s="58" t="s">
        <v>7718</v>
      </c>
      <c r="H2917" s="58" t="s">
        <v>7719</v>
      </c>
      <c r="I2917" s="64" t="s">
        <v>7720</v>
      </c>
      <c r="J2917" s="66"/>
      <c r="K2917" s="66"/>
      <c r="L2917" s="68"/>
      <c r="M2917" s="63" t="str">
        <f>HYPERLINK("http://nsgreg.nga.mil/genc/view?v=870929&amp;end_month=12&amp;end_day=31&amp;end_year=2016","Correlation")</f>
        <v>Correlation</v>
      </c>
    </row>
    <row r="2918" spans="1:13" x14ac:dyDescent="0.2">
      <c r="A2918" s="113"/>
      <c r="B2918" s="58" t="s">
        <v>7721</v>
      </c>
      <c r="C2918" s="58" t="s">
        <v>7719</v>
      </c>
      <c r="D2918" s="58" t="s">
        <v>7722</v>
      </c>
      <c r="E2918" s="60" t="b">
        <v>1</v>
      </c>
      <c r="F2918" s="80" t="s">
        <v>972</v>
      </c>
      <c r="G2918" s="58" t="s">
        <v>7721</v>
      </c>
      <c r="H2918" s="58" t="s">
        <v>7719</v>
      </c>
      <c r="I2918" s="64" t="s">
        <v>7722</v>
      </c>
      <c r="J2918" s="66"/>
      <c r="K2918" s="66"/>
      <c r="L2918" s="68"/>
      <c r="M2918" s="63" t="str">
        <f>HYPERLINK("http://nsgreg.nga.mil/genc/view?v=870930&amp;end_month=12&amp;end_day=31&amp;end_year=2016","Correlation")</f>
        <v>Correlation</v>
      </c>
    </row>
    <row r="2919" spans="1:13" x14ac:dyDescent="0.2">
      <c r="A2919" s="113"/>
      <c r="B2919" s="58" t="s">
        <v>7725</v>
      </c>
      <c r="C2919" s="58" t="s">
        <v>7695</v>
      </c>
      <c r="D2919" s="58" t="s">
        <v>7724</v>
      </c>
      <c r="E2919" s="60" t="b">
        <v>1</v>
      </c>
      <c r="F2919" s="80" t="s">
        <v>972</v>
      </c>
      <c r="G2919" s="58" t="s">
        <v>7723</v>
      </c>
      <c r="H2919" s="58" t="s">
        <v>7695</v>
      </c>
      <c r="I2919" s="64" t="s">
        <v>7724</v>
      </c>
      <c r="J2919" s="66"/>
      <c r="K2919" s="66"/>
      <c r="L2919" s="68"/>
      <c r="M2919" s="63" t="str">
        <f>HYPERLINK("http://nsgreg.nga.mil/genc/view?v=870942&amp;end_month=12&amp;end_day=31&amp;end_year=2016","Correlation")</f>
        <v>Correlation</v>
      </c>
    </row>
    <row r="2920" spans="1:13" x14ac:dyDescent="0.2">
      <c r="A2920" s="113"/>
      <c r="B2920" s="58" t="s">
        <v>7728</v>
      </c>
      <c r="C2920" s="58" t="s">
        <v>7695</v>
      </c>
      <c r="D2920" s="58" t="s">
        <v>7727</v>
      </c>
      <c r="E2920" s="60" t="b">
        <v>1</v>
      </c>
      <c r="F2920" s="80" t="s">
        <v>972</v>
      </c>
      <c r="G2920" s="58" t="s">
        <v>7726</v>
      </c>
      <c r="H2920" s="58" t="s">
        <v>7695</v>
      </c>
      <c r="I2920" s="64" t="s">
        <v>7727</v>
      </c>
      <c r="J2920" s="66"/>
      <c r="K2920" s="66"/>
      <c r="L2920" s="68"/>
      <c r="M2920" s="63" t="str">
        <f>HYPERLINK("http://nsgreg.nga.mil/genc/view?v=870943&amp;end_month=12&amp;end_day=31&amp;end_year=2016","Correlation")</f>
        <v>Correlation</v>
      </c>
    </row>
    <row r="2921" spans="1:13" x14ac:dyDescent="0.2">
      <c r="A2921" s="113"/>
      <c r="B2921" s="58" t="s">
        <v>7731</v>
      </c>
      <c r="C2921" s="58" t="s">
        <v>7695</v>
      </c>
      <c r="D2921" s="58" t="s">
        <v>7730</v>
      </c>
      <c r="E2921" s="60" t="b">
        <v>1</v>
      </c>
      <c r="F2921" s="80" t="s">
        <v>972</v>
      </c>
      <c r="G2921" s="58" t="s">
        <v>7729</v>
      </c>
      <c r="H2921" s="58" t="s">
        <v>7695</v>
      </c>
      <c r="I2921" s="64" t="s">
        <v>7730</v>
      </c>
      <c r="J2921" s="66"/>
      <c r="K2921" s="66"/>
      <c r="L2921" s="68"/>
      <c r="M2921" s="63" t="str">
        <f>HYPERLINK("http://nsgreg.nga.mil/genc/view?v=870944&amp;end_month=12&amp;end_day=31&amp;end_year=2016","Correlation")</f>
        <v>Correlation</v>
      </c>
    </row>
    <row r="2922" spans="1:13" x14ac:dyDescent="0.2">
      <c r="A2922" s="113"/>
      <c r="B2922" s="58" t="s">
        <v>7732</v>
      </c>
      <c r="C2922" s="58" t="s">
        <v>7719</v>
      </c>
      <c r="D2922" s="58" t="s">
        <v>7733</v>
      </c>
      <c r="E2922" s="60" t="b">
        <v>1</v>
      </c>
      <c r="F2922" s="80" t="s">
        <v>972</v>
      </c>
      <c r="G2922" s="58" t="s">
        <v>7732</v>
      </c>
      <c r="H2922" s="58" t="s">
        <v>7719</v>
      </c>
      <c r="I2922" s="64" t="s">
        <v>7733</v>
      </c>
      <c r="J2922" s="66"/>
      <c r="K2922" s="66"/>
      <c r="L2922" s="68"/>
      <c r="M2922" s="63" t="str">
        <f>HYPERLINK("http://nsgreg.nga.mil/genc/view?v=870931&amp;end_month=12&amp;end_day=31&amp;end_year=2016","Correlation")</f>
        <v>Correlation</v>
      </c>
    </row>
    <row r="2923" spans="1:13" x14ac:dyDescent="0.2">
      <c r="A2923" s="113"/>
      <c r="B2923" s="58" t="s">
        <v>7734</v>
      </c>
      <c r="C2923" s="58" t="s">
        <v>7719</v>
      </c>
      <c r="D2923" s="58" t="s">
        <v>7735</v>
      </c>
      <c r="E2923" s="60" t="b">
        <v>1</v>
      </c>
      <c r="F2923" s="80" t="s">
        <v>972</v>
      </c>
      <c r="G2923" s="58" t="s">
        <v>7734</v>
      </c>
      <c r="H2923" s="58" t="s">
        <v>7719</v>
      </c>
      <c r="I2923" s="64" t="s">
        <v>7735</v>
      </c>
      <c r="J2923" s="66"/>
      <c r="K2923" s="66"/>
      <c r="L2923" s="68"/>
      <c r="M2923" s="63" t="str">
        <f>HYPERLINK("http://nsgreg.nga.mil/genc/view?v=870932&amp;end_month=12&amp;end_day=31&amp;end_year=2016","Correlation")</f>
        <v>Correlation</v>
      </c>
    </row>
    <row r="2924" spans="1:13" x14ac:dyDescent="0.2">
      <c r="A2924" s="113"/>
      <c r="B2924" s="58" t="s">
        <v>7738</v>
      </c>
      <c r="C2924" s="58" t="s">
        <v>7695</v>
      </c>
      <c r="D2924" s="58" t="s">
        <v>7737</v>
      </c>
      <c r="E2924" s="60" t="b">
        <v>1</v>
      </c>
      <c r="F2924" s="80" t="s">
        <v>972</v>
      </c>
      <c r="G2924" s="58" t="s">
        <v>7736</v>
      </c>
      <c r="H2924" s="58" t="s">
        <v>7695</v>
      </c>
      <c r="I2924" s="64" t="s">
        <v>7737</v>
      </c>
      <c r="J2924" s="66"/>
      <c r="K2924" s="66"/>
      <c r="L2924" s="68"/>
      <c r="M2924" s="63" t="str">
        <f>HYPERLINK("http://nsgreg.nga.mil/genc/view?v=870945&amp;end_month=12&amp;end_day=31&amp;end_year=2016","Correlation")</f>
        <v>Correlation</v>
      </c>
    </row>
    <row r="2925" spans="1:13" x14ac:dyDescent="0.2">
      <c r="A2925" s="113"/>
      <c r="B2925" s="58" t="s">
        <v>7741</v>
      </c>
      <c r="C2925" s="58" t="s">
        <v>7695</v>
      </c>
      <c r="D2925" s="58" t="s">
        <v>7740</v>
      </c>
      <c r="E2925" s="60" t="b">
        <v>1</v>
      </c>
      <c r="F2925" s="80" t="s">
        <v>972</v>
      </c>
      <c r="G2925" s="58" t="s">
        <v>7739</v>
      </c>
      <c r="H2925" s="58" t="s">
        <v>7695</v>
      </c>
      <c r="I2925" s="64" t="s">
        <v>7740</v>
      </c>
      <c r="J2925" s="66"/>
      <c r="K2925" s="66"/>
      <c r="L2925" s="68"/>
      <c r="M2925" s="63" t="str">
        <f>HYPERLINK("http://nsgreg.nga.mil/genc/view?v=870946&amp;end_month=12&amp;end_day=31&amp;end_year=2016","Correlation")</f>
        <v>Correlation</v>
      </c>
    </row>
    <row r="2926" spans="1:13" x14ac:dyDescent="0.2">
      <c r="A2926" s="113"/>
      <c r="B2926" s="58" t="s">
        <v>7744</v>
      </c>
      <c r="C2926" s="58" t="s">
        <v>7695</v>
      </c>
      <c r="D2926" s="58" t="s">
        <v>7743</v>
      </c>
      <c r="E2926" s="60" t="b">
        <v>1</v>
      </c>
      <c r="F2926" s="80" t="s">
        <v>972</v>
      </c>
      <c r="G2926" s="58" t="s">
        <v>7742</v>
      </c>
      <c r="H2926" s="58" t="s">
        <v>7695</v>
      </c>
      <c r="I2926" s="64" t="s">
        <v>7743</v>
      </c>
      <c r="J2926" s="66"/>
      <c r="K2926" s="66"/>
      <c r="L2926" s="68"/>
      <c r="M2926" s="63" t="str">
        <f>HYPERLINK("http://nsgreg.nga.mil/genc/view?v=870947&amp;end_month=12&amp;end_day=31&amp;end_year=2016","Correlation")</f>
        <v>Correlation</v>
      </c>
    </row>
    <row r="2927" spans="1:13" x14ac:dyDescent="0.2">
      <c r="A2927" s="114"/>
      <c r="B2927" s="71" t="s">
        <v>7745</v>
      </c>
      <c r="C2927" s="71" t="s">
        <v>7719</v>
      </c>
      <c r="D2927" s="71" t="s">
        <v>7746</v>
      </c>
      <c r="E2927" s="73" t="b">
        <v>1</v>
      </c>
      <c r="F2927" s="81" t="s">
        <v>972</v>
      </c>
      <c r="G2927" s="71" t="s">
        <v>7745</v>
      </c>
      <c r="H2927" s="71" t="s">
        <v>7719</v>
      </c>
      <c r="I2927" s="74" t="s">
        <v>7746</v>
      </c>
      <c r="J2927" s="76"/>
      <c r="K2927" s="76"/>
      <c r="L2927" s="82"/>
      <c r="M2927" s="77" t="str">
        <f>HYPERLINK("http://nsgreg.nga.mil/genc/view?v=870933&amp;end_month=12&amp;end_day=31&amp;end_year=2016","Correlation")</f>
        <v>Correlation</v>
      </c>
    </row>
    <row r="2928" spans="1:13" x14ac:dyDescent="0.2">
      <c r="A2928" s="112" t="s">
        <v>305</v>
      </c>
      <c r="B2928" s="50" t="s">
        <v>214</v>
      </c>
      <c r="C2928" s="50" t="s">
        <v>11579</v>
      </c>
      <c r="D2928" s="50" t="s">
        <v>215</v>
      </c>
      <c r="E2928" s="52" t="b">
        <v>1</v>
      </c>
      <c r="F2928" s="78" t="s">
        <v>210</v>
      </c>
      <c r="G2928" s="89"/>
      <c r="H2928" s="89"/>
      <c r="I2928" s="55"/>
      <c r="J2928" s="53" t="s">
        <v>211</v>
      </c>
      <c r="K2928" s="53" t="s">
        <v>212</v>
      </c>
      <c r="L2928" s="54" t="s">
        <v>213</v>
      </c>
      <c r="M2928" s="56" t="str">
        <f>HYPERLINK("http://nsgreg.nga.mil/genc/view?v=870890&amp;end_month=12&amp;end_day=31&amp;end_year=2016","Correlation")</f>
        <v>Correlation</v>
      </c>
    </row>
    <row r="2929" spans="1:13" x14ac:dyDescent="0.2">
      <c r="A2929" s="113"/>
      <c r="B2929" s="58" t="s">
        <v>309</v>
      </c>
      <c r="C2929" s="58" t="s">
        <v>2396</v>
      </c>
      <c r="D2929" s="58" t="s">
        <v>315</v>
      </c>
      <c r="E2929" s="60" t="b">
        <v>1</v>
      </c>
      <c r="F2929" s="80" t="s">
        <v>300</v>
      </c>
      <c r="G2929" s="58" t="s">
        <v>309</v>
      </c>
      <c r="H2929" s="58" t="s">
        <v>2396</v>
      </c>
      <c r="I2929" s="64" t="s">
        <v>310</v>
      </c>
      <c r="J2929" s="66"/>
      <c r="K2929" s="66"/>
      <c r="L2929" s="68"/>
      <c r="M2929" s="63" t="str">
        <f>HYPERLINK("http://nsgreg.nga.mil/genc/view?v=870891&amp;end_month=12&amp;end_day=31&amp;end_year=2016","Correlation")</f>
        <v>Correlation</v>
      </c>
    </row>
    <row r="2930" spans="1:13" x14ac:dyDescent="0.2">
      <c r="A2930" s="113"/>
      <c r="B2930" s="58" t="s">
        <v>461</v>
      </c>
      <c r="C2930" s="58" t="s">
        <v>11579</v>
      </c>
      <c r="D2930" s="58" t="s">
        <v>462</v>
      </c>
      <c r="E2930" s="60" t="b">
        <v>1</v>
      </c>
      <c r="F2930" s="80" t="s">
        <v>457</v>
      </c>
      <c r="G2930" s="88"/>
      <c r="H2930" s="88"/>
      <c r="I2930" s="66"/>
      <c r="J2930" s="64" t="s">
        <v>458</v>
      </c>
      <c r="K2930" s="64" t="s">
        <v>459</v>
      </c>
      <c r="L2930" s="65" t="s">
        <v>460</v>
      </c>
      <c r="M2930" s="63" t="str">
        <f>HYPERLINK("http://nsgreg.nga.mil/genc/view?v=870894&amp;end_month=12&amp;end_day=31&amp;end_year=2016","Correlation")</f>
        <v>Correlation</v>
      </c>
    </row>
    <row r="2931" spans="1:13" x14ac:dyDescent="0.2">
      <c r="A2931" s="113"/>
      <c r="B2931" s="58" t="s">
        <v>7747</v>
      </c>
      <c r="C2931" s="58" t="s">
        <v>1413</v>
      </c>
      <c r="D2931" s="58" t="s">
        <v>7748</v>
      </c>
      <c r="E2931" s="60" t="b">
        <v>1</v>
      </c>
      <c r="F2931" s="80" t="s">
        <v>305</v>
      </c>
      <c r="G2931" s="58" t="s">
        <v>7747</v>
      </c>
      <c r="H2931" s="58" t="s">
        <v>1413</v>
      </c>
      <c r="I2931" s="64" t="s">
        <v>7748</v>
      </c>
      <c r="J2931" s="66"/>
      <c r="K2931" s="66"/>
      <c r="L2931" s="68"/>
      <c r="M2931" s="63" t="str">
        <f>HYPERLINK("http://nsgreg.nga.mil/genc/view?v=870895&amp;end_month=12&amp;end_day=31&amp;end_year=2016","Correlation")</f>
        <v>Correlation</v>
      </c>
    </row>
    <row r="2932" spans="1:13" x14ac:dyDescent="0.2">
      <c r="A2932" s="113"/>
      <c r="B2932" s="58" t="s">
        <v>7749</v>
      </c>
      <c r="C2932" s="58" t="s">
        <v>1413</v>
      </c>
      <c r="D2932" s="58" t="s">
        <v>7750</v>
      </c>
      <c r="E2932" s="60" t="b">
        <v>1</v>
      </c>
      <c r="F2932" s="80" t="s">
        <v>305</v>
      </c>
      <c r="G2932" s="58" t="s">
        <v>7749</v>
      </c>
      <c r="H2932" s="58" t="s">
        <v>1413</v>
      </c>
      <c r="I2932" s="64" t="s">
        <v>7750</v>
      </c>
      <c r="J2932" s="66"/>
      <c r="K2932" s="66"/>
      <c r="L2932" s="68"/>
      <c r="M2932" s="63" t="str">
        <f>HYPERLINK("http://nsgreg.nga.mil/genc/view?v=870896&amp;end_month=12&amp;end_day=31&amp;end_year=2016","Correlation")</f>
        <v>Correlation</v>
      </c>
    </row>
    <row r="2933" spans="1:13" x14ac:dyDescent="0.2">
      <c r="A2933" s="113"/>
      <c r="B2933" s="58" t="s">
        <v>7751</v>
      </c>
      <c r="C2933" s="58" t="s">
        <v>1413</v>
      </c>
      <c r="D2933" s="58" t="s">
        <v>7752</v>
      </c>
      <c r="E2933" s="60" t="b">
        <v>1</v>
      </c>
      <c r="F2933" s="80" t="s">
        <v>305</v>
      </c>
      <c r="G2933" s="58" t="s">
        <v>7751</v>
      </c>
      <c r="H2933" s="58" t="s">
        <v>1413</v>
      </c>
      <c r="I2933" s="64" t="s">
        <v>7752</v>
      </c>
      <c r="J2933" s="66"/>
      <c r="K2933" s="66"/>
      <c r="L2933" s="68"/>
      <c r="M2933" s="63" t="str">
        <f>HYPERLINK("http://nsgreg.nga.mil/genc/view?v=870897&amp;end_month=12&amp;end_day=31&amp;end_year=2016","Correlation")</f>
        <v>Correlation</v>
      </c>
    </row>
    <row r="2934" spans="1:13" x14ac:dyDescent="0.2">
      <c r="A2934" s="113"/>
      <c r="B2934" s="58" t="s">
        <v>7753</v>
      </c>
      <c r="C2934" s="58" t="s">
        <v>1413</v>
      </c>
      <c r="D2934" s="58" t="s">
        <v>7754</v>
      </c>
      <c r="E2934" s="60" t="b">
        <v>1</v>
      </c>
      <c r="F2934" s="80" t="s">
        <v>305</v>
      </c>
      <c r="G2934" s="58" t="s">
        <v>7753</v>
      </c>
      <c r="H2934" s="58" t="s">
        <v>1413</v>
      </c>
      <c r="I2934" s="64" t="s">
        <v>7754</v>
      </c>
      <c r="J2934" s="66"/>
      <c r="K2934" s="66"/>
      <c r="L2934" s="68"/>
      <c r="M2934" s="63" t="str">
        <f>HYPERLINK("http://nsgreg.nga.mil/genc/view?v=870898&amp;end_month=12&amp;end_day=31&amp;end_year=2016","Correlation")</f>
        <v>Correlation</v>
      </c>
    </row>
    <row r="2935" spans="1:13" x14ac:dyDescent="0.2">
      <c r="A2935" s="113"/>
      <c r="B2935" s="58" t="s">
        <v>7755</v>
      </c>
      <c r="C2935" s="58" t="s">
        <v>1413</v>
      </c>
      <c r="D2935" s="58" t="s">
        <v>7756</v>
      </c>
      <c r="E2935" s="60" t="b">
        <v>1</v>
      </c>
      <c r="F2935" s="80" t="s">
        <v>305</v>
      </c>
      <c r="G2935" s="58" t="s">
        <v>7755</v>
      </c>
      <c r="H2935" s="58" t="s">
        <v>1413</v>
      </c>
      <c r="I2935" s="64" t="s">
        <v>7756</v>
      </c>
      <c r="J2935" s="66"/>
      <c r="K2935" s="66"/>
      <c r="L2935" s="68"/>
      <c r="M2935" s="63" t="str">
        <f>HYPERLINK("http://nsgreg.nga.mil/genc/view?v=870899&amp;end_month=12&amp;end_day=31&amp;end_year=2016","Correlation")</f>
        <v>Correlation</v>
      </c>
    </row>
    <row r="2936" spans="1:13" x14ac:dyDescent="0.2">
      <c r="A2936" s="113"/>
      <c r="B2936" s="58" t="s">
        <v>2266</v>
      </c>
      <c r="C2936" s="58" t="s">
        <v>1413</v>
      </c>
      <c r="D2936" s="58" t="s">
        <v>7757</v>
      </c>
      <c r="E2936" s="60" t="b">
        <v>1</v>
      </c>
      <c r="F2936" s="80" t="s">
        <v>305</v>
      </c>
      <c r="G2936" s="58" t="s">
        <v>2266</v>
      </c>
      <c r="H2936" s="58" t="s">
        <v>1413</v>
      </c>
      <c r="I2936" s="64" t="s">
        <v>7757</v>
      </c>
      <c r="J2936" s="66"/>
      <c r="K2936" s="66"/>
      <c r="L2936" s="68"/>
      <c r="M2936" s="63" t="str">
        <f>HYPERLINK("http://nsgreg.nga.mil/genc/view?v=870900&amp;end_month=12&amp;end_day=31&amp;end_year=2016","Correlation")</f>
        <v>Correlation</v>
      </c>
    </row>
    <row r="2937" spans="1:13" x14ac:dyDescent="0.2">
      <c r="A2937" s="113"/>
      <c r="B2937" s="58" t="s">
        <v>7758</v>
      </c>
      <c r="C2937" s="58" t="s">
        <v>1413</v>
      </c>
      <c r="D2937" s="58" t="s">
        <v>7759</v>
      </c>
      <c r="E2937" s="60" t="b">
        <v>1</v>
      </c>
      <c r="F2937" s="80" t="s">
        <v>305</v>
      </c>
      <c r="G2937" s="58" t="s">
        <v>7758</v>
      </c>
      <c r="H2937" s="58" t="s">
        <v>1413</v>
      </c>
      <c r="I2937" s="64" t="s">
        <v>7759</v>
      </c>
      <c r="J2937" s="66"/>
      <c r="K2937" s="66"/>
      <c r="L2937" s="68"/>
      <c r="M2937" s="63" t="str">
        <f>HYPERLINK("http://nsgreg.nga.mil/genc/view?v=870901&amp;end_month=12&amp;end_day=31&amp;end_year=2016","Correlation")</f>
        <v>Correlation</v>
      </c>
    </row>
    <row r="2938" spans="1:13" x14ac:dyDescent="0.2">
      <c r="A2938" s="113"/>
      <c r="B2938" s="58" t="s">
        <v>7760</v>
      </c>
      <c r="C2938" s="58" t="s">
        <v>1413</v>
      </c>
      <c r="D2938" s="58" t="s">
        <v>7761</v>
      </c>
      <c r="E2938" s="60" t="b">
        <v>1</v>
      </c>
      <c r="F2938" s="80" t="s">
        <v>305</v>
      </c>
      <c r="G2938" s="58" t="s">
        <v>7760</v>
      </c>
      <c r="H2938" s="58" t="s">
        <v>1413</v>
      </c>
      <c r="I2938" s="64" t="s">
        <v>7761</v>
      </c>
      <c r="J2938" s="66"/>
      <c r="K2938" s="66"/>
      <c r="L2938" s="68"/>
      <c r="M2938" s="63" t="str">
        <f>HYPERLINK("http://nsgreg.nga.mil/genc/view?v=870902&amp;end_month=12&amp;end_day=31&amp;end_year=2016","Correlation")</f>
        <v>Correlation</v>
      </c>
    </row>
    <row r="2939" spans="1:13" x14ac:dyDescent="0.2">
      <c r="A2939" s="113"/>
      <c r="B2939" s="58" t="s">
        <v>7762</v>
      </c>
      <c r="C2939" s="58" t="s">
        <v>1413</v>
      </c>
      <c r="D2939" s="58" t="s">
        <v>7763</v>
      </c>
      <c r="E2939" s="60" t="b">
        <v>1</v>
      </c>
      <c r="F2939" s="80" t="s">
        <v>305</v>
      </c>
      <c r="G2939" s="58" t="s">
        <v>7762</v>
      </c>
      <c r="H2939" s="58" t="s">
        <v>1413</v>
      </c>
      <c r="I2939" s="64" t="s">
        <v>7763</v>
      </c>
      <c r="J2939" s="66"/>
      <c r="K2939" s="66"/>
      <c r="L2939" s="68"/>
      <c r="M2939" s="63" t="str">
        <f>HYPERLINK("http://nsgreg.nga.mil/genc/view?v=870903&amp;end_month=12&amp;end_day=31&amp;end_year=2016","Correlation")</f>
        <v>Correlation</v>
      </c>
    </row>
    <row r="2940" spans="1:13" x14ac:dyDescent="0.2">
      <c r="A2940" s="113"/>
      <c r="B2940" s="58" t="s">
        <v>311</v>
      </c>
      <c r="C2940" s="58" t="s">
        <v>2396</v>
      </c>
      <c r="D2940" s="58" t="s">
        <v>316</v>
      </c>
      <c r="E2940" s="60" t="b">
        <v>1</v>
      </c>
      <c r="F2940" s="80" t="s">
        <v>300</v>
      </c>
      <c r="G2940" s="58" t="s">
        <v>311</v>
      </c>
      <c r="H2940" s="58" t="s">
        <v>2396</v>
      </c>
      <c r="I2940" s="64" t="s">
        <v>312</v>
      </c>
      <c r="J2940" s="66"/>
      <c r="K2940" s="66"/>
      <c r="L2940" s="68"/>
      <c r="M2940" s="63" t="str">
        <f>HYPERLINK("http://nsgreg.nga.mil/genc/view?v=870892&amp;end_month=12&amp;end_day=31&amp;end_year=2016","Correlation")</f>
        <v>Correlation</v>
      </c>
    </row>
    <row r="2941" spans="1:13" x14ac:dyDescent="0.2">
      <c r="A2941" s="113"/>
      <c r="B2941" s="58" t="s">
        <v>313</v>
      </c>
      <c r="C2941" s="58" t="s">
        <v>2396</v>
      </c>
      <c r="D2941" s="58" t="s">
        <v>317</v>
      </c>
      <c r="E2941" s="60" t="b">
        <v>1</v>
      </c>
      <c r="F2941" s="80" t="s">
        <v>300</v>
      </c>
      <c r="G2941" s="58" t="s">
        <v>313</v>
      </c>
      <c r="H2941" s="58" t="s">
        <v>2396</v>
      </c>
      <c r="I2941" s="64" t="s">
        <v>314</v>
      </c>
      <c r="J2941" s="66"/>
      <c r="K2941" s="66"/>
      <c r="L2941" s="68"/>
      <c r="M2941" s="63" t="str">
        <f>HYPERLINK("http://nsgreg.nga.mil/genc/view?v=870893&amp;end_month=12&amp;end_day=31&amp;end_year=2016","Correlation")</f>
        <v>Correlation</v>
      </c>
    </row>
    <row r="2942" spans="1:13" x14ac:dyDescent="0.2">
      <c r="A2942" s="113"/>
      <c r="B2942" s="58" t="s">
        <v>1188</v>
      </c>
      <c r="C2942" s="58" t="s">
        <v>11579</v>
      </c>
      <c r="D2942" s="58" t="s">
        <v>1189</v>
      </c>
      <c r="E2942" s="60" t="b">
        <v>1</v>
      </c>
      <c r="F2942" s="80" t="s">
        <v>1183</v>
      </c>
      <c r="G2942" s="88"/>
      <c r="H2942" s="88"/>
      <c r="I2942" s="66"/>
      <c r="J2942" s="64" t="s">
        <v>1184</v>
      </c>
      <c r="K2942" s="64" t="s">
        <v>1185</v>
      </c>
      <c r="L2942" s="65" t="s">
        <v>1186</v>
      </c>
      <c r="M2942" s="63" t="str">
        <f>HYPERLINK("http://nsgreg.nga.mil/genc/view?v=870904&amp;end_month=12&amp;end_day=31&amp;end_year=2016","Correlation")</f>
        <v>Correlation</v>
      </c>
    </row>
    <row r="2943" spans="1:13" x14ac:dyDescent="0.2">
      <c r="A2943" s="113"/>
      <c r="B2943" s="58" t="s">
        <v>7764</v>
      </c>
      <c r="C2943" s="58" t="s">
        <v>1413</v>
      </c>
      <c r="D2943" s="58" t="s">
        <v>7765</v>
      </c>
      <c r="E2943" s="60" t="b">
        <v>1</v>
      </c>
      <c r="F2943" s="80" t="s">
        <v>305</v>
      </c>
      <c r="G2943" s="58" t="s">
        <v>7764</v>
      </c>
      <c r="H2943" s="58" t="s">
        <v>1413</v>
      </c>
      <c r="I2943" s="64" t="s">
        <v>7765</v>
      </c>
      <c r="J2943" s="66"/>
      <c r="K2943" s="66"/>
      <c r="L2943" s="68"/>
      <c r="M2943" s="63" t="str">
        <f>HYPERLINK("http://nsgreg.nga.mil/genc/view?v=870905&amp;end_month=12&amp;end_day=31&amp;end_year=2016","Correlation")</f>
        <v>Correlation</v>
      </c>
    </row>
    <row r="2944" spans="1:13" x14ac:dyDescent="0.2">
      <c r="A2944" s="113"/>
      <c r="B2944" s="58" t="s">
        <v>7766</v>
      </c>
      <c r="C2944" s="58" t="s">
        <v>1413</v>
      </c>
      <c r="D2944" s="58" t="s">
        <v>7767</v>
      </c>
      <c r="E2944" s="60" t="b">
        <v>1</v>
      </c>
      <c r="F2944" s="80" t="s">
        <v>305</v>
      </c>
      <c r="G2944" s="58" t="s">
        <v>7766</v>
      </c>
      <c r="H2944" s="58" t="s">
        <v>1413</v>
      </c>
      <c r="I2944" s="64" t="s">
        <v>7767</v>
      </c>
      <c r="J2944" s="66"/>
      <c r="K2944" s="66"/>
      <c r="L2944" s="68"/>
      <c r="M2944" s="63" t="str">
        <f>HYPERLINK("http://nsgreg.nga.mil/genc/view?v=870906&amp;end_month=12&amp;end_day=31&amp;end_year=2016","Correlation")</f>
        <v>Correlation</v>
      </c>
    </row>
    <row r="2945" spans="1:13" x14ac:dyDescent="0.2">
      <c r="A2945" s="114"/>
      <c r="B2945" s="71" t="s">
        <v>7768</v>
      </c>
      <c r="C2945" s="71" t="s">
        <v>1413</v>
      </c>
      <c r="D2945" s="71" t="s">
        <v>7769</v>
      </c>
      <c r="E2945" s="73" t="b">
        <v>1</v>
      </c>
      <c r="F2945" s="81" t="s">
        <v>305</v>
      </c>
      <c r="G2945" s="71" t="s">
        <v>7768</v>
      </c>
      <c r="H2945" s="71" t="s">
        <v>1413</v>
      </c>
      <c r="I2945" s="74" t="s">
        <v>7769</v>
      </c>
      <c r="J2945" s="76"/>
      <c r="K2945" s="76"/>
      <c r="L2945" s="82"/>
      <c r="M2945" s="77" t="str">
        <f>HYPERLINK("http://nsgreg.nga.mil/genc/view?v=870907&amp;end_month=12&amp;end_day=31&amp;end_year=2016","Correlation")</f>
        <v>Correlation</v>
      </c>
    </row>
    <row r="2946" spans="1:13" x14ac:dyDescent="0.2">
      <c r="A2946" s="112" t="s">
        <v>982</v>
      </c>
      <c r="B2946" s="50" t="s">
        <v>7776</v>
      </c>
      <c r="C2946" s="50" t="s">
        <v>1728</v>
      </c>
      <c r="D2946" s="50" t="s">
        <v>7777</v>
      </c>
      <c r="E2946" s="52" t="b">
        <v>1</v>
      </c>
      <c r="F2946" s="78" t="s">
        <v>982</v>
      </c>
      <c r="G2946" s="50" t="s">
        <v>7776</v>
      </c>
      <c r="H2946" s="50" t="s">
        <v>1728</v>
      </c>
      <c r="I2946" s="53" t="s">
        <v>7777</v>
      </c>
      <c r="J2946" s="55"/>
      <c r="K2946" s="55"/>
      <c r="L2946" s="79"/>
      <c r="M2946" s="56" t="str">
        <f>HYPERLINK("http://nsgreg.nga.mil/genc/view?v=870962&amp;end_month=12&amp;end_day=31&amp;end_year=2016","Correlation")</f>
        <v>Correlation</v>
      </c>
    </row>
    <row r="2947" spans="1:13" x14ac:dyDescent="0.2">
      <c r="A2947" s="113"/>
      <c r="B2947" s="58" t="s">
        <v>7778</v>
      </c>
      <c r="C2947" s="58" t="s">
        <v>1728</v>
      </c>
      <c r="D2947" s="58" t="s">
        <v>7779</v>
      </c>
      <c r="E2947" s="60" t="b">
        <v>1</v>
      </c>
      <c r="F2947" s="80" t="s">
        <v>982</v>
      </c>
      <c r="G2947" s="58" t="s">
        <v>7778</v>
      </c>
      <c r="H2947" s="58" t="s">
        <v>1728</v>
      </c>
      <c r="I2947" s="64" t="s">
        <v>7779</v>
      </c>
      <c r="J2947" s="66"/>
      <c r="K2947" s="66"/>
      <c r="L2947" s="68"/>
      <c r="M2947" s="63" t="str">
        <f>HYPERLINK("http://nsgreg.nga.mil/genc/view?v=870963&amp;end_month=12&amp;end_day=31&amp;end_year=2016","Correlation")</f>
        <v>Correlation</v>
      </c>
    </row>
    <row r="2948" spans="1:13" x14ac:dyDescent="0.2">
      <c r="A2948" s="113"/>
      <c r="B2948" s="58" t="s">
        <v>7780</v>
      </c>
      <c r="C2948" s="58" t="s">
        <v>1728</v>
      </c>
      <c r="D2948" s="58" t="s">
        <v>7781</v>
      </c>
      <c r="E2948" s="60" t="b">
        <v>1</v>
      </c>
      <c r="F2948" s="80" t="s">
        <v>982</v>
      </c>
      <c r="G2948" s="58" t="s">
        <v>7780</v>
      </c>
      <c r="H2948" s="58" t="s">
        <v>1728</v>
      </c>
      <c r="I2948" s="64" t="s">
        <v>7781</v>
      </c>
      <c r="J2948" s="66"/>
      <c r="K2948" s="66"/>
      <c r="L2948" s="68"/>
      <c r="M2948" s="63" t="str">
        <f>HYPERLINK("http://nsgreg.nga.mil/genc/view?v=870964&amp;end_month=12&amp;end_day=31&amp;end_year=2016","Correlation")</f>
        <v>Correlation</v>
      </c>
    </row>
    <row r="2949" spans="1:13" x14ac:dyDescent="0.2">
      <c r="A2949" s="113"/>
      <c r="B2949" s="58" t="s">
        <v>7784</v>
      </c>
      <c r="C2949" s="58" t="s">
        <v>7785</v>
      </c>
      <c r="D2949" s="58" t="s">
        <v>7783</v>
      </c>
      <c r="E2949" s="60" t="b">
        <v>1</v>
      </c>
      <c r="F2949" s="80" t="s">
        <v>982</v>
      </c>
      <c r="G2949" s="58" t="s">
        <v>7782</v>
      </c>
      <c r="H2949" s="58" t="s">
        <v>1796</v>
      </c>
      <c r="I2949" s="64" t="s">
        <v>7783</v>
      </c>
      <c r="J2949" s="66"/>
      <c r="K2949" s="66"/>
      <c r="L2949" s="68"/>
      <c r="M2949" s="63" t="str">
        <f>HYPERLINK("http://nsgreg.nga.mil/genc/view?v=870965&amp;end_month=12&amp;end_day=31&amp;end_year=2016","Correlation")</f>
        <v>Correlation</v>
      </c>
    </row>
    <row r="2950" spans="1:13" x14ac:dyDescent="0.2">
      <c r="A2950" s="113"/>
      <c r="B2950" s="58" t="s">
        <v>7786</v>
      </c>
      <c r="C2950" s="58" t="s">
        <v>1728</v>
      </c>
      <c r="D2950" s="58" t="s">
        <v>7787</v>
      </c>
      <c r="E2950" s="60" t="b">
        <v>1</v>
      </c>
      <c r="F2950" s="80" t="s">
        <v>982</v>
      </c>
      <c r="G2950" s="58" t="s">
        <v>7786</v>
      </c>
      <c r="H2950" s="58" t="s">
        <v>1728</v>
      </c>
      <c r="I2950" s="64" t="s">
        <v>7787</v>
      </c>
      <c r="J2950" s="66"/>
      <c r="K2950" s="66"/>
      <c r="L2950" s="68"/>
      <c r="M2950" s="63" t="str">
        <f>HYPERLINK("http://nsgreg.nga.mil/genc/view?v=870966&amp;end_month=12&amp;end_day=31&amp;end_year=2016","Correlation")</f>
        <v>Correlation</v>
      </c>
    </row>
    <row r="2951" spans="1:13" x14ac:dyDescent="0.2">
      <c r="A2951" s="113"/>
      <c r="B2951" s="58" t="s">
        <v>7790</v>
      </c>
      <c r="C2951" s="58" t="s">
        <v>1728</v>
      </c>
      <c r="D2951" s="58" t="s">
        <v>7789</v>
      </c>
      <c r="E2951" s="60" t="b">
        <v>1</v>
      </c>
      <c r="F2951" s="80" t="s">
        <v>982</v>
      </c>
      <c r="G2951" s="58" t="s">
        <v>7788</v>
      </c>
      <c r="H2951" s="58" t="s">
        <v>1728</v>
      </c>
      <c r="I2951" s="64" t="s">
        <v>7789</v>
      </c>
      <c r="J2951" s="66"/>
      <c r="K2951" s="66"/>
      <c r="L2951" s="68"/>
      <c r="M2951" s="63" t="str">
        <f>HYPERLINK("http://nsgreg.nga.mil/genc/view?v=870967&amp;end_month=12&amp;end_day=31&amp;end_year=2016","Correlation")</f>
        <v>Correlation</v>
      </c>
    </row>
    <row r="2952" spans="1:13" x14ac:dyDescent="0.2">
      <c r="A2952" s="113"/>
      <c r="B2952" s="58" t="s">
        <v>7791</v>
      </c>
      <c r="C2952" s="58" t="s">
        <v>1728</v>
      </c>
      <c r="D2952" s="58" t="s">
        <v>7792</v>
      </c>
      <c r="E2952" s="60" t="b">
        <v>1</v>
      </c>
      <c r="F2952" s="80" t="s">
        <v>982</v>
      </c>
      <c r="G2952" s="58" t="s">
        <v>7791</v>
      </c>
      <c r="H2952" s="58" t="s">
        <v>1728</v>
      </c>
      <c r="I2952" s="64" t="s">
        <v>7792</v>
      </c>
      <c r="J2952" s="66"/>
      <c r="K2952" s="66"/>
      <c r="L2952" s="68"/>
      <c r="M2952" s="63" t="str">
        <f>HYPERLINK("http://nsgreg.nga.mil/genc/view?v=870969&amp;end_month=12&amp;end_day=31&amp;end_year=2016","Correlation")</f>
        <v>Correlation</v>
      </c>
    </row>
    <row r="2953" spans="1:13" x14ac:dyDescent="0.2">
      <c r="A2953" s="113"/>
      <c r="B2953" s="58" t="s">
        <v>7795</v>
      </c>
      <c r="C2953" s="58" t="s">
        <v>1728</v>
      </c>
      <c r="D2953" s="58" t="s">
        <v>7794</v>
      </c>
      <c r="E2953" s="60" t="b">
        <v>1</v>
      </c>
      <c r="F2953" s="80" t="s">
        <v>982</v>
      </c>
      <c r="G2953" s="58" t="s">
        <v>7793</v>
      </c>
      <c r="H2953" s="58" t="s">
        <v>1728</v>
      </c>
      <c r="I2953" s="64" t="s">
        <v>7794</v>
      </c>
      <c r="J2953" s="66"/>
      <c r="K2953" s="66"/>
      <c r="L2953" s="68"/>
      <c r="M2953" s="63" t="str">
        <f>HYPERLINK("http://nsgreg.nga.mil/genc/view?v=870968&amp;end_month=12&amp;end_day=31&amp;end_year=2016","Correlation")</f>
        <v>Correlation</v>
      </c>
    </row>
    <row r="2954" spans="1:13" x14ac:dyDescent="0.2">
      <c r="A2954" s="113"/>
      <c r="B2954" s="58" t="s">
        <v>7796</v>
      </c>
      <c r="C2954" s="58" t="s">
        <v>1728</v>
      </c>
      <c r="D2954" s="58" t="s">
        <v>7797</v>
      </c>
      <c r="E2954" s="60" t="b">
        <v>1</v>
      </c>
      <c r="F2954" s="80" t="s">
        <v>982</v>
      </c>
      <c r="G2954" s="58" t="s">
        <v>7796</v>
      </c>
      <c r="H2954" s="58" t="s">
        <v>1728</v>
      </c>
      <c r="I2954" s="64" t="s">
        <v>7797</v>
      </c>
      <c r="J2954" s="66"/>
      <c r="K2954" s="66"/>
      <c r="L2954" s="68"/>
      <c r="M2954" s="63" t="str">
        <f>HYPERLINK("http://nsgreg.nga.mil/genc/view?v=870970&amp;end_month=12&amp;end_day=31&amp;end_year=2016","Correlation")</f>
        <v>Correlation</v>
      </c>
    </row>
    <row r="2955" spans="1:13" x14ac:dyDescent="0.2">
      <c r="A2955" s="113"/>
      <c r="B2955" s="58" t="s">
        <v>7798</v>
      </c>
      <c r="C2955" s="58" t="s">
        <v>1728</v>
      </c>
      <c r="D2955" s="58" t="s">
        <v>7799</v>
      </c>
      <c r="E2955" s="60" t="b">
        <v>1</v>
      </c>
      <c r="F2955" s="80" t="s">
        <v>982</v>
      </c>
      <c r="G2955" s="58" t="s">
        <v>7798</v>
      </c>
      <c r="H2955" s="58" t="s">
        <v>1728</v>
      </c>
      <c r="I2955" s="64" t="s">
        <v>7799</v>
      </c>
      <c r="J2955" s="66"/>
      <c r="K2955" s="66"/>
      <c r="L2955" s="68"/>
      <c r="M2955" s="63" t="str">
        <f>HYPERLINK("http://nsgreg.nga.mil/genc/view?v=870971&amp;end_month=12&amp;end_day=31&amp;end_year=2016","Correlation")</f>
        <v>Correlation</v>
      </c>
    </row>
    <row r="2956" spans="1:13" x14ac:dyDescent="0.2">
      <c r="A2956" s="113"/>
      <c r="B2956" s="58" t="s">
        <v>7800</v>
      </c>
      <c r="C2956" s="58" t="s">
        <v>1728</v>
      </c>
      <c r="D2956" s="58" t="s">
        <v>7801</v>
      </c>
      <c r="E2956" s="60" t="b">
        <v>1</v>
      </c>
      <c r="F2956" s="80" t="s">
        <v>982</v>
      </c>
      <c r="G2956" s="58" t="s">
        <v>7800</v>
      </c>
      <c r="H2956" s="58" t="s">
        <v>1728</v>
      </c>
      <c r="I2956" s="64" t="s">
        <v>7801</v>
      </c>
      <c r="J2956" s="66"/>
      <c r="K2956" s="66"/>
      <c r="L2956" s="68"/>
      <c r="M2956" s="63" t="str">
        <f>HYPERLINK("http://nsgreg.nga.mil/genc/view?v=870972&amp;end_month=12&amp;end_day=31&amp;end_year=2016","Correlation")</f>
        <v>Correlation</v>
      </c>
    </row>
    <row r="2957" spans="1:13" x14ac:dyDescent="0.2">
      <c r="A2957" s="113"/>
      <c r="B2957" s="58" t="s">
        <v>7802</v>
      </c>
      <c r="C2957" s="58" t="s">
        <v>1728</v>
      </c>
      <c r="D2957" s="58" t="s">
        <v>7803</v>
      </c>
      <c r="E2957" s="60" t="b">
        <v>1</v>
      </c>
      <c r="F2957" s="80" t="s">
        <v>982</v>
      </c>
      <c r="G2957" s="58" t="s">
        <v>7802</v>
      </c>
      <c r="H2957" s="58" t="s">
        <v>1728</v>
      </c>
      <c r="I2957" s="64" t="s">
        <v>7803</v>
      </c>
      <c r="J2957" s="66"/>
      <c r="K2957" s="66"/>
      <c r="L2957" s="68"/>
      <c r="M2957" s="63" t="str">
        <f>HYPERLINK("http://nsgreg.nga.mil/genc/view?v=870973&amp;end_month=12&amp;end_day=31&amp;end_year=2016","Correlation")</f>
        <v>Correlation</v>
      </c>
    </row>
    <row r="2958" spans="1:13" x14ac:dyDescent="0.2">
      <c r="A2958" s="113"/>
      <c r="B2958" s="58" t="s">
        <v>7804</v>
      </c>
      <c r="C2958" s="58" t="s">
        <v>1728</v>
      </c>
      <c r="D2958" s="58" t="s">
        <v>7805</v>
      </c>
      <c r="E2958" s="60" t="b">
        <v>1</v>
      </c>
      <c r="F2958" s="80" t="s">
        <v>982</v>
      </c>
      <c r="G2958" s="58" t="s">
        <v>7804</v>
      </c>
      <c r="H2958" s="58" t="s">
        <v>1728</v>
      </c>
      <c r="I2958" s="64" t="s">
        <v>7805</v>
      </c>
      <c r="J2958" s="66"/>
      <c r="K2958" s="66"/>
      <c r="L2958" s="68"/>
      <c r="M2958" s="63" t="str">
        <f>HYPERLINK("http://nsgreg.nga.mil/genc/view?v=870975&amp;end_month=12&amp;end_day=31&amp;end_year=2016","Correlation")</f>
        <v>Correlation</v>
      </c>
    </row>
    <row r="2959" spans="1:13" x14ac:dyDescent="0.2">
      <c r="A2959" s="113"/>
      <c r="B2959" s="58" t="s">
        <v>7806</v>
      </c>
      <c r="C2959" s="58" t="s">
        <v>1728</v>
      </c>
      <c r="D2959" s="58" t="s">
        <v>7807</v>
      </c>
      <c r="E2959" s="60" t="b">
        <v>1</v>
      </c>
      <c r="F2959" s="80" t="s">
        <v>982</v>
      </c>
      <c r="G2959" s="58" t="s">
        <v>7806</v>
      </c>
      <c r="H2959" s="58" t="s">
        <v>1728</v>
      </c>
      <c r="I2959" s="64" t="s">
        <v>7807</v>
      </c>
      <c r="J2959" s="66"/>
      <c r="K2959" s="66"/>
      <c r="L2959" s="68"/>
      <c r="M2959" s="63" t="str">
        <f>HYPERLINK("http://nsgreg.nga.mil/genc/view?v=870974&amp;end_month=12&amp;end_day=31&amp;end_year=2016","Correlation")</f>
        <v>Correlation</v>
      </c>
    </row>
    <row r="2960" spans="1:13" x14ac:dyDescent="0.2">
      <c r="A2960" s="113"/>
      <c r="B2960" s="58" t="s">
        <v>7808</v>
      </c>
      <c r="C2960" s="58" t="s">
        <v>1728</v>
      </c>
      <c r="D2960" s="58" t="s">
        <v>7809</v>
      </c>
      <c r="E2960" s="60" t="b">
        <v>1</v>
      </c>
      <c r="F2960" s="80" t="s">
        <v>982</v>
      </c>
      <c r="G2960" s="58" t="s">
        <v>7808</v>
      </c>
      <c r="H2960" s="58" t="s">
        <v>1728</v>
      </c>
      <c r="I2960" s="64" t="s">
        <v>7809</v>
      </c>
      <c r="J2960" s="66"/>
      <c r="K2960" s="66"/>
      <c r="L2960" s="68"/>
      <c r="M2960" s="63" t="str">
        <f>HYPERLINK("http://nsgreg.nga.mil/genc/view?v=870977&amp;end_month=12&amp;end_day=31&amp;end_year=2016","Correlation")</f>
        <v>Correlation</v>
      </c>
    </row>
    <row r="2961" spans="1:13" x14ac:dyDescent="0.2">
      <c r="A2961" s="113"/>
      <c r="B2961" s="58" t="s">
        <v>7810</v>
      </c>
      <c r="C2961" s="58" t="s">
        <v>1728</v>
      </c>
      <c r="D2961" s="58" t="s">
        <v>7811</v>
      </c>
      <c r="E2961" s="60" t="b">
        <v>1</v>
      </c>
      <c r="F2961" s="80" t="s">
        <v>982</v>
      </c>
      <c r="G2961" s="58" t="s">
        <v>7810</v>
      </c>
      <c r="H2961" s="58" t="s">
        <v>1728</v>
      </c>
      <c r="I2961" s="64" t="s">
        <v>7811</v>
      </c>
      <c r="J2961" s="66"/>
      <c r="K2961" s="66"/>
      <c r="L2961" s="68"/>
      <c r="M2961" s="63" t="str">
        <f>HYPERLINK("http://nsgreg.nga.mil/genc/view?v=870976&amp;end_month=12&amp;end_day=31&amp;end_year=2016","Correlation")</f>
        <v>Correlation</v>
      </c>
    </row>
    <row r="2962" spans="1:13" x14ac:dyDescent="0.2">
      <c r="A2962" s="114"/>
      <c r="B2962" s="71" t="s">
        <v>4392</v>
      </c>
      <c r="C2962" s="71" t="s">
        <v>1728</v>
      </c>
      <c r="D2962" s="71" t="s">
        <v>7812</v>
      </c>
      <c r="E2962" s="73" t="b">
        <v>1</v>
      </c>
      <c r="F2962" s="81" t="s">
        <v>982</v>
      </c>
      <c r="G2962" s="71" t="s">
        <v>4392</v>
      </c>
      <c r="H2962" s="71" t="s">
        <v>1728</v>
      </c>
      <c r="I2962" s="74" t="s">
        <v>7812</v>
      </c>
      <c r="J2962" s="76"/>
      <c r="K2962" s="76"/>
      <c r="L2962" s="82"/>
      <c r="M2962" s="77" t="str">
        <f>HYPERLINK("http://nsgreg.nga.mil/genc/view?v=870978&amp;end_month=12&amp;end_day=31&amp;end_year=2016","Correlation")</f>
        <v>Correlation</v>
      </c>
    </row>
    <row r="2963" spans="1:13" x14ac:dyDescent="0.2">
      <c r="A2963" s="112" t="s">
        <v>986</v>
      </c>
      <c r="B2963" s="50" t="s">
        <v>7819</v>
      </c>
      <c r="C2963" s="50" t="s">
        <v>3080</v>
      </c>
      <c r="D2963" s="50" t="s">
        <v>7818</v>
      </c>
      <c r="E2963" s="52" t="b">
        <v>1</v>
      </c>
      <c r="F2963" s="78" t="s">
        <v>986</v>
      </c>
      <c r="G2963" s="50" t="s">
        <v>7817</v>
      </c>
      <c r="H2963" s="50" t="s">
        <v>3080</v>
      </c>
      <c r="I2963" s="53" t="s">
        <v>7818</v>
      </c>
      <c r="J2963" s="55"/>
      <c r="K2963" s="55"/>
      <c r="L2963" s="79"/>
      <c r="M2963" s="56" t="str">
        <f>HYPERLINK("http://nsgreg.nga.mil/genc/view?v=870873&amp;end_month=12&amp;end_day=31&amp;end_year=2016","Correlation")</f>
        <v>Correlation</v>
      </c>
    </row>
    <row r="2964" spans="1:13" x14ac:dyDescent="0.2">
      <c r="A2964" s="113"/>
      <c r="B2964" s="58" t="s">
        <v>7822</v>
      </c>
      <c r="C2964" s="58" t="s">
        <v>3080</v>
      </c>
      <c r="D2964" s="58" t="s">
        <v>7821</v>
      </c>
      <c r="E2964" s="60" t="b">
        <v>1</v>
      </c>
      <c r="F2964" s="80" t="s">
        <v>986</v>
      </c>
      <c r="G2964" s="58" t="s">
        <v>7820</v>
      </c>
      <c r="H2964" s="58" t="s">
        <v>3080</v>
      </c>
      <c r="I2964" s="64" t="s">
        <v>7821</v>
      </c>
      <c r="J2964" s="66"/>
      <c r="K2964" s="66"/>
      <c r="L2964" s="68"/>
      <c r="M2964" s="63" t="str">
        <f>HYPERLINK("http://nsgreg.nga.mil/genc/view?v=870874&amp;end_month=12&amp;end_day=31&amp;end_year=2016","Correlation")</f>
        <v>Correlation</v>
      </c>
    </row>
    <row r="2965" spans="1:13" x14ac:dyDescent="0.2">
      <c r="A2965" s="113"/>
      <c r="B2965" s="58" t="s">
        <v>7813</v>
      </c>
      <c r="C2965" s="58" t="s">
        <v>2294</v>
      </c>
      <c r="D2965" s="58" t="s">
        <v>7814</v>
      </c>
      <c r="E2965" s="60" t="b">
        <v>1</v>
      </c>
      <c r="F2965" s="80" t="s">
        <v>986</v>
      </c>
      <c r="G2965" s="58" t="s">
        <v>7813</v>
      </c>
      <c r="H2965" s="58" t="s">
        <v>2294</v>
      </c>
      <c r="I2965" s="64" t="s">
        <v>7814</v>
      </c>
      <c r="J2965" s="66"/>
      <c r="K2965" s="66"/>
      <c r="L2965" s="68"/>
      <c r="M2965" s="63" t="str">
        <f>HYPERLINK("http://nsgreg.nga.mil/genc/view?v=870875&amp;end_month=12&amp;end_day=31&amp;end_year=2016","Correlation")</f>
        <v>Correlation</v>
      </c>
    </row>
    <row r="2966" spans="1:13" x14ac:dyDescent="0.2">
      <c r="A2966" s="113"/>
      <c r="B2966" s="58" t="s">
        <v>7815</v>
      </c>
      <c r="C2966" s="58" t="s">
        <v>2294</v>
      </c>
      <c r="D2966" s="58" t="s">
        <v>7816</v>
      </c>
      <c r="E2966" s="60" t="b">
        <v>1</v>
      </c>
      <c r="F2966" s="80" t="s">
        <v>986</v>
      </c>
      <c r="G2966" s="58" t="s">
        <v>7815</v>
      </c>
      <c r="H2966" s="58" t="s">
        <v>2294</v>
      </c>
      <c r="I2966" s="64" t="s">
        <v>7816</v>
      </c>
      <c r="J2966" s="66"/>
      <c r="K2966" s="66"/>
      <c r="L2966" s="68"/>
      <c r="M2966" s="63" t="str">
        <f>HYPERLINK("http://nsgreg.nga.mil/genc/view?v=870876&amp;end_month=12&amp;end_day=31&amp;end_year=2016","Correlation")</f>
        <v>Correlation</v>
      </c>
    </row>
    <row r="2967" spans="1:13" x14ac:dyDescent="0.2">
      <c r="A2967" s="113"/>
      <c r="B2967" s="58" t="s">
        <v>7823</v>
      </c>
      <c r="C2967" s="58" t="s">
        <v>2294</v>
      </c>
      <c r="D2967" s="58" t="s">
        <v>7824</v>
      </c>
      <c r="E2967" s="60" t="b">
        <v>1</v>
      </c>
      <c r="F2967" s="80" t="s">
        <v>986</v>
      </c>
      <c r="G2967" s="58" t="s">
        <v>7823</v>
      </c>
      <c r="H2967" s="58" t="s">
        <v>2294</v>
      </c>
      <c r="I2967" s="64" t="s">
        <v>7824</v>
      </c>
      <c r="J2967" s="66"/>
      <c r="K2967" s="66"/>
      <c r="L2967" s="68"/>
      <c r="M2967" s="63" t="str">
        <f>HYPERLINK("http://nsgreg.nga.mil/genc/view?v=870877&amp;end_month=12&amp;end_day=31&amp;end_year=2016","Correlation")</f>
        <v>Correlation</v>
      </c>
    </row>
    <row r="2968" spans="1:13" x14ac:dyDescent="0.2">
      <c r="A2968" s="113"/>
      <c r="B2968" s="58" t="s">
        <v>7825</v>
      </c>
      <c r="C2968" s="58" t="s">
        <v>2294</v>
      </c>
      <c r="D2968" s="58" t="s">
        <v>7826</v>
      </c>
      <c r="E2968" s="60" t="b">
        <v>1</v>
      </c>
      <c r="F2968" s="80" t="s">
        <v>986</v>
      </c>
      <c r="G2968" s="58" t="s">
        <v>7825</v>
      </c>
      <c r="H2968" s="58" t="s">
        <v>2294</v>
      </c>
      <c r="I2968" s="64" t="s">
        <v>7826</v>
      </c>
      <c r="J2968" s="66"/>
      <c r="K2968" s="66"/>
      <c r="L2968" s="68"/>
      <c r="M2968" s="63" t="str">
        <f>HYPERLINK("http://nsgreg.nga.mil/genc/view?v=870878&amp;end_month=12&amp;end_day=31&amp;end_year=2016","Correlation")</f>
        <v>Correlation</v>
      </c>
    </row>
    <row r="2969" spans="1:13" x14ac:dyDescent="0.2">
      <c r="A2969" s="113"/>
      <c r="B2969" s="58" t="s">
        <v>7827</v>
      </c>
      <c r="C2969" s="58" t="s">
        <v>2294</v>
      </c>
      <c r="D2969" s="58" t="s">
        <v>7828</v>
      </c>
      <c r="E2969" s="60" t="b">
        <v>1</v>
      </c>
      <c r="F2969" s="80" t="s">
        <v>986</v>
      </c>
      <c r="G2969" s="58" t="s">
        <v>7827</v>
      </c>
      <c r="H2969" s="58" t="s">
        <v>2294</v>
      </c>
      <c r="I2969" s="64" t="s">
        <v>7828</v>
      </c>
      <c r="J2969" s="66"/>
      <c r="K2969" s="66"/>
      <c r="L2969" s="68"/>
      <c r="M2969" s="63" t="str">
        <f>HYPERLINK("http://nsgreg.nga.mil/genc/view?v=870879&amp;end_month=12&amp;end_day=31&amp;end_year=2016","Correlation")</f>
        <v>Correlation</v>
      </c>
    </row>
    <row r="2970" spans="1:13" x14ac:dyDescent="0.2">
      <c r="A2970" s="113"/>
      <c r="B2970" s="58" t="s">
        <v>7829</v>
      </c>
      <c r="C2970" s="58" t="s">
        <v>2294</v>
      </c>
      <c r="D2970" s="58" t="s">
        <v>7830</v>
      </c>
      <c r="E2970" s="60" t="b">
        <v>1</v>
      </c>
      <c r="F2970" s="80" t="s">
        <v>986</v>
      </c>
      <c r="G2970" s="58" t="s">
        <v>7829</v>
      </c>
      <c r="H2970" s="58" t="s">
        <v>2294</v>
      </c>
      <c r="I2970" s="64" t="s">
        <v>7830</v>
      </c>
      <c r="J2970" s="66"/>
      <c r="K2970" s="66"/>
      <c r="L2970" s="68"/>
      <c r="M2970" s="63" t="str">
        <f>HYPERLINK("http://nsgreg.nga.mil/genc/view?v=870880&amp;end_month=12&amp;end_day=31&amp;end_year=2016","Correlation")</f>
        <v>Correlation</v>
      </c>
    </row>
    <row r="2971" spans="1:13" x14ac:dyDescent="0.2">
      <c r="A2971" s="113"/>
      <c r="B2971" s="58" t="s">
        <v>7831</v>
      </c>
      <c r="C2971" s="58" t="s">
        <v>2294</v>
      </c>
      <c r="D2971" s="58" t="s">
        <v>7832</v>
      </c>
      <c r="E2971" s="60" t="b">
        <v>1</v>
      </c>
      <c r="F2971" s="80" t="s">
        <v>986</v>
      </c>
      <c r="G2971" s="58" t="s">
        <v>7831</v>
      </c>
      <c r="H2971" s="58" t="s">
        <v>2294</v>
      </c>
      <c r="I2971" s="64" t="s">
        <v>7832</v>
      </c>
      <c r="J2971" s="66"/>
      <c r="K2971" s="66"/>
      <c r="L2971" s="68"/>
      <c r="M2971" s="63" t="str">
        <f>HYPERLINK("http://nsgreg.nga.mil/genc/view?v=870881&amp;end_month=12&amp;end_day=31&amp;end_year=2016","Correlation")</f>
        <v>Correlation</v>
      </c>
    </row>
    <row r="2972" spans="1:13" x14ac:dyDescent="0.2">
      <c r="A2972" s="113"/>
      <c r="B2972" s="58" t="s">
        <v>7833</v>
      </c>
      <c r="C2972" s="58" t="s">
        <v>2294</v>
      </c>
      <c r="D2972" s="58" t="s">
        <v>7834</v>
      </c>
      <c r="E2972" s="60" t="b">
        <v>1</v>
      </c>
      <c r="F2972" s="80" t="s">
        <v>986</v>
      </c>
      <c r="G2972" s="58" t="s">
        <v>7833</v>
      </c>
      <c r="H2972" s="58" t="s">
        <v>2294</v>
      </c>
      <c r="I2972" s="64" t="s">
        <v>7834</v>
      </c>
      <c r="J2972" s="66"/>
      <c r="K2972" s="66"/>
      <c r="L2972" s="68"/>
      <c r="M2972" s="63" t="str">
        <f>HYPERLINK("http://nsgreg.nga.mil/genc/view?v=870882&amp;end_month=12&amp;end_day=31&amp;end_year=2016","Correlation")</f>
        <v>Correlation</v>
      </c>
    </row>
    <row r="2973" spans="1:13" x14ac:dyDescent="0.2">
      <c r="A2973" s="113"/>
      <c r="B2973" s="58" t="s">
        <v>7835</v>
      </c>
      <c r="C2973" s="58" t="s">
        <v>2294</v>
      </c>
      <c r="D2973" s="58" t="s">
        <v>7836</v>
      </c>
      <c r="E2973" s="60" t="b">
        <v>1</v>
      </c>
      <c r="F2973" s="80" t="s">
        <v>986</v>
      </c>
      <c r="G2973" s="58" t="s">
        <v>7835</v>
      </c>
      <c r="H2973" s="58" t="s">
        <v>2294</v>
      </c>
      <c r="I2973" s="64" t="s">
        <v>7836</v>
      </c>
      <c r="J2973" s="66"/>
      <c r="K2973" s="66"/>
      <c r="L2973" s="68"/>
      <c r="M2973" s="63" t="str">
        <f>HYPERLINK("http://nsgreg.nga.mil/genc/view?v=870883&amp;end_month=12&amp;end_day=31&amp;end_year=2016","Correlation")</f>
        <v>Correlation</v>
      </c>
    </row>
    <row r="2974" spans="1:13" x14ac:dyDescent="0.2">
      <c r="A2974" s="113"/>
      <c r="B2974" s="58" t="s">
        <v>7837</v>
      </c>
      <c r="C2974" s="58" t="s">
        <v>2294</v>
      </c>
      <c r="D2974" s="58" t="s">
        <v>7838</v>
      </c>
      <c r="E2974" s="60" t="b">
        <v>1</v>
      </c>
      <c r="F2974" s="80" t="s">
        <v>986</v>
      </c>
      <c r="G2974" s="58" t="s">
        <v>7837</v>
      </c>
      <c r="H2974" s="58" t="s">
        <v>2294</v>
      </c>
      <c r="I2974" s="64" t="s">
        <v>7838</v>
      </c>
      <c r="J2974" s="66"/>
      <c r="K2974" s="66"/>
      <c r="L2974" s="68"/>
      <c r="M2974" s="63" t="str">
        <f>HYPERLINK("http://nsgreg.nga.mil/genc/view?v=870884&amp;end_month=12&amp;end_day=31&amp;end_year=2016","Correlation")</f>
        <v>Correlation</v>
      </c>
    </row>
    <row r="2975" spans="1:13" x14ac:dyDescent="0.2">
      <c r="A2975" s="113"/>
      <c r="B2975" s="58" t="s">
        <v>7839</v>
      </c>
      <c r="C2975" s="58" t="s">
        <v>2294</v>
      </c>
      <c r="D2975" s="58" t="s">
        <v>7840</v>
      </c>
      <c r="E2975" s="60" t="b">
        <v>1</v>
      </c>
      <c r="F2975" s="80" t="s">
        <v>986</v>
      </c>
      <c r="G2975" s="58" t="s">
        <v>7839</v>
      </c>
      <c r="H2975" s="58" t="s">
        <v>2294</v>
      </c>
      <c r="I2975" s="64" t="s">
        <v>7840</v>
      </c>
      <c r="J2975" s="66"/>
      <c r="K2975" s="66"/>
      <c r="L2975" s="68"/>
      <c r="M2975" s="63" t="str">
        <f>HYPERLINK("http://nsgreg.nga.mil/genc/view?v=870885&amp;end_month=12&amp;end_day=31&amp;end_year=2016","Correlation")</f>
        <v>Correlation</v>
      </c>
    </row>
    <row r="2976" spans="1:13" x14ac:dyDescent="0.2">
      <c r="A2976" s="113"/>
      <c r="B2976" s="58" t="s">
        <v>7841</v>
      </c>
      <c r="C2976" s="58" t="s">
        <v>2294</v>
      </c>
      <c r="D2976" s="58" t="s">
        <v>7842</v>
      </c>
      <c r="E2976" s="60" t="b">
        <v>1</v>
      </c>
      <c r="F2976" s="80" t="s">
        <v>986</v>
      </c>
      <c r="G2976" s="58" t="s">
        <v>7841</v>
      </c>
      <c r="H2976" s="58" t="s">
        <v>2294</v>
      </c>
      <c r="I2976" s="64" t="s">
        <v>7842</v>
      </c>
      <c r="J2976" s="66"/>
      <c r="K2976" s="66"/>
      <c r="L2976" s="68"/>
      <c r="M2976" s="63" t="str">
        <f>HYPERLINK("http://nsgreg.nga.mil/genc/view?v=870886&amp;end_month=12&amp;end_day=31&amp;end_year=2016","Correlation")</f>
        <v>Correlation</v>
      </c>
    </row>
    <row r="2977" spans="1:13" x14ac:dyDescent="0.2">
      <c r="A2977" s="113"/>
      <c r="B2977" s="58" t="s">
        <v>7843</v>
      </c>
      <c r="C2977" s="58" t="s">
        <v>2294</v>
      </c>
      <c r="D2977" s="58" t="s">
        <v>7844</v>
      </c>
      <c r="E2977" s="60" t="b">
        <v>1</v>
      </c>
      <c r="F2977" s="80" t="s">
        <v>986</v>
      </c>
      <c r="G2977" s="58" t="s">
        <v>7843</v>
      </c>
      <c r="H2977" s="58" t="s">
        <v>2294</v>
      </c>
      <c r="I2977" s="64" t="s">
        <v>7844</v>
      </c>
      <c r="J2977" s="66"/>
      <c r="K2977" s="66"/>
      <c r="L2977" s="68"/>
      <c r="M2977" s="63" t="str">
        <f>HYPERLINK("http://nsgreg.nga.mil/genc/view?v=870887&amp;end_month=12&amp;end_day=31&amp;end_year=2016","Correlation")</f>
        <v>Correlation</v>
      </c>
    </row>
    <row r="2978" spans="1:13" x14ac:dyDescent="0.2">
      <c r="A2978" s="113"/>
      <c r="B2978" s="58" t="s">
        <v>7845</v>
      </c>
      <c r="C2978" s="58" t="s">
        <v>2294</v>
      </c>
      <c r="D2978" s="58" t="s">
        <v>7846</v>
      </c>
      <c r="E2978" s="60" t="b">
        <v>1</v>
      </c>
      <c r="F2978" s="80" t="s">
        <v>986</v>
      </c>
      <c r="G2978" s="58" t="s">
        <v>7845</v>
      </c>
      <c r="H2978" s="58" t="s">
        <v>2294</v>
      </c>
      <c r="I2978" s="64" t="s">
        <v>7846</v>
      </c>
      <c r="J2978" s="66"/>
      <c r="K2978" s="66"/>
      <c r="L2978" s="68"/>
      <c r="M2978" s="63" t="str">
        <f>HYPERLINK("http://nsgreg.nga.mil/genc/view?v=870889&amp;end_month=12&amp;end_day=31&amp;end_year=2016","Correlation")</f>
        <v>Correlation</v>
      </c>
    </row>
    <row r="2979" spans="1:13" x14ac:dyDescent="0.2">
      <c r="A2979" s="114"/>
      <c r="B2979" s="71" t="s">
        <v>7847</v>
      </c>
      <c r="C2979" s="71" t="s">
        <v>2294</v>
      </c>
      <c r="D2979" s="71" t="s">
        <v>7848</v>
      </c>
      <c r="E2979" s="73" t="b">
        <v>1</v>
      </c>
      <c r="F2979" s="81" t="s">
        <v>986</v>
      </c>
      <c r="G2979" s="71" t="s">
        <v>7847</v>
      </c>
      <c r="H2979" s="71" t="s">
        <v>2294</v>
      </c>
      <c r="I2979" s="74" t="s">
        <v>7848</v>
      </c>
      <c r="J2979" s="76"/>
      <c r="K2979" s="76"/>
      <c r="L2979" s="82"/>
      <c r="M2979" s="77" t="str">
        <f>HYPERLINK("http://nsgreg.nga.mil/genc/view?v=870888&amp;end_month=12&amp;end_day=31&amp;end_year=2016","Correlation")</f>
        <v>Correlation</v>
      </c>
    </row>
    <row r="2980" spans="1:13" x14ac:dyDescent="0.2">
      <c r="A2980" s="112" t="s">
        <v>990</v>
      </c>
      <c r="B2980" s="50" t="s">
        <v>7849</v>
      </c>
      <c r="C2980" s="50" t="s">
        <v>1728</v>
      </c>
      <c r="D2980" s="50" t="s">
        <v>7850</v>
      </c>
      <c r="E2980" s="52" t="b">
        <v>1</v>
      </c>
      <c r="F2980" s="78" t="s">
        <v>990</v>
      </c>
      <c r="G2980" s="50" t="s">
        <v>7849</v>
      </c>
      <c r="H2980" s="50" t="s">
        <v>1728</v>
      </c>
      <c r="I2980" s="53" t="s">
        <v>7850</v>
      </c>
      <c r="J2980" s="55"/>
      <c r="K2980" s="55"/>
      <c r="L2980" s="79"/>
      <c r="M2980" s="56" t="str">
        <f>HYPERLINK("http://nsgreg.nga.mil/genc/view?v=870828&amp;end_month=12&amp;end_day=31&amp;end_year=2016","Correlation")</f>
        <v>Correlation</v>
      </c>
    </row>
    <row r="2981" spans="1:13" x14ac:dyDescent="0.2">
      <c r="A2981" s="113"/>
      <c r="B2981" s="58" t="s">
        <v>7851</v>
      </c>
      <c r="C2981" s="58" t="s">
        <v>1728</v>
      </c>
      <c r="D2981" s="58" t="s">
        <v>7852</v>
      </c>
      <c r="E2981" s="60" t="b">
        <v>1</v>
      </c>
      <c r="F2981" s="80" t="s">
        <v>990</v>
      </c>
      <c r="G2981" s="58" t="s">
        <v>7851</v>
      </c>
      <c r="H2981" s="58" t="s">
        <v>1728</v>
      </c>
      <c r="I2981" s="64" t="s">
        <v>7852</v>
      </c>
      <c r="J2981" s="66"/>
      <c r="K2981" s="66"/>
      <c r="L2981" s="68"/>
      <c r="M2981" s="63" t="str">
        <f>HYPERLINK("http://nsgreg.nga.mil/genc/view?v=870829&amp;end_month=12&amp;end_day=31&amp;end_year=2016","Correlation")</f>
        <v>Correlation</v>
      </c>
    </row>
    <row r="2982" spans="1:13" x14ac:dyDescent="0.2">
      <c r="A2982" s="113"/>
      <c r="B2982" s="58" t="s">
        <v>7853</v>
      </c>
      <c r="C2982" s="58" t="s">
        <v>1728</v>
      </c>
      <c r="D2982" s="58" t="s">
        <v>7854</v>
      </c>
      <c r="E2982" s="60" t="b">
        <v>1</v>
      </c>
      <c r="F2982" s="80" t="s">
        <v>990</v>
      </c>
      <c r="G2982" s="58" t="s">
        <v>7853</v>
      </c>
      <c r="H2982" s="58" t="s">
        <v>1728</v>
      </c>
      <c r="I2982" s="64" t="s">
        <v>7854</v>
      </c>
      <c r="J2982" s="66"/>
      <c r="K2982" s="66"/>
      <c r="L2982" s="68"/>
      <c r="M2982" s="63" t="str">
        <f>HYPERLINK("http://nsgreg.nga.mil/genc/view?v=870830&amp;end_month=12&amp;end_day=31&amp;end_year=2016","Correlation")</f>
        <v>Correlation</v>
      </c>
    </row>
    <row r="2983" spans="1:13" x14ac:dyDescent="0.2">
      <c r="A2983" s="113"/>
      <c r="B2983" s="58" t="s">
        <v>7855</v>
      </c>
      <c r="C2983" s="58" t="s">
        <v>1728</v>
      </c>
      <c r="D2983" s="58" t="s">
        <v>7856</v>
      </c>
      <c r="E2983" s="60" t="b">
        <v>1</v>
      </c>
      <c r="F2983" s="80" t="s">
        <v>990</v>
      </c>
      <c r="G2983" s="58" t="s">
        <v>7855</v>
      </c>
      <c r="H2983" s="58" t="s">
        <v>1728</v>
      </c>
      <c r="I2983" s="64" t="s">
        <v>7856</v>
      </c>
      <c r="J2983" s="66"/>
      <c r="K2983" s="66"/>
      <c r="L2983" s="68"/>
      <c r="M2983" s="63" t="str">
        <f>HYPERLINK("http://nsgreg.nga.mil/genc/view?v=870831&amp;end_month=12&amp;end_day=31&amp;end_year=2016","Correlation")</f>
        <v>Correlation</v>
      </c>
    </row>
    <row r="2984" spans="1:13" x14ac:dyDescent="0.2">
      <c r="A2984" s="113"/>
      <c r="B2984" s="58" t="s">
        <v>7857</v>
      </c>
      <c r="C2984" s="58" t="s">
        <v>7859</v>
      </c>
      <c r="D2984" s="58" t="s">
        <v>7858</v>
      </c>
      <c r="E2984" s="60" t="b">
        <v>1</v>
      </c>
      <c r="F2984" s="80" t="s">
        <v>990</v>
      </c>
      <c r="G2984" s="58" t="s">
        <v>7857</v>
      </c>
      <c r="H2984" s="58" t="s">
        <v>3080</v>
      </c>
      <c r="I2984" s="64" t="s">
        <v>7858</v>
      </c>
      <c r="J2984" s="66"/>
      <c r="K2984" s="66"/>
      <c r="L2984" s="68"/>
      <c r="M2984" s="63" t="str">
        <f>HYPERLINK("http://nsgreg.nga.mil/genc/view?v=870835&amp;end_month=12&amp;end_day=31&amp;end_year=2016","Correlation")</f>
        <v>Correlation</v>
      </c>
    </row>
    <row r="2985" spans="1:13" x14ac:dyDescent="0.2">
      <c r="A2985" s="113"/>
      <c r="B2985" s="58" t="s">
        <v>7860</v>
      </c>
      <c r="C2985" s="58" t="s">
        <v>1728</v>
      </c>
      <c r="D2985" s="58" t="s">
        <v>7861</v>
      </c>
      <c r="E2985" s="60" t="b">
        <v>1</v>
      </c>
      <c r="F2985" s="80" t="s">
        <v>990</v>
      </c>
      <c r="G2985" s="58" t="s">
        <v>7860</v>
      </c>
      <c r="H2985" s="58" t="s">
        <v>1728</v>
      </c>
      <c r="I2985" s="64" t="s">
        <v>7861</v>
      </c>
      <c r="J2985" s="66"/>
      <c r="K2985" s="66"/>
      <c r="L2985" s="68"/>
      <c r="M2985" s="63" t="str">
        <f>HYPERLINK("http://nsgreg.nga.mil/genc/view?v=870832&amp;end_month=12&amp;end_day=31&amp;end_year=2016","Correlation")</f>
        <v>Correlation</v>
      </c>
    </row>
    <row r="2986" spans="1:13" x14ac:dyDescent="0.2">
      <c r="A2986" s="113"/>
      <c r="B2986" s="58" t="s">
        <v>7862</v>
      </c>
      <c r="C2986" s="58" t="s">
        <v>1728</v>
      </c>
      <c r="D2986" s="58" t="s">
        <v>7863</v>
      </c>
      <c r="E2986" s="60" t="b">
        <v>1</v>
      </c>
      <c r="F2986" s="80" t="s">
        <v>990</v>
      </c>
      <c r="G2986" s="58" t="s">
        <v>7862</v>
      </c>
      <c r="H2986" s="58" t="s">
        <v>1728</v>
      </c>
      <c r="I2986" s="64" t="s">
        <v>7863</v>
      </c>
      <c r="J2986" s="66"/>
      <c r="K2986" s="66"/>
      <c r="L2986" s="68"/>
      <c r="M2986" s="63" t="str">
        <f>HYPERLINK("http://nsgreg.nga.mil/genc/view?v=870833&amp;end_month=12&amp;end_day=31&amp;end_year=2016","Correlation")</f>
        <v>Correlation</v>
      </c>
    </row>
    <row r="2987" spans="1:13" x14ac:dyDescent="0.2">
      <c r="A2987" s="114"/>
      <c r="B2987" s="71" t="s">
        <v>7864</v>
      </c>
      <c r="C2987" s="71" t="s">
        <v>1728</v>
      </c>
      <c r="D2987" s="71" t="s">
        <v>7865</v>
      </c>
      <c r="E2987" s="73" t="b">
        <v>1</v>
      </c>
      <c r="F2987" s="81" t="s">
        <v>990</v>
      </c>
      <c r="G2987" s="71" t="s">
        <v>7864</v>
      </c>
      <c r="H2987" s="71" t="s">
        <v>1728</v>
      </c>
      <c r="I2987" s="74" t="s">
        <v>7865</v>
      </c>
      <c r="J2987" s="76"/>
      <c r="K2987" s="76"/>
      <c r="L2987" s="82"/>
      <c r="M2987" s="77" t="str">
        <f>HYPERLINK("http://nsgreg.nga.mil/genc/view?v=870834&amp;end_month=12&amp;end_day=31&amp;end_year=2016","Correlation")</f>
        <v>Correlation</v>
      </c>
    </row>
    <row r="2988" spans="1:13" x14ac:dyDescent="0.2">
      <c r="A2988" s="112" t="s">
        <v>994</v>
      </c>
      <c r="B2988" s="50" t="s">
        <v>7866</v>
      </c>
      <c r="C2988" s="50" t="s">
        <v>1763</v>
      </c>
      <c r="D2988" s="50" t="s">
        <v>7867</v>
      </c>
      <c r="E2988" s="52" t="b">
        <v>1</v>
      </c>
      <c r="F2988" s="78" t="s">
        <v>994</v>
      </c>
      <c r="G2988" s="50" t="s">
        <v>7866</v>
      </c>
      <c r="H2988" s="50" t="s">
        <v>1763</v>
      </c>
      <c r="I2988" s="53" t="s">
        <v>7867</v>
      </c>
      <c r="J2988" s="55"/>
      <c r="K2988" s="55"/>
      <c r="L2988" s="79"/>
      <c r="M2988" s="56" t="str">
        <f>HYPERLINK("http://nsgreg.nga.mil/genc/view?v=870836&amp;end_month=12&amp;end_day=31&amp;end_year=2016","Correlation")</f>
        <v>Correlation</v>
      </c>
    </row>
    <row r="2989" spans="1:13" x14ac:dyDescent="0.2">
      <c r="A2989" s="113"/>
      <c r="B2989" s="58" t="s">
        <v>7897</v>
      </c>
      <c r="C2989" s="58" t="s">
        <v>7895</v>
      </c>
      <c r="D2989" s="58" t="s">
        <v>7896</v>
      </c>
      <c r="E2989" s="60" t="b">
        <v>1</v>
      </c>
      <c r="F2989" s="80" t="s">
        <v>994</v>
      </c>
      <c r="G2989" s="58" t="s">
        <v>7894</v>
      </c>
      <c r="H2989" s="58" t="s">
        <v>7895</v>
      </c>
      <c r="I2989" s="64" t="s">
        <v>7896</v>
      </c>
      <c r="J2989" s="66"/>
      <c r="K2989" s="66"/>
      <c r="L2989" s="68"/>
      <c r="M2989" s="63" t="str">
        <f>HYPERLINK("http://nsgreg.nga.mil/genc/view?v=870850&amp;end_month=12&amp;end_day=31&amp;end_year=2016","Correlation")</f>
        <v>Correlation</v>
      </c>
    </row>
    <row r="2990" spans="1:13" x14ac:dyDescent="0.2">
      <c r="A2990" s="113"/>
      <c r="B2990" s="58" t="s">
        <v>7868</v>
      </c>
      <c r="C2990" s="58" t="s">
        <v>1763</v>
      </c>
      <c r="D2990" s="58" t="s">
        <v>7869</v>
      </c>
      <c r="E2990" s="60" t="b">
        <v>1</v>
      </c>
      <c r="F2990" s="80" t="s">
        <v>994</v>
      </c>
      <c r="G2990" s="58" t="s">
        <v>7868</v>
      </c>
      <c r="H2990" s="58" t="s">
        <v>1763</v>
      </c>
      <c r="I2990" s="64" t="s">
        <v>7869</v>
      </c>
      <c r="J2990" s="66"/>
      <c r="K2990" s="66"/>
      <c r="L2990" s="68"/>
      <c r="M2990" s="63" t="str">
        <f>HYPERLINK("http://nsgreg.nga.mil/genc/view?v=870837&amp;end_month=12&amp;end_day=31&amp;end_year=2016","Correlation")</f>
        <v>Correlation</v>
      </c>
    </row>
    <row r="2991" spans="1:13" x14ac:dyDescent="0.2">
      <c r="A2991" s="113"/>
      <c r="B2991" s="58" t="s">
        <v>7870</v>
      </c>
      <c r="C2991" s="58" t="s">
        <v>1763</v>
      </c>
      <c r="D2991" s="58" t="s">
        <v>7871</v>
      </c>
      <c r="E2991" s="60" t="b">
        <v>1</v>
      </c>
      <c r="F2991" s="80" t="s">
        <v>994</v>
      </c>
      <c r="G2991" s="58" t="s">
        <v>7870</v>
      </c>
      <c r="H2991" s="58" t="s">
        <v>1763</v>
      </c>
      <c r="I2991" s="64" t="s">
        <v>7871</v>
      </c>
      <c r="J2991" s="66"/>
      <c r="K2991" s="66"/>
      <c r="L2991" s="68"/>
      <c r="M2991" s="63" t="str">
        <f>HYPERLINK("http://nsgreg.nga.mil/genc/view?v=870838&amp;end_month=12&amp;end_day=31&amp;end_year=2016","Correlation")</f>
        <v>Correlation</v>
      </c>
    </row>
    <row r="2992" spans="1:13" x14ac:dyDescent="0.2">
      <c r="A2992" s="113"/>
      <c r="B2992" s="58" t="s">
        <v>7872</v>
      </c>
      <c r="C2992" s="58" t="s">
        <v>1763</v>
      </c>
      <c r="D2992" s="58" t="s">
        <v>7873</v>
      </c>
      <c r="E2992" s="60" t="b">
        <v>1</v>
      </c>
      <c r="F2992" s="80" t="s">
        <v>994</v>
      </c>
      <c r="G2992" s="58" t="s">
        <v>7872</v>
      </c>
      <c r="H2992" s="58" t="s">
        <v>1763</v>
      </c>
      <c r="I2992" s="64" t="s">
        <v>7873</v>
      </c>
      <c r="J2992" s="66"/>
      <c r="K2992" s="66"/>
      <c r="L2992" s="68"/>
      <c r="M2992" s="63" t="str">
        <f>HYPERLINK("http://nsgreg.nga.mil/genc/view?v=870839&amp;end_month=12&amp;end_day=31&amp;end_year=2016","Correlation")</f>
        <v>Correlation</v>
      </c>
    </row>
    <row r="2993" spans="1:13" x14ac:dyDescent="0.2">
      <c r="A2993" s="113"/>
      <c r="B2993" s="58" t="s">
        <v>7874</v>
      </c>
      <c r="C2993" s="58" t="s">
        <v>1763</v>
      </c>
      <c r="D2993" s="58" t="s">
        <v>7875</v>
      </c>
      <c r="E2993" s="60" t="b">
        <v>1</v>
      </c>
      <c r="F2993" s="80" t="s">
        <v>994</v>
      </c>
      <c r="G2993" s="58" t="s">
        <v>7874</v>
      </c>
      <c r="H2993" s="58" t="s">
        <v>1763</v>
      </c>
      <c r="I2993" s="64" t="s">
        <v>7875</v>
      </c>
      <c r="J2993" s="66"/>
      <c r="K2993" s="66"/>
      <c r="L2993" s="68"/>
      <c r="M2993" s="63" t="str">
        <f>HYPERLINK("http://nsgreg.nga.mil/genc/view?v=870840&amp;end_month=12&amp;end_day=31&amp;end_year=2016","Correlation")</f>
        <v>Correlation</v>
      </c>
    </row>
    <row r="2994" spans="1:13" x14ac:dyDescent="0.2">
      <c r="A2994" s="113"/>
      <c r="B2994" s="58" t="s">
        <v>7876</v>
      </c>
      <c r="C2994" s="58" t="s">
        <v>1763</v>
      </c>
      <c r="D2994" s="58" t="s">
        <v>7877</v>
      </c>
      <c r="E2994" s="60" t="b">
        <v>1</v>
      </c>
      <c r="F2994" s="80" t="s">
        <v>994</v>
      </c>
      <c r="G2994" s="58" t="s">
        <v>7876</v>
      </c>
      <c r="H2994" s="58" t="s">
        <v>1763</v>
      </c>
      <c r="I2994" s="64" t="s">
        <v>7877</v>
      </c>
      <c r="J2994" s="66"/>
      <c r="K2994" s="66"/>
      <c r="L2994" s="68"/>
      <c r="M2994" s="63" t="str">
        <f>HYPERLINK("http://nsgreg.nga.mil/genc/view?v=870843&amp;end_month=12&amp;end_day=31&amp;end_year=2016","Correlation")</f>
        <v>Correlation</v>
      </c>
    </row>
    <row r="2995" spans="1:13" x14ac:dyDescent="0.2">
      <c r="A2995" s="113"/>
      <c r="B2995" s="58" t="s">
        <v>7878</v>
      </c>
      <c r="C2995" s="58" t="s">
        <v>1763</v>
      </c>
      <c r="D2995" s="58" t="s">
        <v>7879</v>
      </c>
      <c r="E2995" s="60" t="b">
        <v>1</v>
      </c>
      <c r="F2995" s="80" t="s">
        <v>994</v>
      </c>
      <c r="G2995" s="58" t="s">
        <v>7878</v>
      </c>
      <c r="H2995" s="58" t="s">
        <v>1763</v>
      </c>
      <c r="I2995" s="64" t="s">
        <v>7879</v>
      </c>
      <c r="J2995" s="66"/>
      <c r="K2995" s="66"/>
      <c r="L2995" s="68"/>
      <c r="M2995" s="63" t="str">
        <f>HYPERLINK("http://nsgreg.nga.mil/genc/view?v=870841&amp;end_month=12&amp;end_day=31&amp;end_year=2016","Correlation")</f>
        <v>Correlation</v>
      </c>
    </row>
    <row r="2996" spans="1:13" x14ac:dyDescent="0.2">
      <c r="A2996" s="113"/>
      <c r="B2996" s="58" t="s">
        <v>7880</v>
      </c>
      <c r="C2996" s="58" t="s">
        <v>1763</v>
      </c>
      <c r="D2996" s="58" t="s">
        <v>7881</v>
      </c>
      <c r="E2996" s="60" t="b">
        <v>1</v>
      </c>
      <c r="F2996" s="80" t="s">
        <v>994</v>
      </c>
      <c r="G2996" s="58" t="s">
        <v>7880</v>
      </c>
      <c r="H2996" s="58" t="s">
        <v>1763</v>
      </c>
      <c r="I2996" s="64" t="s">
        <v>7881</v>
      </c>
      <c r="J2996" s="66"/>
      <c r="K2996" s="66"/>
      <c r="L2996" s="68"/>
      <c r="M2996" s="63" t="str">
        <f>HYPERLINK("http://nsgreg.nga.mil/genc/view?v=870842&amp;end_month=12&amp;end_day=31&amp;end_year=2016","Correlation")</f>
        <v>Correlation</v>
      </c>
    </row>
    <row r="2997" spans="1:13" x14ac:dyDescent="0.2">
      <c r="A2997" s="113"/>
      <c r="B2997" s="58" t="s">
        <v>7882</v>
      </c>
      <c r="C2997" s="58" t="s">
        <v>1763</v>
      </c>
      <c r="D2997" s="58" t="s">
        <v>7883</v>
      </c>
      <c r="E2997" s="60" t="b">
        <v>1</v>
      </c>
      <c r="F2997" s="80" t="s">
        <v>994</v>
      </c>
      <c r="G2997" s="58" t="s">
        <v>7882</v>
      </c>
      <c r="H2997" s="58" t="s">
        <v>1763</v>
      </c>
      <c r="I2997" s="64" t="s">
        <v>7883</v>
      </c>
      <c r="J2997" s="66"/>
      <c r="K2997" s="66"/>
      <c r="L2997" s="68"/>
      <c r="M2997" s="63" t="str">
        <f>HYPERLINK("http://nsgreg.nga.mil/genc/view?v=870844&amp;end_month=12&amp;end_day=31&amp;end_year=2016","Correlation")</f>
        <v>Correlation</v>
      </c>
    </row>
    <row r="2998" spans="1:13" x14ac:dyDescent="0.2">
      <c r="A2998" s="113"/>
      <c r="B2998" s="58" t="s">
        <v>7884</v>
      </c>
      <c r="C2998" s="58" t="s">
        <v>1763</v>
      </c>
      <c r="D2998" s="58" t="s">
        <v>7885</v>
      </c>
      <c r="E2998" s="60" t="b">
        <v>1</v>
      </c>
      <c r="F2998" s="80" t="s">
        <v>994</v>
      </c>
      <c r="G2998" s="58" t="s">
        <v>7884</v>
      </c>
      <c r="H2998" s="58" t="s">
        <v>1763</v>
      </c>
      <c r="I2998" s="64" t="s">
        <v>7885</v>
      </c>
      <c r="J2998" s="66"/>
      <c r="K2998" s="66"/>
      <c r="L2998" s="68"/>
      <c r="M2998" s="63" t="str">
        <f>HYPERLINK("http://nsgreg.nga.mil/genc/view?v=870845&amp;end_month=12&amp;end_day=31&amp;end_year=2016","Correlation")</f>
        <v>Correlation</v>
      </c>
    </row>
    <row r="2999" spans="1:13" x14ac:dyDescent="0.2">
      <c r="A2999" s="113"/>
      <c r="B2999" s="58" t="s">
        <v>7886</v>
      </c>
      <c r="C2999" s="58" t="s">
        <v>1763</v>
      </c>
      <c r="D2999" s="58" t="s">
        <v>7887</v>
      </c>
      <c r="E2999" s="60" t="b">
        <v>1</v>
      </c>
      <c r="F2999" s="80" t="s">
        <v>994</v>
      </c>
      <c r="G2999" s="58" t="s">
        <v>7886</v>
      </c>
      <c r="H2999" s="58" t="s">
        <v>1763</v>
      </c>
      <c r="I2999" s="64" t="s">
        <v>7887</v>
      </c>
      <c r="J2999" s="66"/>
      <c r="K2999" s="66"/>
      <c r="L2999" s="68"/>
      <c r="M2999" s="63" t="str">
        <f>HYPERLINK("http://nsgreg.nga.mil/genc/view?v=870846&amp;end_month=12&amp;end_day=31&amp;end_year=2016","Correlation")</f>
        <v>Correlation</v>
      </c>
    </row>
    <row r="3000" spans="1:13" x14ac:dyDescent="0.2">
      <c r="A3000" s="113"/>
      <c r="B3000" s="58" t="s">
        <v>7888</v>
      </c>
      <c r="C3000" s="58" t="s">
        <v>1763</v>
      </c>
      <c r="D3000" s="58" t="s">
        <v>7889</v>
      </c>
      <c r="E3000" s="60" t="b">
        <v>1</v>
      </c>
      <c r="F3000" s="80" t="s">
        <v>994</v>
      </c>
      <c r="G3000" s="58" t="s">
        <v>7888</v>
      </c>
      <c r="H3000" s="58" t="s">
        <v>1763</v>
      </c>
      <c r="I3000" s="64" t="s">
        <v>7889</v>
      </c>
      <c r="J3000" s="66"/>
      <c r="K3000" s="66"/>
      <c r="L3000" s="68"/>
      <c r="M3000" s="63" t="str">
        <f>HYPERLINK("http://nsgreg.nga.mil/genc/view?v=870847&amp;end_month=12&amp;end_day=31&amp;end_year=2016","Correlation")</f>
        <v>Correlation</v>
      </c>
    </row>
    <row r="3001" spans="1:13" x14ac:dyDescent="0.2">
      <c r="A3001" s="113"/>
      <c r="B3001" s="58" t="s">
        <v>7890</v>
      </c>
      <c r="C3001" s="58" t="s">
        <v>1763</v>
      </c>
      <c r="D3001" s="58" t="s">
        <v>7891</v>
      </c>
      <c r="E3001" s="60" t="b">
        <v>1</v>
      </c>
      <c r="F3001" s="80" t="s">
        <v>994</v>
      </c>
      <c r="G3001" s="58" t="s">
        <v>7890</v>
      </c>
      <c r="H3001" s="58" t="s">
        <v>1763</v>
      </c>
      <c r="I3001" s="64" t="s">
        <v>7891</v>
      </c>
      <c r="J3001" s="66"/>
      <c r="K3001" s="66"/>
      <c r="L3001" s="68"/>
      <c r="M3001" s="63" t="str">
        <f>HYPERLINK("http://nsgreg.nga.mil/genc/view?v=870848&amp;end_month=12&amp;end_day=31&amp;end_year=2016","Correlation")</f>
        <v>Correlation</v>
      </c>
    </row>
    <row r="3002" spans="1:13" x14ac:dyDescent="0.2">
      <c r="A3002" s="113"/>
      <c r="B3002" s="58" t="s">
        <v>7892</v>
      </c>
      <c r="C3002" s="58" t="s">
        <v>1763</v>
      </c>
      <c r="D3002" s="58" t="s">
        <v>7893</v>
      </c>
      <c r="E3002" s="60" t="b">
        <v>1</v>
      </c>
      <c r="F3002" s="80" t="s">
        <v>994</v>
      </c>
      <c r="G3002" s="58" t="s">
        <v>7892</v>
      </c>
      <c r="H3002" s="58" t="s">
        <v>1763</v>
      </c>
      <c r="I3002" s="64" t="s">
        <v>7893</v>
      </c>
      <c r="J3002" s="66"/>
      <c r="K3002" s="66"/>
      <c r="L3002" s="68"/>
      <c r="M3002" s="63" t="str">
        <f>HYPERLINK("http://nsgreg.nga.mil/genc/view?v=870849&amp;end_month=12&amp;end_day=31&amp;end_year=2016","Correlation")</f>
        <v>Correlation</v>
      </c>
    </row>
    <row r="3003" spans="1:13" x14ac:dyDescent="0.2">
      <c r="A3003" s="113"/>
      <c r="B3003" s="58" t="s">
        <v>7898</v>
      </c>
      <c r="C3003" s="58" t="s">
        <v>1763</v>
      </c>
      <c r="D3003" s="58" t="s">
        <v>7899</v>
      </c>
      <c r="E3003" s="60" t="b">
        <v>1</v>
      </c>
      <c r="F3003" s="80" t="s">
        <v>994</v>
      </c>
      <c r="G3003" s="58" t="s">
        <v>7898</v>
      </c>
      <c r="H3003" s="58" t="s">
        <v>1763</v>
      </c>
      <c r="I3003" s="64" t="s">
        <v>7899</v>
      </c>
      <c r="J3003" s="66"/>
      <c r="K3003" s="66"/>
      <c r="L3003" s="68"/>
      <c r="M3003" s="63" t="str">
        <f>HYPERLINK("http://nsgreg.nga.mil/genc/view?v=870851&amp;end_month=12&amp;end_day=31&amp;end_year=2016","Correlation")</f>
        <v>Correlation</v>
      </c>
    </row>
    <row r="3004" spans="1:13" x14ac:dyDescent="0.2">
      <c r="A3004" s="113"/>
      <c r="B3004" s="58" t="s">
        <v>7900</v>
      </c>
      <c r="C3004" s="58" t="s">
        <v>1763</v>
      </c>
      <c r="D3004" s="58" t="s">
        <v>7901</v>
      </c>
      <c r="E3004" s="60" t="b">
        <v>1</v>
      </c>
      <c r="F3004" s="80" t="s">
        <v>994</v>
      </c>
      <c r="G3004" s="58" t="s">
        <v>7900</v>
      </c>
      <c r="H3004" s="58" t="s">
        <v>1763</v>
      </c>
      <c r="I3004" s="64" t="s">
        <v>7901</v>
      </c>
      <c r="J3004" s="66"/>
      <c r="K3004" s="66"/>
      <c r="L3004" s="68"/>
      <c r="M3004" s="63" t="str">
        <f>HYPERLINK("http://nsgreg.nga.mil/genc/view?v=870852&amp;end_month=12&amp;end_day=31&amp;end_year=2016","Correlation")</f>
        <v>Correlation</v>
      </c>
    </row>
    <row r="3005" spans="1:13" x14ac:dyDescent="0.2">
      <c r="A3005" s="113"/>
      <c r="B3005" s="58" t="s">
        <v>7902</v>
      </c>
      <c r="C3005" s="58" t="s">
        <v>1763</v>
      </c>
      <c r="D3005" s="58" t="s">
        <v>7903</v>
      </c>
      <c r="E3005" s="60" t="b">
        <v>1</v>
      </c>
      <c r="F3005" s="80" t="s">
        <v>994</v>
      </c>
      <c r="G3005" s="58" t="s">
        <v>7902</v>
      </c>
      <c r="H3005" s="58" t="s">
        <v>1763</v>
      </c>
      <c r="I3005" s="64" t="s">
        <v>7903</v>
      </c>
      <c r="J3005" s="66"/>
      <c r="K3005" s="66"/>
      <c r="L3005" s="68"/>
      <c r="M3005" s="63" t="str">
        <f>HYPERLINK("http://nsgreg.nga.mil/genc/view?v=870853&amp;end_month=12&amp;end_day=31&amp;end_year=2016","Correlation")</f>
        <v>Correlation</v>
      </c>
    </row>
    <row r="3006" spans="1:13" x14ac:dyDescent="0.2">
      <c r="A3006" s="113"/>
      <c r="B3006" s="58" t="s">
        <v>7904</v>
      </c>
      <c r="C3006" s="58" t="s">
        <v>1763</v>
      </c>
      <c r="D3006" s="58" t="s">
        <v>7905</v>
      </c>
      <c r="E3006" s="60" t="b">
        <v>1</v>
      </c>
      <c r="F3006" s="80" t="s">
        <v>994</v>
      </c>
      <c r="G3006" s="58" t="s">
        <v>7904</v>
      </c>
      <c r="H3006" s="58" t="s">
        <v>1763</v>
      </c>
      <c r="I3006" s="64" t="s">
        <v>7905</v>
      </c>
      <c r="J3006" s="66"/>
      <c r="K3006" s="66"/>
      <c r="L3006" s="68"/>
      <c r="M3006" s="63" t="str">
        <f>HYPERLINK("http://nsgreg.nga.mil/genc/view?v=870854&amp;end_month=12&amp;end_day=31&amp;end_year=2016","Correlation")</f>
        <v>Correlation</v>
      </c>
    </row>
    <row r="3007" spans="1:13" x14ac:dyDescent="0.2">
      <c r="A3007" s="113"/>
      <c r="B3007" s="58" t="s">
        <v>7906</v>
      </c>
      <c r="C3007" s="58" t="s">
        <v>1763</v>
      </c>
      <c r="D3007" s="58" t="s">
        <v>7907</v>
      </c>
      <c r="E3007" s="60" t="b">
        <v>1</v>
      </c>
      <c r="F3007" s="80" t="s">
        <v>994</v>
      </c>
      <c r="G3007" s="58" t="s">
        <v>7906</v>
      </c>
      <c r="H3007" s="58" t="s">
        <v>1763</v>
      </c>
      <c r="I3007" s="64" t="s">
        <v>7907</v>
      </c>
      <c r="J3007" s="66"/>
      <c r="K3007" s="66"/>
      <c r="L3007" s="68"/>
      <c r="M3007" s="63" t="str">
        <f>HYPERLINK("http://nsgreg.nga.mil/genc/view?v=870856&amp;end_month=12&amp;end_day=31&amp;end_year=2016","Correlation")</f>
        <v>Correlation</v>
      </c>
    </row>
    <row r="3008" spans="1:13" x14ac:dyDescent="0.2">
      <c r="A3008" s="113"/>
      <c r="B3008" s="58" t="s">
        <v>7908</v>
      </c>
      <c r="C3008" s="58" t="s">
        <v>1763</v>
      </c>
      <c r="D3008" s="58" t="s">
        <v>7909</v>
      </c>
      <c r="E3008" s="60" t="b">
        <v>1</v>
      </c>
      <c r="F3008" s="80" t="s">
        <v>994</v>
      </c>
      <c r="G3008" s="58" t="s">
        <v>7908</v>
      </c>
      <c r="H3008" s="58" t="s">
        <v>1763</v>
      </c>
      <c r="I3008" s="64" t="s">
        <v>7909</v>
      </c>
      <c r="J3008" s="66"/>
      <c r="K3008" s="66"/>
      <c r="L3008" s="68"/>
      <c r="M3008" s="63" t="str">
        <f>HYPERLINK("http://nsgreg.nga.mil/genc/view?v=870858&amp;end_month=12&amp;end_day=31&amp;end_year=2016","Correlation")</f>
        <v>Correlation</v>
      </c>
    </row>
    <row r="3009" spans="1:13" x14ac:dyDescent="0.2">
      <c r="A3009" s="113"/>
      <c r="B3009" s="58" t="s">
        <v>7910</v>
      </c>
      <c r="C3009" s="58" t="s">
        <v>1763</v>
      </c>
      <c r="D3009" s="58" t="s">
        <v>7911</v>
      </c>
      <c r="E3009" s="60" t="b">
        <v>1</v>
      </c>
      <c r="F3009" s="80" t="s">
        <v>994</v>
      </c>
      <c r="G3009" s="58" t="s">
        <v>7910</v>
      </c>
      <c r="H3009" s="58" t="s">
        <v>1763</v>
      </c>
      <c r="I3009" s="64" t="s">
        <v>7911</v>
      </c>
      <c r="J3009" s="66"/>
      <c r="K3009" s="66"/>
      <c r="L3009" s="68"/>
      <c r="M3009" s="63" t="str">
        <f>HYPERLINK("http://nsgreg.nga.mil/genc/view?v=870855&amp;end_month=12&amp;end_day=31&amp;end_year=2016","Correlation")</f>
        <v>Correlation</v>
      </c>
    </row>
    <row r="3010" spans="1:13" x14ac:dyDescent="0.2">
      <c r="A3010" s="113"/>
      <c r="B3010" s="58" t="s">
        <v>7912</v>
      </c>
      <c r="C3010" s="58" t="s">
        <v>1763</v>
      </c>
      <c r="D3010" s="58" t="s">
        <v>7913</v>
      </c>
      <c r="E3010" s="60" t="b">
        <v>1</v>
      </c>
      <c r="F3010" s="80" t="s">
        <v>994</v>
      </c>
      <c r="G3010" s="58" t="s">
        <v>7912</v>
      </c>
      <c r="H3010" s="58" t="s">
        <v>1763</v>
      </c>
      <c r="I3010" s="64" t="s">
        <v>7913</v>
      </c>
      <c r="J3010" s="66"/>
      <c r="K3010" s="66"/>
      <c r="L3010" s="68"/>
      <c r="M3010" s="63" t="str">
        <f>HYPERLINK("http://nsgreg.nga.mil/genc/view?v=870857&amp;end_month=12&amp;end_day=31&amp;end_year=2016","Correlation")</f>
        <v>Correlation</v>
      </c>
    </row>
    <row r="3011" spans="1:13" x14ac:dyDescent="0.2">
      <c r="A3011" s="113"/>
      <c r="B3011" s="58" t="s">
        <v>7914</v>
      </c>
      <c r="C3011" s="58" t="s">
        <v>1763</v>
      </c>
      <c r="D3011" s="58" t="s">
        <v>7915</v>
      </c>
      <c r="E3011" s="60" t="b">
        <v>1</v>
      </c>
      <c r="F3011" s="80" t="s">
        <v>994</v>
      </c>
      <c r="G3011" s="58" t="s">
        <v>7914</v>
      </c>
      <c r="H3011" s="58" t="s">
        <v>1763</v>
      </c>
      <c r="I3011" s="64" t="s">
        <v>7915</v>
      </c>
      <c r="J3011" s="66"/>
      <c r="K3011" s="66"/>
      <c r="L3011" s="68"/>
      <c r="M3011" s="63" t="str">
        <f>HYPERLINK("http://nsgreg.nga.mil/genc/view?v=870859&amp;end_month=12&amp;end_day=31&amp;end_year=2016","Correlation")</f>
        <v>Correlation</v>
      </c>
    </row>
    <row r="3012" spans="1:13" x14ac:dyDescent="0.2">
      <c r="A3012" s="113"/>
      <c r="B3012" s="58" t="s">
        <v>7916</v>
      </c>
      <c r="C3012" s="58" t="s">
        <v>1763</v>
      </c>
      <c r="D3012" s="58" t="s">
        <v>7917</v>
      </c>
      <c r="E3012" s="60" t="b">
        <v>1</v>
      </c>
      <c r="F3012" s="80" t="s">
        <v>994</v>
      </c>
      <c r="G3012" s="58" t="s">
        <v>7916</v>
      </c>
      <c r="H3012" s="58" t="s">
        <v>1763</v>
      </c>
      <c r="I3012" s="64" t="s">
        <v>7917</v>
      </c>
      <c r="J3012" s="66"/>
      <c r="K3012" s="66"/>
      <c r="L3012" s="68"/>
      <c r="M3012" s="63" t="str">
        <f>HYPERLINK("http://nsgreg.nga.mil/genc/view?v=870860&amp;end_month=12&amp;end_day=31&amp;end_year=2016","Correlation")</f>
        <v>Correlation</v>
      </c>
    </row>
    <row r="3013" spans="1:13" x14ac:dyDescent="0.2">
      <c r="A3013" s="113"/>
      <c r="B3013" s="58" t="s">
        <v>7918</v>
      </c>
      <c r="C3013" s="58" t="s">
        <v>1763</v>
      </c>
      <c r="D3013" s="58" t="s">
        <v>7919</v>
      </c>
      <c r="E3013" s="60" t="b">
        <v>1</v>
      </c>
      <c r="F3013" s="80" t="s">
        <v>994</v>
      </c>
      <c r="G3013" s="58" t="s">
        <v>7918</v>
      </c>
      <c r="H3013" s="58" t="s">
        <v>1763</v>
      </c>
      <c r="I3013" s="64" t="s">
        <v>7919</v>
      </c>
      <c r="J3013" s="66"/>
      <c r="K3013" s="66"/>
      <c r="L3013" s="68"/>
      <c r="M3013" s="63" t="str">
        <f>HYPERLINK("http://nsgreg.nga.mil/genc/view?v=870861&amp;end_month=12&amp;end_day=31&amp;end_year=2016","Correlation")</f>
        <v>Correlation</v>
      </c>
    </row>
    <row r="3014" spans="1:13" x14ac:dyDescent="0.2">
      <c r="A3014" s="113"/>
      <c r="B3014" s="58" t="s">
        <v>7920</v>
      </c>
      <c r="C3014" s="58" t="s">
        <v>1763</v>
      </c>
      <c r="D3014" s="58" t="s">
        <v>7921</v>
      </c>
      <c r="E3014" s="60" t="b">
        <v>1</v>
      </c>
      <c r="F3014" s="80" t="s">
        <v>994</v>
      </c>
      <c r="G3014" s="58" t="s">
        <v>7920</v>
      </c>
      <c r="H3014" s="58" t="s">
        <v>1763</v>
      </c>
      <c r="I3014" s="64" t="s">
        <v>7921</v>
      </c>
      <c r="J3014" s="66"/>
      <c r="K3014" s="66"/>
      <c r="L3014" s="68"/>
      <c r="M3014" s="63" t="str">
        <f>HYPERLINK("http://nsgreg.nga.mil/genc/view?v=870862&amp;end_month=12&amp;end_day=31&amp;end_year=2016","Correlation")</f>
        <v>Correlation</v>
      </c>
    </row>
    <row r="3015" spans="1:13" x14ac:dyDescent="0.2">
      <c r="A3015" s="113"/>
      <c r="B3015" s="58" t="s">
        <v>7922</v>
      </c>
      <c r="C3015" s="58" t="s">
        <v>1763</v>
      </c>
      <c r="D3015" s="58" t="s">
        <v>7923</v>
      </c>
      <c r="E3015" s="60" t="b">
        <v>1</v>
      </c>
      <c r="F3015" s="80" t="s">
        <v>994</v>
      </c>
      <c r="G3015" s="58" t="s">
        <v>7922</v>
      </c>
      <c r="H3015" s="58" t="s">
        <v>1763</v>
      </c>
      <c r="I3015" s="64" t="s">
        <v>7923</v>
      </c>
      <c r="J3015" s="66"/>
      <c r="K3015" s="66"/>
      <c r="L3015" s="68"/>
      <c r="M3015" s="63" t="str">
        <f>HYPERLINK("http://nsgreg.nga.mil/genc/view?v=870863&amp;end_month=12&amp;end_day=31&amp;end_year=2016","Correlation")</f>
        <v>Correlation</v>
      </c>
    </row>
    <row r="3016" spans="1:13" x14ac:dyDescent="0.2">
      <c r="A3016" s="113"/>
      <c r="B3016" s="58" t="s">
        <v>7924</v>
      </c>
      <c r="C3016" s="58" t="s">
        <v>1763</v>
      </c>
      <c r="D3016" s="58" t="s">
        <v>7925</v>
      </c>
      <c r="E3016" s="60" t="b">
        <v>1</v>
      </c>
      <c r="F3016" s="80" t="s">
        <v>994</v>
      </c>
      <c r="G3016" s="58" t="s">
        <v>7924</v>
      </c>
      <c r="H3016" s="58" t="s">
        <v>1763</v>
      </c>
      <c r="I3016" s="64" t="s">
        <v>7925</v>
      </c>
      <c r="J3016" s="66"/>
      <c r="K3016" s="66"/>
      <c r="L3016" s="68"/>
      <c r="M3016" s="63" t="str">
        <f>HYPERLINK("http://nsgreg.nga.mil/genc/view?v=870864&amp;end_month=12&amp;end_day=31&amp;end_year=2016","Correlation")</f>
        <v>Correlation</v>
      </c>
    </row>
    <row r="3017" spans="1:13" x14ac:dyDescent="0.2">
      <c r="A3017" s="113"/>
      <c r="B3017" s="58" t="s">
        <v>7926</v>
      </c>
      <c r="C3017" s="58" t="s">
        <v>1763</v>
      </c>
      <c r="D3017" s="58" t="s">
        <v>7927</v>
      </c>
      <c r="E3017" s="60" t="b">
        <v>1</v>
      </c>
      <c r="F3017" s="80" t="s">
        <v>994</v>
      </c>
      <c r="G3017" s="58" t="s">
        <v>7926</v>
      </c>
      <c r="H3017" s="58" t="s">
        <v>1763</v>
      </c>
      <c r="I3017" s="64" t="s">
        <v>7927</v>
      </c>
      <c r="J3017" s="66"/>
      <c r="K3017" s="66"/>
      <c r="L3017" s="68"/>
      <c r="M3017" s="63" t="str">
        <f>HYPERLINK("http://nsgreg.nga.mil/genc/view?v=870865&amp;end_month=12&amp;end_day=31&amp;end_year=2016","Correlation")</f>
        <v>Correlation</v>
      </c>
    </row>
    <row r="3018" spans="1:13" x14ac:dyDescent="0.2">
      <c r="A3018" s="113"/>
      <c r="B3018" s="58" t="s">
        <v>7928</v>
      </c>
      <c r="C3018" s="58" t="s">
        <v>1763</v>
      </c>
      <c r="D3018" s="58" t="s">
        <v>7929</v>
      </c>
      <c r="E3018" s="60" t="b">
        <v>1</v>
      </c>
      <c r="F3018" s="80" t="s">
        <v>994</v>
      </c>
      <c r="G3018" s="58" t="s">
        <v>7928</v>
      </c>
      <c r="H3018" s="58" t="s">
        <v>1763</v>
      </c>
      <c r="I3018" s="64" t="s">
        <v>7929</v>
      </c>
      <c r="J3018" s="66"/>
      <c r="K3018" s="66"/>
      <c r="L3018" s="68"/>
      <c r="M3018" s="63" t="str">
        <f>HYPERLINK("http://nsgreg.nga.mil/genc/view?v=870866&amp;end_month=12&amp;end_day=31&amp;end_year=2016","Correlation")</f>
        <v>Correlation</v>
      </c>
    </row>
    <row r="3019" spans="1:13" x14ac:dyDescent="0.2">
      <c r="A3019" s="113"/>
      <c r="B3019" s="58" t="s">
        <v>2314</v>
      </c>
      <c r="C3019" s="58" t="s">
        <v>1763</v>
      </c>
      <c r="D3019" s="58" t="s">
        <v>7930</v>
      </c>
      <c r="E3019" s="60" t="b">
        <v>1</v>
      </c>
      <c r="F3019" s="80" t="s">
        <v>994</v>
      </c>
      <c r="G3019" s="58" t="s">
        <v>2314</v>
      </c>
      <c r="H3019" s="58" t="s">
        <v>1763</v>
      </c>
      <c r="I3019" s="64" t="s">
        <v>7930</v>
      </c>
      <c r="J3019" s="66"/>
      <c r="K3019" s="66"/>
      <c r="L3019" s="68"/>
      <c r="M3019" s="63" t="str">
        <f>HYPERLINK("http://nsgreg.nga.mil/genc/view?v=870867&amp;end_month=12&amp;end_day=31&amp;end_year=2016","Correlation")</f>
        <v>Correlation</v>
      </c>
    </row>
    <row r="3020" spans="1:13" x14ac:dyDescent="0.2">
      <c r="A3020" s="113"/>
      <c r="B3020" s="58" t="s">
        <v>7931</v>
      </c>
      <c r="C3020" s="58" t="s">
        <v>1763</v>
      </c>
      <c r="D3020" s="58" t="s">
        <v>7932</v>
      </c>
      <c r="E3020" s="60" t="b">
        <v>1</v>
      </c>
      <c r="F3020" s="80" t="s">
        <v>994</v>
      </c>
      <c r="G3020" s="58" t="s">
        <v>7931</v>
      </c>
      <c r="H3020" s="58" t="s">
        <v>1763</v>
      </c>
      <c r="I3020" s="64" t="s">
        <v>7932</v>
      </c>
      <c r="J3020" s="66"/>
      <c r="K3020" s="66"/>
      <c r="L3020" s="68"/>
      <c r="M3020" s="63" t="str">
        <f>HYPERLINK("http://nsgreg.nga.mil/genc/view?v=870868&amp;end_month=12&amp;end_day=31&amp;end_year=2016","Correlation")</f>
        <v>Correlation</v>
      </c>
    </row>
    <row r="3021" spans="1:13" x14ac:dyDescent="0.2">
      <c r="A3021" s="113"/>
      <c r="B3021" s="58" t="s">
        <v>7933</v>
      </c>
      <c r="C3021" s="58" t="s">
        <v>1763</v>
      </c>
      <c r="D3021" s="58" t="s">
        <v>7934</v>
      </c>
      <c r="E3021" s="60" t="b">
        <v>1</v>
      </c>
      <c r="F3021" s="80" t="s">
        <v>994</v>
      </c>
      <c r="G3021" s="58" t="s">
        <v>7933</v>
      </c>
      <c r="H3021" s="58" t="s">
        <v>1763</v>
      </c>
      <c r="I3021" s="64" t="s">
        <v>7934</v>
      </c>
      <c r="J3021" s="66"/>
      <c r="K3021" s="66"/>
      <c r="L3021" s="68"/>
      <c r="M3021" s="63" t="str">
        <f>HYPERLINK("http://nsgreg.nga.mil/genc/view?v=870869&amp;end_month=12&amp;end_day=31&amp;end_year=2016","Correlation")</f>
        <v>Correlation</v>
      </c>
    </row>
    <row r="3022" spans="1:13" x14ac:dyDescent="0.2">
      <c r="A3022" s="113"/>
      <c r="B3022" s="58" t="s">
        <v>7935</v>
      </c>
      <c r="C3022" s="58" t="s">
        <v>1763</v>
      </c>
      <c r="D3022" s="58" t="s">
        <v>7936</v>
      </c>
      <c r="E3022" s="60" t="b">
        <v>1</v>
      </c>
      <c r="F3022" s="80" t="s">
        <v>994</v>
      </c>
      <c r="G3022" s="58" t="s">
        <v>7935</v>
      </c>
      <c r="H3022" s="58" t="s">
        <v>1763</v>
      </c>
      <c r="I3022" s="64" t="s">
        <v>7936</v>
      </c>
      <c r="J3022" s="66"/>
      <c r="K3022" s="66"/>
      <c r="L3022" s="68"/>
      <c r="M3022" s="63" t="str">
        <f>HYPERLINK("http://nsgreg.nga.mil/genc/view?v=870870&amp;end_month=12&amp;end_day=31&amp;end_year=2016","Correlation")</f>
        <v>Correlation</v>
      </c>
    </row>
    <row r="3023" spans="1:13" x14ac:dyDescent="0.2">
      <c r="A3023" s="113"/>
      <c r="B3023" s="58" t="s">
        <v>7937</v>
      </c>
      <c r="C3023" s="58" t="s">
        <v>1763</v>
      </c>
      <c r="D3023" s="58" t="s">
        <v>7938</v>
      </c>
      <c r="E3023" s="60" t="b">
        <v>1</v>
      </c>
      <c r="F3023" s="80" t="s">
        <v>994</v>
      </c>
      <c r="G3023" s="58" t="s">
        <v>7937</v>
      </c>
      <c r="H3023" s="58" t="s">
        <v>1763</v>
      </c>
      <c r="I3023" s="64" t="s">
        <v>7938</v>
      </c>
      <c r="J3023" s="66"/>
      <c r="K3023" s="66"/>
      <c r="L3023" s="68"/>
      <c r="M3023" s="63" t="str">
        <f>HYPERLINK("http://nsgreg.nga.mil/genc/view?v=870871&amp;end_month=12&amp;end_day=31&amp;end_year=2016","Correlation")</f>
        <v>Correlation</v>
      </c>
    </row>
    <row r="3024" spans="1:13" x14ac:dyDescent="0.2">
      <c r="A3024" s="114"/>
      <c r="B3024" s="71" t="s">
        <v>7939</v>
      </c>
      <c r="C3024" s="71" t="s">
        <v>1763</v>
      </c>
      <c r="D3024" s="71" t="s">
        <v>7940</v>
      </c>
      <c r="E3024" s="73" t="b">
        <v>1</v>
      </c>
      <c r="F3024" s="81" t="s">
        <v>994</v>
      </c>
      <c r="G3024" s="71" t="s">
        <v>7939</v>
      </c>
      <c r="H3024" s="71" t="s">
        <v>1763</v>
      </c>
      <c r="I3024" s="74" t="s">
        <v>7940</v>
      </c>
      <c r="J3024" s="76"/>
      <c r="K3024" s="76"/>
      <c r="L3024" s="82"/>
      <c r="M3024" s="77" t="str">
        <f>HYPERLINK("http://nsgreg.nga.mil/genc/view?v=870872&amp;end_month=12&amp;end_day=31&amp;end_year=2016","Correlation")</f>
        <v>Correlation</v>
      </c>
    </row>
    <row r="3025" spans="1:13" x14ac:dyDescent="0.2">
      <c r="A3025" s="112" t="s">
        <v>1012</v>
      </c>
      <c r="B3025" s="50" t="s">
        <v>7941</v>
      </c>
      <c r="C3025" s="50" t="s">
        <v>1483</v>
      </c>
      <c r="D3025" s="50" t="s">
        <v>7942</v>
      </c>
      <c r="E3025" s="52" t="b">
        <v>1</v>
      </c>
      <c r="F3025" s="78" t="s">
        <v>1012</v>
      </c>
      <c r="G3025" s="50" t="s">
        <v>7941</v>
      </c>
      <c r="H3025" s="50" t="s">
        <v>1483</v>
      </c>
      <c r="I3025" s="53" t="s">
        <v>7942</v>
      </c>
      <c r="J3025" s="55"/>
      <c r="K3025" s="55"/>
      <c r="L3025" s="79"/>
      <c r="M3025" s="56" t="str">
        <f>HYPERLINK("http://nsgreg.nga.mil/genc/view?v=870909&amp;end_month=12&amp;end_day=31&amp;end_year=2016","Correlation")</f>
        <v>Correlation</v>
      </c>
    </row>
    <row r="3026" spans="1:13" x14ac:dyDescent="0.2">
      <c r="A3026" s="113"/>
      <c r="B3026" s="58" t="s">
        <v>7943</v>
      </c>
      <c r="C3026" s="58" t="s">
        <v>1483</v>
      </c>
      <c r="D3026" s="58" t="s">
        <v>7944</v>
      </c>
      <c r="E3026" s="60" t="b">
        <v>1</v>
      </c>
      <c r="F3026" s="80" t="s">
        <v>1012</v>
      </c>
      <c r="G3026" s="58" t="s">
        <v>7943</v>
      </c>
      <c r="H3026" s="58" t="s">
        <v>1483</v>
      </c>
      <c r="I3026" s="64" t="s">
        <v>7944</v>
      </c>
      <c r="J3026" s="66"/>
      <c r="K3026" s="66"/>
      <c r="L3026" s="68"/>
      <c r="M3026" s="63" t="str">
        <f>HYPERLINK("http://nsgreg.nga.mil/genc/view?v=870916&amp;end_month=12&amp;end_day=31&amp;end_year=2016","Correlation")</f>
        <v>Correlation</v>
      </c>
    </row>
    <row r="3027" spans="1:13" x14ac:dyDescent="0.2">
      <c r="A3027" s="113"/>
      <c r="B3027" s="58" t="s">
        <v>7945</v>
      </c>
      <c r="C3027" s="58" t="s">
        <v>1483</v>
      </c>
      <c r="D3027" s="58" t="s">
        <v>7946</v>
      </c>
      <c r="E3027" s="60" t="b">
        <v>1</v>
      </c>
      <c r="F3027" s="80" t="s">
        <v>1012</v>
      </c>
      <c r="G3027" s="58" t="s">
        <v>7945</v>
      </c>
      <c r="H3027" s="58" t="s">
        <v>1483</v>
      </c>
      <c r="I3027" s="64" t="s">
        <v>7946</v>
      </c>
      <c r="J3027" s="66"/>
      <c r="K3027" s="66"/>
      <c r="L3027" s="68"/>
      <c r="M3027" s="63" t="str">
        <f>HYPERLINK("http://nsgreg.nga.mil/genc/view?v=870913&amp;end_month=12&amp;end_day=31&amp;end_year=2016","Correlation")</f>
        <v>Correlation</v>
      </c>
    </row>
    <row r="3028" spans="1:13" x14ac:dyDescent="0.2">
      <c r="A3028" s="113"/>
      <c r="B3028" s="58" t="s">
        <v>7947</v>
      </c>
      <c r="C3028" s="58" t="s">
        <v>1483</v>
      </c>
      <c r="D3028" s="58" t="s">
        <v>7948</v>
      </c>
      <c r="E3028" s="60" t="b">
        <v>1</v>
      </c>
      <c r="F3028" s="80" t="s">
        <v>1012</v>
      </c>
      <c r="G3028" s="58" t="s">
        <v>7947</v>
      </c>
      <c r="H3028" s="58" t="s">
        <v>1483</v>
      </c>
      <c r="I3028" s="64" t="s">
        <v>7948</v>
      </c>
      <c r="J3028" s="66"/>
      <c r="K3028" s="66"/>
      <c r="L3028" s="68"/>
      <c r="M3028" s="63" t="str">
        <f>HYPERLINK("http://nsgreg.nga.mil/genc/view?v=870926&amp;end_month=12&amp;end_day=31&amp;end_year=2016","Correlation")</f>
        <v>Correlation</v>
      </c>
    </row>
    <row r="3029" spans="1:13" x14ac:dyDescent="0.2">
      <c r="A3029" s="113"/>
      <c r="B3029" s="58" t="s">
        <v>7949</v>
      </c>
      <c r="C3029" s="58" t="s">
        <v>1483</v>
      </c>
      <c r="D3029" s="58" t="s">
        <v>7950</v>
      </c>
      <c r="E3029" s="60" t="b">
        <v>1</v>
      </c>
      <c r="F3029" s="80" t="s">
        <v>1012</v>
      </c>
      <c r="G3029" s="58" t="s">
        <v>7949</v>
      </c>
      <c r="H3029" s="58" t="s">
        <v>1483</v>
      </c>
      <c r="I3029" s="64" t="s">
        <v>7950</v>
      </c>
      <c r="J3029" s="66"/>
      <c r="K3029" s="66"/>
      <c r="L3029" s="68"/>
      <c r="M3029" s="63" t="str">
        <f>HYPERLINK("http://nsgreg.nga.mil/genc/view?v=870911&amp;end_month=12&amp;end_day=31&amp;end_year=2016","Correlation")</f>
        <v>Correlation</v>
      </c>
    </row>
    <row r="3030" spans="1:13" x14ac:dyDescent="0.2">
      <c r="A3030" s="113"/>
      <c r="B3030" s="58" t="s">
        <v>7951</v>
      </c>
      <c r="C3030" s="58" t="s">
        <v>1483</v>
      </c>
      <c r="D3030" s="58" t="s">
        <v>7952</v>
      </c>
      <c r="E3030" s="60" t="b">
        <v>1</v>
      </c>
      <c r="F3030" s="80" t="s">
        <v>1012</v>
      </c>
      <c r="G3030" s="58" t="s">
        <v>7951</v>
      </c>
      <c r="H3030" s="58" t="s">
        <v>1483</v>
      </c>
      <c r="I3030" s="64" t="s">
        <v>7952</v>
      </c>
      <c r="J3030" s="66"/>
      <c r="K3030" s="66"/>
      <c r="L3030" s="68"/>
      <c r="M3030" s="63" t="str">
        <f>HYPERLINK("http://nsgreg.nga.mil/genc/view?v=870919&amp;end_month=12&amp;end_day=31&amp;end_year=2016","Correlation")</f>
        <v>Correlation</v>
      </c>
    </row>
    <row r="3031" spans="1:13" x14ac:dyDescent="0.2">
      <c r="A3031" s="113"/>
      <c r="B3031" s="58" t="s">
        <v>744</v>
      </c>
      <c r="C3031" s="58" t="s">
        <v>12511</v>
      </c>
      <c r="D3031" s="58" t="s">
        <v>745</v>
      </c>
      <c r="E3031" s="60" t="b">
        <v>1</v>
      </c>
      <c r="F3031" s="80" t="s">
        <v>736</v>
      </c>
      <c r="G3031" s="88"/>
      <c r="H3031" s="88"/>
      <c r="I3031" s="66"/>
      <c r="J3031" s="64" t="s">
        <v>737</v>
      </c>
      <c r="K3031" s="64" t="s">
        <v>738</v>
      </c>
      <c r="L3031" s="65" t="s">
        <v>739</v>
      </c>
      <c r="M3031" s="63" t="str">
        <f>HYPERLINK("http://nsgreg.nga.mil/genc/view?v=870928&amp;end_month=12&amp;end_day=31&amp;end_year=2016","Correlation")</f>
        <v>Correlation</v>
      </c>
    </row>
    <row r="3032" spans="1:13" x14ac:dyDescent="0.2">
      <c r="A3032" s="113"/>
      <c r="B3032" s="58" t="s">
        <v>7953</v>
      </c>
      <c r="C3032" s="58" t="s">
        <v>1483</v>
      </c>
      <c r="D3032" s="58" t="s">
        <v>7954</v>
      </c>
      <c r="E3032" s="60" t="b">
        <v>1</v>
      </c>
      <c r="F3032" s="80" t="s">
        <v>1012</v>
      </c>
      <c r="G3032" s="58" t="s">
        <v>7953</v>
      </c>
      <c r="H3032" s="58" t="s">
        <v>1483</v>
      </c>
      <c r="I3032" s="64" t="s">
        <v>7954</v>
      </c>
      <c r="J3032" s="66"/>
      <c r="K3032" s="66"/>
      <c r="L3032" s="68"/>
      <c r="M3032" s="63" t="str">
        <f>HYPERLINK("http://nsgreg.nga.mil/genc/view?v=870921&amp;end_month=12&amp;end_day=31&amp;end_year=2016","Correlation")</f>
        <v>Correlation</v>
      </c>
    </row>
    <row r="3033" spans="1:13" x14ac:dyDescent="0.2">
      <c r="A3033" s="113"/>
      <c r="B3033" s="58" t="s">
        <v>7955</v>
      </c>
      <c r="C3033" s="58" t="s">
        <v>1483</v>
      </c>
      <c r="D3033" s="58" t="s">
        <v>7956</v>
      </c>
      <c r="E3033" s="60" t="b">
        <v>1</v>
      </c>
      <c r="F3033" s="80" t="s">
        <v>1012</v>
      </c>
      <c r="G3033" s="58" t="s">
        <v>7955</v>
      </c>
      <c r="H3033" s="58" t="s">
        <v>1483</v>
      </c>
      <c r="I3033" s="64" t="s">
        <v>7956</v>
      </c>
      <c r="J3033" s="66"/>
      <c r="K3033" s="66"/>
      <c r="L3033" s="68"/>
      <c r="M3033" s="63" t="str">
        <f>HYPERLINK("http://nsgreg.nga.mil/genc/view?v=870924&amp;end_month=12&amp;end_day=31&amp;end_year=2016","Correlation")</f>
        <v>Correlation</v>
      </c>
    </row>
    <row r="3034" spans="1:13" x14ac:dyDescent="0.2">
      <c r="A3034" s="113"/>
      <c r="B3034" s="58" t="s">
        <v>7957</v>
      </c>
      <c r="C3034" s="58" t="s">
        <v>1483</v>
      </c>
      <c r="D3034" s="58" t="s">
        <v>7958</v>
      </c>
      <c r="E3034" s="60" t="b">
        <v>1</v>
      </c>
      <c r="F3034" s="80" t="s">
        <v>1012</v>
      </c>
      <c r="G3034" s="58" t="s">
        <v>7957</v>
      </c>
      <c r="H3034" s="58" t="s">
        <v>1483</v>
      </c>
      <c r="I3034" s="64" t="s">
        <v>7958</v>
      </c>
      <c r="J3034" s="66"/>
      <c r="K3034" s="66"/>
      <c r="L3034" s="68"/>
      <c r="M3034" s="63" t="str">
        <f>HYPERLINK("http://nsgreg.nga.mil/genc/view?v=870923&amp;end_month=12&amp;end_day=31&amp;end_year=2016","Correlation")</f>
        <v>Correlation</v>
      </c>
    </row>
    <row r="3035" spans="1:13" x14ac:dyDescent="0.2">
      <c r="A3035" s="113"/>
      <c r="B3035" s="58" t="s">
        <v>7959</v>
      </c>
      <c r="C3035" s="58" t="s">
        <v>1483</v>
      </c>
      <c r="D3035" s="58" t="s">
        <v>7960</v>
      </c>
      <c r="E3035" s="60" t="b">
        <v>1</v>
      </c>
      <c r="F3035" s="80" t="s">
        <v>1012</v>
      </c>
      <c r="G3035" s="58" t="s">
        <v>7959</v>
      </c>
      <c r="H3035" s="58" t="s">
        <v>1483</v>
      </c>
      <c r="I3035" s="64" t="s">
        <v>7960</v>
      </c>
      <c r="J3035" s="66"/>
      <c r="K3035" s="66"/>
      <c r="L3035" s="68"/>
      <c r="M3035" s="63" t="str">
        <f>HYPERLINK("http://nsgreg.nga.mil/genc/view?v=870912&amp;end_month=12&amp;end_day=31&amp;end_year=2016","Correlation")</f>
        <v>Correlation</v>
      </c>
    </row>
    <row r="3036" spans="1:13" x14ac:dyDescent="0.2">
      <c r="A3036" s="113"/>
      <c r="B3036" s="58" t="s">
        <v>7961</v>
      </c>
      <c r="C3036" s="58" t="s">
        <v>1483</v>
      </c>
      <c r="D3036" s="58" t="s">
        <v>7962</v>
      </c>
      <c r="E3036" s="60" t="b">
        <v>1</v>
      </c>
      <c r="F3036" s="80" t="s">
        <v>1012</v>
      </c>
      <c r="G3036" s="58" t="s">
        <v>7961</v>
      </c>
      <c r="H3036" s="58" t="s">
        <v>1483</v>
      </c>
      <c r="I3036" s="64" t="s">
        <v>7962</v>
      </c>
      <c r="J3036" s="66"/>
      <c r="K3036" s="66"/>
      <c r="L3036" s="68"/>
      <c r="M3036" s="63" t="str">
        <f>HYPERLINK("http://nsgreg.nga.mil/genc/view?v=870910&amp;end_month=12&amp;end_day=31&amp;end_year=2016","Correlation")</f>
        <v>Correlation</v>
      </c>
    </row>
    <row r="3037" spans="1:13" x14ac:dyDescent="0.2">
      <c r="A3037" s="113"/>
      <c r="B3037" s="58" t="s">
        <v>7963</v>
      </c>
      <c r="C3037" s="58" t="s">
        <v>1483</v>
      </c>
      <c r="D3037" s="58" t="s">
        <v>7964</v>
      </c>
      <c r="E3037" s="60" t="b">
        <v>1</v>
      </c>
      <c r="F3037" s="80" t="s">
        <v>1012</v>
      </c>
      <c r="G3037" s="58" t="s">
        <v>7963</v>
      </c>
      <c r="H3037" s="58" t="s">
        <v>1483</v>
      </c>
      <c r="I3037" s="64" t="s">
        <v>7964</v>
      </c>
      <c r="J3037" s="66"/>
      <c r="K3037" s="66"/>
      <c r="L3037" s="68"/>
      <c r="M3037" s="63" t="str">
        <f>HYPERLINK("http://nsgreg.nga.mil/genc/view?v=870908&amp;end_month=12&amp;end_day=31&amp;end_year=2016","Correlation")</f>
        <v>Correlation</v>
      </c>
    </row>
    <row r="3038" spans="1:13" x14ac:dyDescent="0.2">
      <c r="A3038" s="113"/>
      <c r="B3038" s="58" t="s">
        <v>7965</v>
      </c>
      <c r="C3038" s="58" t="s">
        <v>1483</v>
      </c>
      <c r="D3038" s="58" t="s">
        <v>7966</v>
      </c>
      <c r="E3038" s="60" t="b">
        <v>1</v>
      </c>
      <c r="F3038" s="80" t="s">
        <v>1012</v>
      </c>
      <c r="G3038" s="58" t="s">
        <v>7965</v>
      </c>
      <c r="H3038" s="58" t="s">
        <v>1483</v>
      </c>
      <c r="I3038" s="64" t="s">
        <v>7966</v>
      </c>
      <c r="J3038" s="66"/>
      <c r="K3038" s="66"/>
      <c r="L3038" s="68"/>
      <c r="M3038" s="63" t="str">
        <f>HYPERLINK("http://nsgreg.nga.mil/genc/view?v=870918&amp;end_month=12&amp;end_day=31&amp;end_year=2016","Correlation")</f>
        <v>Correlation</v>
      </c>
    </row>
    <row r="3039" spans="1:13" x14ac:dyDescent="0.2">
      <c r="A3039" s="113"/>
      <c r="B3039" s="58" t="s">
        <v>7967</v>
      </c>
      <c r="C3039" s="58" t="s">
        <v>1483</v>
      </c>
      <c r="D3039" s="58" t="s">
        <v>7968</v>
      </c>
      <c r="E3039" s="60" t="b">
        <v>1</v>
      </c>
      <c r="F3039" s="80" t="s">
        <v>1012</v>
      </c>
      <c r="G3039" s="58" t="s">
        <v>7967</v>
      </c>
      <c r="H3039" s="58" t="s">
        <v>1483</v>
      </c>
      <c r="I3039" s="64" t="s">
        <v>7968</v>
      </c>
      <c r="J3039" s="66"/>
      <c r="K3039" s="66"/>
      <c r="L3039" s="68"/>
      <c r="M3039" s="63" t="str">
        <f>HYPERLINK("http://nsgreg.nga.mil/genc/view?v=870920&amp;end_month=12&amp;end_day=31&amp;end_year=2016","Correlation")</f>
        <v>Correlation</v>
      </c>
    </row>
    <row r="3040" spans="1:13" x14ac:dyDescent="0.2">
      <c r="A3040" s="113"/>
      <c r="B3040" s="58" t="s">
        <v>7969</v>
      </c>
      <c r="C3040" s="58" t="s">
        <v>1483</v>
      </c>
      <c r="D3040" s="58" t="s">
        <v>7970</v>
      </c>
      <c r="E3040" s="60" t="b">
        <v>1</v>
      </c>
      <c r="F3040" s="80" t="s">
        <v>1012</v>
      </c>
      <c r="G3040" s="58" t="s">
        <v>7969</v>
      </c>
      <c r="H3040" s="58" t="s">
        <v>1483</v>
      </c>
      <c r="I3040" s="64" t="s">
        <v>7970</v>
      </c>
      <c r="J3040" s="66"/>
      <c r="K3040" s="66"/>
      <c r="L3040" s="68"/>
      <c r="M3040" s="63" t="str">
        <f>HYPERLINK("http://nsgreg.nga.mil/genc/view?v=870922&amp;end_month=12&amp;end_day=31&amp;end_year=2016","Correlation")</f>
        <v>Correlation</v>
      </c>
    </row>
    <row r="3041" spans="1:13" x14ac:dyDescent="0.2">
      <c r="A3041" s="113"/>
      <c r="B3041" s="58" t="s">
        <v>1243</v>
      </c>
      <c r="C3041" s="58" t="s">
        <v>12511</v>
      </c>
      <c r="D3041" s="58" t="s">
        <v>1244</v>
      </c>
      <c r="E3041" s="60" t="b">
        <v>1</v>
      </c>
      <c r="F3041" s="80" t="s">
        <v>1239</v>
      </c>
      <c r="G3041" s="88"/>
      <c r="H3041" s="88"/>
      <c r="I3041" s="66"/>
      <c r="J3041" s="64" t="s">
        <v>1240</v>
      </c>
      <c r="K3041" s="64" t="s">
        <v>1241</v>
      </c>
      <c r="L3041" s="65" t="s">
        <v>1242</v>
      </c>
      <c r="M3041" s="63" t="str">
        <f>HYPERLINK("http://nsgreg.nga.mil/genc/view?v=870927&amp;end_month=12&amp;end_day=31&amp;end_year=2016","Correlation")</f>
        <v>Correlation</v>
      </c>
    </row>
    <row r="3042" spans="1:13" x14ac:dyDescent="0.2">
      <c r="A3042" s="113"/>
      <c r="B3042" s="58" t="s">
        <v>7971</v>
      </c>
      <c r="C3042" s="58" t="s">
        <v>1483</v>
      </c>
      <c r="D3042" s="58" t="s">
        <v>7972</v>
      </c>
      <c r="E3042" s="60" t="b">
        <v>1</v>
      </c>
      <c r="F3042" s="80" t="s">
        <v>1012</v>
      </c>
      <c r="G3042" s="58" t="s">
        <v>7971</v>
      </c>
      <c r="H3042" s="58" t="s">
        <v>1483</v>
      </c>
      <c r="I3042" s="64" t="s">
        <v>7972</v>
      </c>
      <c r="J3042" s="66"/>
      <c r="K3042" s="66"/>
      <c r="L3042" s="68"/>
      <c r="M3042" s="63" t="str">
        <f>HYPERLINK("http://nsgreg.nga.mil/genc/view?v=870915&amp;end_month=12&amp;end_day=31&amp;end_year=2016","Correlation")</f>
        <v>Correlation</v>
      </c>
    </row>
    <row r="3043" spans="1:13" x14ac:dyDescent="0.2">
      <c r="A3043" s="113"/>
      <c r="B3043" s="58" t="s">
        <v>7973</v>
      </c>
      <c r="C3043" s="58" t="s">
        <v>1483</v>
      </c>
      <c r="D3043" s="58" t="s">
        <v>7974</v>
      </c>
      <c r="E3043" s="60" t="b">
        <v>1</v>
      </c>
      <c r="F3043" s="80" t="s">
        <v>1012</v>
      </c>
      <c r="G3043" s="58" t="s">
        <v>7973</v>
      </c>
      <c r="H3043" s="58" t="s">
        <v>1483</v>
      </c>
      <c r="I3043" s="64" t="s">
        <v>7974</v>
      </c>
      <c r="J3043" s="66"/>
      <c r="K3043" s="66"/>
      <c r="L3043" s="68"/>
      <c r="M3043" s="63" t="str">
        <f>HYPERLINK("http://nsgreg.nga.mil/genc/view?v=870925&amp;end_month=12&amp;end_day=31&amp;end_year=2016","Correlation")</f>
        <v>Correlation</v>
      </c>
    </row>
    <row r="3044" spans="1:13" x14ac:dyDescent="0.2">
      <c r="A3044" s="113"/>
      <c r="B3044" s="58" t="s">
        <v>7975</v>
      </c>
      <c r="C3044" s="58" t="s">
        <v>1483</v>
      </c>
      <c r="D3044" s="58" t="s">
        <v>7976</v>
      </c>
      <c r="E3044" s="60" t="b">
        <v>1</v>
      </c>
      <c r="F3044" s="80" t="s">
        <v>1012</v>
      </c>
      <c r="G3044" s="58" t="s">
        <v>7975</v>
      </c>
      <c r="H3044" s="58" t="s">
        <v>1483</v>
      </c>
      <c r="I3044" s="64" t="s">
        <v>7976</v>
      </c>
      <c r="J3044" s="66"/>
      <c r="K3044" s="66"/>
      <c r="L3044" s="68"/>
      <c r="M3044" s="63" t="str">
        <f>HYPERLINK("http://nsgreg.nga.mil/genc/view?v=870917&amp;end_month=12&amp;end_day=31&amp;end_year=2016","Correlation")</f>
        <v>Correlation</v>
      </c>
    </row>
    <row r="3045" spans="1:13" x14ac:dyDescent="0.2">
      <c r="A3045" s="114"/>
      <c r="B3045" s="71" t="s">
        <v>7977</v>
      </c>
      <c r="C3045" s="71" t="s">
        <v>1483</v>
      </c>
      <c r="D3045" s="71" t="s">
        <v>7978</v>
      </c>
      <c r="E3045" s="73" t="b">
        <v>1</v>
      </c>
      <c r="F3045" s="81" t="s">
        <v>1012</v>
      </c>
      <c r="G3045" s="71" t="s">
        <v>7977</v>
      </c>
      <c r="H3045" s="71" t="s">
        <v>1483</v>
      </c>
      <c r="I3045" s="74" t="s">
        <v>7978</v>
      </c>
      <c r="J3045" s="76"/>
      <c r="K3045" s="76"/>
      <c r="L3045" s="82"/>
      <c r="M3045" s="77" t="str">
        <f>HYPERLINK("http://nsgreg.nga.mil/genc/view?v=870914&amp;end_month=12&amp;end_day=31&amp;end_year=2016","Correlation")</f>
        <v>Correlation</v>
      </c>
    </row>
    <row r="3046" spans="1:13" x14ac:dyDescent="0.2">
      <c r="A3046" s="112" t="s">
        <v>1016</v>
      </c>
      <c r="B3046" s="50" t="s">
        <v>7979</v>
      </c>
      <c r="C3046" s="50" t="s">
        <v>2030</v>
      </c>
      <c r="D3046" s="50" t="s">
        <v>7980</v>
      </c>
      <c r="E3046" s="52" t="b">
        <v>1</v>
      </c>
      <c r="F3046" s="78" t="s">
        <v>1016</v>
      </c>
      <c r="G3046" s="50" t="s">
        <v>7979</v>
      </c>
      <c r="H3046" s="50" t="s">
        <v>2030</v>
      </c>
      <c r="I3046" s="53" t="s">
        <v>7980</v>
      </c>
      <c r="J3046" s="55"/>
      <c r="K3046" s="55"/>
      <c r="L3046" s="79"/>
      <c r="M3046" s="56" t="str">
        <f>HYPERLINK("http://nsgreg.nga.mil/genc/view?v=870982&amp;end_month=12&amp;end_day=31&amp;end_year=2016","Correlation")</f>
        <v>Correlation</v>
      </c>
    </row>
    <row r="3047" spans="1:13" x14ac:dyDescent="0.2">
      <c r="A3047" s="113"/>
      <c r="B3047" s="58" t="s">
        <v>7981</v>
      </c>
      <c r="C3047" s="58" t="s">
        <v>2030</v>
      </c>
      <c r="D3047" s="58" t="s">
        <v>7982</v>
      </c>
      <c r="E3047" s="60" t="b">
        <v>1</v>
      </c>
      <c r="F3047" s="80" t="s">
        <v>1016</v>
      </c>
      <c r="G3047" s="58" t="s">
        <v>7981</v>
      </c>
      <c r="H3047" s="58" t="s">
        <v>2030</v>
      </c>
      <c r="I3047" s="64" t="s">
        <v>7982</v>
      </c>
      <c r="J3047" s="66"/>
      <c r="K3047" s="66"/>
      <c r="L3047" s="68"/>
      <c r="M3047" s="63" t="str">
        <f>HYPERLINK("http://nsgreg.nga.mil/genc/view?v=870981&amp;end_month=12&amp;end_day=31&amp;end_year=2016","Correlation")</f>
        <v>Correlation</v>
      </c>
    </row>
    <row r="3048" spans="1:13" x14ac:dyDescent="0.2">
      <c r="A3048" s="113"/>
      <c r="B3048" s="58" t="s">
        <v>7983</v>
      </c>
      <c r="C3048" s="58" t="s">
        <v>2030</v>
      </c>
      <c r="D3048" s="58" t="s">
        <v>7984</v>
      </c>
      <c r="E3048" s="60" t="b">
        <v>1</v>
      </c>
      <c r="F3048" s="80" t="s">
        <v>1016</v>
      </c>
      <c r="G3048" s="58" t="s">
        <v>7983</v>
      </c>
      <c r="H3048" s="58" t="s">
        <v>2030</v>
      </c>
      <c r="I3048" s="64" t="s">
        <v>7984</v>
      </c>
      <c r="J3048" s="66"/>
      <c r="K3048" s="66"/>
      <c r="L3048" s="68"/>
      <c r="M3048" s="63" t="str">
        <f>HYPERLINK("http://nsgreg.nga.mil/genc/view?v=870987&amp;end_month=12&amp;end_day=31&amp;end_year=2016","Correlation")</f>
        <v>Correlation</v>
      </c>
    </row>
    <row r="3049" spans="1:13" x14ac:dyDescent="0.2">
      <c r="A3049" s="113"/>
      <c r="B3049" s="58" t="s">
        <v>7985</v>
      </c>
      <c r="C3049" s="58" t="s">
        <v>2030</v>
      </c>
      <c r="D3049" s="58" t="s">
        <v>7986</v>
      </c>
      <c r="E3049" s="60" t="b">
        <v>1</v>
      </c>
      <c r="F3049" s="80" t="s">
        <v>1016</v>
      </c>
      <c r="G3049" s="58" t="s">
        <v>7985</v>
      </c>
      <c r="H3049" s="58" t="s">
        <v>2030</v>
      </c>
      <c r="I3049" s="64" t="s">
        <v>7986</v>
      </c>
      <c r="J3049" s="66"/>
      <c r="K3049" s="66"/>
      <c r="L3049" s="68"/>
      <c r="M3049" s="63" t="str">
        <f>HYPERLINK("http://nsgreg.nga.mil/genc/view?v=870988&amp;end_month=12&amp;end_day=31&amp;end_year=2016","Correlation")</f>
        <v>Correlation</v>
      </c>
    </row>
    <row r="3050" spans="1:13" x14ac:dyDescent="0.2">
      <c r="A3050" s="113"/>
      <c r="B3050" s="58" t="s">
        <v>7987</v>
      </c>
      <c r="C3050" s="58" t="s">
        <v>2030</v>
      </c>
      <c r="D3050" s="58" t="s">
        <v>7988</v>
      </c>
      <c r="E3050" s="60" t="b">
        <v>1</v>
      </c>
      <c r="F3050" s="80" t="s">
        <v>1016</v>
      </c>
      <c r="G3050" s="58" t="s">
        <v>7987</v>
      </c>
      <c r="H3050" s="58" t="s">
        <v>2030</v>
      </c>
      <c r="I3050" s="64" t="s">
        <v>7988</v>
      </c>
      <c r="J3050" s="66"/>
      <c r="K3050" s="66"/>
      <c r="L3050" s="68"/>
      <c r="M3050" s="63" t="str">
        <f>HYPERLINK("http://nsgreg.nga.mil/genc/view?v=870979&amp;end_month=12&amp;end_day=31&amp;end_year=2016","Correlation")</f>
        <v>Correlation</v>
      </c>
    </row>
    <row r="3051" spans="1:13" x14ac:dyDescent="0.2">
      <c r="A3051" s="113"/>
      <c r="B3051" s="58" t="s">
        <v>7989</v>
      </c>
      <c r="C3051" s="58" t="s">
        <v>2030</v>
      </c>
      <c r="D3051" s="58" t="s">
        <v>7990</v>
      </c>
      <c r="E3051" s="60" t="b">
        <v>1</v>
      </c>
      <c r="F3051" s="80" t="s">
        <v>1016</v>
      </c>
      <c r="G3051" s="58" t="s">
        <v>7989</v>
      </c>
      <c r="H3051" s="58" t="s">
        <v>2030</v>
      </c>
      <c r="I3051" s="64" t="s">
        <v>7990</v>
      </c>
      <c r="J3051" s="66"/>
      <c r="K3051" s="66"/>
      <c r="L3051" s="68"/>
      <c r="M3051" s="63" t="str">
        <f>HYPERLINK("http://nsgreg.nga.mil/genc/view?v=870985&amp;end_month=12&amp;end_day=31&amp;end_year=2016","Correlation")</f>
        <v>Correlation</v>
      </c>
    </row>
    <row r="3052" spans="1:13" x14ac:dyDescent="0.2">
      <c r="A3052" s="113"/>
      <c r="B3052" s="58" t="s">
        <v>7991</v>
      </c>
      <c r="C3052" s="58" t="s">
        <v>2030</v>
      </c>
      <c r="D3052" s="58" t="s">
        <v>7992</v>
      </c>
      <c r="E3052" s="60" t="b">
        <v>1</v>
      </c>
      <c r="F3052" s="80" t="s">
        <v>1016</v>
      </c>
      <c r="G3052" s="58" t="s">
        <v>7991</v>
      </c>
      <c r="H3052" s="58" t="s">
        <v>2030</v>
      </c>
      <c r="I3052" s="64" t="s">
        <v>7992</v>
      </c>
      <c r="J3052" s="66"/>
      <c r="K3052" s="66"/>
      <c r="L3052" s="68"/>
      <c r="M3052" s="63" t="str">
        <f>HYPERLINK("http://nsgreg.nga.mil/genc/view?v=870983&amp;end_month=12&amp;end_day=31&amp;end_year=2016","Correlation")</f>
        <v>Correlation</v>
      </c>
    </row>
    <row r="3053" spans="1:13" x14ac:dyDescent="0.2">
      <c r="A3053" s="113"/>
      <c r="B3053" s="58" t="s">
        <v>7993</v>
      </c>
      <c r="C3053" s="58" t="s">
        <v>2030</v>
      </c>
      <c r="D3053" s="58" t="s">
        <v>7994</v>
      </c>
      <c r="E3053" s="60" t="b">
        <v>1</v>
      </c>
      <c r="F3053" s="80" t="s">
        <v>1016</v>
      </c>
      <c r="G3053" s="58" t="s">
        <v>7993</v>
      </c>
      <c r="H3053" s="58" t="s">
        <v>2030</v>
      </c>
      <c r="I3053" s="64" t="s">
        <v>7994</v>
      </c>
      <c r="J3053" s="66"/>
      <c r="K3053" s="66"/>
      <c r="L3053" s="68"/>
      <c r="M3053" s="63" t="str">
        <f>HYPERLINK("http://nsgreg.nga.mil/genc/view?v=870984&amp;end_month=12&amp;end_day=31&amp;end_year=2016","Correlation")</f>
        <v>Correlation</v>
      </c>
    </row>
    <row r="3054" spans="1:13" x14ac:dyDescent="0.2">
      <c r="A3054" s="113"/>
      <c r="B3054" s="58" t="s">
        <v>7995</v>
      </c>
      <c r="C3054" s="58" t="s">
        <v>2030</v>
      </c>
      <c r="D3054" s="58" t="s">
        <v>7996</v>
      </c>
      <c r="E3054" s="60" t="b">
        <v>1</v>
      </c>
      <c r="F3054" s="80" t="s">
        <v>1016</v>
      </c>
      <c r="G3054" s="58" t="s">
        <v>7995</v>
      </c>
      <c r="H3054" s="58" t="s">
        <v>2030</v>
      </c>
      <c r="I3054" s="64" t="s">
        <v>7996</v>
      </c>
      <c r="J3054" s="66"/>
      <c r="K3054" s="66"/>
      <c r="L3054" s="68"/>
      <c r="M3054" s="63" t="str">
        <f>HYPERLINK("http://nsgreg.nga.mil/genc/view?v=870980&amp;end_month=12&amp;end_day=31&amp;end_year=2016","Correlation")</f>
        <v>Correlation</v>
      </c>
    </row>
    <row r="3055" spans="1:13" x14ac:dyDescent="0.2">
      <c r="A3055" s="113"/>
      <c r="B3055" s="58" t="s">
        <v>7997</v>
      </c>
      <c r="C3055" s="58" t="s">
        <v>2030</v>
      </c>
      <c r="D3055" s="58" t="s">
        <v>7998</v>
      </c>
      <c r="E3055" s="60" t="b">
        <v>1</v>
      </c>
      <c r="F3055" s="80" t="s">
        <v>1016</v>
      </c>
      <c r="G3055" s="58" t="s">
        <v>7997</v>
      </c>
      <c r="H3055" s="58" t="s">
        <v>2030</v>
      </c>
      <c r="I3055" s="64" t="s">
        <v>7998</v>
      </c>
      <c r="J3055" s="66"/>
      <c r="K3055" s="66"/>
      <c r="L3055" s="68"/>
      <c r="M3055" s="63" t="str">
        <f>HYPERLINK("http://nsgreg.nga.mil/genc/view?v=870986&amp;end_month=12&amp;end_day=31&amp;end_year=2016","Correlation")</f>
        <v>Correlation</v>
      </c>
    </row>
    <row r="3056" spans="1:13" x14ac:dyDescent="0.2">
      <c r="A3056" s="114"/>
      <c r="B3056" s="71" t="s">
        <v>7999</v>
      </c>
      <c r="C3056" s="71" t="s">
        <v>2030</v>
      </c>
      <c r="D3056" s="71" t="s">
        <v>8000</v>
      </c>
      <c r="E3056" s="73" t="b">
        <v>1</v>
      </c>
      <c r="F3056" s="81" t="s">
        <v>1016</v>
      </c>
      <c r="G3056" s="71" t="s">
        <v>7999</v>
      </c>
      <c r="H3056" s="71" t="s">
        <v>2030</v>
      </c>
      <c r="I3056" s="74" t="s">
        <v>8000</v>
      </c>
      <c r="J3056" s="76"/>
      <c r="K3056" s="76"/>
      <c r="L3056" s="82"/>
      <c r="M3056" s="77" t="str">
        <f>HYPERLINK("http://nsgreg.nga.mil/genc/view?v=870989&amp;end_month=12&amp;end_day=31&amp;end_year=2016","Correlation")</f>
        <v>Correlation</v>
      </c>
    </row>
    <row r="3057" spans="1:13" x14ac:dyDescent="0.2">
      <c r="A3057" s="112" t="s">
        <v>1020</v>
      </c>
      <c r="B3057" s="50" t="s">
        <v>8001</v>
      </c>
      <c r="C3057" s="50" t="s">
        <v>8002</v>
      </c>
      <c r="D3057" s="50" t="s">
        <v>8003</v>
      </c>
      <c r="E3057" s="52" t="b">
        <v>1</v>
      </c>
      <c r="F3057" s="78" t="s">
        <v>1020</v>
      </c>
      <c r="G3057" s="50" t="s">
        <v>8001</v>
      </c>
      <c r="H3057" s="50" t="s">
        <v>8002</v>
      </c>
      <c r="I3057" s="53" t="s">
        <v>8003</v>
      </c>
      <c r="J3057" s="55"/>
      <c r="K3057" s="55"/>
      <c r="L3057" s="79"/>
      <c r="M3057" s="56" t="str">
        <f>HYPERLINK("http://nsgreg.nga.mil/genc/view?v=871152&amp;end_month=12&amp;end_day=31&amp;end_year=2016","Correlation")</f>
        <v>Correlation</v>
      </c>
    </row>
    <row r="3058" spans="1:13" x14ac:dyDescent="0.2">
      <c r="A3058" s="113"/>
      <c r="B3058" s="58" t="s">
        <v>8006</v>
      </c>
      <c r="C3058" s="58" t="s">
        <v>1413</v>
      </c>
      <c r="D3058" s="58" t="s">
        <v>8005</v>
      </c>
      <c r="E3058" s="60" t="b">
        <v>1</v>
      </c>
      <c r="F3058" s="80" t="s">
        <v>1020</v>
      </c>
      <c r="G3058" s="58" t="s">
        <v>8004</v>
      </c>
      <c r="H3058" s="58" t="s">
        <v>1413</v>
      </c>
      <c r="I3058" s="64" t="s">
        <v>8005</v>
      </c>
      <c r="J3058" s="66"/>
      <c r="K3058" s="66"/>
      <c r="L3058" s="68"/>
      <c r="M3058" s="63" t="str">
        <f>HYPERLINK("http://nsgreg.nga.mil/genc/view?v=871149&amp;end_month=12&amp;end_day=31&amp;end_year=2016","Correlation")</f>
        <v>Correlation</v>
      </c>
    </row>
    <row r="3059" spans="1:13" x14ac:dyDescent="0.2">
      <c r="A3059" s="113"/>
      <c r="B3059" s="58" t="s">
        <v>8007</v>
      </c>
      <c r="C3059" s="58" t="s">
        <v>1760</v>
      </c>
      <c r="D3059" s="58" t="s">
        <v>8008</v>
      </c>
      <c r="E3059" s="60" t="b">
        <v>1</v>
      </c>
      <c r="F3059" s="80" t="s">
        <v>1020</v>
      </c>
      <c r="G3059" s="58" t="s">
        <v>8007</v>
      </c>
      <c r="H3059" s="58" t="s">
        <v>1760</v>
      </c>
      <c r="I3059" s="64" t="s">
        <v>8008</v>
      </c>
      <c r="J3059" s="66"/>
      <c r="K3059" s="66"/>
      <c r="L3059" s="68"/>
      <c r="M3059" s="63" t="str">
        <f>HYPERLINK("http://nsgreg.nga.mil/genc/view?v=871156&amp;end_month=12&amp;end_day=31&amp;end_year=2016","Correlation")</f>
        <v>Correlation</v>
      </c>
    </row>
    <row r="3060" spans="1:13" x14ac:dyDescent="0.2">
      <c r="A3060" s="113"/>
      <c r="B3060" s="58" t="s">
        <v>8009</v>
      </c>
      <c r="C3060" s="58" t="s">
        <v>8002</v>
      </c>
      <c r="D3060" s="58" t="s">
        <v>8010</v>
      </c>
      <c r="E3060" s="60" t="b">
        <v>1</v>
      </c>
      <c r="F3060" s="80" t="s">
        <v>1020</v>
      </c>
      <c r="G3060" s="58" t="s">
        <v>8009</v>
      </c>
      <c r="H3060" s="58" t="s">
        <v>8002</v>
      </c>
      <c r="I3060" s="64" t="s">
        <v>8010</v>
      </c>
      <c r="J3060" s="66"/>
      <c r="K3060" s="66"/>
      <c r="L3060" s="68"/>
      <c r="M3060" s="63" t="str">
        <f>HYPERLINK("http://nsgreg.nga.mil/genc/view?v=871150&amp;end_month=12&amp;end_day=31&amp;end_year=2016","Correlation")</f>
        <v>Correlation</v>
      </c>
    </row>
    <row r="3061" spans="1:13" x14ac:dyDescent="0.2">
      <c r="A3061" s="113"/>
      <c r="B3061" s="58" t="s">
        <v>8013</v>
      </c>
      <c r="C3061" s="58" t="s">
        <v>8014</v>
      </c>
      <c r="D3061" s="58" t="s">
        <v>8012</v>
      </c>
      <c r="E3061" s="60" t="b">
        <v>1</v>
      </c>
      <c r="F3061" s="80" t="s">
        <v>1020</v>
      </c>
      <c r="G3061" s="58" t="s">
        <v>8011</v>
      </c>
      <c r="H3061" s="58" t="s">
        <v>7895</v>
      </c>
      <c r="I3061" s="64" t="s">
        <v>8012</v>
      </c>
      <c r="J3061" s="66"/>
      <c r="K3061" s="66"/>
      <c r="L3061" s="68"/>
      <c r="M3061" s="63" t="str">
        <f>HYPERLINK("http://nsgreg.nga.mil/genc/view?v=871151&amp;end_month=12&amp;end_day=31&amp;end_year=2016","Correlation")</f>
        <v>Correlation</v>
      </c>
    </row>
    <row r="3062" spans="1:13" x14ac:dyDescent="0.2">
      <c r="A3062" s="113"/>
      <c r="B3062" s="58" t="s">
        <v>8015</v>
      </c>
      <c r="C3062" s="58" t="s">
        <v>1413</v>
      </c>
      <c r="D3062" s="58" t="s">
        <v>8016</v>
      </c>
      <c r="E3062" s="60" t="b">
        <v>1</v>
      </c>
      <c r="F3062" s="80" t="s">
        <v>1020</v>
      </c>
      <c r="G3062" s="58" t="s">
        <v>8015</v>
      </c>
      <c r="H3062" s="58" t="s">
        <v>1413</v>
      </c>
      <c r="I3062" s="64" t="s">
        <v>8016</v>
      </c>
      <c r="J3062" s="66"/>
      <c r="K3062" s="66"/>
      <c r="L3062" s="68"/>
      <c r="M3062" s="63" t="str">
        <f>HYPERLINK("http://nsgreg.nga.mil/genc/view?v=871153&amp;end_month=12&amp;end_day=31&amp;end_year=2016","Correlation")</f>
        <v>Correlation</v>
      </c>
    </row>
    <row r="3063" spans="1:13" x14ac:dyDescent="0.2">
      <c r="A3063" s="113"/>
      <c r="B3063" s="58" t="s">
        <v>4924</v>
      </c>
      <c r="C3063" s="58" t="s">
        <v>1413</v>
      </c>
      <c r="D3063" s="58" t="s">
        <v>8017</v>
      </c>
      <c r="E3063" s="60" t="b">
        <v>1</v>
      </c>
      <c r="F3063" s="80" t="s">
        <v>1020</v>
      </c>
      <c r="G3063" s="58" t="s">
        <v>4924</v>
      </c>
      <c r="H3063" s="58" t="s">
        <v>1413</v>
      </c>
      <c r="I3063" s="64" t="s">
        <v>8017</v>
      </c>
      <c r="J3063" s="66"/>
      <c r="K3063" s="66"/>
      <c r="L3063" s="68"/>
      <c r="M3063" s="63" t="str">
        <f>HYPERLINK("http://nsgreg.nga.mil/genc/view?v=871154&amp;end_month=12&amp;end_day=31&amp;end_year=2016","Correlation")</f>
        <v>Correlation</v>
      </c>
    </row>
    <row r="3064" spans="1:13" x14ac:dyDescent="0.2">
      <c r="A3064" s="114"/>
      <c r="B3064" s="71" t="s">
        <v>8018</v>
      </c>
      <c r="C3064" s="71" t="s">
        <v>1413</v>
      </c>
      <c r="D3064" s="71" t="s">
        <v>8019</v>
      </c>
      <c r="E3064" s="73" t="b">
        <v>1</v>
      </c>
      <c r="F3064" s="81" t="s">
        <v>1020</v>
      </c>
      <c r="G3064" s="71" t="s">
        <v>8018</v>
      </c>
      <c r="H3064" s="71" t="s">
        <v>1413</v>
      </c>
      <c r="I3064" s="74" t="s">
        <v>8019</v>
      </c>
      <c r="J3064" s="76"/>
      <c r="K3064" s="76"/>
      <c r="L3064" s="82"/>
      <c r="M3064" s="77" t="str">
        <f>HYPERLINK("http://nsgreg.nga.mil/genc/view?v=871155&amp;end_month=12&amp;end_day=31&amp;end_year=2016","Correlation")</f>
        <v>Correlation</v>
      </c>
    </row>
    <row r="3065" spans="1:13" x14ac:dyDescent="0.2">
      <c r="A3065" s="112" t="s">
        <v>1024</v>
      </c>
      <c r="B3065" s="50" t="s">
        <v>8020</v>
      </c>
      <c r="C3065" s="50" t="s">
        <v>1763</v>
      </c>
      <c r="D3065" s="50" t="s">
        <v>8021</v>
      </c>
      <c r="E3065" s="52" t="b">
        <v>1</v>
      </c>
      <c r="F3065" s="78" t="s">
        <v>1024</v>
      </c>
      <c r="G3065" s="50" t="s">
        <v>8020</v>
      </c>
      <c r="H3065" s="50" t="s">
        <v>1763</v>
      </c>
      <c r="I3065" s="53" t="s">
        <v>8021</v>
      </c>
      <c r="J3065" s="55"/>
      <c r="K3065" s="55"/>
      <c r="L3065" s="79"/>
      <c r="M3065" s="56" t="str">
        <f>HYPERLINK("http://nsgreg.nga.mil/genc/view?v=871209&amp;end_month=12&amp;end_day=31&amp;end_year=2016","Correlation")</f>
        <v>Correlation</v>
      </c>
    </row>
    <row r="3066" spans="1:13" x14ac:dyDescent="0.2">
      <c r="A3066" s="113"/>
      <c r="B3066" s="58" t="s">
        <v>8022</v>
      </c>
      <c r="C3066" s="58" t="s">
        <v>1763</v>
      </c>
      <c r="D3066" s="58" t="s">
        <v>8023</v>
      </c>
      <c r="E3066" s="60" t="b">
        <v>1</v>
      </c>
      <c r="F3066" s="80" t="s">
        <v>1024</v>
      </c>
      <c r="G3066" s="58" t="s">
        <v>8022</v>
      </c>
      <c r="H3066" s="58" t="s">
        <v>1763</v>
      </c>
      <c r="I3066" s="64" t="s">
        <v>8023</v>
      </c>
      <c r="J3066" s="66"/>
      <c r="K3066" s="66"/>
      <c r="L3066" s="68"/>
      <c r="M3066" s="63" t="str">
        <f>HYPERLINK("http://nsgreg.nga.mil/genc/view?v=871210&amp;end_month=12&amp;end_day=31&amp;end_year=2016","Correlation")</f>
        <v>Correlation</v>
      </c>
    </row>
    <row r="3067" spans="1:13" x14ac:dyDescent="0.2">
      <c r="A3067" s="113"/>
      <c r="B3067" s="58" t="s">
        <v>8024</v>
      </c>
      <c r="C3067" s="58" t="s">
        <v>1763</v>
      </c>
      <c r="D3067" s="58" t="s">
        <v>8025</v>
      </c>
      <c r="E3067" s="60" t="b">
        <v>1</v>
      </c>
      <c r="F3067" s="80" t="s">
        <v>1024</v>
      </c>
      <c r="G3067" s="58" t="s">
        <v>8024</v>
      </c>
      <c r="H3067" s="58" t="s">
        <v>1763</v>
      </c>
      <c r="I3067" s="64" t="s">
        <v>8025</v>
      </c>
      <c r="J3067" s="66"/>
      <c r="K3067" s="66"/>
      <c r="L3067" s="68"/>
      <c r="M3067" s="63" t="str">
        <f>HYPERLINK("http://nsgreg.nga.mil/genc/view?v=871211&amp;end_month=12&amp;end_day=31&amp;end_year=2016","Correlation")</f>
        <v>Correlation</v>
      </c>
    </row>
    <row r="3068" spans="1:13" x14ac:dyDescent="0.2">
      <c r="A3068" s="113"/>
      <c r="B3068" s="58" t="s">
        <v>8026</v>
      </c>
      <c r="C3068" s="58" t="s">
        <v>1763</v>
      </c>
      <c r="D3068" s="58" t="s">
        <v>8027</v>
      </c>
      <c r="E3068" s="60" t="b">
        <v>1</v>
      </c>
      <c r="F3068" s="80" t="s">
        <v>1024</v>
      </c>
      <c r="G3068" s="58" t="s">
        <v>8026</v>
      </c>
      <c r="H3068" s="58" t="s">
        <v>1763</v>
      </c>
      <c r="I3068" s="64" t="s">
        <v>8027</v>
      </c>
      <c r="J3068" s="66"/>
      <c r="K3068" s="66"/>
      <c r="L3068" s="68"/>
      <c r="M3068" s="63" t="str">
        <f>HYPERLINK("http://nsgreg.nga.mil/genc/view?v=871212&amp;end_month=12&amp;end_day=31&amp;end_year=2016","Correlation")</f>
        <v>Correlation</v>
      </c>
    </row>
    <row r="3069" spans="1:13" x14ac:dyDescent="0.2">
      <c r="A3069" s="113"/>
      <c r="B3069" s="58" t="s">
        <v>8028</v>
      </c>
      <c r="C3069" s="58" t="s">
        <v>1763</v>
      </c>
      <c r="D3069" s="58" t="s">
        <v>8029</v>
      </c>
      <c r="E3069" s="60" t="b">
        <v>1</v>
      </c>
      <c r="F3069" s="80" t="s">
        <v>1024</v>
      </c>
      <c r="G3069" s="58" t="s">
        <v>8028</v>
      </c>
      <c r="H3069" s="58" t="s">
        <v>1763</v>
      </c>
      <c r="I3069" s="64" t="s">
        <v>8029</v>
      </c>
      <c r="J3069" s="66"/>
      <c r="K3069" s="66"/>
      <c r="L3069" s="68"/>
      <c r="M3069" s="63" t="str">
        <f>HYPERLINK("http://nsgreg.nga.mil/genc/view?v=871213&amp;end_month=12&amp;end_day=31&amp;end_year=2016","Correlation")</f>
        <v>Correlation</v>
      </c>
    </row>
    <row r="3070" spans="1:13" x14ac:dyDescent="0.2">
      <c r="A3070" s="113"/>
      <c r="B3070" s="58" t="s">
        <v>8030</v>
      </c>
      <c r="C3070" s="58" t="s">
        <v>1763</v>
      </c>
      <c r="D3070" s="58" t="s">
        <v>8031</v>
      </c>
      <c r="E3070" s="60" t="b">
        <v>1</v>
      </c>
      <c r="F3070" s="80" t="s">
        <v>1024</v>
      </c>
      <c r="G3070" s="58" t="s">
        <v>8030</v>
      </c>
      <c r="H3070" s="58" t="s">
        <v>1763</v>
      </c>
      <c r="I3070" s="64" t="s">
        <v>8031</v>
      </c>
      <c r="J3070" s="66"/>
      <c r="K3070" s="66"/>
      <c r="L3070" s="68"/>
      <c r="M3070" s="63" t="str">
        <f>HYPERLINK("http://nsgreg.nga.mil/genc/view?v=871214&amp;end_month=12&amp;end_day=31&amp;end_year=2016","Correlation")</f>
        <v>Correlation</v>
      </c>
    </row>
    <row r="3071" spans="1:13" x14ac:dyDescent="0.2">
      <c r="A3071" s="113"/>
      <c r="B3071" s="58" t="s">
        <v>8032</v>
      </c>
      <c r="C3071" s="58" t="s">
        <v>1763</v>
      </c>
      <c r="D3071" s="58" t="s">
        <v>8033</v>
      </c>
      <c r="E3071" s="60" t="b">
        <v>1</v>
      </c>
      <c r="F3071" s="80" t="s">
        <v>1024</v>
      </c>
      <c r="G3071" s="58" t="s">
        <v>8032</v>
      </c>
      <c r="H3071" s="58" t="s">
        <v>1763</v>
      </c>
      <c r="I3071" s="64" t="s">
        <v>8033</v>
      </c>
      <c r="J3071" s="66"/>
      <c r="K3071" s="66"/>
      <c r="L3071" s="68"/>
      <c r="M3071" s="63" t="str">
        <f>HYPERLINK("http://nsgreg.nga.mil/genc/view?v=871215&amp;end_month=12&amp;end_day=31&amp;end_year=2016","Correlation")</f>
        <v>Correlation</v>
      </c>
    </row>
    <row r="3072" spans="1:13" x14ac:dyDescent="0.2">
      <c r="A3072" s="113"/>
      <c r="B3072" s="58" t="s">
        <v>8034</v>
      </c>
      <c r="C3072" s="58" t="s">
        <v>1763</v>
      </c>
      <c r="D3072" s="58" t="s">
        <v>8035</v>
      </c>
      <c r="E3072" s="60" t="b">
        <v>1</v>
      </c>
      <c r="F3072" s="80" t="s">
        <v>1024</v>
      </c>
      <c r="G3072" s="58" t="s">
        <v>8034</v>
      </c>
      <c r="H3072" s="58" t="s">
        <v>1763</v>
      </c>
      <c r="I3072" s="64" t="s">
        <v>8035</v>
      </c>
      <c r="J3072" s="66"/>
      <c r="K3072" s="66"/>
      <c r="L3072" s="68"/>
      <c r="M3072" s="63" t="str">
        <f>HYPERLINK("http://nsgreg.nga.mil/genc/view?v=871216&amp;end_month=12&amp;end_day=31&amp;end_year=2016","Correlation")</f>
        <v>Correlation</v>
      </c>
    </row>
    <row r="3073" spans="1:13" x14ac:dyDescent="0.2">
      <c r="A3073" s="113"/>
      <c r="B3073" s="58" t="s">
        <v>8036</v>
      </c>
      <c r="C3073" s="58" t="s">
        <v>1763</v>
      </c>
      <c r="D3073" s="58" t="s">
        <v>8037</v>
      </c>
      <c r="E3073" s="60" t="b">
        <v>1</v>
      </c>
      <c r="F3073" s="80" t="s">
        <v>1024</v>
      </c>
      <c r="G3073" s="58" t="s">
        <v>8036</v>
      </c>
      <c r="H3073" s="58" t="s">
        <v>1763</v>
      </c>
      <c r="I3073" s="64" t="s">
        <v>8037</v>
      </c>
      <c r="J3073" s="66"/>
      <c r="K3073" s="66"/>
      <c r="L3073" s="68"/>
      <c r="M3073" s="63" t="str">
        <f>HYPERLINK("http://nsgreg.nga.mil/genc/view?v=871217&amp;end_month=12&amp;end_day=31&amp;end_year=2016","Correlation")</f>
        <v>Correlation</v>
      </c>
    </row>
    <row r="3074" spans="1:13" x14ac:dyDescent="0.2">
      <c r="A3074" s="113"/>
      <c r="B3074" s="58" t="s">
        <v>8038</v>
      </c>
      <c r="C3074" s="58" t="s">
        <v>1763</v>
      </c>
      <c r="D3074" s="58" t="s">
        <v>8039</v>
      </c>
      <c r="E3074" s="60" t="b">
        <v>1</v>
      </c>
      <c r="F3074" s="80" t="s">
        <v>1024</v>
      </c>
      <c r="G3074" s="58" t="s">
        <v>8038</v>
      </c>
      <c r="H3074" s="58" t="s">
        <v>1763</v>
      </c>
      <c r="I3074" s="64" t="s">
        <v>8039</v>
      </c>
      <c r="J3074" s="66"/>
      <c r="K3074" s="66"/>
      <c r="L3074" s="68"/>
      <c r="M3074" s="63" t="str">
        <f>HYPERLINK("http://nsgreg.nga.mil/genc/view?v=871218&amp;end_month=12&amp;end_day=31&amp;end_year=2016","Correlation")</f>
        <v>Correlation</v>
      </c>
    </row>
    <row r="3075" spans="1:13" x14ac:dyDescent="0.2">
      <c r="A3075" s="113"/>
      <c r="B3075" s="58" t="s">
        <v>8040</v>
      </c>
      <c r="C3075" s="58" t="s">
        <v>1763</v>
      </c>
      <c r="D3075" s="58" t="s">
        <v>8041</v>
      </c>
      <c r="E3075" s="60" t="b">
        <v>1</v>
      </c>
      <c r="F3075" s="80" t="s">
        <v>1024</v>
      </c>
      <c r="G3075" s="58" t="s">
        <v>8040</v>
      </c>
      <c r="H3075" s="58" t="s">
        <v>1763</v>
      </c>
      <c r="I3075" s="64" t="s">
        <v>8041</v>
      </c>
      <c r="J3075" s="66"/>
      <c r="K3075" s="66"/>
      <c r="L3075" s="68"/>
      <c r="M3075" s="63" t="str">
        <f>HYPERLINK("http://nsgreg.nga.mil/genc/view?v=871219&amp;end_month=12&amp;end_day=31&amp;end_year=2016","Correlation")</f>
        <v>Correlation</v>
      </c>
    </row>
    <row r="3076" spans="1:13" x14ac:dyDescent="0.2">
      <c r="A3076" s="113"/>
      <c r="B3076" s="58" t="s">
        <v>8042</v>
      </c>
      <c r="C3076" s="58" t="s">
        <v>1763</v>
      </c>
      <c r="D3076" s="58" t="s">
        <v>8043</v>
      </c>
      <c r="E3076" s="60" t="b">
        <v>1</v>
      </c>
      <c r="F3076" s="80" t="s">
        <v>1024</v>
      </c>
      <c r="G3076" s="58" t="s">
        <v>8042</v>
      </c>
      <c r="H3076" s="58" t="s">
        <v>1763</v>
      </c>
      <c r="I3076" s="64" t="s">
        <v>8043</v>
      </c>
      <c r="J3076" s="66"/>
      <c r="K3076" s="66"/>
      <c r="L3076" s="68"/>
      <c r="M3076" s="63" t="str">
        <f>HYPERLINK("http://nsgreg.nga.mil/genc/view?v=871220&amp;end_month=12&amp;end_day=31&amp;end_year=2016","Correlation")</f>
        <v>Correlation</v>
      </c>
    </row>
    <row r="3077" spans="1:13" x14ac:dyDescent="0.2">
      <c r="A3077" s="113"/>
      <c r="B3077" s="58" t="s">
        <v>8044</v>
      </c>
      <c r="C3077" s="58" t="s">
        <v>1763</v>
      </c>
      <c r="D3077" s="58" t="s">
        <v>8045</v>
      </c>
      <c r="E3077" s="60" t="b">
        <v>1</v>
      </c>
      <c r="F3077" s="80" t="s">
        <v>1024</v>
      </c>
      <c r="G3077" s="58" t="s">
        <v>8044</v>
      </c>
      <c r="H3077" s="58" t="s">
        <v>1763</v>
      </c>
      <c r="I3077" s="64" t="s">
        <v>8045</v>
      </c>
      <c r="J3077" s="66"/>
      <c r="K3077" s="66"/>
      <c r="L3077" s="68"/>
      <c r="M3077" s="63" t="str">
        <f>HYPERLINK("http://nsgreg.nga.mil/genc/view?v=871221&amp;end_month=12&amp;end_day=31&amp;end_year=2016","Correlation")</f>
        <v>Correlation</v>
      </c>
    </row>
    <row r="3078" spans="1:13" x14ac:dyDescent="0.2">
      <c r="A3078" s="113"/>
      <c r="B3078" s="58" t="s">
        <v>8046</v>
      </c>
      <c r="C3078" s="58" t="s">
        <v>1763</v>
      </c>
      <c r="D3078" s="58" t="s">
        <v>8047</v>
      </c>
      <c r="E3078" s="60" t="b">
        <v>1</v>
      </c>
      <c r="F3078" s="80" t="s">
        <v>1024</v>
      </c>
      <c r="G3078" s="58" t="s">
        <v>8046</v>
      </c>
      <c r="H3078" s="58" t="s">
        <v>1763</v>
      </c>
      <c r="I3078" s="64" t="s">
        <v>8047</v>
      </c>
      <c r="J3078" s="66"/>
      <c r="K3078" s="66"/>
      <c r="L3078" s="68"/>
      <c r="M3078" s="63" t="str">
        <f>HYPERLINK("http://nsgreg.nga.mil/genc/view?v=871222&amp;end_month=12&amp;end_day=31&amp;end_year=2016","Correlation")</f>
        <v>Correlation</v>
      </c>
    </row>
    <row r="3079" spans="1:13" x14ac:dyDescent="0.2">
      <c r="A3079" s="113"/>
      <c r="B3079" s="58" t="s">
        <v>8048</v>
      </c>
      <c r="C3079" s="58" t="s">
        <v>1763</v>
      </c>
      <c r="D3079" s="58" t="s">
        <v>8049</v>
      </c>
      <c r="E3079" s="60" t="b">
        <v>1</v>
      </c>
      <c r="F3079" s="80" t="s">
        <v>1024</v>
      </c>
      <c r="G3079" s="58" t="s">
        <v>8048</v>
      </c>
      <c r="H3079" s="58" t="s">
        <v>1763</v>
      </c>
      <c r="I3079" s="64" t="s">
        <v>8049</v>
      </c>
      <c r="J3079" s="66"/>
      <c r="K3079" s="66"/>
      <c r="L3079" s="68"/>
      <c r="M3079" s="63" t="str">
        <f>HYPERLINK("http://nsgreg.nga.mil/genc/view?v=871223&amp;end_month=12&amp;end_day=31&amp;end_year=2016","Correlation")</f>
        <v>Correlation</v>
      </c>
    </row>
    <row r="3080" spans="1:13" x14ac:dyDescent="0.2">
      <c r="A3080" s="114"/>
      <c r="B3080" s="71" t="s">
        <v>8050</v>
      </c>
      <c r="C3080" s="71" t="s">
        <v>1763</v>
      </c>
      <c r="D3080" s="71" t="s">
        <v>8051</v>
      </c>
      <c r="E3080" s="73" t="b">
        <v>1</v>
      </c>
      <c r="F3080" s="81" t="s">
        <v>1024</v>
      </c>
      <c r="G3080" s="71" t="s">
        <v>8050</v>
      </c>
      <c r="H3080" s="71" t="s">
        <v>1763</v>
      </c>
      <c r="I3080" s="74" t="s">
        <v>8051</v>
      </c>
      <c r="J3080" s="76"/>
      <c r="K3080" s="76"/>
      <c r="L3080" s="82"/>
      <c r="M3080" s="77" t="str">
        <f>HYPERLINK("http://nsgreg.nga.mil/genc/view?v=871224&amp;end_month=12&amp;end_day=31&amp;end_year=2016","Correlation")</f>
        <v>Correlation</v>
      </c>
    </row>
    <row r="3081" spans="1:13" x14ac:dyDescent="0.2">
      <c r="A3081" s="112" t="s">
        <v>594</v>
      </c>
      <c r="B3081" s="50" t="s">
        <v>12512</v>
      </c>
      <c r="C3081" s="50" t="s">
        <v>2030</v>
      </c>
      <c r="D3081" s="50" t="s">
        <v>12513</v>
      </c>
      <c r="E3081" s="52" t="b">
        <v>1</v>
      </c>
      <c r="F3081" s="83" t="s">
        <v>167</v>
      </c>
      <c r="G3081" s="83"/>
      <c r="H3081" s="83"/>
      <c r="I3081" s="83"/>
      <c r="J3081" s="83"/>
      <c r="K3081" s="83"/>
      <c r="L3081" s="84"/>
      <c r="M3081" s="56" t="str">
        <f>HYPERLINK("http://nsgreg.nga.mil/genc/view?v=871173&amp;end_month=12&amp;end_day=31&amp;end_year=2016","Correlation")</f>
        <v>Correlation</v>
      </c>
    </row>
    <row r="3082" spans="1:13" x14ac:dyDescent="0.2">
      <c r="A3082" s="113"/>
      <c r="B3082" s="58" t="s">
        <v>12514</v>
      </c>
      <c r="C3082" s="58" t="s">
        <v>2030</v>
      </c>
      <c r="D3082" s="58" t="s">
        <v>12515</v>
      </c>
      <c r="E3082" s="60" t="b">
        <v>1</v>
      </c>
      <c r="F3082" s="61" t="s">
        <v>167</v>
      </c>
      <c r="G3082" s="61"/>
      <c r="H3082" s="61"/>
      <c r="I3082" s="61"/>
      <c r="J3082" s="61"/>
      <c r="K3082" s="61"/>
      <c r="L3082" s="62"/>
      <c r="M3082" s="63" t="str">
        <f>HYPERLINK("http://nsgreg.nga.mil/genc/view?v=871174&amp;end_month=12&amp;end_day=31&amp;end_year=2016","Correlation")</f>
        <v>Correlation</v>
      </c>
    </row>
    <row r="3083" spans="1:13" x14ac:dyDescent="0.2">
      <c r="A3083" s="113"/>
      <c r="B3083" s="58" t="s">
        <v>7618</v>
      </c>
      <c r="C3083" s="58" t="s">
        <v>2030</v>
      </c>
      <c r="D3083" s="58" t="s">
        <v>12516</v>
      </c>
      <c r="E3083" s="60" t="b">
        <v>1</v>
      </c>
      <c r="F3083" s="61" t="s">
        <v>167</v>
      </c>
      <c r="G3083" s="61"/>
      <c r="H3083" s="61"/>
      <c r="I3083" s="61"/>
      <c r="J3083" s="61"/>
      <c r="K3083" s="61"/>
      <c r="L3083" s="62"/>
      <c r="M3083" s="63" t="str">
        <f>HYPERLINK("http://nsgreg.nga.mil/genc/view?v=871175&amp;end_month=12&amp;end_day=31&amp;end_year=2016","Correlation")</f>
        <v>Correlation</v>
      </c>
    </row>
    <row r="3084" spans="1:13" x14ac:dyDescent="0.2">
      <c r="A3084" s="113"/>
      <c r="B3084" s="58" t="s">
        <v>12517</v>
      </c>
      <c r="C3084" s="58" t="s">
        <v>2030</v>
      </c>
      <c r="D3084" s="58" t="s">
        <v>12518</v>
      </c>
      <c r="E3084" s="60" t="b">
        <v>1</v>
      </c>
      <c r="F3084" s="61" t="s">
        <v>167</v>
      </c>
      <c r="G3084" s="61"/>
      <c r="H3084" s="61"/>
      <c r="I3084" s="61"/>
      <c r="J3084" s="61"/>
      <c r="K3084" s="61"/>
      <c r="L3084" s="62"/>
      <c r="M3084" s="63" t="str">
        <f>HYPERLINK("http://nsgreg.nga.mil/genc/view?v=871176&amp;end_month=12&amp;end_day=31&amp;end_year=2016","Correlation")</f>
        <v>Correlation</v>
      </c>
    </row>
    <row r="3085" spans="1:13" x14ac:dyDescent="0.2">
      <c r="A3085" s="113"/>
      <c r="B3085" s="58" t="s">
        <v>12519</v>
      </c>
      <c r="C3085" s="58" t="s">
        <v>2030</v>
      </c>
      <c r="D3085" s="58" t="s">
        <v>12520</v>
      </c>
      <c r="E3085" s="60" t="b">
        <v>1</v>
      </c>
      <c r="F3085" s="61" t="s">
        <v>167</v>
      </c>
      <c r="G3085" s="61"/>
      <c r="H3085" s="61"/>
      <c r="I3085" s="61"/>
      <c r="J3085" s="61"/>
      <c r="K3085" s="61"/>
      <c r="L3085" s="62"/>
      <c r="M3085" s="63" t="str">
        <f>HYPERLINK("http://nsgreg.nga.mil/genc/view?v=871178&amp;end_month=12&amp;end_day=31&amp;end_year=2016","Correlation")</f>
        <v>Correlation</v>
      </c>
    </row>
    <row r="3086" spans="1:13" x14ac:dyDescent="0.2">
      <c r="A3086" s="113"/>
      <c r="B3086" s="58" t="s">
        <v>12521</v>
      </c>
      <c r="C3086" s="58" t="s">
        <v>2030</v>
      </c>
      <c r="D3086" s="58" t="s">
        <v>12522</v>
      </c>
      <c r="E3086" s="60" t="b">
        <v>1</v>
      </c>
      <c r="F3086" s="61" t="s">
        <v>167</v>
      </c>
      <c r="G3086" s="61"/>
      <c r="H3086" s="61"/>
      <c r="I3086" s="61"/>
      <c r="J3086" s="61"/>
      <c r="K3086" s="61"/>
      <c r="L3086" s="62"/>
      <c r="M3086" s="63" t="str">
        <f>HYPERLINK("http://nsgreg.nga.mil/genc/view?v=871179&amp;end_month=12&amp;end_day=31&amp;end_year=2016","Correlation")</f>
        <v>Correlation</v>
      </c>
    </row>
    <row r="3087" spans="1:13" x14ac:dyDescent="0.2">
      <c r="A3087" s="113"/>
      <c r="B3087" s="58" t="s">
        <v>5202</v>
      </c>
      <c r="C3087" s="58" t="s">
        <v>2030</v>
      </c>
      <c r="D3087" s="58" t="s">
        <v>12523</v>
      </c>
      <c r="E3087" s="60" t="b">
        <v>1</v>
      </c>
      <c r="F3087" s="61" t="s">
        <v>167</v>
      </c>
      <c r="G3087" s="61"/>
      <c r="H3087" s="61"/>
      <c r="I3087" s="61"/>
      <c r="J3087" s="61"/>
      <c r="K3087" s="61"/>
      <c r="L3087" s="62"/>
      <c r="M3087" s="63" t="str">
        <f>HYPERLINK("http://nsgreg.nga.mil/genc/view?v=871177&amp;end_month=12&amp;end_day=31&amp;end_year=2016","Correlation")</f>
        <v>Correlation</v>
      </c>
    </row>
    <row r="3088" spans="1:13" x14ac:dyDescent="0.2">
      <c r="A3088" s="113"/>
      <c r="B3088" s="58" t="s">
        <v>12524</v>
      </c>
      <c r="C3088" s="58" t="s">
        <v>2030</v>
      </c>
      <c r="D3088" s="58" t="s">
        <v>12525</v>
      </c>
      <c r="E3088" s="60" t="b">
        <v>1</v>
      </c>
      <c r="F3088" s="61" t="s">
        <v>167</v>
      </c>
      <c r="G3088" s="61"/>
      <c r="H3088" s="61"/>
      <c r="I3088" s="61"/>
      <c r="J3088" s="61"/>
      <c r="K3088" s="61"/>
      <c r="L3088" s="62"/>
      <c r="M3088" s="63" t="str">
        <f>HYPERLINK("http://nsgreg.nga.mil/genc/view?v=871180&amp;end_month=12&amp;end_day=31&amp;end_year=2016","Correlation")</f>
        <v>Correlation</v>
      </c>
    </row>
    <row r="3089" spans="1:13" x14ac:dyDescent="0.2">
      <c r="A3089" s="113"/>
      <c r="B3089" s="58" t="s">
        <v>12526</v>
      </c>
      <c r="C3089" s="58" t="s">
        <v>2030</v>
      </c>
      <c r="D3089" s="58" t="s">
        <v>12527</v>
      </c>
      <c r="E3089" s="60" t="b">
        <v>1</v>
      </c>
      <c r="F3089" s="61" t="s">
        <v>167</v>
      </c>
      <c r="G3089" s="61"/>
      <c r="H3089" s="61"/>
      <c r="I3089" s="61"/>
      <c r="J3089" s="61"/>
      <c r="K3089" s="61"/>
      <c r="L3089" s="62"/>
      <c r="M3089" s="63" t="str">
        <f>HYPERLINK("http://nsgreg.nga.mil/genc/view?v=871181&amp;end_month=12&amp;end_day=31&amp;end_year=2016","Correlation")</f>
        <v>Correlation</v>
      </c>
    </row>
    <row r="3090" spans="1:13" x14ac:dyDescent="0.2">
      <c r="A3090" s="113"/>
      <c r="B3090" s="58" t="s">
        <v>12528</v>
      </c>
      <c r="C3090" s="58" t="s">
        <v>2030</v>
      </c>
      <c r="D3090" s="58" t="s">
        <v>12529</v>
      </c>
      <c r="E3090" s="60" t="b">
        <v>1</v>
      </c>
      <c r="F3090" s="61" t="s">
        <v>167</v>
      </c>
      <c r="G3090" s="61"/>
      <c r="H3090" s="61"/>
      <c r="I3090" s="61"/>
      <c r="J3090" s="61"/>
      <c r="K3090" s="61"/>
      <c r="L3090" s="62"/>
      <c r="M3090" s="63" t="str">
        <f>HYPERLINK("http://nsgreg.nga.mil/genc/view?v=871182&amp;end_month=12&amp;end_day=31&amp;end_year=2016","Correlation")</f>
        <v>Correlation</v>
      </c>
    </row>
    <row r="3091" spans="1:13" x14ac:dyDescent="0.2">
      <c r="A3091" s="113"/>
      <c r="B3091" s="58" t="s">
        <v>12530</v>
      </c>
      <c r="C3091" s="58" t="s">
        <v>2030</v>
      </c>
      <c r="D3091" s="58" t="s">
        <v>12531</v>
      </c>
      <c r="E3091" s="60" t="b">
        <v>1</v>
      </c>
      <c r="F3091" s="61" t="s">
        <v>167</v>
      </c>
      <c r="G3091" s="61"/>
      <c r="H3091" s="61"/>
      <c r="I3091" s="61"/>
      <c r="J3091" s="61"/>
      <c r="K3091" s="61"/>
      <c r="L3091" s="62"/>
      <c r="M3091" s="63" t="str">
        <f>HYPERLINK("http://nsgreg.nga.mil/genc/view?v=871183&amp;end_month=12&amp;end_day=31&amp;end_year=2016","Correlation")</f>
        <v>Correlation</v>
      </c>
    </row>
    <row r="3092" spans="1:13" x14ac:dyDescent="0.2">
      <c r="A3092" s="113"/>
      <c r="B3092" s="58" t="s">
        <v>12532</v>
      </c>
      <c r="C3092" s="58" t="s">
        <v>2030</v>
      </c>
      <c r="D3092" s="58" t="s">
        <v>12533</v>
      </c>
      <c r="E3092" s="60" t="b">
        <v>1</v>
      </c>
      <c r="F3092" s="61" t="s">
        <v>167</v>
      </c>
      <c r="G3092" s="61"/>
      <c r="H3092" s="61"/>
      <c r="I3092" s="61"/>
      <c r="J3092" s="61"/>
      <c r="K3092" s="61"/>
      <c r="L3092" s="62"/>
      <c r="M3092" s="63" t="str">
        <f>HYPERLINK("http://nsgreg.nga.mil/genc/view?v=871185&amp;end_month=12&amp;end_day=31&amp;end_year=2016","Correlation")</f>
        <v>Correlation</v>
      </c>
    </row>
    <row r="3093" spans="1:13" x14ac:dyDescent="0.2">
      <c r="A3093" s="113"/>
      <c r="B3093" s="58" t="s">
        <v>12534</v>
      </c>
      <c r="C3093" s="58" t="s">
        <v>2030</v>
      </c>
      <c r="D3093" s="58" t="s">
        <v>12535</v>
      </c>
      <c r="E3093" s="60" t="b">
        <v>1</v>
      </c>
      <c r="F3093" s="61" t="s">
        <v>167</v>
      </c>
      <c r="G3093" s="61"/>
      <c r="H3093" s="61"/>
      <c r="I3093" s="61"/>
      <c r="J3093" s="61"/>
      <c r="K3093" s="61"/>
      <c r="L3093" s="62"/>
      <c r="M3093" s="63" t="str">
        <f>HYPERLINK("http://nsgreg.nga.mil/genc/view?v=871184&amp;end_month=12&amp;end_day=31&amp;end_year=2016","Correlation")</f>
        <v>Correlation</v>
      </c>
    </row>
    <row r="3094" spans="1:13" x14ac:dyDescent="0.2">
      <c r="A3094" s="113"/>
      <c r="B3094" s="58" t="s">
        <v>12536</v>
      </c>
      <c r="C3094" s="58" t="s">
        <v>2030</v>
      </c>
      <c r="D3094" s="58" t="s">
        <v>12537</v>
      </c>
      <c r="E3094" s="60" t="b">
        <v>1</v>
      </c>
      <c r="F3094" s="61" t="s">
        <v>167</v>
      </c>
      <c r="G3094" s="61"/>
      <c r="H3094" s="61"/>
      <c r="I3094" s="61"/>
      <c r="J3094" s="61"/>
      <c r="K3094" s="61"/>
      <c r="L3094" s="62"/>
      <c r="M3094" s="63" t="str">
        <f>HYPERLINK("http://nsgreg.nga.mil/genc/view?v=871186&amp;end_month=12&amp;end_day=31&amp;end_year=2016","Correlation")</f>
        <v>Correlation</v>
      </c>
    </row>
    <row r="3095" spans="1:13" x14ac:dyDescent="0.2">
      <c r="A3095" s="113"/>
      <c r="B3095" s="58" t="s">
        <v>12538</v>
      </c>
      <c r="C3095" s="58" t="s">
        <v>2030</v>
      </c>
      <c r="D3095" s="58" t="s">
        <v>12539</v>
      </c>
      <c r="E3095" s="60" t="b">
        <v>1</v>
      </c>
      <c r="F3095" s="61" t="s">
        <v>167</v>
      </c>
      <c r="G3095" s="61"/>
      <c r="H3095" s="61"/>
      <c r="I3095" s="61"/>
      <c r="J3095" s="61"/>
      <c r="K3095" s="61"/>
      <c r="L3095" s="62"/>
      <c r="M3095" s="63" t="str">
        <f>HYPERLINK("http://nsgreg.nga.mil/genc/view?v=871187&amp;end_month=12&amp;end_day=31&amp;end_year=2016","Correlation")</f>
        <v>Correlation</v>
      </c>
    </row>
    <row r="3096" spans="1:13" x14ac:dyDescent="0.2">
      <c r="A3096" s="114"/>
      <c r="B3096" s="71" t="s">
        <v>12540</v>
      </c>
      <c r="C3096" s="71" t="s">
        <v>2030</v>
      </c>
      <c r="D3096" s="71" t="s">
        <v>12541</v>
      </c>
      <c r="E3096" s="73" t="b">
        <v>1</v>
      </c>
      <c r="F3096" s="85" t="s">
        <v>167</v>
      </c>
      <c r="G3096" s="85"/>
      <c r="H3096" s="85"/>
      <c r="I3096" s="85"/>
      <c r="J3096" s="85"/>
      <c r="K3096" s="85"/>
      <c r="L3096" s="86"/>
      <c r="M3096" s="77" t="str">
        <f>HYPERLINK("http://nsgreg.nga.mil/genc/view?v=871188&amp;end_month=12&amp;end_day=31&amp;end_year=2016","Correlation")</f>
        <v>Correlation</v>
      </c>
    </row>
    <row r="3097" spans="1:13" x14ac:dyDescent="0.2">
      <c r="A3097" s="112" t="s">
        <v>1034</v>
      </c>
      <c r="B3097" s="50" t="s">
        <v>8052</v>
      </c>
      <c r="C3097" s="50" t="s">
        <v>1413</v>
      </c>
      <c r="D3097" s="50" t="s">
        <v>8053</v>
      </c>
      <c r="E3097" s="52" t="b">
        <v>1</v>
      </c>
      <c r="F3097" s="78" t="s">
        <v>1034</v>
      </c>
      <c r="G3097" s="50" t="s">
        <v>8052</v>
      </c>
      <c r="H3097" s="50" t="s">
        <v>1413</v>
      </c>
      <c r="I3097" s="53" t="s">
        <v>8053</v>
      </c>
      <c r="J3097" s="55"/>
      <c r="K3097" s="55"/>
      <c r="L3097" s="79"/>
      <c r="M3097" s="56" t="str">
        <f>HYPERLINK("http://nsgreg.nga.mil/genc/view?v=870990&amp;end_month=12&amp;end_day=31&amp;end_year=2016","Correlation")</f>
        <v>Correlation</v>
      </c>
    </row>
    <row r="3098" spans="1:13" x14ac:dyDescent="0.2">
      <c r="A3098" s="113"/>
      <c r="B3098" s="58" t="s">
        <v>8054</v>
      </c>
      <c r="C3098" s="58" t="s">
        <v>1413</v>
      </c>
      <c r="D3098" s="58" t="s">
        <v>8055</v>
      </c>
      <c r="E3098" s="60" t="b">
        <v>1</v>
      </c>
      <c r="F3098" s="80" t="s">
        <v>1034</v>
      </c>
      <c r="G3098" s="58" t="s">
        <v>8054</v>
      </c>
      <c r="H3098" s="58" t="s">
        <v>1413</v>
      </c>
      <c r="I3098" s="64" t="s">
        <v>8055</v>
      </c>
      <c r="J3098" s="66"/>
      <c r="K3098" s="66"/>
      <c r="L3098" s="68"/>
      <c r="M3098" s="63" t="str">
        <f>HYPERLINK("http://nsgreg.nga.mil/genc/view?v=870994&amp;end_month=12&amp;end_day=31&amp;end_year=2016","Correlation")</f>
        <v>Correlation</v>
      </c>
    </row>
    <row r="3099" spans="1:13" x14ac:dyDescent="0.2">
      <c r="A3099" s="113"/>
      <c r="B3099" s="58" t="s">
        <v>8056</v>
      </c>
      <c r="C3099" s="58" t="s">
        <v>1413</v>
      </c>
      <c r="D3099" s="58" t="s">
        <v>8057</v>
      </c>
      <c r="E3099" s="60" t="b">
        <v>1</v>
      </c>
      <c r="F3099" s="80" t="s">
        <v>1034</v>
      </c>
      <c r="G3099" s="58" t="s">
        <v>8056</v>
      </c>
      <c r="H3099" s="58" t="s">
        <v>1413</v>
      </c>
      <c r="I3099" s="64" t="s">
        <v>8057</v>
      </c>
      <c r="J3099" s="66"/>
      <c r="K3099" s="66"/>
      <c r="L3099" s="68"/>
      <c r="M3099" s="63" t="str">
        <f>HYPERLINK("http://nsgreg.nga.mil/genc/view?v=870992&amp;end_month=12&amp;end_day=31&amp;end_year=2016","Correlation")</f>
        <v>Correlation</v>
      </c>
    </row>
    <row r="3100" spans="1:13" x14ac:dyDescent="0.2">
      <c r="A3100" s="113"/>
      <c r="B3100" s="58" t="s">
        <v>4718</v>
      </c>
      <c r="C3100" s="58" t="s">
        <v>1413</v>
      </c>
      <c r="D3100" s="58" t="s">
        <v>8058</v>
      </c>
      <c r="E3100" s="60" t="b">
        <v>1</v>
      </c>
      <c r="F3100" s="80" t="s">
        <v>1034</v>
      </c>
      <c r="G3100" s="58" t="s">
        <v>4718</v>
      </c>
      <c r="H3100" s="58" t="s">
        <v>1413</v>
      </c>
      <c r="I3100" s="64" t="s">
        <v>8058</v>
      </c>
      <c r="J3100" s="66"/>
      <c r="K3100" s="66"/>
      <c r="L3100" s="68"/>
      <c r="M3100" s="63" t="str">
        <f>HYPERLINK("http://nsgreg.nga.mil/genc/view?v=870993&amp;end_month=12&amp;end_day=31&amp;end_year=2016","Correlation")</f>
        <v>Correlation</v>
      </c>
    </row>
    <row r="3101" spans="1:13" x14ac:dyDescent="0.2">
      <c r="A3101" s="113"/>
      <c r="B3101" s="58" t="s">
        <v>8059</v>
      </c>
      <c r="C3101" s="58" t="s">
        <v>1413</v>
      </c>
      <c r="D3101" s="58" t="s">
        <v>8060</v>
      </c>
      <c r="E3101" s="60" t="b">
        <v>1</v>
      </c>
      <c r="F3101" s="80" t="s">
        <v>1034</v>
      </c>
      <c r="G3101" s="58" t="s">
        <v>8059</v>
      </c>
      <c r="H3101" s="58" t="s">
        <v>1413</v>
      </c>
      <c r="I3101" s="64" t="s">
        <v>8060</v>
      </c>
      <c r="J3101" s="66"/>
      <c r="K3101" s="66"/>
      <c r="L3101" s="68"/>
      <c r="M3101" s="63" t="str">
        <f>HYPERLINK("http://nsgreg.nga.mil/genc/view?v=870995&amp;end_month=12&amp;end_day=31&amp;end_year=2016","Correlation")</f>
        <v>Correlation</v>
      </c>
    </row>
    <row r="3102" spans="1:13" x14ac:dyDescent="0.2">
      <c r="A3102" s="113"/>
      <c r="B3102" s="58" t="s">
        <v>8064</v>
      </c>
      <c r="C3102" s="58" t="s">
        <v>8062</v>
      </c>
      <c r="D3102" s="58" t="s">
        <v>8063</v>
      </c>
      <c r="E3102" s="60" t="b">
        <v>1</v>
      </c>
      <c r="F3102" s="80" t="s">
        <v>1034</v>
      </c>
      <c r="G3102" s="58" t="s">
        <v>8061</v>
      </c>
      <c r="H3102" s="58" t="s">
        <v>8062</v>
      </c>
      <c r="I3102" s="64" t="s">
        <v>8063</v>
      </c>
      <c r="J3102" s="66"/>
      <c r="K3102" s="66"/>
      <c r="L3102" s="68"/>
      <c r="M3102" s="63" t="str">
        <f>HYPERLINK("http://nsgreg.nga.mil/genc/view?v=871000&amp;end_month=12&amp;end_day=31&amp;end_year=2016","Correlation")</f>
        <v>Correlation</v>
      </c>
    </row>
    <row r="3103" spans="1:13" x14ac:dyDescent="0.2">
      <c r="A3103" s="113"/>
      <c r="B3103" s="58" t="s">
        <v>8065</v>
      </c>
      <c r="C3103" s="58" t="s">
        <v>1413</v>
      </c>
      <c r="D3103" s="58" t="s">
        <v>8066</v>
      </c>
      <c r="E3103" s="60" t="b">
        <v>1</v>
      </c>
      <c r="F3103" s="80" t="s">
        <v>1034</v>
      </c>
      <c r="G3103" s="58" t="s">
        <v>8065</v>
      </c>
      <c r="H3103" s="58" t="s">
        <v>1413</v>
      </c>
      <c r="I3103" s="64" t="s">
        <v>8066</v>
      </c>
      <c r="J3103" s="66"/>
      <c r="K3103" s="66"/>
      <c r="L3103" s="68"/>
      <c r="M3103" s="63" t="str">
        <f>HYPERLINK("http://nsgreg.nga.mil/genc/view?v=870996&amp;end_month=12&amp;end_day=31&amp;end_year=2016","Correlation")</f>
        <v>Correlation</v>
      </c>
    </row>
    <row r="3104" spans="1:13" x14ac:dyDescent="0.2">
      <c r="A3104" s="113"/>
      <c r="B3104" s="58" t="s">
        <v>8067</v>
      </c>
      <c r="C3104" s="58" t="s">
        <v>8062</v>
      </c>
      <c r="D3104" s="58" t="s">
        <v>8068</v>
      </c>
      <c r="E3104" s="60" t="b">
        <v>1</v>
      </c>
      <c r="F3104" s="80" t="s">
        <v>1034</v>
      </c>
      <c r="G3104" s="58" t="s">
        <v>8067</v>
      </c>
      <c r="H3104" s="58" t="s">
        <v>8062</v>
      </c>
      <c r="I3104" s="64" t="s">
        <v>8068</v>
      </c>
      <c r="J3104" s="66"/>
      <c r="K3104" s="66"/>
      <c r="L3104" s="68"/>
      <c r="M3104" s="63" t="str">
        <f>HYPERLINK("http://nsgreg.nga.mil/genc/view?v=871001&amp;end_month=12&amp;end_day=31&amp;end_year=2016","Correlation")</f>
        <v>Correlation</v>
      </c>
    </row>
    <row r="3105" spans="1:13" x14ac:dyDescent="0.2">
      <c r="A3105" s="113"/>
      <c r="B3105" s="58" t="s">
        <v>8069</v>
      </c>
      <c r="C3105" s="58" t="s">
        <v>1413</v>
      </c>
      <c r="D3105" s="58" t="s">
        <v>8070</v>
      </c>
      <c r="E3105" s="60" t="b">
        <v>1</v>
      </c>
      <c r="F3105" s="80" t="s">
        <v>1034</v>
      </c>
      <c r="G3105" s="58" t="s">
        <v>8069</v>
      </c>
      <c r="H3105" s="58" t="s">
        <v>1413</v>
      </c>
      <c r="I3105" s="64" t="s">
        <v>8070</v>
      </c>
      <c r="J3105" s="66"/>
      <c r="K3105" s="66"/>
      <c r="L3105" s="68"/>
      <c r="M3105" s="63" t="str">
        <f>HYPERLINK("http://nsgreg.nga.mil/genc/view?v=870997&amp;end_month=12&amp;end_day=31&amp;end_year=2016","Correlation")</f>
        <v>Correlation</v>
      </c>
    </row>
    <row r="3106" spans="1:13" x14ac:dyDescent="0.2">
      <c r="A3106" s="113"/>
      <c r="B3106" s="58" t="s">
        <v>8071</v>
      </c>
      <c r="C3106" s="58" t="s">
        <v>8062</v>
      </c>
      <c r="D3106" s="58" t="s">
        <v>8072</v>
      </c>
      <c r="E3106" s="60" t="b">
        <v>1</v>
      </c>
      <c r="F3106" s="80" t="s">
        <v>1034</v>
      </c>
      <c r="G3106" s="58" t="s">
        <v>8071</v>
      </c>
      <c r="H3106" s="58" t="s">
        <v>8062</v>
      </c>
      <c r="I3106" s="64" t="s">
        <v>8072</v>
      </c>
      <c r="J3106" s="66"/>
      <c r="K3106" s="66"/>
      <c r="L3106" s="68"/>
      <c r="M3106" s="63" t="str">
        <f>HYPERLINK("http://nsgreg.nga.mil/genc/view?v=871002&amp;end_month=12&amp;end_day=31&amp;end_year=2016","Correlation")</f>
        <v>Correlation</v>
      </c>
    </row>
    <row r="3107" spans="1:13" x14ac:dyDescent="0.2">
      <c r="A3107" s="113"/>
      <c r="B3107" s="58" t="s">
        <v>8073</v>
      </c>
      <c r="C3107" s="58" t="s">
        <v>1413</v>
      </c>
      <c r="D3107" s="58" t="s">
        <v>8074</v>
      </c>
      <c r="E3107" s="60" t="b">
        <v>1</v>
      </c>
      <c r="F3107" s="80" t="s">
        <v>1034</v>
      </c>
      <c r="G3107" s="58" t="s">
        <v>8073</v>
      </c>
      <c r="H3107" s="58" t="s">
        <v>1413</v>
      </c>
      <c r="I3107" s="64" t="s">
        <v>8074</v>
      </c>
      <c r="J3107" s="66"/>
      <c r="K3107" s="66"/>
      <c r="L3107" s="68"/>
      <c r="M3107" s="63" t="str">
        <f>HYPERLINK("http://nsgreg.nga.mil/genc/view?v=870998&amp;end_month=12&amp;end_day=31&amp;end_year=2016","Correlation")</f>
        <v>Correlation</v>
      </c>
    </row>
    <row r="3108" spans="1:13" x14ac:dyDescent="0.2">
      <c r="A3108" s="113"/>
      <c r="B3108" s="58" t="s">
        <v>8075</v>
      </c>
      <c r="C3108" s="58" t="s">
        <v>1413</v>
      </c>
      <c r="D3108" s="58" t="s">
        <v>8076</v>
      </c>
      <c r="E3108" s="60" t="b">
        <v>1</v>
      </c>
      <c r="F3108" s="80" t="s">
        <v>1034</v>
      </c>
      <c r="G3108" s="58" t="s">
        <v>8075</v>
      </c>
      <c r="H3108" s="58" t="s">
        <v>1413</v>
      </c>
      <c r="I3108" s="64" t="s">
        <v>8076</v>
      </c>
      <c r="J3108" s="66"/>
      <c r="K3108" s="66"/>
      <c r="L3108" s="68"/>
      <c r="M3108" s="63" t="str">
        <f>HYPERLINK("http://nsgreg.nga.mil/genc/view?v=870991&amp;end_month=12&amp;end_day=31&amp;end_year=2016","Correlation")</f>
        <v>Correlation</v>
      </c>
    </row>
    <row r="3109" spans="1:13" x14ac:dyDescent="0.2">
      <c r="A3109" s="114"/>
      <c r="B3109" s="71" t="s">
        <v>8077</v>
      </c>
      <c r="C3109" s="71" t="s">
        <v>1413</v>
      </c>
      <c r="D3109" s="71" t="s">
        <v>8078</v>
      </c>
      <c r="E3109" s="73" t="b">
        <v>1</v>
      </c>
      <c r="F3109" s="81" t="s">
        <v>1034</v>
      </c>
      <c r="G3109" s="71" t="s">
        <v>8077</v>
      </c>
      <c r="H3109" s="71" t="s">
        <v>1413</v>
      </c>
      <c r="I3109" s="74" t="s">
        <v>8078</v>
      </c>
      <c r="J3109" s="76"/>
      <c r="K3109" s="76"/>
      <c r="L3109" s="82"/>
      <c r="M3109" s="77" t="str">
        <f>HYPERLINK("http://nsgreg.nga.mil/genc/view?v=870999&amp;end_month=12&amp;end_day=31&amp;end_year=2016","Correlation")</f>
        <v>Correlation</v>
      </c>
    </row>
    <row r="3110" spans="1:13" x14ac:dyDescent="0.2">
      <c r="A3110" s="112" t="s">
        <v>1038</v>
      </c>
      <c r="B3110" s="50" t="s">
        <v>8079</v>
      </c>
      <c r="C3110" s="50" t="s">
        <v>3080</v>
      </c>
      <c r="D3110" s="50" t="s">
        <v>8080</v>
      </c>
      <c r="E3110" s="52" t="b">
        <v>1</v>
      </c>
      <c r="F3110" s="78" t="s">
        <v>1038</v>
      </c>
      <c r="G3110" s="50" t="s">
        <v>8079</v>
      </c>
      <c r="H3110" s="50" t="s">
        <v>3080</v>
      </c>
      <c r="I3110" s="53" t="s">
        <v>8080</v>
      </c>
      <c r="J3110" s="55"/>
      <c r="K3110" s="55"/>
      <c r="L3110" s="79"/>
      <c r="M3110" s="56" t="str">
        <f>HYPERLINK("http://nsgreg.nga.mil/genc/view?v=871045&amp;end_month=12&amp;end_day=31&amp;end_year=2016","Correlation")</f>
        <v>Correlation</v>
      </c>
    </row>
    <row r="3111" spans="1:13" x14ac:dyDescent="0.2">
      <c r="A3111" s="113"/>
      <c r="B3111" s="58" t="s">
        <v>2411</v>
      </c>
      <c r="C3111" s="58" t="s">
        <v>1413</v>
      </c>
      <c r="D3111" s="58" t="s">
        <v>8081</v>
      </c>
      <c r="E3111" s="60" t="b">
        <v>1</v>
      </c>
      <c r="F3111" s="80" t="s">
        <v>1038</v>
      </c>
      <c r="G3111" s="58" t="s">
        <v>2411</v>
      </c>
      <c r="H3111" s="58" t="s">
        <v>1413</v>
      </c>
      <c r="I3111" s="64" t="s">
        <v>8081</v>
      </c>
      <c r="J3111" s="66"/>
      <c r="K3111" s="66"/>
      <c r="L3111" s="68"/>
      <c r="M3111" s="63" t="str">
        <f>HYPERLINK("http://nsgreg.nga.mil/genc/view?v=871030&amp;end_month=12&amp;end_day=31&amp;end_year=2016","Correlation")</f>
        <v>Correlation</v>
      </c>
    </row>
    <row r="3112" spans="1:13" x14ac:dyDescent="0.2">
      <c r="A3112" s="113"/>
      <c r="B3112" s="58" t="s">
        <v>8082</v>
      </c>
      <c r="C3112" s="58" t="s">
        <v>1413</v>
      </c>
      <c r="D3112" s="58" t="s">
        <v>8083</v>
      </c>
      <c r="E3112" s="60" t="b">
        <v>1</v>
      </c>
      <c r="F3112" s="80" t="s">
        <v>1038</v>
      </c>
      <c r="G3112" s="58" t="s">
        <v>8082</v>
      </c>
      <c r="H3112" s="58" t="s">
        <v>1413</v>
      </c>
      <c r="I3112" s="64" t="s">
        <v>8083</v>
      </c>
      <c r="J3112" s="66"/>
      <c r="K3112" s="66"/>
      <c r="L3112" s="68"/>
      <c r="M3112" s="63" t="str">
        <f>HYPERLINK("http://nsgreg.nga.mil/genc/view?v=871029&amp;end_month=12&amp;end_day=31&amp;end_year=2016","Correlation")</f>
        <v>Correlation</v>
      </c>
    </row>
    <row r="3113" spans="1:13" x14ac:dyDescent="0.2">
      <c r="A3113" s="113"/>
      <c r="B3113" s="58" t="s">
        <v>8084</v>
      </c>
      <c r="C3113" s="58" t="s">
        <v>1413</v>
      </c>
      <c r="D3113" s="58" t="s">
        <v>8085</v>
      </c>
      <c r="E3113" s="60" t="b">
        <v>1</v>
      </c>
      <c r="F3113" s="80" t="s">
        <v>1038</v>
      </c>
      <c r="G3113" s="58" t="s">
        <v>8084</v>
      </c>
      <c r="H3113" s="58" t="s">
        <v>1413</v>
      </c>
      <c r="I3113" s="64" t="s">
        <v>8085</v>
      </c>
      <c r="J3113" s="66"/>
      <c r="K3113" s="66"/>
      <c r="L3113" s="68"/>
      <c r="M3113" s="63" t="str">
        <f>HYPERLINK("http://nsgreg.nga.mil/genc/view?v=871032&amp;end_month=12&amp;end_day=31&amp;end_year=2016","Correlation")</f>
        <v>Correlation</v>
      </c>
    </row>
    <row r="3114" spans="1:13" x14ac:dyDescent="0.2">
      <c r="A3114" s="113"/>
      <c r="B3114" s="58" t="s">
        <v>8086</v>
      </c>
      <c r="C3114" s="58" t="s">
        <v>1413</v>
      </c>
      <c r="D3114" s="58" t="s">
        <v>8087</v>
      </c>
      <c r="E3114" s="60" t="b">
        <v>1</v>
      </c>
      <c r="F3114" s="80" t="s">
        <v>1038</v>
      </c>
      <c r="G3114" s="58" t="s">
        <v>8086</v>
      </c>
      <c r="H3114" s="58" t="s">
        <v>1413</v>
      </c>
      <c r="I3114" s="64" t="s">
        <v>8087</v>
      </c>
      <c r="J3114" s="66"/>
      <c r="K3114" s="66"/>
      <c r="L3114" s="68"/>
      <c r="M3114" s="63" t="str">
        <f>HYPERLINK("http://nsgreg.nga.mil/genc/view?v=871031&amp;end_month=12&amp;end_day=31&amp;end_year=2016","Correlation")</f>
        <v>Correlation</v>
      </c>
    </row>
    <row r="3115" spans="1:13" x14ac:dyDescent="0.2">
      <c r="A3115" s="113"/>
      <c r="B3115" s="58" t="s">
        <v>8088</v>
      </c>
      <c r="C3115" s="58" t="s">
        <v>1413</v>
      </c>
      <c r="D3115" s="58" t="s">
        <v>8089</v>
      </c>
      <c r="E3115" s="60" t="b">
        <v>1</v>
      </c>
      <c r="F3115" s="80" t="s">
        <v>1038</v>
      </c>
      <c r="G3115" s="58" t="s">
        <v>8088</v>
      </c>
      <c r="H3115" s="58" t="s">
        <v>1413</v>
      </c>
      <c r="I3115" s="64" t="s">
        <v>8089</v>
      </c>
      <c r="J3115" s="66"/>
      <c r="K3115" s="66"/>
      <c r="L3115" s="68"/>
      <c r="M3115" s="63" t="str">
        <f>HYPERLINK("http://nsgreg.nga.mil/genc/view?v=871034&amp;end_month=12&amp;end_day=31&amp;end_year=2016","Correlation")</f>
        <v>Correlation</v>
      </c>
    </row>
    <row r="3116" spans="1:13" x14ac:dyDescent="0.2">
      <c r="A3116" s="113"/>
      <c r="B3116" s="58" t="s">
        <v>8090</v>
      </c>
      <c r="C3116" s="58" t="s">
        <v>1413</v>
      </c>
      <c r="D3116" s="58" t="s">
        <v>8091</v>
      </c>
      <c r="E3116" s="60" t="b">
        <v>1</v>
      </c>
      <c r="F3116" s="80" t="s">
        <v>1038</v>
      </c>
      <c r="G3116" s="58" t="s">
        <v>8090</v>
      </c>
      <c r="H3116" s="58" t="s">
        <v>1413</v>
      </c>
      <c r="I3116" s="64" t="s">
        <v>8091</v>
      </c>
      <c r="J3116" s="66"/>
      <c r="K3116" s="66"/>
      <c r="L3116" s="68"/>
      <c r="M3116" s="63" t="str">
        <f>HYPERLINK("http://nsgreg.nga.mil/genc/view?v=871033&amp;end_month=12&amp;end_day=31&amp;end_year=2016","Correlation")</f>
        <v>Correlation</v>
      </c>
    </row>
    <row r="3117" spans="1:13" x14ac:dyDescent="0.2">
      <c r="A3117" s="113"/>
      <c r="B3117" s="58" t="s">
        <v>8092</v>
      </c>
      <c r="C3117" s="58" t="s">
        <v>1413</v>
      </c>
      <c r="D3117" s="58" t="s">
        <v>8093</v>
      </c>
      <c r="E3117" s="60" t="b">
        <v>1</v>
      </c>
      <c r="F3117" s="80" t="s">
        <v>1038</v>
      </c>
      <c r="G3117" s="58" t="s">
        <v>8092</v>
      </c>
      <c r="H3117" s="58" t="s">
        <v>1413</v>
      </c>
      <c r="I3117" s="64" t="s">
        <v>8093</v>
      </c>
      <c r="J3117" s="66"/>
      <c r="K3117" s="66"/>
      <c r="L3117" s="68"/>
      <c r="M3117" s="63" t="str">
        <f>HYPERLINK("http://nsgreg.nga.mil/genc/view?v=871035&amp;end_month=12&amp;end_day=31&amp;end_year=2016","Correlation")</f>
        <v>Correlation</v>
      </c>
    </row>
    <row r="3118" spans="1:13" x14ac:dyDescent="0.2">
      <c r="A3118" s="113"/>
      <c r="B3118" s="58" t="s">
        <v>8094</v>
      </c>
      <c r="C3118" s="58" t="s">
        <v>1413</v>
      </c>
      <c r="D3118" s="58" t="s">
        <v>8095</v>
      </c>
      <c r="E3118" s="60" t="b">
        <v>1</v>
      </c>
      <c r="F3118" s="80" t="s">
        <v>1038</v>
      </c>
      <c r="G3118" s="58" t="s">
        <v>8094</v>
      </c>
      <c r="H3118" s="58" t="s">
        <v>1413</v>
      </c>
      <c r="I3118" s="64" t="s">
        <v>8095</v>
      </c>
      <c r="J3118" s="66"/>
      <c r="K3118" s="66"/>
      <c r="L3118" s="68"/>
      <c r="M3118" s="63" t="str">
        <f>HYPERLINK("http://nsgreg.nga.mil/genc/view?v=871036&amp;end_month=12&amp;end_day=31&amp;end_year=2016","Correlation")</f>
        <v>Correlation</v>
      </c>
    </row>
    <row r="3119" spans="1:13" x14ac:dyDescent="0.2">
      <c r="A3119" s="113"/>
      <c r="B3119" s="58" t="s">
        <v>8096</v>
      </c>
      <c r="C3119" s="58" t="s">
        <v>1413</v>
      </c>
      <c r="D3119" s="58" t="s">
        <v>8097</v>
      </c>
      <c r="E3119" s="60" t="b">
        <v>1</v>
      </c>
      <c r="F3119" s="80" t="s">
        <v>1038</v>
      </c>
      <c r="G3119" s="58" t="s">
        <v>8096</v>
      </c>
      <c r="H3119" s="58" t="s">
        <v>1413</v>
      </c>
      <c r="I3119" s="64" t="s">
        <v>8097</v>
      </c>
      <c r="J3119" s="66"/>
      <c r="K3119" s="66"/>
      <c r="L3119" s="68"/>
      <c r="M3119" s="63" t="str">
        <f>HYPERLINK("http://nsgreg.nga.mil/genc/view?v=871037&amp;end_month=12&amp;end_day=31&amp;end_year=2016","Correlation")</f>
        <v>Correlation</v>
      </c>
    </row>
    <row r="3120" spans="1:13" x14ac:dyDescent="0.2">
      <c r="A3120" s="113"/>
      <c r="B3120" s="58" t="s">
        <v>8098</v>
      </c>
      <c r="C3120" s="58" t="s">
        <v>1413</v>
      </c>
      <c r="D3120" s="58" t="s">
        <v>8099</v>
      </c>
      <c r="E3120" s="60" t="b">
        <v>1</v>
      </c>
      <c r="F3120" s="80" t="s">
        <v>1038</v>
      </c>
      <c r="G3120" s="58" t="s">
        <v>8098</v>
      </c>
      <c r="H3120" s="58" t="s">
        <v>1413</v>
      </c>
      <c r="I3120" s="64" t="s">
        <v>8099</v>
      </c>
      <c r="J3120" s="66"/>
      <c r="K3120" s="66"/>
      <c r="L3120" s="68"/>
      <c r="M3120" s="63" t="str">
        <f>HYPERLINK("http://nsgreg.nga.mil/genc/view?v=871040&amp;end_month=12&amp;end_day=31&amp;end_year=2016","Correlation")</f>
        <v>Correlation</v>
      </c>
    </row>
    <row r="3121" spans="1:13" x14ac:dyDescent="0.2">
      <c r="A3121" s="113"/>
      <c r="B3121" s="58" t="s">
        <v>8100</v>
      </c>
      <c r="C3121" s="58" t="s">
        <v>1413</v>
      </c>
      <c r="D3121" s="58" t="s">
        <v>8101</v>
      </c>
      <c r="E3121" s="60" t="b">
        <v>1</v>
      </c>
      <c r="F3121" s="80" t="s">
        <v>1038</v>
      </c>
      <c r="G3121" s="58" t="s">
        <v>8100</v>
      </c>
      <c r="H3121" s="58" t="s">
        <v>1413</v>
      </c>
      <c r="I3121" s="64" t="s">
        <v>8101</v>
      </c>
      <c r="J3121" s="66"/>
      <c r="K3121" s="66"/>
      <c r="L3121" s="68"/>
      <c r="M3121" s="63" t="str">
        <f>HYPERLINK("http://nsgreg.nga.mil/genc/view?v=871041&amp;end_month=12&amp;end_day=31&amp;end_year=2016","Correlation")</f>
        <v>Correlation</v>
      </c>
    </row>
    <row r="3122" spans="1:13" x14ac:dyDescent="0.2">
      <c r="A3122" s="113"/>
      <c r="B3122" s="58" t="s">
        <v>8102</v>
      </c>
      <c r="C3122" s="58" t="s">
        <v>1413</v>
      </c>
      <c r="D3122" s="58" t="s">
        <v>8103</v>
      </c>
      <c r="E3122" s="60" t="b">
        <v>1</v>
      </c>
      <c r="F3122" s="80" t="s">
        <v>1038</v>
      </c>
      <c r="G3122" s="58" t="s">
        <v>8102</v>
      </c>
      <c r="H3122" s="58" t="s">
        <v>1413</v>
      </c>
      <c r="I3122" s="64" t="s">
        <v>8103</v>
      </c>
      <c r="J3122" s="66"/>
      <c r="K3122" s="66"/>
      <c r="L3122" s="68"/>
      <c r="M3122" s="63" t="str">
        <f>HYPERLINK("http://nsgreg.nga.mil/genc/view?v=871038&amp;end_month=12&amp;end_day=31&amp;end_year=2016","Correlation")</f>
        <v>Correlation</v>
      </c>
    </row>
    <row r="3123" spans="1:13" x14ac:dyDescent="0.2">
      <c r="A3123" s="113"/>
      <c r="B3123" s="58" t="s">
        <v>8104</v>
      </c>
      <c r="C3123" s="58" t="s">
        <v>1413</v>
      </c>
      <c r="D3123" s="58" t="s">
        <v>8105</v>
      </c>
      <c r="E3123" s="60" t="b">
        <v>1</v>
      </c>
      <c r="F3123" s="80" t="s">
        <v>1038</v>
      </c>
      <c r="G3123" s="58" t="s">
        <v>8104</v>
      </c>
      <c r="H3123" s="58" t="s">
        <v>1413</v>
      </c>
      <c r="I3123" s="64" t="s">
        <v>8105</v>
      </c>
      <c r="J3123" s="66"/>
      <c r="K3123" s="66"/>
      <c r="L3123" s="68"/>
      <c r="M3123" s="63" t="str">
        <f>HYPERLINK("http://nsgreg.nga.mil/genc/view?v=871039&amp;end_month=12&amp;end_day=31&amp;end_year=2016","Correlation")</f>
        <v>Correlation</v>
      </c>
    </row>
    <row r="3124" spans="1:13" x14ac:dyDescent="0.2">
      <c r="A3124" s="113"/>
      <c r="B3124" s="58" t="s">
        <v>8108</v>
      </c>
      <c r="C3124" s="58" t="s">
        <v>1796</v>
      </c>
      <c r="D3124" s="58" t="s">
        <v>8107</v>
      </c>
      <c r="E3124" s="60" t="b">
        <v>1</v>
      </c>
      <c r="F3124" s="80" t="s">
        <v>1038</v>
      </c>
      <c r="G3124" s="58" t="s">
        <v>8106</v>
      </c>
      <c r="H3124" s="58" t="s">
        <v>1796</v>
      </c>
      <c r="I3124" s="64" t="s">
        <v>8107</v>
      </c>
      <c r="J3124" s="66"/>
      <c r="K3124" s="66"/>
      <c r="L3124" s="68"/>
      <c r="M3124" s="63" t="str">
        <f>HYPERLINK("http://nsgreg.nga.mil/genc/view?v=871042&amp;end_month=12&amp;end_day=31&amp;end_year=2016","Correlation")</f>
        <v>Correlation</v>
      </c>
    </row>
    <row r="3125" spans="1:13" x14ac:dyDescent="0.2">
      <c r="A3125" s="113"/>
      <c r="B3125" s="58" t="s">
        <v>8109</v>
      </c>
      <c r="C3125" s="58" t="s">
        <v>1413</v>
      </c>
      <c r="D3125" s="58" t="s">
        <v>8110</v>
      </c>
      <c r="E3125" s="60" t="b">
        <v>1</v>
      </c>
      <c r="F3125" s="80" t="s">
        <v>1038</v>
      </c>
      <c r="G3125" s="58" t="s">
        <v>8109</v>
      </c>
      <c r="H3125" s="58" t="s">
        <v>1413</v>
      </c>
      <c r="I3125" s="64" t="s">
        <v>8110</v>
      </c>
      <c r="J3125" s="66"/>
      <c r="K3125" s="66"/>
      <c r="L3125" s="68"/>
      <c r="M3125" s="63" t="str">
        <f>HYPERLINK("http://nsgreg.nga.mil/genc/view?v=871043&amp;end_month=12&amp;end_day=31&amp;end_year=2016","Correlation")</f>
        <v>Correlation</v>
      </c>
    </row>
    <row r="3126" spans="1:13" x14ac:dyDescent="0.2">
      <c r="A3126" s="113"/>
      <c r="B3126" s="58" t="s">
        <v>4071</v>
      </c>
      <c r="C3126" s="58" t="s">
        <v>1413</v>
      </c>
      <c r="D3126" s="58" t="s">
        <v>8111</v>
      </c>
      <c r="E3126" s="60" t="b">
        <v>1</v>
      </c>
      <c r="F3126" s="80" t="s">
        <v>1038</v>
      </c>
      <c r="G3126" s="58" t="s">
        <v>4071</v>
      </c>
      <c r="H3126" s="58" t="s">
        <v>1413</v>
      </c>
      <c r="I3126" s="64" t="s">
        <v>8111</v>
      </c>
      <c r="J3126" s="66"/>
      <c r="K3126" s="66"/>
      <c r="L3126" s="68"/>
      <c r="M3126" s="63" t="str">
        <f>HYPERLINK("http://nsgreg.nga.mil/genc/view?v=871044&amp;end_month=12&amp;end_day=31&amp;end_year=2016","Correlation")</f>
        <v>Correlation</v>
      </c>
    </row>
    <row r="3127" spans="1:13" x14ac:dyDescent="0.2">
      <c r="A3127" s="113"/>
      <c r="B3127" s="58" t="s">
        <v>8112</v>
      </c>
      <c r="C3127" s="58" t="s">
        <v>1413</v>
      </c>
      <c r="D3127" s="58" t="s">
        <v>8113</v>
      </c>
      <c r="E3127" s="60" t="b">
        <v>1</v>
      </c>
      <c r="F3127" s="80" t="s">
        <v>1038</v>
      </c>
      <c r="G3127" s="58" t="s">
        <v>8112</v>
      </c>
      <c r="H3127" s="58" t="s">
        <v>1413</v>
      </c>
      <c r="I3127" s="64" t="s">
        <v>8113</v>
      </c>
      <c r="J3127" s="66"/>
      <c r="K3127" s="66"/>
      <c r="L3127" s="68"/>
      <c r="M3127" s="63" t="str">
        <f>HYPERLINK("http://nsgreg.nga.mil/genc/view?v=871047&amp;end_month=12&amp;end_day=31&amp;end_year=2016","Correlation")</f>
        <v>Correlation</v>
      </c>
    </row>
    <row r="3128" spans="1:13" x14ac:dyDescent="0.2">
      <c r="A3128" s="113"/>
      <c r="B3128" s="58" t="s">
        <v>4083</v>
      </c>
      <c r="C3128" s="58" t="s">
        <v>1413</v>
      </c>
      <c r="D3128" s="58" t="s">
        <v>8114</v>
      </c>
      <c r="E3128" s="60" t="b">
        <v>1</v>
      </c>
      <c r="F3128" s="80" t="s">
        <v>1038</v>
      </c>
      <c r="G3128" s="58" t="s">
        <v>4083</v>
      </c>
      <c r="H3128" s="58" t="s">
        <v>1413</v>
      </c>
      <c r="I3128" s="64" t="s">
        <v>8114</v>
      </c>
      <c r="J3128" s="66"/>
      <c r="K3128" s="66"/>
      <c r="L3128" s="68"/>
      <c r="M3128" s="63" t="str">
        <f>HYPERLINK("http://nsgreg.nga.mil/genc/view?v=871050&amp;end_month=12&amp;end_day=31&amp;end_year=2016","Correlation")</f>
        <v>Correlation</v>
      </c>
    </row>
    <row r="3129" spans="1:13" x14ac:dyDescent="0.2">
      <c r="A3129" s="113"/>
      <c r="B3129" s="58" t="s">
        <v>8115</v>
      </c>
      <c r="C3129" s="58" t="s">
        <v>1413</v>
      </c>
      <c r="D3129" s="58" t="s">
        <v>8116</v>
      </c>
      <c r="E3129" s="60" t="b">
        <v>1</v>
      </c>
      <c r="F3129" s="80" t="s">
        <v>1038</v>
      </c>
      <c r="G3129" s="58" t="s">
        <v>8115</v>
      </c>
      <c r="H3129" s="58" t="s">
        <v>1413</v>
      </c>
      <c r="I3129" s="64" t="s">
        <v>8116</v>
      </c>
      <c r="J3129" s="66"/>
      <c r="K3129" s="66"/>
      <c r="L3129" s="68"/>
      <c r="M3129" s="63" t="str">
        <f>HYPERLINK("http://nsgreg.nga.mil/genc/view?v=871049&amp;end_month=12&amp;end_day=31&amp;end_year=2016","Correlation")</f>
        <v>Correlation</v>
      </c>
    </row>
    <row r="3130" spans="1:13" x14ac:dyDescent="0.2">
      <c r="A3130" s="113"/>
      <c r="B3130" s="58" t="s">
        <v>8117</v>
      </c>
      <c r="C3130" s="58" t="s">
        <v>1413</v>
      </c>
      <c r="D3130" s="58" t="s">
        <v>8118</v>
      </c>
      <c r="E3130" s="60" t="b">
        <v>1</v>
      </c>
      <c r="F3130" s="80" t="s">
        <v>1038</v>
      </c>
      <c r="G3130" s="58" t="s">
        <v>8117</v>
      </c>
      <c r="H3130" s="58" t="s">
        <v>1413</v>
      </c>
      <c r="I3130" s="64" t="s">
        <v>8118</v>
      </c>
      <c r="J3130" s="66"/>
      <c r="K3130" s="66"/>
      <c r="L3130" s="68"/>
      <c r="M3130" s="63" t="str">
        <f>HYPERLINK("http://nsgreg.nga.mil/genc/view?v=871048&amp;end_month=12&amp;end_day=31&amp;end_year=2016","Correlation")</f>
        <v>Correlation</v>
      </c>
    </row>
    <row r="3131" spans="1:13" x14ac:dyDescent="0.2">
      <c r="A3131" s="114"/>
      <c r="B3131" s="71" t="s">
        <v>8119</v>
      </c>
      <c r="C3131" s="71" t="s">
        <v>1413</v>
      </c>
      <c r="D3131" s="71" t="s">
        <v>8120</v>
      </c>
      <c r="E3131" s="73" t="b">
        <v>1</v>
      </c>
      <c r="F3131" s="81" t="s">
        <v>1038</v>
      </c>
      <c r="G3131" s="71" t="s">
        <v>8119</v>
      </c>
      <c r="H3131" s="71" t="s">
        <v>1413</v>
      </c>
      <c r="I3131" s="74" t="s">
        <v>8120</v>
      </c>
      <c r="J3131" s="76"/>
      <c r="K3131" s="76"/>
      <c r="L3131" s="82"/>
      <c r="M3131" s="77" t="str">
        <f>HYPERLINK("http://nsgreg.nga.mil/genc/view?v=871046&amp;end_month=12&amp;end_day=31&amp;end_year=2016","Correlation")</f>
        <v>Correlation</v>
      </c>
    </row>
    <row r="3132" spans="1:13" x14ac:dyDescent="0.2">
      <c r="A3132" s="112" t="s">
        <v>1054</v>
      </c>
      <c r="B3132" s="50" t="s">
        <v>8121</v>
      </c>
      <c r="C3132" s="50" t="s">
        <v>2294</v>
      </c>
      <c r="D3132" s="50" t="s">
        <v>8122</v>
      </c>
      <c r="E3132" s="52" t="b">
        <v>1</v>
      </c>
      <c r="F3132" s="78" t="s">
        <v>1054</v>
      </c>
      <c r="G3132" s="50" t="s">
        <v>8121</v>
      </c>
      <c r="H3132" s="50" t="s">
        <v>2294</v>
      </c>
      <c r="I3132" s="53" t="s">
        <v>8122</v>
      </c>
      <c r="J3132" s="55"/>
      <c r="K3132" s="55"/>
      <c r="L3132" s="79"/>
      <c r="M3132" s="56" t="str">
        <f>HYPERLINK("http://nsgreg.nga.mil/genc/view?v=871232&amp;end_month=12&amp;end_day=31&amp;end_year=2016","Correlation")</f>
        <v>Correlation</v>
      </c>
    </row>
    <row r="3133" spans="1:13" x14ac:dyDescent="0.2">
      <c r="A3133" s="113"/>
      <c r="B3133" s="58" t="s">
        <v>8123</v>
      </c>
      <c r="C3133" s="58" t="s">
        <v>2294</v>
      </c>
      <c r="D3133" s="58" t="s">
        <v>8124</v>
      </c>
      <c r="E3133" s="60" t="b">
        <v>1</v>
      </c>
      <c r="F3133" s="80" t="s">
        <v>1054</v>
      </c>
      <c r="G3133" s="58" t="s">
        <v>8123</v>
      </c>
      <c r="H3133" s="58" t="s">
        <v>2294</v>
      </c>
      <c r="I3133" s="64" t="s">
        <v>8124</v>
      </c>
      <c r="J3133" s="66"/>
      <c r="K3133" s="66"/>
      <c r="L3133" s="68"/>
      <c r="M3133" s="63" t="str">
        <f>HYPERLINK("http://nsgreg.nga.mil/genc/view?v=871226&amp;end_month=12&amp;end_day=31&amp;end_year=2016","Correlation")</f>
        <v>Correlation</v>
      </c>
    </row>
    <row r="3134" spans="1:13" x14ac:dyDescent="0.2">
      <c r="A3134" s="113"/>
      <c r="B3134" s="58" t="s">
        <v>8125</v>
      </c>
      <c r="C3134" s="58" t="s">
        <v>2294</v>
      </c>
      <c r="D3134" s="58" t="s">
        <v>8126</v>
      </c>
      <c r="E3134" s="60" t="b">
        <v>1</v>
      </c>
      <c r="F3134" s="80" t="s">
        <v>1054</v>
      </c>
      <c r="G3134" s="58" t="s">
        <v>8125</v>
      </c>
      <c r="H3134" s="58" t="s">
        <v>2294</v>
      </c>
      <c r="I3134" s="64" t="s">
        <v>8126</v>
      </c>
      <c r="J3134" s="66"/>
      <c r="K3134" s="66"/>
      <c r="L3134" s="68"/>
      <c r="M3134" s="63" t="str">
        <f>HYPERLINK("http://nsgreg.nga.mil/genc/view?v=871229&amp;end_month=12&amp;end_day=31&amp;end_year=2016","Correlation")</f>
        <v>Correlation</v>
      </c>
    </row>
    <row r="3135" spans="1:13" x14ac:dyDescent="0.2">
      <c r="A3135" s="113"/>
      <c r="B3135" s="58" t="s">
        <v>8127</v>
      </c>
      <c r="C3135" s="58" t="s">
        <v>6972</v>
      </c>
      <c r="D3135" s="58" t="s">
        <v>8128</v>
      </c>
      <c r="E3135" s="60" t="b">
        <v>1</v>
      </c>
      <c r="F3135" s="80" t="s">
        <v>1054</v>
      </c>
      <c r="G3135" s="58" t="s">
        <v>8127</v>
      </c>
      <c r="H3135" s="58" t="s">
        <v>3140</v>
      </c>
      <c r="I3135" s="64" t="s">
        <v>8128</v>
      </c>
      <c r="J3135" s="66"/>
      <c r="K3135" s="66"/>
      <c r="L3135" s="68"/>
      <c r="M3135" s="63" t="str">
        <f>HYPERLINK("http://nsgreg.nga.mil/genc/view?v=871242&amp;end_month=12&amp;end_day=31&amp;end_year=2016","Correlation")</f>
        <v>Correlation</v>
      </c>
    </row>
    <row r="3136" spans="1:13" x14ac:dyDescent="0.2">
      <c r="A3136" s="113"/>
      <c r="B3136" s="58" t="s">
        <v>8129</v>
      </c>
      <c r="C3136" s="58" t="s">
        <v>2294</v>
      </c>
      <c r="D3136" s="58" t="s">
        <v>8130</v>
      </c>
      <c r="E3136" s="60" t="b">
        <v>1</v>
      </c>
      <c r="F3136" s="80" t="s">
        <v>1054</v>
      </c>
      <c r="G3136" s="58" t="s">
        <v>8129</v>
      </c>
      <c r="H3136" s="58" t="s">
        <v>2294</v>
      </c>
      <c r="I3136" s="64" t="s">
        <v>8130</v>
      </c>
      <c r="J3136" s="66"/>
      <c r="K3136" s="66"/>
      <c r="L3136" s="68"/>
      <c r="M3136" s="63" t="str">
        <f>HYPERLINK("http://nsgreg.nga.mil/genc/view?v=871233&amp;end_month=12&amp;end_day=31&amp;end_year=2016","Correlation")</f>
        <v>Correlation</v>
      </c>
    </row>
    <row r="3137" spans="1:13" x14ac:dyDescent="0.2">
      <c r="A3137" s="113"/>
      <c r="B3137" s="58" t="s">
        <v>8131</v>
      </c>
      <c r="C3137" s="58" t="s">
        <v>2294</v>
      </c>
      <c r="D3137" s="58" t="s">
        <v>8132</v>
      </c>
      <c r="E3137" s="60" t="b">
        <v>1</v>
      </c>
      <c r="F3137" s="80" t="s">
        <v>1054</v>
      </c>
      <c r="G3137" s="58" t="s">
        <v>8131</v>
      </c>
      <c r="H3137" s="58" t="s">
        <v>2294</v>
      </c>
      <c r="I3137" s="64" t="s">
        <v>8132</v>
      </c>
      <c r="J3137" s="66"/>
      <c r="K3137" s="66"/>
      <c r="L3137" s="68"/>
      <c r="M3137" s="63" t="str">
        <f>HYPERLINK("http://nsgreg.nga.mil/genc/view?v=871237&amp;end_month=12&amp;end_day=31&amp;end_year=2016","Correlation")</f>
        <v>Correlation</v>
      </c>
    </row>
    <row r="3138" spans="1:13" x14ac:dyDescent="0.2">
      <c r="A3138" s="113"/>
      <c r="B3138" s="58" t="s">
        <v>8133</v>
      </c>
      <c r="C3138" s="58" t="s">
        <v>2294</v>
      </c>
      <c r="D3138" s="58" t="s">
        <v>8134</v>
      </c>
      <c r="E3138" s="60" t="b">
        <v>1</v>
      </c>
      <c r="F3138" s="80" t="s">
        <v>1054</v>
      </c>
      <c r="G3138" s="58" t="s">
        <v>8133</v>
      </c>
      <c r="H3138" s="58" t="s">
        <v>2294</v>
      </c>
      <c r="I3138" s="64" t="s">
        <v>8134</v>
      </c>
      <c r="J3138" s="66"/>
      <c r="K3138" s="66"/>
      <c r="L3138" s="68"/>
      <c r="M3138" s="63" t="str">
        <f>HYPERLINK("http://nsgreg.nga.mil/genc/view?v=871238&amp;end_month=12&amp;end_day=31&amp;end_year=2016","Correlation")</f>
        <v>Correlation</v>
      </c>
    </row>
    <row r="3139" spans="1:13" x14ac:dyDescent="0.2">
      <c r="A3139" s="113"/>
      <c r="B3139" s="58" t="s">
        <v>8135</v>
      </c>
      <c r="C3139" s="58" t="s">
        <v>2294</v>
      </c>
      <c r="D3139" s="58" t="s">
        <v>8136</v>
      </c>
      <c r="E3139" s="60" t="b">
        <v>1</v>
      </c>
      <c r="F3139" s="80" t="s">
        <v>1054</v>
      </c>
      <c r="G3139" s="58" t="s">
        <v>8135</v>
      </c>
      <c r="H3139" s="58" t="s">
        <v>2294</v>
      </c>
      <c r="I3139" s="64" t="s">
        <v>8136</v>
      </c>
      <c r="J3139" s="66"/>
      <c r="K3139" s="66"/>
      <c r="L3139" s="68"/>
      <c r="M3139" s="63" t="str">
        <f>HYPERLINK("http://nsgreg.nga.mil/genc/view?v=871230&amp;end_month=12&amp;end_day=31&amp;end_year=2016","Correlation")</f>
        <v>Correlation</v>
      </c>
    </row>
    <row r="3140" spans="1:13" x14ac:dyDescent="0.2">
      <c r="A3140" s="113"/>
      <c r="B3140" s="58" t="s">
        <v>2411</v>
      </c>
      <c r="C3140" s="58" t="s">
        <v>2294</v>
      </c>
      <c r="D3140" s="58" t="s">
        <v>8137</v>
      </c>
      <c r="E3140" s="60" t="b">
        <v>1</v>
      </c>
      <c r="F3140" s="80" t="s">
        <v>1054</v>
      </c>
      <c r="G3140" s="58" t="s">
        <v>2411</v>
      </c>
      <c r="H3140" s="58" t="s">
        <v>2294</v>
      </c>
      <c r="I3140" s="64" t="s">
        <v>8137</v>
      </c>
      <c r="J3140" s="66"/>
      <c r="K3140" s="66"/>
      <c r="L3140" s="68"/>
      <c r="M3140" s="63" t="str">
        <f>HYPERLINK("http://nsgreg.nga.mil/genc/view?v=871227&amp;end_month=12&amp;end_day=31&amp;end_year=2016","Correlation")</f>
        <v>Correlation</v>
      </c>
    </row>
    <row r="3141" spans="1:13" x14ac:dyDescent="0.2">
      <c r="A3141" s="113"/>
      <c r="B3141" s="58" t="s">
        <v>8138</v>
      </c>
      <c r="C3141" s="58" t="s">
        <v>2294</v>
      </c>
      <c r="D3141" s="58" t="s">
        <v>8139</v>
      </c>
      <c r="E3141" s="60" t="b">
        <v>1</v>
      </c>
      <c r="F3141" s="80" t="s">
        <v>1054</v>
      </c>
      <c r="G3141" s="58" t="s">
        <v>8138</v>
      </c>
      <c r="H3141" s="58" t="s">
        <v>2294</v>
      </c>
      <c r="I3141" s="64" t="s">
        <v>8139</v>
      </c>
      <c r="J3141" s="66"/>
      <c r="K3141" s="66"/>
      <c r="L3141" s="68"/>
      <c r="M3141" s="63" t="str">
        <f>HYPERLINK("http://nsgreg.nga.mil/genc/view?v=871225&amp;end_month=12&amp;end_day=31&amp;end_year=2016","Correlation")</f>
        <v>Correlation</v>
      </c>
    </row>
    <row r="3142" spans="1:13" x14ac:dyDescent="0.2">
      <c r="A3142" s="113"/>
      <c r="B3142" s="58" t="s">
        <v>8140</v>
      </c>
      <c r="C3142" s="58" t="s">
        <v>2294</v>
      </c>
      <c r="D3142" s="58" t="s">
        <v>8141</v>
      </c>
      <c r="E3142" s="60" t="b">
        <v>1</v>
      </c>
      <c r="F3142" s="80" t="s">
        <v>1054</v>
      </c>
      <c r="G3142" s="58" t="s">
        <v>8140</v>
      </c>
      <c r="H3142" s="58" t="s">
        <v>2294</v>
      </c>
      <c r="I3142" s="64" t="s">
        <v>8141</v>
      </c>
      <c r="J3142" s="66"/>
      <c r="K3142" s="66"/>
      <c r="L3142" s="68"/>
      <c r="M3142" s="63" t="str">
        <f>HYPERLINK("http://nsgreg.nga.mil/genc/view?v=871235&amp;end_month=12&amp;end_day=31&amp;end_year=2016","Correlation")</f>
        <v>Correlation</v>
      </c>
    </row>
    <row r="3143" spans="1:13" x14ac:dyDescent="0.2">
      <c r="A3143" s="113"/>
      <c r="B3143" s="58" t="s">
        <v>8142</v>
      </c>
      <c r="C3143" s="58" t="s">
        <v>2294</v>
      </c>
      <c r="D3143" s="58" t="s">
        <v>8143</v>
      </c>
      <c r="E3143" s="60" t="b">
        <v>1</v>
      </c>
      <c r="F3143" s="80" t="s">
        <v>1054</v>
      </c>
      <c r="G3143" s="58" t="s">
        <v>8142</v>
      </c>
      <c r="H3143" s="58" t="s">
        <v>2294</v>
      </c>
      <c r="I3143" s="64" t="s">
        <v>8143</v>
      </c>
      <c r="J3143" s="66"/>
      <c r="K3143" s="66"/>
      <c r="L3143" s="68"/>
      <c r="M3143" s="63" t="str">
        <f>HYPERLINK("http://nsgreg.nga.mil/genc/view?v=871236&amp;end_month=12&amp;end_day=31&amp;end_year=2016","Correlation")</f>
        <v>Correlation</v>
      </c>
    </row>
    <row r="3144" spans="1:13" x14ac:dyDescent="0.2">
      <c r="A3144" s="113"/>
      <c r="B3144" s="58" t="s">
        <v>8144</v>
      </c>
      <c r="C3144" s="58" t="s">
        <v>2294</v>
      </c>
      <c r="D3144" s="58" t="s">
        <v>8145</v>
      </c>
      <c r="E3144" s="60" t="b">
        <v>1</v>
      </c>
      <c r="F3144" s="80" t="s">
        <v>1054</v>
      </c>
      <c r="G3144" s="58" t="s">
        <v>8144</v>
      </c>
      <c r="H3144" s="58" t="s">
        <v>2294</v>
      </c>
      <c r="I3144" s="64" t="s">
        <v>8145</v>
      </c>
      <c r="J3144" s="66"/>
      <c r="K3144" s="66"/>
      <c r="L3144" s="68"/>
      <c r="M3144" s="63" t="str">
        <f>HYPERLINK("http://nsgreg.nga.mil/genc/view?v=871239&amp;end_month=12&amp;end_day=31&amp;end_year=2016","Correlation")</f>
        <v>Correlation</v>
      </c>
    </row>
    <row r="3145" spans="1:13" x14ac:dyDescent="0.2">
      <c r="A3145" s="113"/>
      <c r="B3145" s="58" t="s">
        <v>1704</v>
      </c>
      <c r="C3145" s="58" t="s">
        <v>2294</v>
      </c>
      <c r="D3145" s="58" t="s">
        <v>8146</v>
      </c>
      <c r="E3145" s="60" t="b">
        <v>1</v>
      </c>
      <c r="F3145" s="80" t="s">
        <v>1054</v>
      </c>
      <c r="G3145" s="58" t="s">
        <v>1704</v>
      </c>
      <c r="H3145" s="58" t="s">
        <v>2294</v>
      </c>
      <c r="I3145" s="64" t="s">
        <v>8146</v>
      </c>
      <c r="J3145" s="66"/>
      <c r="K3145" s="66"/>
      <c r="L3145" s="68"/>
      <c r="M3145" s="63" t="str">
        <f>HYPERLINK("http://nsgreg.nga.mil/genc/view?v=871240&amp;end_month=12&amp;end_day=31&amp;end_year=2016","Correlation")</f>
        <v>Correlation</v>
      </c>
    </row>
    <row r="3146" spans="1:13" x14ac:dyDescent="0.2">
      <c r="A3146" s="113"/>
      <c r="B3146" s="58" t="s">
        <v>8147</v>
      </c>
      <c r="C3146" s="58" t="s">
        <v>2294</v>
      </c>
      <c r="D3146" s="58" t="s">
        <v>8148</v>
      </c>
      <c r="E3146" s="60" t="b">
        <v>1</v>
      </c>
      <c r="F3146" s="80" t="s">
        <v>1054</v>
      </c>
      <c r="G3146" s="58" t="s">
        <v>8147</v>
      </c>
      <c r="H3146" s="58" t="s">
        <v>2294</v>
      </c>
      <c r="I3146" s="64" t="s">
        <v>8148</v>
      </c>
      <c r="J3146" s="66"/>
      <c r="K3146" s="66"/>
      <c r="L3146" s="68"/>
      <c r="M3146" s="63" t="str">
        <f>HYPERLINK("http://nsgreg.nga.mil/genc/view?v=871228&amp;end_month=12&amp;end_day=31&amp;end_year=2016","Correlation")</f>
        <v>Correlation</v>
      </c>
    </row>
    <row r="3147" spans="1:13" x14ac:dyDescent="0.2">
      <c r="A3147" s="113"/>
      <c r="B3147" s="58" t="s">
        <v>8149</v>
      </c>
      <c r="C3147" s="58" t="s">
        <v>2294</v>
      </c>
      <c r="D3147" s="58" t="s">
        <v>8150</v>
      </c>
      <c r="E3147" s="60" t="b">
        <v>1</v>
      </c>
      <c r="F3147" s="80" t="s">
        <v>1054</v>
      </c>
      <c r="G3147" s="58" t="s">
        <v>8149</v>
      </c>
      <c r="H3147" s="58" t="s">
        <v>2294</v>
      </c>
      <c r="I3147" s="64" t="s">
        <v>8150</v>
      </c>
      <c r="J3147" s="66"/>
      <c r="K3147" s="66"/>
      <c r="L3147" s="68"/>
      <c r="M3147" s="63" t="str">
        <f>HYPERLINK("http://nsgreg.nga.mil/genc/view?v=871241&amp;end_month=12&amp;end_day=31&amp;end_year=2016","Correlation")</f>
        <v>Correlation</v>
      </c>
    </row>
    <row r="3148" spans="1:13" x14ac:dyDescent="0.2">
      <c r="A3148" s="113"/>
      <c r="B3148" s="58" t="s">
        <v>8151</v>
      </c>
      <c r="C3148" s="58" t="s">
        <v>2294</v>
      </c>
      <c r="D3148" s="58" t="s">
        <v>8152</v>
      </c>
      <c r="E3148" s="60" t="b">
        <v>1</v>
      </c>
      <c r="F3148" s="80" t="s">
        <v>1054</v>
      </c>
      <c r="G3148" s="58" t="s">
        <v>8151</v>
      </c>
      <c r="H3148" s="58" t="s">
        <v>2294</v>
      </c>
      <c r="I3148" s="64" t="s">
        <v>8152</v>
      </c>
      <c r="J3148" s="66"/>
      <c r="K3148" s="66"/>
      <c r="L3148" s="68"/>
      <c r="M3148" s="63" t="str">
        <f>HYPERLINK("http://nsgreg.nga.mil/genc/view?v=871231&amp;end_month=12&amp;end_day=31&amp;end_year=2016","Correlation")</f>
        <v>Correlation</v>
      </c>
    </row>
    <row r="3149" spans="1:13" x14ac:dyDescent="0.2">
      <c r="A3149" s="114"/>
      <c r="B3149" s="71" t="s">
        <v>8153</v>
      </c>
      <c r="C3149" s="71" t="s">
        <v>2294</v>
      </c>
      <c r="D3149" s="71" t="s">
        <v>8154</v>
      </c>
      <c r="E3149" s="73" t="b">
        <v>1</v>
      </c>
      <c r="F3149" s="81" t="s">
        <v>1054</v>
      </c>
      <c r="G3149" s="71" t="s">
        <v>8153</v>
      </c>
      <c r="H3149" s="71" t="s">
        <v>2294</v>
      </c>
      <c r="I3149" s="74" t="s">
        <v>8154</v>
      </c>
      <c r="J3149" s="76"/>
      <c r="K3149" s="76"/>
      <c r="L3149" s="82"/>
      <c r="M3149" s="77" t="str">
        <f>HYPERLINK("http://nsgreg.nga.mil/genc/view?v=871234&amp;end_month=12&amp;end_day=31&amp;end_year=2016","Correlation")</f>
        <v>Correlation</v>
      </c>
    </row>
    <row r="3150" spans="1:13" x14ac:dyDescent="0.2">
      <c r="A3150" s="112" t="s">
        <v>1058</v>
      </c>
      <c r="B3150" s="50" t="s">
        <v>2450</v>
      </c>
      <c r="C3150" s="50" t="s">
        <v>1728</v>
      </c>
      <c r="D3150" s="50" t="s">
        <v>8155</v>
      </c>
      <c r="E3150" s="52" t="b">
        <v>1</v>
      </c>
      <c r="F3150" s="78" t="s">
        <v>1058</v>
      </c>
      <c r="G3150" s="50" t="s">
        <v>2450</v>
      </c>
      <c r="H3150" s="50" t="s">
        <v>1728</v>
      </c>
      <c r="I3150" s="53" t="s">
        <v>8155</v>
      </c>
      <c r="J3150" s="55"/>
      <c r="K3150" s="55"/>
      <c r="L3150" s="79"/>
      <c r="M3150" s="56" t="str">
        <f>HYPERLINK("http://nsgreg.nga.mil/genc/view?v=871003&amp;end_month=12&amp;end_day=31&amp;end_year=2016","Correlation")</f>
        <v>Correlation</v>
      </c>
    </row>
    <row r="3151" spans="1:13" x14ac:dyDescent="0.2">
      <c r="A3151" s="113"/>
      <c r="B3151" s="58" t="s">
        <v>8156</v>
      </c>
      <c r="C3151" s="58" t="s">
        <v>1728</v>
      </c>
      <c r="D3151" s="58" t="s">
        <v>8157</v>
      </c>
      <c r="E3151" s="60" t="b">
        <v>1</v>
      </c>
      <c r="F3151" s="80" t="s">
        <v>1058</v>
      </c>
      <c r="G3151" s="58" t="s">
        <v>8156</v>
      </c>
      <c r="H3151" s="58" t="s">
        <v>1728</v>
      </c>
      <c r="I3151" s="64" t="s">
        <v>8157</v>
      </c>
      <c r="J3151" s="66"/>
      <c r="K3151" s="66"/>
      <c r="L3151" s="68"/>
      <c r="M3151" s="63" t="str">
        <f>HYPERLINK("http://nsgreg.nga.mil/genc/view?v=871004&amp;end_month=12&amp;end_day=31&amp;end_year=2016","Correlation")</f>
        <v>Correlation</v>
      </c>
    </row>
    <row r="3152" spans="1:13" x14ac:dyDescent="0.2">
      <c r="A3152" s="113"/>
      <c r="B3152" s="58" t="s">
        <v>8158</v>
      </c>
      <c r="C3152" s="58" t="s">
        <v>1728</v>
      </c>
      <c r="D3152" s="58" t="s">
        <v>8159</v>
      </c>
      <c r="E3152" s="60" t="b">
        <v>1</v>
      </c>
      <c r="F3152" s="80" t="s">
        <v>1058</v>
      </c>
      <c r="G3152" s="58" t="s">
        <v>8158</v>
      </c>
      <c r="H3152" s="58" t="s">
        <v>1728</v>
      </c>
      <c r="I3152" s="64" t="s">
        <v>8159</v>
      </c>
      <c r="J3152" s="66"/>
      <c r="K3152" s="66"/>
      <c r="L3152" s="68"/>
      <c r="M3152" s="63" t="str">
        <f>HYPERLINK("http://nsgreg.nga.mil/genc/view?v=871005&amp;end_month=12&amp;end_day=31&amp;end_year=2016","Correlation")</f>
        <v>Correlation</v>
      </c>
    </row>
    <row r="3153" spans="1:13" x14ac:dyDescent="0.2">
      <c r="A3153" s="113"/>
      <c r="B3153" s="58" t="s">
        <v>8160</v>
      </c>
      <c r="C3153" s="58" t="s">
        <v>1728</v>
      </c>
      <c r="D3153" s="58" t="s">
        <v>8161</v>
      </c>
      <c r="E3153" s="60" t="b">
        <v>1</v>
      </c>
      <c r="F3153" s="80" t="s">
        <v>1058</v>
      </c>
      <c r="G3153" s="58" t="s">
        <v>8160</v>
      </c>
      <c r="H3153" s="58" t="s">
        <v>1728</v>
      </c>
      <c r="I3153" s="64" t="s">
        <v>8161</v>
      </c>
      <c r="J3153" s="66"/>
      <c r="K3153" s="66"/>
      <c r="L3153" s="68"/>
      <c r="M3153" s="63" t="str">
        <f>HYPERLINK("http://nsgreg.nga.mil/genc/view?v=871006&amp;end_month=12&amp;end_day=31&amp;end_year=2016","Correlation")</f>
        <v>Correlation</v>
      </c>
    </row>
    <row r="3154" spans="1:13" x14ac:dyDescent="0.2">
      <c r="A3154" s="113"/>
      <c r="B3154" s="58" t="s">
        <v>8162</v>
      </c>
      <c r="C3154" s="58" t="s">
        <v>1728</v>
      </c>
      <c r="D3154" s="58" t="s">
        <v>8163</v>
      </c>
      <c r="E3154" s="60" t="b">
        <v>1</v>
      </c>
      <c r="F3154" s="80" t="s">
        <v>1058</v>
      </c>
      <c r="G3154" s="58" t="s">
        <v>8162</v>
      </c>
      <c r="H3154" s="58" t="s">
        <v>1728</v>
      </c>
      <c r="I3154" s="64" t="s">
        <v>8163</v>
      </c>
      <c r="J3154" s="66"/>
      <c r="K3154" s="66"/>
      <c r="L3154" s="68"/>
      <c r="M3154" s="63" t="str">
        <f>HYPERLINK("http://nsgreg.nga.mil/genc/view?v=871007&amp;end_month=12&amp;end_day=31&amp;end_year=2016","Correlation")</f>
        <v>Correlation</v>
      </c>
    </row>
    <row r="3155" spans="1:13" x14ac:dyDescent="0.2">
      <c r="A3155" s="113"/>
      <c r="B3155" s="58" t="s">
        <v>8164</v>
      </c>
      <c r="C3155" s="58" t="s">
        <v>1728</v>
      </c>
      <c r="D3155" s="58" t="s">
        <v>8165</v>
      </c>
      <c r="E3155" s="60" t="b">
        <v>1</v>
      </c>
      <c r="F3155" s="80" t="s">
        <v>1058</v>
      </c>
      <c r="G3155" s="58" t="s">
        <v>8164</v>
      </c>
      <c r="H3155" s="58" t="s">
        <v>1728</v>
      </c>
      <c r="I3155" s="64" t="s">
        <v>8165</v>
      </c>
      <c r="J3155" s="66"/>
      <c r="K3155" s="66"/>
      <c r="L3155" s="68"/>
      <c r="M3155" s="63" t="str">
        <f>HYPERLINK("http://nsgreg.nga.mil/genc/view?v=871008&amp;end_month=12&amp;end_day=31&amp;end_year=2016","Correlation")</f>
        <v>Correlation</v>
      </c>
    </row>
    <row r="3156" spans="1:13" x14ac:dyDescent="0.2">
      <c r="A3156" s="113"/>
      <c r="B3156" s="58" t="s">
        <v>8168</v>
      </c>
      <c r="C3156" s="58" t="s">
        <v>1728</v>
      </c>
      <c r="D3156" s="58" t="s">
        <v>8167</v>
      </c>
      <c r="E3156" s="60" t="b">
        <v>1</v>
      </c>
      <c r="F3156" s="80" t="s">
        <v>1058</v>
      </c>
      <c r="G3156" s="58" t="s">
        <v>8166</v>
      </c>
      <c r="H3156" s="58" t="s">
        <v>1728</v>
      </c>
      <c r="I3156" s="64" t="s">
        <v>8167</v>
      </c>
      <c r="J3156" s="66"/>
      <c r="K3156" s="66"/>
      <c r="L3156" s="68"/>
      <c r="M3156" s="63" t="str">
        <f>HYPERLINK("http://nsgreg.nga.mil/genc/view?v=871009&amp;end_month=12&amp;end_day=31&amp;end_year=2016","Correlation")</f>
        <v>Correlation</v>
      </c>
    </row>
    <row r="3157" spans="1:13" x14ac:dyDescent="0.2">
      <c r="A3157" s="113"/>
      <c r="B3157" s="58" t="s">
        <v>8172</v>
      </c>
      <c r="C3157" s="58" t="s">
        <v>1728</v>
      </c>
      <c r="D3157" s="58" t="s">
        <v>8173</v>
      </c>
      <c r="E3157" s="60" t="b">
        <v>1</v>
      </c>
      <c r="F3157" s="80" t="s">
        <v>1058</v>
      </c>
      <c r="G3157" s="58" t="s">
        <v>8172</v>
      </c>
      <c r="H3157" s="58" t="s">
        <v>1728</v>
      </c>
      <c r="I3157" s="64" t="s">
        <v>8173</v>
      </c>
      <c r="J3157" s="66"/>
      <c r="K3157" s="66"/>
      <c r="L3157" s="68"/>
      <c r="M3157" s="63" t="str">
        <f>HYPERLINK("http://nsgreg.nga.mil/genc/view?v=871012&amp;end_month=12&amp;end_day=31&amp;end_year=2016","Correlation")</f>
        <v>Correlation</v>
      </c>
    </row>
    <row r="3158" spans="1:13" x14ac:dyDescent="0.2">
      <c r="A3158" s="113"/>
      <c r="B3158" s="58" t="s">
        <v>8174</v>
      </c>
      <c r="C3158" s="58" t="s">
        <v>1728</v>
      </c>
      <c r="D3158" s="58" t="s">
        <v>8175</v>
      </c>
      <c r="E3158" s="60" t="b">
        <v>1</v>
      </c>
      <c r="F3158" s="80" t="s">
        <v>1058</v>
      </c>
      <c r="G3158" s="58" t="s">
        <v>8174</v>
      </c>
      <c r="H3158" s="58" t="s">
        <v>1728</v>
      </c>
      <c r="I3158" s="64" t="s">
        <v>8175</v>
      </c>
      <c r="J3158" s="66"/>
      <c r="K3158" s="66"/>
      <c r="L3158" s="68"/>
      <c r="M3158" s="63" t="str">
        <f>HYPERLINK("http://nsgreg.nga.mil/genc/view?v=871011&amp;end_month=12&amp;end_day=31&amp;end_year=2016","Correlation")</f>
        <v>Correlation</v>
      </c>
    </row>
    <row r="3159" spans="1:13" x14ac:dyDescent="0.2">
      <c r="A3159" s="113"/>
      <c r="B3159" s="58" t="s">
        <v>8176</v>
      </c>
      <c r="C3159" s="58" t="s">
        <v>1728</v>
      </c>
      <c r="D3159" s="58" t="s">
        <v>8177</v>
      </c>
      <c r="E3159" s="60" t="b">
        <v>1</v>
      </c>
      <c r="F3159" s="80" t="s">
        <v>1058</v>
      </c>
      <c r="G3159" s="58" t="s">
        <v>8176</v>
      </c>
      <c r="H3159" s="58" t="s">
        <v>1728</v>
      </c>
      <c r="I3159" s="64" t="s">
        <v>8177</v>
      </c>
      <c r="J3159" s="66"/>
      <c r="K3159" s="66"/>
      <c r="L3159" s="68"/>
      <c r="M3159" s="63" t="str">
        <f>HYPERLINK("http://nsgreg.nga.mil/genc/view?v=871013&amp;end_month=12&amp;end_day=31&amp;end_year=2016","Correlation")</f>
        <v>Correlation</v>
      </c>
    </row>
    <row r="3160" spans="1:13" x14ac:dyDescent="0.2">
      <c r="A3160" s="113"/>
      <c r="B3160" s="58" t="s">
        <v>8178</v>
      </c>
      <c r="C3160" s="58" t="s">
        <v>1728</v>
      </c>
      <c r="D3160" s="58" t="s">
        <v>8179</v>
      </c>
      <c r="E3160" s="60" t="b">
        <v>1</v>
      </c>
      <c r="F3160" s="80" t="s">
        <v>1058</v>
      </c>
      <c r="G3160" s="58" t="s">
        <v>8178</v>
      </c>
      <c r="H3160" s="58" t="s">
        <v>1728</v>
      </c>
      <c r="I3160" s="64" t="s">
        <v>8179</v>
      </c>
      <c r="J3160" s="66"/>
      <c r="K3160" s="66"/>
      <c r="L3160" s="68"/>
      <c r="M3160" s="63" t="str">
        <f>HYPERLINK("http://nsgreg.nga.mil/genc/view?v=871014&amp;end_month=12&amp;end_day=31&amp;end_year=2016","Correlation")</f>
        <v>Correlation</v>
      </c>
    </row>
    <row r="3161" spans="1:13" x14ac:dyDescent="0.2">
      <c r="A3161" s="113"/>
      <c r="B3161" s="58" t="s">
        <v>8171</v>
      </c>
      <c r="C3161" s="58" t="s">
        <v>1728</v>
      </c>
      <c r="D3161" s="58" t="s">
        <v>8170</v>
      </c>
      <c r="E3161" s="60" t="b">
        <v>1</v>
      </c>
      <c r="F3161" s="80" t="s">
        <v>1058</v>
      </c>
      <c r="G3161" s="58" t="s">
        <v>8169</v>
      </c>
      <c r="H3161" s="58" t="s">
        <v>1728</v>
      </c>
      <c r="I3161" s="64" t="s">
        <v>8170</v>
      </c>
      <c r="J3161" s="66"/>
      <c r="K3161" s="66"/>
      <c r="L3161" s="68"/>
      <c r="M3161" s="63" t="str">
        <f>HYPERLINK("http://nsgreg.nga.mil/genc/view?v=871010&amp;end_month=12&amp;end_day=31&amp;end_year=2016","Correlation")</f>
        <v>Correlation</v>
      </c>
    </row>
    <row r="3162" spans="1:13" x14ac:dyDescent="0.2">
      <c r="A3162" s="113"/>
      <c r="B3162" s="58" t="s">
        <v>3940</v>
      </c>
      <c r="C3162" s="58" t="s">
        <v>1728</v>
      </c>
      <c r="D3162" s="58" t="s">
        <v>8180</v>
      </c>
      <c r="E3162" s="60" t="b">
        <v>1</v>
      </c>
      <c r="F3162" s="80" t="s">
        <v>1058</v>
      </c>
      <c r="G3162" s="58" t="s">
        <v>3940</v>
      </c>
      <c r="H3162" s="58" t="s">
        <v>1728</v>
      </c>
      <c r="I3162" s="64" t="s">
        <v>8180</v>
      </c>
      <c r="J3162" s="66"/>
      <c r="K3162" s="66"/>
      <c r="L3162" s="68"/>
      <c r="M3162" s="63" t="str">
        <f>HYPERLINK("http://nsgreg.nga.mil/genc/view?v=871015&amp;end_month=12&amp;end_day=31&amp;end_year=2016","Correlation")</f>
        <v>Correlation</v>
      </c>
    </row>
    <row r="3163" spans="1:13" x14ac:dyDescent="0.2">
      <c r="A3163" s="113"/>
      <c r="B3163" s="58" t="s">
        <v>8181</v>
      </c>
      <c r="C3163" s="58" t="s">
        <v>1728</v>
      </c>
      <c r="D3163" s="58" t="s">
        <v>8182</v>
      </c>
      <c r="E3163" s="60" t="b">
        <v>1</v>
      </c>
      <c r="F3163" s="80" t="s">
        <v>1058</v>
      </c>
      <c r="G3163" s="58" t="s">
        <v>8181</v>
      </c>
      <c r="H3163" s="58" t="s">
        <v>1728</v>
      </c>
      <c r="I3163" s="64" t="s">
        <v>8182</v>
      </c>
      <c r="J3163" s="66"/>
      <c r="K3163" s="66"/>
      <c r="L3163" s="68"/>
      <c r="M3163" s="63" t="str">
        <f>HYPERLINK("http://nsgreg.nga.mil/genc/view?v=871016&amp;end_month=12&amp;end_day=31&amp;end_year=2016","Correlation")</f>
        <v>Correlation</v>
      </c>
    </row>
    <row r="3164" spans="1:13" x14ac:dyDescent="0.2">
      <c r="A3164" s="113"/>
      <c r="B3164" s="58" t="s">
        <v>8183</v>
      </c>
      <c r="C3164" s="58" t="s">
        <v>1728</v>
      </c>
      <c r="D3164" s="58" t="s">
        <v>8186</v>
      </c>
      <c r="E3164" s="60" t="b">
        <v>1</v>
      </c>
      <c r="F3164" s="80" t="s">
        <v>1058</v>
      </c>
      <c r="G3164" s="58" t="s">
        <v>8183</v>
      </c>
      <c r="H3164" s="58" t="s">
        <v>1728</v>
      </c>
      <c r="I3164" s="64" t="s">
        <v>8186</v>
      </c>
      <c r="J3164" s="66"/>
      <c r="K3164" s="66"/>
      <c r="L3164" s="68"/>
      <c r="M3164" s="63" t="str">
        <f>HYPERLINK("http://nsgreg.nga.mil/genc/view?v=871017&amp;end_month=12&amp;end_day=31&amp;end_year=2016","Correlation")</f>
        <v>Correlation</v>
      </c>
    </row>
    <row r="3165" spans="1:13" x14ac:dyDescent="0.2">
      <c r="A3165" s="113"/>
      <c r="B3165" s="58" t="s">
        <v>8187</v>
      </c>
      <c r="C3165" s="58" t="s">
        <v>1728</v>
      </c>
      <c r="D3165" s="58" t="s">
        <v>8188</v>
      </c>
      <c r="E3165" s="60" t="b">
        <v>1</v>
      </c>
      <c r="F3165" s="80" t="s">
        <v>1058</v>
      </c>
      <c r="G3165" s="58" t="s">
        <v>8187</v>
      </c>
      <c r="H3165" s="58" t="s">
        <v>1728</v>
      </c>
      <c r="I3165" s="64" t="s">
        <v>8188</v>
      </c>
      <c r="J3165" s="66"/>
      <c r="K3165" s="66"/>
      <c r="L3165" s="68"/>
      <c r="M3165" s="63" t="str">
        <f>HYPERLINK("http://nsgreg.nga.mil/genc/view?v=871019&amp;end_month=12&amp;end_day=31&amp;end_year=2016","Correlation")</f>
        <v>Correlation</v>
      </c>
    </row>
    <row r="3166" spans="1:13" x14ac:dyDescent="0.2">
      <c r="A3166" s="113"/>
      <c r="B3166" s="58" t="s">
        <v>8189</v>
      </c>
      <c r="C3166" s="58" t="s">
        <v>1728</v>
      </c>
      <c r="D3166" s="58" t="s">
        <v>8190</v>
      </c>
      <c r="E3166" s="60" t="b">
        <v>1</v>
      </c>
      <c r="F3166" s="80" t="s">
        <v>1058</v>
      </c>
      <c r="G3166" s="58" t="s">
        <v>8189</v>
      </c>
      <c r="H3166" s="58" t="s">
        <v>1728</v>
      </c>
      <c r="I3166" s="64" t="s">
        <v>8190</v>
      </c>
      <c r="J3166" s="66"/>
      <c r="K3166" s="66"/>
      <c r="L3166" s="68"/>
      <c r="M3166" s="63" t="str">
        <f>HYPERLINK("http://nsgreg.nga.mil/genc/view?v=871020&amp;end_month=12&amp;end_day=31&amp;end_year=2016","Correlation")</f>
        <v>Correlation</v>
      </c>
    </row>
    <row r="3167" spans="1:13" x14ac:dyDescent="0.2">
      <c r="A3167" s="113"/>
      <c r="B3167" s="58" t="s">
        <v>8191</v>
      </c>
      <c r="C3167" s="58" t="s">
        <v>1728</v>
      </c>
      <c r="D3167" s="58" t="s">
        <v>8192</v>
      </c>
      <c r="E3167" s="60" t="b">
        <v>1</v>
      </c>
      <c r="F3167" s="80" t="s">
        <v>1058</v>
      </c>
      <c r="G3167" s="58" t="s">
        <v>8191</v>
      </c>
      <c r="H3167" s="58" t="s">
        <v>1728</v>
      </c>
      <c r="I3167" s="64" t="s">
        <v>8192</v>
      </c>
      <c r="J3167" s="66"/>
      <c r="K3167" s="66"/>
      <c r="L3167" s="68"/>
      <c r="M3167" s="63" t="str">
        <f>HYPERLINK("http://nsgreg.nga.mil/genc/view?v=871021&amp;end_month=12&amp;end_day=31&amp;end_year=2016","Correlation")</f>
        <v>Correlation</v>
      </c>
    </row>
    <row r="3168" spans="1:13" x14ac:dyDescent="0.2">
      <c r="A3168" s="113"/>
      <c r="B3168" s="58" t="s">
        <v>8185</v>
      </c>
      <c r="C3168" s="58" t="s">
        <v>1816</v>
      </c>
      <c r="D3168" s="58" t="s">
        <v>8184</v>
      </c>
      <c r="E3168" s="60" t="b">
        <v>1</v>
      </c>
      <c r="F3168" s="80" t="s">
        <v>1058</v>
      </c>
      <c r="G3168" s="58" t="s">
        <v>8183</v>
      </c>
      <c r="H3168" s="58" t="s">
        <v>1413</v>
      </c>
      <c r="I3168" s="64" t="s">
        <v>8184</v>
      </c>
      <c r="J3168" s="66"/>
      <c r="K3168" s="66"/>
      <c r="L3168" s="68"/>
      <c r="M3168" s="63" t="str">
        <f>HYPERLINK("http://nsgreg.nga.mil/genc/view?v=871018&amp;end_month=12&amp;end_day=31&amp;end_year=2016","Correlation")</f>
        <v>Correlation</v>
      </c>
    </row>
    <row r="3169" spans="1:13" x14ac:dyDescent="0.2">
      <c r="A3169" s="113"/>
      <c r="B3169" s="58" t="s">
        <v>8193</v>
      </c>
      <c r="C3169" s="58" t="s">
        <v>1728</v>
      </c>
      <c r="D3169" s="58" t="s">
        <v>8194</v>
      </c>
      <c r="E3169" s="60" t="b">
        <v>1</v>
      </c>
      <c r="F3169" s="80" t="s">
        <v>1058</v>
      </c>
      <c r="G3169" s="58" t="s">
        <v>8193</v>
      </c>
      <c r="H3169" s="58" t="s">
        <v>1728</v>
      </c>
      <c r="I3169" s="64" t="s">
        <v>8194</v>
      </c>
      <c r="J3169" s="66"/>
      <c r="K3169" s="66"/>
      <c r="L3169" s="68"/>
      <c r="M3169" s="63" t="str">
        <f>HYPERLINK("http://nsgreg.nga.mil/genc/view?v=871022&amp;end_month=12&amp;end_day=31&amp;end_year=2016","Correlation")</f>
        <v>Correlation</v>
      </c>
    </row>
    <row r="3170" spans="1:13" x14ac:dyDescent="0.2">
      <c r="A3170" s="113"/>
      <c r="B3170" s="58" t="s">
        <v>8195</v>
      </c>
      <c r="C3170" s="58" t="s">
        <v>1728</v>
      </c>
      <c r="D3170" s="58" t="s">
        <v>8196</v>
      </c>
      <c r="E3170" s="60" t="b">
        <v>1</v>
      </c>
      <c r="F3170" s="80" t="s">
        <v>1058</v>
      </c>
      <c r="G3170" s="58" t="s">
        <v>8195</v>
      </c>
      <c r="H3170" s="58" t="s">
        <v>1728</v>
      </c>
      <c r="I3170" s="64" t="s">
        <v>8196</v>
      </c>
      <c r="J3170" s="66"/>
      <c r="K3170" s="66"/>
      <c r="L3170" s="68"/>
      <c r="M3170" s="63" t="str">
        <f>HYPERLINK("http://nsgreg.nga.mil/genc/view?v=871023&amp;end_month=12&amp;end_day=31&amp;end_year=2016","Correlation")</f>
        <v>Correlation</v>
      </c>
    </row>
    <row r="3171" spans="1:13" x14ac:dyDescent="0.2">
      <c r="A3171" s="113"/>
      <c r="B3171" s="58" t="s">
        <v>8197</v>
      </c>
      <c r="C3171" s="58" t="s">
        <v>1728</v>
      </c>
      <c r="D3171" s="58" t="s">
        <v>8198</v>
      </c>
      <c r="E3171" s="60" t="b">
        <v>1</v>
      </c>
      <c r="F3171" s="80" t="s">
        <v>1058</v>
      </c>
      <c r="G3171" s="58" t="s">
        <v>8197</v>
      </c>
      <c r="H3171" s="58" t="s">
        <v>1728</v>
      </c>
      <c r="I3171" s="64" t="s">
        <v>8198</v>
      </c>
      <c r="J3171" s="66"/>
      <c r="K3171" s="66"/>
      <c r="L3171" s="68"/>
      <c r="M3171" s="63" t="str">
        <f>HYPERLINK("http://nsgreg.nga.mil/genc/view?v=871024&amp;end_month=12&amp;end_day=31&amp;end_year=2016","Correlation")</f>
        <v>Correlation</v>
      </c>
    </row>
    <row r="3172" spans="1:13" x14ac:dyDescent="0.2">
      <c r="A3172" s="113"/>
      <c r="B3172" s="58" t="s">
        <v>8199</v>
      </c>
      <c r="C3172" s="58" t="s">
        <v>1728</v>
      </c>
      <c r="D3172" s="58" t="s">
        <v>8200</v>
      </c>
      <c r="E3172" s="60" t="b">
        <v>1</v>
      </c>
      <c r="F3172" s="80" t="s">
        <v>1058</v>
      </c>
      <c r="G3172" s="58" t="s">
        <v>8199</v>
      </c>
      <c r="H3172" s="58" t="s">
        <v>1728</v>
      </c>
      <c r="I3172" s="64" t="s">
        <v>8200</v>
      </c>
      <c r="J3172" s="66"/>
      <c r="K3172" s="66"/>
      <c r="L3172" s="68"/>
      <c r="M3172" s="63" t="str">
        <f>HYPERLINK("http://nsgreg.nga.mil/genc/view?v=871025&amp;end_month=12&amp;end_day=31&amp;end_year=2016","Correlation")</f>
        <v>Correlation</v>
      </c>
    </row>
    <row r="3173" spans="1:13" x14ac:dyDescent="0.2">
      <c r="A3173" s="113"/>
      <c r="B3173" s="58" t="s">
        <v>8201</v>
      </c>
      <c r="C3173" s="58" t="s">
        <v>1728</v>
      </c>
      <c r="D3173" s="58" t="s">
        <v>8202</v>
      </c>
      <c r="E3173" s="60" t="b">
        <v>1</v>
      </c>
      <c r="F3173" s="80" t="s">
        <v>1058</v>
      </c>
      <c r="G3173" s="58" t="s">
        <v>8201</v>
      </c>
      <c r="H3173" s="58" t="s">
        <v>1728</v>
      </c>
      <c r="I3173" s="64" t="s">
        <v>8202</v>
      </c>
      <c r="J3173" s="66"/>
      <c r="K3173" s="66"/>
      <c r="L3173" s="68"/>
      <c r="M3173" s="63" t="str">
        <f>HYPERLINK("http://nsgreg.nga.mil/genc/view?v=871026&amp;end_month=12&amp;end_day=31&amp;end_year=2016","Correlation")</f>
        <v>Correlation</v>
      </c>
    </row>
    <row r="3174" spans="1:13" x14ac:dyDescent="0.2">
      <c r="A3174" s="113"/>
      <c r="B3174" s="58" t="s">
        <v>8203</v>
      </c>
      <c r="C3174" s="58" t="s">
        <v>1728</v>
      </c>
      <c r="D3174" s="58" t="s">
        <v>8204</v>
      </c>
      <c r="E3174" s="60" t="b">
        <v>1</v>
      </c>
      <c r="F3174" s="80" t="s">
        <v>1058</v>
      </c>
      <c r="G3174" s="58" t="s">
        <v>8203</v>
      </c>
      <c r="H3174" s="58" t="s">
        <v>1728</v>
      </c>
      <c r="I3174" s="64" t="s">
        <v>8204</v>
      </c>
      <c r="J3174" s="66"/>
      <c r="K3174" s="66"/>
      <c r="L3174" s="68"/>
      <c r="M3174" s="63" t="str">
        <f>HYPERLINK("http://nsgreg.nga.mil/genc/view?v=871027&amp;end_month=12&amp;end_day=31&amp;end_year=2016","Correlation")</f>
        <v>Correlation</v>
      </c>
    </row>
    <row r="3175" spans="1:13" x14ac:dyDescent="0.2">
      <c r="A3175" s="114"/>
      <c r="B3175" s="71" t="s">
        <v>8205</v>
      </c>
      <c r="C3175" s="71" t="s">
        <v>1728</v>
      </c>
      <c r="D3175" s="71" t="s">
        <v>8206</v>
      </c>
      <c r="E3175" s="73" t="b">
        <v>1</v>
      </c>
      <c r="F3175" s="81" t="s">
        <v>1058</v>
      </c>
      <c r="G3175" s="71" t="s">
        <v>8205</v>
      </c>
      <c r="H3175" s="71" t="s">
        <v>1728</v>
      </c>
      <c r="I3175" s="74" t="s">
        <v>8206</v>
      </c>
      <c r="J3175" s="76"/>
      <c r="K3175" s="76"/>
      <c r="L3175" s="82"/>
      <c r="M3175" s="77" t="str">
        <f>HYPERLINK("http://nsgreg.nga.mil/genc/view?v=871028&amp;end_month=12&amp;end_day=31&amp;end_year=2016","Correlation")</f>
        <v>Correlation</v>
      </c>
    </row>
    <row r="3176" spans="1:13" x14ac:dyDescent="0.2">
      <c r="A3176" s="112" t="s">
        <v>1062</v>
      </c>
      <c r="B3176" s="50" t="s">
        <v>8207</v>
      </c>
      <c r="C3176" s="50" t="s">
        <v>1413</v>
      </c>
      <c r="D3176" s="50" t="s">
        <v>8208</v>
      </c>
      <c r="E3176" s="52" t="b">
        <v>1</v>
      </c>
      <c r="F3176" s="78" t="s">
        <v>1062</v>
      </c>
      <c r="G3176" s="50" t="s">
        <v>8207</v>
      </c>
      <c r="H3176" s="50" t="s">
        <v>1413</v>
      </c>
      <c r="I3176" s="53" t="s">
        <v>8208</v>
      </c>
      <c r="J3176" s="55"/>
      <c r="K3176" s="55"/>
      <c r="L3176" s="79"/>
      <c r="M3176" s="56" t="str">
        <f>HYPERLINK("http://nsgreg.nga.mil/genc/view?v=871068&amp;end_month=12&amp;end_day=31&amp;end_year=2016","Correlation")</f>
        <v>Correlation</v>
      </c>
    </row>
    <row r="3177" spans="1:13" x14ac:dyDescent="0.2">
      <c r="A3177" s="113"/>
      <c r="B3177" s="58" t="s">
        <v>8209</v>
      </c>
      <c r="C3177" s="58" t="s">
        <v>1413</v>
      </c>
      <c r="D3177" s="58" t="s">
        <v>8210</v>
      </c>
      <c r="E3177" s="60" t="b">
        <v>1</v>
      </c>
      <c r="F3177" s="80" t="s">
        <v>1062</v>
      </c>
      <c r="G3177" s="58" t="s">
        <v>8209</v>
      </c>
      <c r="H3177" s="58" t="s">
        <v>1413</v>
      </c>
      <c r="I3177" s="64" t="s">
        <v>8210</v>
      </c>
      <c r="J3177" s="66"/>
      <c r="K3177" s="66"/>
      <c r="L3177" s="68"/>
      <c r="M3177" s="63" t="str">
        <f>HYPERLINK("http://nsgreg.nga.mil/genc/view?v=871069&amp;end_month=12&amp;end_day=31&amp;end_year=2016","Correlation")</f>
        <v>Correlation</v>
      </c>
    </row>
    <row r="3178" spans="1:13" x14ac:dyDescent="0.2">
      <c r="A3178" s="113"/>
      <c r="B3178" s="58" t="s">
        <v>8211</v>
      </c>
      <c r="C3178" s="58" t="s">
        <v>1413</v>
      </c>
      <c r="D3178" s="58" t="s">
        <v>8212</v>
      </c>
      <c r="E3178" s="60" t="b">
        <v>1</v>
      </c>
      <c r="F3178" s="80" t="s">
        <v>1062</v>
      </c>
      <c r="G3178" s="58" t="s">
        <v>8211</v>
      </c>
      <c r="H3178" s="58" t="s">
        <v>1413</v>
      </c>
      <c r="I3178" s="64" t="s">
        <v>8212</v>
      </c>
      <c r="J3178" s="66"/>
      <c r="K3178" s="66"/>
      <c r="L3178" s="68"/>
      <c r="M3178" s="63" t="str">
        <f>HYPERLINK("http://nsgreg.nga.mil/genc/view?v=871070&amp;end_month=12&amp;end_day=31&amp;end_year=2016","Correlation")</f>
        <v>Correlation</v>
      </c>
    </row>
    <row r="3179" spans="1:13" x14ac:dyDescent="0.2">
      <c r="A3179" s="113"/>
      <c r="B3179" s="58" t="s">
        <v>8213</v>
      </c>
      <c r="C3179" s="58" t="s">
        <v>1413</v>
      </c>
      <c r="D3179" s="58" t="s">
        <v>8214</v>
      </c>
      <c r="E3179" s="60" t="b">
        <v>1</v>
      </c>
      <c r="F3179" s="80" t="s">
        <v>1062</v>
      </c>
      <c r="G3179" s="58" t="s">
        <v>8213</v>
      </c>
      <c r="H3179" s="58" t="s">
        <v>1413</v>
      </c>
      <c r="I3179" s="64" t="s">
        <v>8214</v>
      </c>
      <c r="J3179" s="66"/>
      <c r="K3179" s="66"/>
      <c r="L3179" s="68"/>
      <c r="M3179" s="63" t="str">
        <f>HYPERLINK("http://nsgreg.nga.mil/genc/view?v=871071&amp;end_month=12&amp;end_day=31&amp;end_year=2016","Correlation")</f>
        <v>Correlation</v>
      </c>
    </row>
    <row r="3180" spans="1:13" x14ac:dyDescent="0.2">
      <c r="A3180" s="113"/>
      <c r="B3180" s="58" t="s">
        <v>8215</v>
      </c>
      <c r="C3180" s="58" t="s">
        <v>1413</v>
      </c>
      <c r="D3180" s="58" t="s">
        <v>8216</v>
      </c>
      <c r="E3180" s="60" t="b">
        <v>1</v>
      </c>
      <c r="F3180" s="80" t="s">
        <v>1062</v>
      </c>
      <c r="G3180" s="58" t="s">
        <v>8215</v>
      </c>
      <c r="H3180" s="58" t="s">
        <v>1413</v>
      </c>
      <c r="I3180" s="64" t="s">
        <v>8216</v>
      </c>
      <c r="J3180" s="66"/>
      <c r="K3180" s="66"/>
      <c r="L3180" s="68"/>
      <c r="M3180" s="63" t="str">
        <f>HYPERLINK("http://nsgreg.nga.mil/genc/view?v=871072&amp;end_month=12&amp;end_day=31&amp;end_year=2016","Correlation")</f>
        <v>Correlation</v>
      </c>
    </row>
    <row r="3181" spans="1:13" x14ac:dyDescent="0.2">
      <c r="A3181" s="113"/>
      <c r="B3181" s="58" t="s">
        <v>8220</v>
      </c>
      <c r="C3181" s="58" t="s">
        <v>1413</v>
      </c>
      <c r="D3181" s="58" t="s">
        <v>8221</v>
      </c>
      <c r="E3181" s="60" t="b">
        <v>1</v>
      </c>
      <c r="F3181" s="80" t="s">
        <v>1062</v>
      </c>
      <c r="G3181" s="58" t="s">
        <v>8220</v>
      </c>
      <c r="H3181" s="58" t="s">
        <v>1413</v>
      </c>
      <c r="I3181" s="64" t="s">
        <v>8221</v>
      </c>
      <c r="J3181" s="66"/>
      <c r="K3181" s="66"/>
      <c r="L3181" s="68"/>
      <c r="M3181" s="63" t="str">
        <f>HYPERLINK("http://nsgreg.nga.mil/genc/view?v=871073&amp;end_month=12&amp;end_day=31&amp;end_year=2016","Correlation")</f>
        <v>Correlation</v>
      </c>
    </row>
    <row r="3182" spans="1:13" x14ac:dyDescent="0.2">
      <c r="A3182" s="113"/>
      <c r="B3182" s="58" t="s">
        <v>8222</v>
      </c>
      <c r="C3182" s="58" t="s">
        <v>1413</v>
      </c>
      <c r="D3182" s="58" t="s">
        <v>8223</v>
      </c>
      <c r="E3182" s="60" t="b">
        <v>1</v>
      </c>
      <c r="F3182" s="80" t="s">
        <v>1062</v>
      </c>
      <c r="G3182" s="58" t="s">
        <v>8222</v>
      </c>
      <c r="H3182" s="58" t="s">
        <v>1413</v>
      </c>
      <c r="I3182" s="64" t="s">
        <v>8223</v>
      </c>
      <c r="J3182" s="66"/>
      <c r="K3182" s="66"/>
      <c r="L3182" s="68"/>
      <c r="M3182" s="63" t="str">
        <f>HYPERLINK("http://nsgreg.nga.mil/genc/view?v=871074&amp;end_month=12&amp;end_day=31&amp;end_year=2016","Correlation")</f>
        <v>Correlation</v>
      </c>
    </row>
    <row r="3183" spans="1:13" x14ac:dyDescent="0.2">
      <c r="A3183" s="113"/>
      <c r="B3183" s="58" t="s">
        <v>8224</v>
      </c>
      <c r="C3183" s="58" t="s">
        <v>1413</v>
      </c>
      <c r="D3183" s="58" t="s">
        <v>8225</v>
      </c>
      <c r="E3183" s="60" t="b">
        <v>1</v>
      </c>
      <c r="F3183" s="80" t="s">
        <v>1062</v>
      </c>
      <c r="G3183" s="58" t="s">
        <v>8224</v>
      </c>
      <c r="H3183" s="58" t="s">
        <v>1413</v>
      </c>
      <c r="I3183" s="64" t="s">
        <v>8225</v>
      </c>
      <c r="J3183" s="66"/>
      <c r="K3183" s="66"/>
      <c r="L3183" s="68"/>
      <c r="M3183" s="63" t="str">
        <f>HYPERLINK("http://nsgreg.nga.mil/genc/view?v=871075&amp;end_month=12&amp;end_day=31&amp;end_year=2016","Correlation")</f>
        <v>Correlation</v>
      </c>
    </row>
    <row r="3184" spans="1:13" x14ac:dyDescent="0.2">
      <c r="A3184" s="113"/>
      <c r="B3184" s="58" t="s">
        <v>8226</v>
      </c>
      <c r="C3184" s="58" t="s">
        <v>1728</v>
      </c>
      <c r="D3184" s="58" t="s">
        <v>8227</v>
      </c>
      <c r="E3184" s="60" t="b">
        <v>1</v>
      </c>
      <c r="F3184" s="80" t="s">
        <v>1062</v>
      </c>
      <c r="G3184" s="58" t="s">
        <v>8226</v>
      </c>
      <c r="H3184" s="58" t="s">
        <v>1728</v>
      </c>
      <c r="I3184" s="64" t="s">
        <v>8227</v>
      </c>
      <c r="J3184" s="66"/>
      <c r="K3184" s="66"/>
      <c r="L3184" s="68"/>
      <c r="M3184" s="63" t="str">
        <f>HYPERLINK("http://nsgreg.nga.mil/genc/view?v=871064&amp;end_month=12&amp;end_day=31&amp;end_year=2016","Correlation")</f>
        <v>Correlation</v>
      </c>
    </row>
    <row r="3185" spans="1:13" x14ac:dyDescent="0.2">
      <c r="A3185" s="113"/>
      <c r="B3185" s="58" t="s">
        <v>8232</v>
      </c>
      <c r="C3185" s="58" t="s">
        <v>1413</v>
      </c>
      <c r="D3185" s="58" t="s">
        <v>8233</v>
      </c>
      <c r="E3185" s="60" t="b">
        <v>1</v>
      </c>
      <c r="F3185" s="80" t="s">
        <v>1062</v>
      </c>
      <c r="G3185" s="58" t="s">
        <v>8232</v>
      </c>
      <c r="H3185" s="58" t="s">
        <v>1413</v>
      </c>
      <c r="I3185" s="64" t="s">
        <v>8233</v>
      </c>
      <c r="J3185" s="66"/>
      <c r="K3185" s="66"/>
      <c r="L3185" s="68"/>
      <c r="M3185" s="63" t="str">
        <f>HYPERLINK("http://nsgreg.nga.mil/genc/view?v=871077&amp;end_month=12&amp;end_day=31&amp;end_year=2016","Correlation")</f>
        <v>Correlation</v>
      </c>
    </row>
    <row r="3186" spans="1:13" x14ac:dyDescent="0.2">
      <c r="A3186" s="113"/>
      <c r="B3186" s="58" t="s">
        <v>8234</v>
      </c>
      <c r="C3186" s="58" t="s">
        <v>1413</v>
      </c>
      <c r="D3186" s="58" t="s">
        <v>8235</v>
      </c>
      <c r="E3186" s="60" t="b">
        <v>1</v>
      </c>
      <c r="F3186" s="80" t="s">
        <v>1062</v>
      </c>
      <c r="G3186" s="58" t="s">
        <v>8234</v>
      </c>
      <c r="H3186" s="58" t="s">
        <v>1413</v>
      </c>
      <c r="I3186" s="64" t="s">
        <v>8235</v>
      </c>
      <c r="J3186" s="66"/>
      <c r="K3186" s="66"/>
      <c r="L3186" s="68"/>
      <c r="M3186" s="63" t="str">
        <f>HYPERLINK("http://nsgreg.nga.mil/genc/view?v=871076&amp;end_month=12&amp;end_day=31&amp;end_year=2016","Correlation")</f>
        <v>Correlation</v>
      </c>
    </row>
    <row r="3187" spans="1:13" x14ac:dyDescent="0.2">
      <c r="A3187" s="113"/>
      <c r="B3187" s="58" t="s">
        <v>8236</v>
      </c>
      <c r="C3187" s="58" t="s">
        <v>1413</v>
      </c>
      <c r="D3187" s="58" t="s">
        <v>8237</v>
      </c>
      <c r="E3187" s="60" t="b">
        <v>1</v>
      </c>
      <c r="F3187" s="80" t="s">
        <v>1062</v>
      </c>
      <c r="G3187" s="58" t="s">
        <v>8236</v>
      </c>
      <c r="H3187" s="58" t="s">
        <v>1413</v>
      </c>
      <c r="I3187" s="64" t="s">
        <v>8237</v>
      </c>
      <c r="J3187" s="66"/>
      <c r="K3187" s="66"/>
      <c r="L3187" s="68"/>
      <c r="M3187" s="63" t="str">
        <f>HYPERLINK("http://nsgreg.nga.mil/genc/view?v=871082&amp;end_month=12&amp;end_day=31&amp;end_year=2016","Correlation")</f>
        <v>Correlation</v>
      </c>
    </row>
    <row r="3188" spans="1:13" x14ac:dyDescent="0.2">
      <c r="A3188" s="113"/>
      <c r="B3188" s="58" t="s">
        <v>8238</v>
      </c>
      <c r="C3188" s="58" t="s">
        <v>1413</v>
      </c>
      <c r="D3188" s="58" t="s">
        <v>8239</v>
      </c>
      <c r="E3188" s="60" t="b">
        <v>1</v>
      </c>
      <c r="F3188" s="80" t="s">
        <v>1062</v>
      </c>
      <c r="G3188" s="58" t="s">
        <v>8238</v>
      </c>
      <c r="H3188" s="58" t="s">
        <v>1413</v>
      </c>
      <c r="I3188" s="64" t="s">
        <v>8239</v>
      </c>
      <c r="J3188" s="66"/>
      <c r="K3188" s="66"/>
      <c r="L3188" s="68"/>
      <c r="M3188" s="63" t="str">
        <f>HYPERLINK("http://nsgreg.nga.mil/genc/view?v=871081&amp;end_month=12&amp;end_day=31&amp;end_year=2016","Correlation")</f>
        <v>Correlation</v>
      </c>
    </row>
    <row r="3189" spans="1:13" x14ac:dyDescent="0.2">
      <c r="A3189" s="113"/>
      <c r="B3189" s="58" t="s">
        <v>8240</v>
      </c>
      <c r="C3189" s="58" t="s">
        <v>1413</v>
      </c>
      <c r="D3189" s="58" t="s">
        <v>8241</v>
      </c>
      <c r="E3189" s="60" t="b">
        <v>1</v>
      </c>
      <c r="F3189" s="80" t="s">
        <v>1062</v>
      </c>
      <c r="G3189" s="58" t="s">
        <v>8240</v>
      </c>
      <c r="H3189" s="58" t="s">
        <v>1413</v>
      </c>
      <c r="I3189" s="64" t="s">
        <v>8241</v>
      </c>
      <c r="J3189" s="66"/>
      <c r="K3189" s="66"/>
      <c r="L3189" s="68"/>
      <c r="M3189" s="63" t="str">
        <f>HYPERLINK("http://nsgreg.nga.mil/genc/view?v=871078&amp;end_month=12&amp;end_day=31&amp;end_year=2016","Correlation")</f>
        <v>Correlation</v>
      </c>
    </row>
    <row r="3190" spans="1:13" x14ac:dyDescent="0.2">
      <c r="A3190" s="113"/>
      <c r="B3190" s="58" t="s">
        <v>8244</v>
      </c>
      <c r="C3190" s="58" t="s">
        <v>1728</v>
      </c>
      <c r="D3190" s="58" t="s">
        <v>8243</v>
      </c>
      <c r="E3190" s="60" t="b">
        <v>1</v>
      </c>
      <c r="F3190" s="80" t="s">
        <v>1062</v>
      </c>
      <c r="G3190" s="58" t="s">
        <v>8242</v>
      </c>
      <c r="H3190" s="58" t="s">
        <v>1728</v>
      </c>
      <c r="I3190" s="64" t="s">
        <v>8243</v>
      </c>
      <c r="J3190" s="66"/>
      <c r="K3190" s="66"/>
      <c r="L3190" s="68"/>
      <c r="M3190" s="63" t="str">
        <f>HYPERLINK("http://nsgreg.nga.mil/genc/view?v=871055&amp;end_month=12&amp;end_day=31&amp;end_year=2016","Correlation")</f>
        <v>Correlation</v>
      </c>
    </row>
    <row r="3191" spans="1:13" x14ac:dyDescent="0.2">
      <c r="A3191" s="113"/>
      <c r="B3191" s="58" t="s">
        <v>8245</v>
      </c>
      <c r="C3191" s="58" t="s">
        <v>1413</v>
      </c>
      <c r="D3191" s="58" t="s">
        <v>8246</v>
      </c>
      <c r="E3191" s="60" t="b">
        <v>1</v>
      </c>
      <c r="F3191" s="80" t="s">
        <v>1062</v>
      </c>
      <c r="G3191" s="58" t="s">
        <v>8245</v>
      </c>
      <c r="H3191" s="58" t="s">
        <v>1413</v>
      </c>
      <c r="I3191" s="64" t="s">
        <v>8246</v>
      </c>
      <c r="J3191" s="66"/>
      <c r="K3191" s="66"/>
      <c r="L3191" s="68"/>
      <c r="M3191" s="63" t="str">
        <f>HYPERLINK("http://nsgreg.nga.mil/genc/view?v=871079&amp;end_month=12&amp;end_day=31&amp;end_year=2016","Correlation")</f>
        <v>Correlation</v>
      </c>
    </row>
    <row r="3192" spans="1:13" x14ac:dyDescent="0.2">
      <c r="A3192" s="113"/>
      <c r="B3192" s="58" t="s">
        <v>8247</v>
      </c>
      <c r="C3192" s="58" t="s">
        <v>1413</v>
      </c>
      <c r="D3192" s="58" t="s">
        <v>8248</v>
      </c>
      <c r="E3192" s="60" t="b">
        <v>1</v>
      </c>
      <c r="F3192" s="80" t="s">
        <v>1062</v>
      </c>
      <c r="G3192" s="58" t="s">
        <v>8247</v>
      </c>
      <c r="H3192" s="58" t="s">
        <v>1413</v>
      </c>
      <c r="I3192" s="64" t="s">
        <v>8248</v>
      </c>
      <c r="J3192" s="66"/>
      <c r="K3192" s="66"/>
      <c r="L3192" s="68"/>
      <c r="M3192" s="63" t="str">
        <f>HYPERLINK("http://nsgreg.nga.mil/genc/view?v=871080&amp;end_month=12&amp;end_day=31&amp;end_year=2016","Correlation")</f>
        <v>Correlation</v>
      </c>
    </row>
    <row r="3193" spans="1:13" x14ac:dyDescent="0.2">
      <c r="A3193" s="113"/>
      <c r="B3193" s="58" t="s">
        <v>8249</v>
      </c>
      <c r="C3193" s="58" t="s">
        <v>1413</v>
      </c>
      <c r="D3193" s="58" t="s">
        <v>8250</v>
      </c>
      <c r="E3193" s="60" t="b">
        <v>1</v>
      </c>
      <c r="F3193" s="80" t="s">
        <v>1062</v>
      </c>
      <c r="G3193" s="58" t="s">
        <v>8249</v>
      </c>
      <c r="H3193" s="58" t="s">
        <v>1413</v>
      </c>
      <c r="I3193" s="64" t="s">
        <v>8250</v>
      </c>
      <c r="J3193" s="66"/>
      <c r="K3193" s="66"/>
      <c r="L3193" s="68"/>
      <c r="M3193" s="63" t="str">
        <f>HYPERLINK("http://nsgreg.nga.mil/genc/view?v=871083&amp;end_month=12&amp;end_day=31&amp;end_year=2016","Correlation")</f>
        <v>Correlation</v>
      </c>
    </row>
    <row r="3194" spans="1:13" x14ac:dyDescent="0.2">
      <c r="A3194" s="113"/>
      <c r="B3194" s="58" t="s">
        <v>8251</v>
      </c>
      <c r="C3194" s="58" t="s">
        <v>1413</v>
      </c>
      <c r="D3194" s="58" t="s">
        <v>8252</v>
      </c>
      <c r="E3194" s="60" t="b">
        <v>1</v>
      </c>
      <c r="F3194" s="80" t="s">
        <v>1062</v>
      </c>
      <c r="G3194" s="58" t="s">
        <v>8251</v>
      </c>
      <c r="H3194" s="58" t="s">
        <v>1413</v>
      </c>
      <c r="I3194" s="64" t="s">
        <v>8252</v>
      </c>
      <c r="J3194" s="66"/>
      <c r="K3194" s="66"/>
      <c r="L3194" s="68"/>
      <c r="M3194" s="63" t="str">
        <f>HYPERLINK("http://nsgreg.nga.mil/genc/view?v=871084&amp;end_month=12&amp;end_day=31&amp;end_year=2016","Correlation")</f>
        <v>Correlation</v>
      </c>
    </row>
    <row r="3195" spans="1:13" x14ac:dyDescent="0.2">
      <c r="A3195" s="113"/>
      <c r="B3195" s="58" t="s">
        <v>8255</v>
      </c>
      <c r="C3195" s="58" t="s">
        <v>1413</v>
      </c>
      <c r="D3195" s="58" t="s">
        <v>8256</v>
      </c>
      <c r="E3195" s="60" t="b">
        <v>1</v>
      </c>
      <c r="F3195" s="80" t="s">
        <v>1062</v>
      </c>
      <c r="G3195" s="58" t="s">
        <v>8255</v>
      </c>
      <c r="H3195" s="58" t="s">
        <v>1413</v>
      </c>
      <c r="I3195" s="64" t="s">
        <v>8256</v>
      </c>
      <c r="J3195" s="66"/>
      <c r="K3195" s="66"/>
      <c r="L3195" s="68"/>
      <c r="M3195" s="63" t="str">
        <f>HYPERLINK("http://nsgreg.nga.mil/genc/view?v=871085&amp;end_month=12&amp;end_day=31&amp;end_year=2016","Correlation")</f>
        <v>Correlation</v>
      </c>
    </row>
    <row r="3196" spans="1:13" x14ac:dyDescent="0.2">
      <c r="A3196" s="113"/>
      <c r="B3196" s="58" t="s">
        <v>8259</v>
      </c>
      <c r="C3196" s="58" t="s">
        <v>1728</v>
      </c>
      <c r="D3196" s="58" t="s">
        <v>8260</v>
      </c>
      <c r="E3196" s="60" t="b">
        <v>1</v>
      </c>
      <c r="F3196" s="80" t="s">
        <v>1062</v>
      </c>
      <c r="G3196" s="58" t="s">
        <v>8259</v>
      </c>
      <c r="H3196" s="58" t="s">
        <v>1728</v>
      </c>
      <c r="I3196" s="64" t="s">
        <v>8260</v>
      </c>
      <c r="J3196" s="66"/>
      <c r="K3196" s="66"/>
      <c r="L3196" s="68"/>
      <c r="M3196" s="63" t="str">
        <f>HYPERLINK("http://nsgreg.nga.mil/genc/view?v=871053&amp;end_month=12&amp;end_day=31&amp;end_year=2016","Correlation")</f>
        <v>Correlation</v>
      </c>
    </row>
    <row r="3197" spans="1:13" x14ac:dyDescent="0.2">
      <c r="A3197" s="113"/>
      <c r="B3197" s="58" t="s">
        <v>8263</v>
      </c>
      <c r="C3197" s="58" t="s">
        <v>1728</v>
      </c>
      <c r="D3197" s="58" t="s">
        <v>8262</v>
      </c>
      <c r="E3197" s="60" t="b">
        <v>1</v>
      </c>
      <c r="F3197" s="80" t="s">
        <v>1062</v>
      </c>
      <c r="G3197" s="58" t="s">
        <v>8261</v>
      </c>
      <c r="H3197" s="58" t="s">
        <v>1728</v>
      </c>
      <c r="I3197" s="64" t="s">
        <v>8262</v>
      </c>
      <c r="J3197" s="66"/>
      <c r="K3197" s="66"/>
      <c r="L3197" s="68"/>
      <c r="M3197" s="63" t="str">
        <f>HYPERLINK("http://nsgreg.nga.mil/genc/view?v=871066&amp;end_month=12&amp;end_day=31&amp;end_year=2016","Correlation")</f>
        <v>Correlation</v>
      </c>
    </row>
    <row r="3198" spans="1:13" x14ac:dyDescent="0.2">
      <c r="A3198" s="113"/>
      <c r="B3198" s="58" t="s">
        <v>8266</v>
      </c>
      <c r="C3198" s="58" t="s">
        <v>1413</v>
      </c>
      <c r="D3198" s="58" t="s">
        <v>8267</v>
      </c>
      <c r="E3198" s="60" t="b">
        <v>1</v>
      </c>
      <c r="F3198" s="80" t="s">
        <v>1062</v>
      </c>
      <c r="G3198" s="58" t="s">
        <v>8266</v>
      </c>
      <c r="H3198" s="58" t="s">
        <v>1413</v>
      </c>
      <c r="I3198" s="64" t="s">
        <v>8267</v>
      </c>
      <c r="J3198" s="66"/>
      <c r="K3198" s="66"/>
      <c r="L3198" s="68"/>
      <c r="M3198" s="63" t="str">
        <f>HYPERLINK("http://nsgreg.nga.mil/genc/view?v=871087&amp;end_month=12&amp;end_day=31&amp;end_year=2016","Correlation")</f>
        <v>Correlation</v>
      </c>
    </row>
    <row r="3199" spans="1:13" x14ac:dyDescent="0.2">
      <c r="A3199" s="113"/>
      <c r="B3199" s="58" t="s">
        <v>8268</v>
      </c>
      <c r="C3199" s="58" t="s">
        <v>1413</v>
      </c>
      <c r="D3199" s="58" t="s">
        <v>8269</v>
      </c>
      <c r="E3199" s="60" t="b">
        <v>1</v>
      </c>
      <c r="F3199" s="80" t="s">
        <v>1062</v>
      </c>
      <c r="G3199" s="58" t="s">
        <v>8268</v>
      </c>
      <c r="H3199" s="58" t="s">
        <v>1413</v>
      </c>
      <c r="I3199" s="64" t="s">
        <v>8269</v>
      </c>
      <c r="J3199" s="66"/>
      <c r="K3199" s="66"/>
      <c r="L3199" s="68"/>
      <c r="M3199" s="63" t="str">
        <f>HYPERLINK("http://nsgreg.nga.mil/genc/view?v=871089&amp;end_month=12&amp;end_day=31&amp;end_year=2016","Correlation")</f>
        <v>Correlation</v>
      </c>
    </row>
    <row r="3200" spans="1:13" x14ac:dyDescent="0.2">
      <c r="A3200" s="113"/>
      <c r="B3200" s="58" t="s">
        <v>8270</v>
      </c>
      <c r="C3200" s="58" t="s">
        <v>1413</v>
      </c>
      <c r="D3200" s="58" t="s">
        <v>8271</v>
      </c>
      <c r="E3200" s="60" t="b">
        <v>1</v>
      </c>
      <c r="F3200" s="80" t="s">
        <v>1062</v>
      </c>
      <c r="G3200" s="58" t="s">
        <v>8270</v>
      </c>
      <c r="H3200" s="58" t="s">
        <v>1413</v>
      </c>
      <c r="I3200" s="64" t="s">
        <v>8271</v>
      </c>
      <c r="J3200" s="66"/>
      <c r="K3200" s="66"/>
      <c r="L3200" s="68"/>
      <c r="M3200" s="63" t="str">
        <f>HYPERLINK("http://nsgreg.nga.mil/genc/view?v=871086&amp;end_month=12&amp;end_day=31&amp;end_year=2016","Correlation")</f>
        <v>Correlation</v>
      </c>
    </row>
    <row r="3201" spans="1:13" x14ac:dyDescent="0.2">
      <c r="A3201" s="113"/>
      <c r="B3201" s="58" t="s">
        <v>8272</v>
      </c>
      <c r="C3201" s="58" t="s">
        <v>1413</v>
      </c>
      <c r="D3201" s="58" t="s">
        <v>8273</v>
      </c>
      <c r="E3201" s="60" t="b">
        <v>1</v>
      </c>
      <c r="F3201" s="80" t="s">
        <v>1062</v>
      </c>
      <c r="G3201" s="58" t="s">
        <v>8272</v>
      </c>
      <c r="H3201" s="58" t="s">
        <v>1413</v>
      </c>
      <c r="I3201" s="64" t="s">
        <v>8273</v>
      </c>
      <c r="J3201" s="66"/>
      <c r="K3201" s="66"/>
      <c r="L3201" s="68"/>
      <c r="M3201" s="63" t="str">
        <f>HYPERLINK("http://nsgreg.nga.mil/genc/view?v=871088&amp;end_month=12&amp;end_day=31&amp;end_year=2016","Correlation")</f>
        <v>Correlation</v>
      </c>
    </row>
    <row r="3202" spans="1:13" x14ac:dyDescent="0.2">
      <c r="A3202" s="113"/>
      <c r="B3202" s="58" t="s">
        <v>8276</v>
      </c>
      <c r="C3202" s="58" t="s">
        <v>1728</v>
      </c>
      <c r="D3202" s="58" t="s">
        <v>8275</v>
      </c>
      <c r="E3202" s="60" t="b">
        <v>1</v>
      </c>
      <c r="F3202" s="80" t="s">
        <v>1062</v>
      </c>
      <c r="G3202" s="58" t="s">
        <v>8274</v>
      </c>
      <c r="H3202" s="58" t="s">
        <v>1728</v>
      </c>
      <c r="I3202" s="64" t="s">
        <v>8275</v>
      </c>
      <c r="J3202" s="66"/>
      <c r="K3202" s="66"/>
      <c r="L3202" s="68"/>
      <c r="M3202" s="63" t="str">
        <f>HYPERLINK("http://nsgreg.nga.mil/genc/view?v=871063&amp;end_month=12&amp;end_day=31&amp;end_year=2016","Correlation")</f>
        <v>Correlation</v>
      </c>
    </row>
    <row r="3203" spans="1:13" x14ac:dyDescent="0.2">
      <c r="A3203" s="113"/>
      <c r="B3203" s="58" t="s">
        <v>8277</v>
      </c>
      <c r="C3203" s="58" t="s">
        <v>1413</v>
      </c>
      <c r="D3203" s="58" t="s">
        <v>8278</v>
      </c>
      <c r="E3203" s="60" t="b">
        <v>1</v>
      </c>
      <c r="F3203" s="80" t="s">
        <v>1062</v>
      </c>
      <c r="G3203" s="58" t="s">
        <v>8277</v>
      </c>
      <c r="H3203" s="58" t="s">
        <v>1413</v>
      </c>
      <c r="I3203" s="64" t="s">
        <v>8278</v>
      </c>
      <c r="J3203" s="66"/>
      <c r="K3203" s="66"/>
      <c r="L3203" s="68"/>
      <c r="M3203" s="63" t="str">
        <f>HYPERLINK("http://nsgreg.nga.mil/genc/view?v=871090&amp;end_month=12&amp;end_day=31&amp;end_year=2016","Correlation")</f>
        <v>Correlation</v>
      </c>
    </row>
    <row r="3204" spans="1:13" x14ac:dyDescent="0.2">
      <c r="A3204" s="113"/>
      <c r="B3204" s="58" t="s">
        <v>8279</v>
      </c>
      <c r="C3204" s="58" t="s">
        <v>1413</v>
      </c>
      <c r="D3204" s="58" t="s">
        <v>8280</v>
      </c>
      <c r="E3204" s="60" t="b">
        <v>1</v>
      </c>
      <c r="F3204" s="80" t="s">
        <v>1062</v>
      </c>
      <c r="G3204" s="58" t="s">
        <v>8279</v>
      </c>
      <c r="H3204" s="58" t="s">
        <v>1413</v>
      </c>
      <c r="I3204" s="64" t="s">
        <v>8280</v>
      </c>
      <c r="J3204" s="66"/>
      <c r="K3204" s="66"/>
      <c r="L3204" s="68"/>
      <c r="M3204" s="63" t="str">
        <f>HYPERLINK("http://nsgreg.nga.mil/genc/view?v=871091&amp;end_month=12&amp;end_day=31&amp;end_year=2016","Correlation")</f>
        <v>Correlation</v>
      </c>
    </row>
    <row r="3205" spans="1:13" x14ac:dyDescent="0.2">
      <c r="A3205" s="113"/>
      <c r="B3205" s="58" t="s">
        <v>8281</v>
      </c>
      <c r="C3205" s="58" t="s">
        <v>1413</v>
      </c>
      <c r="D3205" s="58" t="s">
        <v>8283</v>
      </c>
      <c r="E3205" s="60" t="b">
        <v>1</v>
      </c>
      <c r="F3205" s="80" t="s">
        <v>1062</v>
      </c>
      <c r="G3205" s="58" t="s">
        <v>8281</v>
      </c>
      <c r="H3205" s="58" t="s">
        <v>1413</v>
      </c>
      <c r="I3205" s="64" t="s">
        <v>8283</v>
      </c>
      <c r="J3205" s="66"/>
      <c r="K3205" s="66"/>
      <c r="L3205" s="68"/>
      <c r="M3205" s="63" t="str">
        <f>HYPERLINK("http://nsgreg.nga.mil/genc/view?v=871092&amp;end_month=12&amp;end_day=31&amp;end_year=2016","Correlation")</f>
        <v>Correlation</v>
      </c>
    </row>
    <row r="3206" spans="1:13" x14ac:dyDescent="0.2">
      <c r="A3206" s="113"/>
      <c r="B3206" s="58" t="s">
        <v>8284</v>
      </c>
      <c r="C3206" s="58" t="s">
        <v>1728</v>
      </c>
      <c r="D3206" s="58" t="s">
        <v>8285</v>
      </c>
      <c r="E3206" s="60" t="b">
        <v>1</v>
      </c>
      <c r="F3206" s="80" t="s">
        <v>1062</v>
      </c>
      <c r="G3206" s="58" t="s">
        <v>8284</v>
      </c>
      <c r="H3206" s="58" t="s">
        <v>1728</v>
      </c>
      <c r="I3206" s="64" t="s">
        <v>8285</v>
      </c>
      <c r="J3206" s="66"/>
      <c r="K3206" s="66"/>
      <c r="L3206" s="68"/>
      <c r="M3206" s="63" t="str">
        <f>HYPERLINK("http://nsgreg.nga.mil/genc/view?v=871054&amp;end_month=12&amp;end_day=31&amp;end_year=2016","Correlation")</f>
        <v>Correlation</v>
      </c>
    </row>
    <row r="3207" spans="1:13" x14ac:dyDescent="0.2">
      <c r="A3207" s="113"/>
      <c r="B3207" s="58" t="s">
        <v>8286</v>
      </c>
      <c r="C3207" s="58" t="s">
        <v>1728</v>
      </c>
      <c r="D3207" s="58" t="s">
        <v>8287</v>
      </c>
      <c r="E3207" s="60" t="b">
        <v>1</v>
      </c>
      <c r="F3207" s="80" t="s">
        <v>1062</v>
      </c>
      <c r="G3207" s="58" t="s">
        <v>8286</v>
      </c>
      <c r="H3207" s="58" t="s">
        <v>1728</v>
      </c>
      <c r="I3207" s="64" t="s">
        <v>8287</v>
      </c>
      <c r="J3207" s="66"/>
      <c r="K3207" s="66"/>
      <c r="L3207" s="68"/>
      <c r="M3207" s="63" t="str">
        <f>HYPERLINK("http://nsgreg.nga.mil/genc/view?v=871057&amp;end_month=12&amp;end_day=31&amp;end_year=2016","Correlation")</f>
        <v>Correlation</v>
      </c>
    </row>
    <row r="3208" spans="1:13" x14ac:dyDescent="0.2">
      <c r="A3208" s="113"/>
      <c r="B3208" s="58" t="s">
        <v>8288</v>
      </c>
      <c r="C3208" s="58" t="s">
        <v>1413</v>
      </c>
      <c r="D3208" s="58" t="s">
        <v>8289</v>
      </c>
      <c r="E3208" s="60" t="b">
        <v>1</v>
      </c>
      <c r="F3208" s="80" t="s">
        <v>1062</v>
      </c>
      <c r="G3208" s="58" t="s">
        <v>8288</v>
      </c>
      <c r="H3208" s="58" t="s">
        <v>1413</v>
      </c>
      <c r="I3208" s="64" t="s">
        <v>8289</v>
      </c>
      <c r="J3208" s="66"/>
      <c r="K3208" s="66"/>
      <c r="L3208" s="68"/>
      <c r="M3208" s="63" t="str">
        <f>HYPERLINK("http://nsgreg.nga.mil/genc/view?v=871093&amp;end_month=12&amp;end_day=31&amp;end_year=2016","Correlation")</f>
        <v>Correlation</v>
      </c>
    </row>
    <row r="3209" spans="1:13" x14ac:dyDescent="0.2">
      <c r="A3209" s="113"/>
      <c r="B3209" s="58" t="s">
        <v>8292</v>
      </c>
      <c r="C3209" s="58" t="s">
        <v>1728</v>
      </c>
      <c r="D3209" s="58" t="s">
        <v>8291</v>
      </c>
      <c r="E3209" s="60" t="b">
        <v>1</v>
      </c>
      <c r="F3209" s="80" t="s">
        <v>1062</v>
      </c>
      <c r="G3209" s="58" t="s">
        <v>8290</v>
      </c>
      <c r="H3209" s="58" t="s">
        <v>1728</v>
      </c>
      <c r="I3209" s="64" t="s">
        <v>8291</v>
      </c>
      <c r="J3209" s="66"/>
      <c r="K3209" s="66"/>
      <c r="L3209" s="68"/>
      <c r="M3209" s="63" t="str">
        <f>HYPERLINK("http://nsgreg.nga.mil/genc/view?v=871065&amp;end_month=12&amp;end_day=31&amp;end_year=2016","Correlation")</f>
        <v>Correlation</v>
      </c>
    </row>
    <row r="3210" spans="1:13" x14ac:dyDescent="0.2">
      <c r="A3210" s="113"/>
      <c r="B3210" s="58" t="s">
        <v>8293</v>
      </c>
      <c r="C3210" s="58" t="s">
        <v>1413</v>
      </c>
      <c r="D3210" s="58" t="s">
        <v>8296</v>
      </c>
      <c r="E3210" s="60" t="b">
        <v>1</v>
      </c>
      <c r="F3210" s="80" t="s">
        <v>1062</v>
      </c>
      <c r="G3210" s="58" t="s">
        <v>8293</v>
      </c>
      <c r="H3210" s="58" t="s">
        <v>1413</v>
      </c>
      <c r="I3210" s="64" t="s">
        <v>8296</v>
      </c>
      <c r="J3210" s="66"/>
      <c r="K3210" s="66"/>
      <c r="L3210" s="68"/>
      <c r="M3210" s="63" t="str">
        <f>HYPERLINK("http://nsgreg.nga.mil/genc/view?v=871120&amp;end_month=12&amp;end_day=31&amp;end_year=2016","Correlation")</f>
        <v>Correlation</v>
      </c>
    </row>
    <row r="3211" spans="1:13" x14ac:dyDescent="0.2">
      <c r="A3211" s="113"/>
      <c r="B3211" s="58" t="s">
        <v>8299</v>
      </c>
      <c r="C3211" s="58" t="s">
        <v>1728</v>
      </c>
      <c r="D3211" s="58" t="s">
        <v>8301</v>
      </c>
      <c r="E3211" s="60" t="b">
        <v>1</v>
      </c>
      <c r="F3211" s="80" t="s">
        <v>1062</v>
      </c>
      <c r="G3211" s="58" t="s">
        <v>8299</v>
      </c>
      <c r="H3211" s="58" t="s">
        <v>1728</v>
      </c>
      <c r="I3211" s="64" t="s">
        <v>8301</v>
      </c>
      <c r="J3211" s="66"/>
      <c r="K3211" s="66"/>
      <c r="L3211" s="68"/>
      <c r="M3211" s="63" t="str">
        <f>HYPERLINK("http://nsgreg.nga.mil/genc/view?v=871061&amp;end_month=12&amp;end_day=31&amp;end_year=2016","Correlation")</f>
        <v>Correlation</v>
      </c>
    </row>
    <row r="3212" spans="1:13" x14ac:dyDescent="0.2">
      <c r="A3212" s="113"/>
      <c r="B3212" s="58" t="s">
        <v>8302</v>
      </c>
      <c r="C3212" s="58" t="s">
        <v>1413</v>
      </c>
      <c r="D3212" s="58" t="s">
        <v>8303</v>
      </c>
      <c r="E3212" s="60" t="b">
        <v>1</v>
      </c>
      <c r="F3212" s="80" t="s">
        <v>1062</v>
      </c>
      <c r="G3212" s="58" t="s">
        <v>8302</v>
      </c>
      <c r="H3212" s="58" t="s">
        <v>1413</v>
      </c>
      <c r="I3212" s="64" t="s">
        <v>8303</v>
      </c>
      <c r="J3212" s="66"/>
      <c r="K3212" s="66"/>
      <c r="L3212" s="68"/>
      <c r="M3212" s="63" t="str">
        <f>HYPERLINK("http://nsgreg.nga.mil/genc/view?v=871096&amp;end_month=12&amp;end_day=31&amp;end_year=2016","Correlation")</f>
        <v>Correlation</v>
      </c>
    </row>
    <row r="3213" spans="1:13" x14ac:dyDescent="0.2">
      <c r="A3213" s="113"/>
      <c r="B3213" s="58" t="s">
        <v>8304</v>
      </c>
      <c r="C3213" s="58" t="s">
        <v>1413</v>
      </c>
      <c r="D3213" s="58" t="s">
        <v>8305</v>
      </c>
      <c r="E3213" s="60" t="b">
        <v>1</v>
      </c>
      <c r="F3213" s="80" t="s">
        <v>1062</v>
      </c>
      <c r="G3213" s="58" t="s">
        <v>8304</v>
      </c>
      <c r="H3213" s="58" t="s">
        <v>1413</v>
      </c>
      <c r="I3213" s="64" t="s">
        <v>8305</v>
      </c>
      <c r="J3213" s="66"/>
      <c r="K3213" s="66"/>
      <c r="L3213" s="68"/>
      <c r="M3213" s="63" t="str">
        <f>HYPERLINK("http://nsgreg.nga.mil/genc/view?v=871095&amp;end_month=12&amp;end_day=31&amp;end_year=2016","Correlation")</f>
        <v>Correlation</v>
      </c>
    </row>
    <row r="3214" spans="1:13" x14ac:dyDescent="0.2">
      <c r="A3214" s="113"/>
      <c r="B3214" s="58" t="s">
        <v>8306</v>
      </c>
      <c r="C3214" s="58" t="s">
        <v>1413</v>
      </c>
      <c r="D3214" s="58" t="s">
        <v>8307</v>
      </c>
      <c r="E3214" s="60" t="b">
        <v>1</v>
      </c>
      <c r="F3214" s="80" t="s">
        <v>1062</v>
      </c>
      <c r="G3214" s="58" t="s">
        <v>8306</v>
      </c>
      <c r="H3214" s="58" t="s">
        <v>1413</v>
      </c>
      <c r="I3214" s="64" t="s">
        <v>8307</v>
      </c>
      <c r="J3214" s="66"/>
      <c r="K3214" s="66"/>
      <c r="L3214" s="68"/>
      <c r="M3214" s="63" t="str">
        <f>HYPERLINK("http://nsgreg.nga.mil/genc/view?v=871098&amp;end_month=12&amp;end_day=31&amp;end_year=2016","Correlation")</f>
        <v>Correlation</v>
      </c>
    </row>
    <row r="3215" spans="1:13" x14ac:dyDescent="0.2">
      <c r="A3215" s="113"/>
      <c r="B3215" s="58" t="s">
        <v>8308</v>
      </c>
      <c r="C3215" s="58" t="s">
        <v>1413</v>
      </c>
      <c r="D3215" s="58" t="s">
        <v>8309</v>
      </c>
      <c r="E3215" s="60" t="b">
        <v>1</v>
      </c>
      <c r="F3215" s="80" t="s">
        <v>1062</v>
      </c>
      <c r="G3215" s="58" t="s">
        <v>8308</v>
      </c>
      <c r="H3215" s="58" t="s">
        <v>1413</v>
      </c>
      <c r="I3215" s="64" t="s">
        <v>8309</v>
      </c>
      <c r="J3215" s="66"/>
      <c r="K3215" s="66"/>
      <c r="L3215" s="68"/>
      <c r="M3215" s="63" t="str">
        <f>HYPERLINK("http://nsgreg.nga.mil/genc/view?v=871094&amp;end_month=12&amp;end_day=31&amp;end_year=2016","Correlation")</f>
        <v>Correlation</v>
      </c>
    </row>
    <row r="3216" spans="1:13" x14ac:dyDescent="0.2">
      <c r="A3216" s="113"/>
      <c r="B3216" s="58" t="s">
        <v>8310</v>
      </c>
      <c r="C3216" s="58" t="s">
        <v>1413</v>
      </c>
      <c r="D3216" s="58" t="s">
        <v>8311</v>
      </c>
      <c r="E3216" s="60" t="b">
        <v>1</v>
      </c>
      <c r="F3216" s="80" t="s">
        <v>1062</v>
      </c>
      <c r="G3216" s="58" t="s">
        <v>8310</v>
      </c>
      <c r="H3216" s="58" t="s">
        <v>1413</v>
      </c>
      <c r="I3216" s="64" t="s">
        <v>8311</v>
      </c>
      <c r="J3216" s="66"/>
      <c r="K3216" s="66"/>
      <c r="L3216" s="68"/>
      <c r="M3216" s="63" t="str">
        <f>HYPERLINK("http://nsgreg.nga.mil/genc/view?v=871097&amp;end_month=12&amp;end_day=31&amp;end_year=2016","Correlation")</f>
        <v>Correlation</v>
      </c>
    </row>
    <row r="3217" spans="1:13" x14ac:dyDescent="0.2">
      <c r="A3217" s="113"/>
      <c r="B3217" s="58" t="s">
        <v>8312</v>
      </c>
      <c r="C3217" s="58" t="s">
        <v>1413</v>
      </c>
      <c r="D3217" s="58" t="s">
        <v>8313</v>
      </c>
      <c r="E3217" s="60" t="b">
        <v>1</v>
      </c>
      <c r="F3217" s="80" t="s">
        <v>1062</v>
      </c>
      <c r="G3217" s="58" t="s">
        <v>8312</v>
      </c>
      <c r="H3217" s="58" t="s">
        <v>1413</v>
      </c>
      <c r="I3217" s="64" t="s">
        <v>8313</v>
      </c>
      <c r="J3217" s="66"/>
      <c r="K3217" s="66"/>
      <c r="L3217" s="68"/>
      <c r="M3217" s="63" t="str">
        <f>HYPERLINK("http://nsgreg.nga.mil/genc/view?v=871099&amp;end_month=12&amp;end_day=31&amp;end_year=2016","Correlation")</f>
        <v>Correlation</v>
      </c>
    </row>
    <row r="3218" spans="1:13" x14ac:dyDescent="0.2">
      <c r="A3218" s="113"/>
      <c r="B3218" s="58" t="s">
        <v>8314</v>
      </c>
      <c r="C3218" s="58" t="s">
        <v>1728</v>
      </c>
      <c r="D3218" s="58" t="s">
        <v>8315</v>
      </c>
      <c r="E3218" s="60" t="b">
        <v>1</v>
      </c>
      <c r="F3218" s="80" t="s">
        <v>1062</v>
      </c>
      <c r="G3218" s="58" t="s">
        <v>8314</v>
      </c>
      <c r="H3218" s="58" t="s">
        <v>1728</v>
      </c>
      <c r="I3218" s="64" t="s">
        <v>8315</v>
      </c>
      <c r="J3218" s="66"/>
      <c r="K3218" s="66"/>
      <c r="L3218" s="68"/>
      <c r="M3218" s="63" t="str">
        <f>HYPERLINK("http://nsgreg.nga.mil/genc/view?v=871058&amp;end_month=12&amp;end_day=31&amp;end_year=2016","Correlation")</f>
        <v>Correlation</v>
      </c>
    </row>
    <row r="3219" spans="1:13" x14ac:dyDescent="0.2">
      <c r="A3219" s="113"/>
      <c r="B3219" s="58" t="s">
        <v>8318</v>
      </c>
      <c r="C3219" s="58" t="s">
        <v>1413</v>
      </c>
      <c r="D3219" s="58" t="s">
        <v>8319</v>
      </c>
      <c r="E3219" s="60" t="b">
        <v>1</v>
      </c>
      <c r="F3219" s="80" t="s">
        <v>1062</v>
      </c>
      <c r="G3219" s="58" t="s">
        <v>8318</v>
      </c>
      <c r="H3219" s="58" t="s">
        <v>1413</v>
      </c>
      <c r="I3219" s="64" t="s">
        <v>8319</v>
      </c>
      <c r="J3219" s="66"/>
      <c r="K3219" s="66"/>
      <c r="L3219" s="68"/>
      <c r="M3219" s="63" t="str">
        <f>HYPERLINK("http://nsgreg.nga.mil/genc/view?v=871100&amp;end_month=12&amp;end_day=31&amp;end_year=2016","Correlation")</f>
        <v>Correlation</v>
      </c>
    </row>
    <row r="3220" spans="1:13" x14ac:dyDescent="0.2">
      <c r="A3220" s="113"/>
      <c r="B3220" s="58" t="s">
        <v>8320</v>
      </c>
      <c r="C3220" s="58" t="s">
        <v>1413</v>
      </c>
      <c r="D3220" s="58" t="s">
        <v>8321</v>
      </c>
      <c r="E3220" s="60" t="b">
        <v>1</v>
      </c>
      <c r="F3220" s="80" t="s">
        <v>1062</v>
      </c>
      <c r="G3220" s="58" t="s">
        <v>8320</v>
      </c>
      <c r="H3220" s="58" t="s">
        <v>1413</v>
      </c>
      <c r="I3220" s="64" t="s">
        <v>8321</v>
      </c>
      <c r="J3220" s="66"/>
      <c r="K3220" s="66"/>
      <c r="L3220" s="68"/>
      <c r="M3220" s="63" t="str">
        <f>HYPERLINK("http://nsgreg.nga.mil/genc/view?v=871101&amp;end_month=12&amp;end_day=31&amp;end_year=2016","Correlation")</f>
        <v>Correlation</v>
      </c>
    </row>
    <row r="3221" spans="1:13" x14ac:dyDescent="0.2">
      <c r="A3221" s="113"/>
      <c r="B3221" s="58" t="s">
        <v>8324</v>
      </c>
      <c r="C3221" s="58" t="s">
        <v>1728</v>
      </c>
      <c r="D3221" s="58" t="s">
        <v>8325</v>
      </c>
      <c r="E3221" s="60" t="b">
        <v>1</v>
      </c>
      <c r="F3221" s="80" t="s">
        <v>1062</v>
      </c>
      <c r="G3221" s="58" t="s">
        <v>8324</v>
      </c>
      <c r="H3221" s="58" t="s">
        <v>1728</v>
      </c>
      <c r="I3221" s="64" t="s">
        <v>8325</v>
      </c>
      <c r="J3221" s="66"/>
      <c r="K3221" s="66"/>
      <c r="L3221" s="68"/>
      <c r="M3221" s="63" t="str">
        <f>HYPERLINK("http://nsgreg.nga.mil/genc/view?v=871052&amp;end_month=12&amp;end_day=31&amp;end_year=2016","Correlation")</f>
        <v>Correlation</v>
      </c>
    </row>
    <row r="3222" spans="1:13" x14ac:dyDescent="0.2">
      <c r="A3222" s="113"/>
      <c r="B3222" s="58" t="s">
        <v>8326</v>
      </c>
      <c r="C3222" s="58" t="s">
        <v>1413</v>
      </c>
      <c r="D3222" s="58" t="s">
        <v>8327</v>
      </c>
      <c r="E3222" s="60" t="b">
        <v>1</v>
      </c>
      <c r="F3222" s="80" t="s">
        <v>1062</v>
      </c>
      <c r="G3222" s="58" t="s">
        <v>8326</v>
      </c>
      <c r="H3222" s="58" t="s">
        <v>1413</v>
      </c>
      <c r="I3222" s="64" t="s">
        <v>8327</v>
      </c>
      <c r="J3222" s="66"/>
      <c r="K3222" s="66"/>
      <c r="L3222" s="68"/>
      <c r="M3222" s="63" t="str">
        <f>HYPERLINK("http://nsgreg.nga.mil/genc/view?v=871103&amp;end_month=12&amp;end_day=31&amp;end_year=2016","Correlation")</f>
        <v>Correlation</v>
      </c>
    </row>
    <row r="3223" spans="1:13" x14ac:dyDescent="0.2">
      <c r="A3223" s="113"/>
      <c r="B3223" s="58" t="s">
        <v>8328</v>
      </c>
      <c r="C3223" s="58" t="s">
        <v>1413</v>
      </c>
      <c r="D3223" s="58" t="s">
        <v>8329</v>
      </c>
      <c r="E3223" s="60" t="b">
        <v>1</v>
      </c>
      <c r="F3223" s="80" t="s">
        <v>1062</v>
      </c>
      <c r="G3223" s="58" t="s">
        <v>8328</v>
      </c>
      <c r="H3223" s="58" t="s">
        <v>1413</v>
      </c>
      <c r="I3223" s="64" t="s">
        <v>8329</v>
      </c>
      <c r="J3223" s="66"/>
      <c r="K3223" s="66"/>
      <c r="L3223" s="68"/>
      <c r="M3223" s="63" t="str">
        <f>HYPERLINK("http://nsgreg.nga.mil/genc/view?v=871104&amp;end_month=12&amp;end_day=31&amp;end_year=2016","Correlation")</f>
        <v>Correlation</v>
      </c>
    </row>
    <row r="3224" spans="1:13" x14ac:dyDescent="0.2">
      <c r="A3224" s="113"/>
      <c r="B3224" s="58" t="s">
        <v>8330</v>
      </c>
      <c r="C3224" s="58" t="s">
        <v>1413</v>
      </c>
      <c r="D3224" s="58" t="s">
        <v>8332</v>
      </c>
      <c r="E3224" s="60" t="b">
        <v>1</v>
      </c>
      <c r="F3224" s="80" t="s">
        <v>1062</v>
      </c>
      <c r="G3224" s="58" t="s">
        <v>8330</v>
      </c>
      <c r="H3224" s="58" t="s">
        <v>1413</v>
      </c>
      <c r="I3224" s="64" t="s">
        <v>8332</v>
      </c>
      <c r="J3224" s="66"/>
      <c r="K3224" s="66"/>
      <c r="L3224" s="68"/>
      <c r="M3224" s="63" t="str">
        <f>HYPERLINK("http://nsgreg.nga.mil/genc/view?v=871102&amp;end_month=12&amp;end_day=31&amp;end_year=2016","Correlation")</f>
        <v>Correlation</v>
      </c>
    </row>
    <row r="3225" spans="1:13" x14ac:dyDescent="0.2">
      <c r="A3225" s="113"/>
      <c r="B3225" s="58" t="s">
        <v>8333</v>
      </c>
      <c r="C3225" s="58" t="s">
        <v>1413</v>
      </c>
      <c r="D3225" s="58" t="s">
        <v>8334</v>
      </c>
      <c r="E3225" s="60" t="b">
        <v>1</v>
      </c>
      <c r="F3225" s="80" t="s">
        <v>1062</v>
      </c>
      <c r="G3225" s="58" t="s">
        <v>8333</v>
      </c>
      <c r="H3225" s="58" t="s">
        <v>1413</v>
      </c>
      <c r="I3225" s="64" t="s">
        <v>8334</v>
      </c>
      <c r="J3225" s="66"/>
      <c r="K3225" s="66"/>
      <c r="L3225" s="68"/>
      <c r="M3225" s="63" t="str">
        <f>HYPERLINK("http://nsgreg.nga.mil/genc/view?v=871105&amp;end_month=12&amp;end_day=31&amp;end_year=2016","Correlation")</f>
        <v>Correlation</v>
      </c>
    </row>
    <row r="3226" spans="1:13" x14ac:dyDescent="0.2">
      <c r="A3226" s="113"/>
      <c r="B3226" s="58" t="s">
        <v>8335</v>
      </c>
      <c r="C3226" s="58" t="s">
        <v>1413</v>
      </c>
      <c r="D3226" s="58" t="s">
        <v>8336</v>
      </c>
      <c r="E3226" s="60" t="b">
        <v>1</v>
      </c>
      <c r="F3226" s="80" t="s">
        <v>1062</v>
      </c>
      <c r="G3226" s="58" t="s">
        <v>8335</v>
      </c>
      <c r="H3226" s="58" t="s">
        <v>1413</v>
      </c>
      <c r="I3226" s="64" t="s">
        <v>8336</v>
      </c>
      <c r="J3226" s="66"/>
      <c r="K3226" s="66"/>
      <c r="L3226" s="68"/>
      <c r="M3226" s="63" t="str">
        <f>HYPERLINK("http://nsgreg.nga.mil/genc/view?v=871106&amp;end_month=12&amp;end_day=31&amp;end_year=2016","Correlation")</f>
        <v>Correlation</v>
      </c>
    </row>
    <row r="3227" spans="1:13" x14ac:dyDescent="0.2">
      <c r="A3227" s="113"/>
      <c r="B3227" s="58" t="s">
        <v>8337</v>
      </c>
      <c r="C3227" s="58" t="s">
        <v>1413</v>
      </c>
      <c r="D3227" s="58" t="s">
        <v>8338</v>
      </c>
      <c r="E3227" s="60" t="b">
        <v>1</v>
      </c>
      <c r="F3227" s="80" t="s">
        <v>1062</v>
      </c>
      <c r="G3227" s="58" t="s">
        <v>8337</v>
      </c>
      <c r="H3227" s="58" t="s">
        <v>1413</v>
      </c>
      <c r="I3227" s="64" t="s">
        <v>8338</v>
      </c>
      <c r="J3227" s="66"/>
      <c r="K3227" s="66"/>
      <c r="L3227" s="68"/>
      <c r="M3227" s="63" t="str">
        <f>HYPERLINK("http://nsgreg.nga.mil/genc/view?v=871107&amp;end_month=12&amp;end_day=31&amp;end_year=2016","Correlation")</f>
        <v>Correlation</v>
      </c>
    </row>
    <row r="3228" spans="1:13" x14ac:dyDescent="0.2">
      <c r="A3228" s="113"/>
      <c r="B3228" s="58" t="s">
        <v>8339</v>
      </c>
      <c r="C3228" s="58" t="s">
        <v>1413</v>
      </c>
      <c r="D3228" s="58" t="s">
        <v>8340</v>
      </c>
      <c r="E3228" s="60" t="b">
        <v>1</v>
      </c>
      <c r="F3228" s="80" t="s">
        <v>1062</v>
      </c>
      <c r="G3228" s="58" t="s">
        <v>8339</v>
      </c>
      <c r="H3228" s="58" t="s">
        <v>1413</v>
      </c>
      <c r="I3228" s="64" t="s">
        <v>8340</v>
      </c>
      <c r="J3228" s="66"/>
      <c r="K3228" s="66"/>
      <c r="L3228" s="68"/>
      <c r="M3228" s="63" t="str">
        <f>HYPERLINK("http://nsgreg.nga.mil/genc/view?v=871108&amp;end_month=12&amp;end_day=31&amp;end_year=2016","Correlation")</f>
        <v>Correlation</v>
      </c>
    </row>
    <row r="3229" spans="1:13" x14ac:dyDescent="0.2">
      <c r="A3229" s="113"/>
      <c r="B3229" s="58" t="s">
        <v>8341</v>
      </c>
      <c r="C3229" s="58" t="s">
        <v>1413</v>
      </c>
      <c r="D3229" s="58" t="s">
        <v>8342</v>
      </c>
      <c r="E3229" s="60" t="b">
        <v>1</v>
      </c>
      <c r="F3229" s="80" t="s">
        <v>1062</v>
      </c>
      <c r="G3229" s="58" t="s">
        <v>8341</v>
      </c>
      <c r="H3229" s="58" t="s">
        <v>1413</v>
      </c>
      <c r="I3229" s="64" t="s">
        <v>8342</v>
      </c>
      <c r="J3229" s="66"/>
      <c r="K3229" s="66"/>
      <c r="L3229" s="68"/>
      <c r="M3229" s="63" t="str">
        <f>HYPERLINK("http://nsgreg.nga.mil/genc/view?v=871109&amp;end_month=12&amp;end_day=31&amp;end_year=2016","Correlation")</f>
        <v>Correlation</v>
      </c>
    </row>
    <row r="3230" spans="1:13" x14ac:dyDescent="0.2">
      <c r="A3230" s="113"/>
      <c r="B3230" s="58" t="s">
        <v>8347</v>
      </c>
      <c r="C3230" s="58" t="s">
        <v>1413</v>
      </c>
      <c r="D3230" s="58" t="s">
        <v>8348</v>
      </c>
      <c r="E3230" s="60" t="b">
        <v>1</v>
      </c>
      <c r="F3230" s="80" t="s">
        <v>1062</v>
      </c>
      <c r="G3230" s="58" t="s">
        <v>8347</v>
      </c>
      <c r="H3230" s="58" t="s">
        <v>1413</v>
      </c>
      <c r="I3230" s="64" t="s">
        <v>8348</v>
      </c>
      <c r="J3230" s="66"/>
      <c r="K3230" s="66"/>
      <c r="L3230" s="68"/>
      <c r="M3230" s="63" t="str">
        <f>HYPERLINK("http://nsgreg.nga.mil/genc/view?v=871111&amp;end_month=12&amp;end_day=31&amp;end_year=2016","Correlation")</f>
        <v>Correlation</v>
      </c>
    </row>
    <row r="3231" spans="1:13" x14ac:dyDescent="0.2">
      <c r="A3231" s="113"/>
      <c r="B3231" s="58" t="s">
        <v>8349</v>
      </c>
      <c r="C3231" s="58" t="s">
        <v>1413</v>
      </c>
      <c r="D3231" s="58" t="s">
        <v>8350</v>
      </c>
      <c r="E3231" s="60" t="b">
        <v>1</v>
      </c>
      <c r="F3231" s="80" t="s">
        <v>1062</v>
      </c>
      <c r="G3231" s="58" t="s">
        <v>8349</v>
      </c>
      <c r="H3231" s="58" t="s">
        <v>1413</v>
      </c>
      <c r="I3231" s="64" t="s">
        <v>8350</v>
      </c>
      <c r="J3231" s="66"/>
      <c r="K3231" s="66"/>
      <c r="L3231" s="68"/>
      <c r="M3231" s="63" t="str">
        <f>HYPERLINK("http://nsgreg.nga.mil/genc/view?v=871110&amp;end_month=12&amp;end_day=31&amp;end_year=2016","Correlation")</f>
        <v>Correlation</v>
      </c>
    </row>
    <row r="3232" spans="1:13" x14ac:dyDescent="0.2">
      <c r="A3232" s="113"/>
      <c r="B3232" s="58" t="s">
        <v>8353</v>
      </c>
      <c r="C3232" s="58" t="s">
        <v>1413</v>
      </c>
      <c r="D3232" s="58" t="s">
        <v>8354</v>
      </c>
      <c r="E3232" s="60" t="b">
        <v>1</v>
      </c>
      <c r="F3232" s="80" t="s">
        <v>1062</v>
      </c>
      <c r="G3232" s="58" t="s">
        <v>8353</v>
      </c>
      <c r="H3232" s="58" t="s">
        <v>1413</v>
      </c>
      <c r="I3232" s="64" t="s">
        <v>8354</v>
      </c>
      <c r="J3232" s="66"/>
      <c r="K3232" s="66"/>
      <c r="L3232" s="68"/>
      <c r="M3232" s="63" t="str">
        <f>HYPERLINK("http://nsgreg.nga.mil/genc/view?v=871113&amp;end_month=12&amp;end_day=31&amp;end_year=2016","Correlation")</f>
        <v>Correlation</v>
      </c>
    </row>
    <row r="3233" spans="1:13" x14ac:dyDescent="0.2">
      <c r="A3233" s="113"/>
      <c r="B3233" s="58" t="s">
        <v>8367</v>
      </c>
      <c r="C3233" s="58" t="s">
        <v>1413</v>
      </c>
      <c r="D3233" s="58" t="s">
        <v>8368</v>
      </c>
      <c r="E3233" s="60" t="b">
        <v>1</v>
      </c>
      <c r="F3233" s="80" t="s">
        <v>1062</v>
      </c>
      <c r="G3233" s="58" t="s">
        <v>8367</v>
      </c>
      <c r="H3233" s="58" t="s">
        <v>1413</v>
      </c>
      <c r="I3233" s="64" t="s">
        <v>8368</v>
      </c>
      <c r="J3233" s="66"/>
      <c r="K3233" s="66"/>
      <c r="L3233" s="68"/>
      <c r="M3233" s="63" t="str">
        <f>HYPERLINK("http://nsgreg.nga.mil/genc/view?v=871112&amp;end_month=12&amp;end_day=31&amp;end_year=2016","Correlation")</f>
        <v>Correlation</v>
      </c>
    </row>
    <row r="3234" spans="1:13" x14ac:dyDescent="0.2">
      <c r="A3234" s="113"/>
      <c r="B3234" s="58" t="s">
        <v>8369</v>
      </c>
      <c r="C3234" s="58" t="s">
        <v>1413</v>
      </c>
      <c r="D3234" s="58" t="s">
        <v>8370</v>
      </c>
      <c r="E3234" s="60" t="b">
        <v>1</v>
      </c>
      <c r="F3234" s="80" t="s">
        <v>1062</v>
      </c>
      <c r="G3234" s="58" t="s">
        <v>8369</v>
      </c>
      <c r="H3234" s="58" t="s">
        <v>1413</v>
      </c>
      <c r="I3234" s="64" t="s">
        <v>8370</v>
      </c>
      <c r="J3234" s="66"/>
      <c r="K3234" s="66"/>
      <c r="L3234" s="68"/>
      <c r="M3234" s="63" t="str">
        <f>HYPERLINK("http://nsgreg.nga.mil/genc/view?v=871114&amp;end_month=12&amp;end_day=31&amp;end_year=2016","Correlation")</f>
        <v>Correlation</v>
      </c>
    </row>
    <row r="3235" spans="1:13" x14ac:dyDescent="0.2">
      <c r="A3235" s="113"/>
      <c r="B3235" s="58" t="s">
        <v>8373</v>
      </c>
      <c r="C3235" s="58" t="s">
        <v>1728</v>
      </c>
      <c r="D3235" s="58" t="s">
        <v>8372</v>
      </c>
      <c r="E3235" s="60" t="b">
        <v>1</v>
      </c>
      <c r="F3235" s="80" t="s">
        <v>1062</v>
      </c>
      <c r="G3235" s="58" t="s">
        <v>8371</v>
      </c>
      <c r="H3235" s="58" t="s">
        <v>1728</v>
      </c>
      <c r="I3235" s="64" t="s">
        <v>8372</v>
      </c>
      <c r="J3235" s="66"/>
      <c r="K3235" s="66"/>
      <c r="L3235" s="68"/>
      <c r="M3235" s="63" t="str">
        <f>HYPERLINK("http://nsgreg.nga.mil/genc/view?v=871067&amp;end_month=12&amp;end_day=31&amp;end_year=2016","Correlation")</f>
        <v>Correlation</v>
      </c>
    </row>
    <row r="3236" spans="1:13" x14ac:dyDescent="0.2">
      <c r="A3236" s="113"/>
      <c r="B3236" s="58" t="s">
        <v>8403</v>
      </c>
      <c r="C3236" s="58" t="s">
        <v>1413</v>
      </c>
      <c r="D3236" s="58" t="s">
        <v>8402</v>
      </c>
      <c r="E3236" s="60" t="b">
        <v>1</v>
      </c>
      <c r="F3236" s="80" t="s">
        <v>1062</v>
      </c>
      <c r="G3236" s="58" t="s">
        <v>8401</v>
      </c>
      <c r="H3236" s="58" t="s">
        <v>1413</v>
      </c>
      <c r="I3236" s="64" t="s">
        <v>8402</v>
      </c>
      <c r="J3236" s="66"/>
      <c r="K3236" s="66"/>
      <c r="L3236" s="68"/>
      <c r="M3236" s="63" t="str">
        <f>HYPERLINK("http://nsgreg.nga.mil/genc/view?v=871115&amp;end_month=12&amp;end_day=31&amp;end_year=2016","Correlation")</f>
        <v>Correlation</v>
      </c>
    </row>
    <row r="3237" spans="1:13" x14ac:dyDescent="0.2">
      <c r="A3237" s="113"/>
      <c r="B3237" s="58" t="s">
        <v>8408</v>
      </c>
      <c r="C3237" s="58" t="s">
        <v>1413</v>
      </c>
      <c r="D3237" s="58" t="s">
        <v>8407</v>
      </c>
      <c r="E3237" s="60" t="b">
        <v>1</v>
      </c>
      <c r="F3237" s="80" t="s">
        <v>1062</v>
      </c>
      <c r="G3237" s="58" t="s">
        <v>8406</v>
      </c>
      <c r="H3237" s="58" t="s">
        <v>1413</v>
      </c>
      <c r="I3237" s="64" t="s">
        <v>8407</v>
      </c>
      <c r="J3237" s="66"/>
      <c r="K3237" s="66"/>
      <c r="L3237" s="68"/>
      <c r="M3237" s="63" t="str">
        <f>HYPERLINK("http://nsgreg.nga.mil/genc/view?v=871116&amp;end_month=12&amp;end_day=31&amp;end_year=2016","Correlation")</f>
        <v>Correlation</v>
      </c>
    </row>
    <row r="3238" spans="1:13" x14ac:dyDescent="0.2">
      <c r="A3238" s="113"/>
      <c r="B3238" s="58" t="s">
        <v>8374</v>
      </c>
      <c r="C3238" s="58" t="s">
        <v>1413</v>
      </c>
      <c r="D3238" s="58" t="s">
        <v>8375</v>
      </c>
      <c r="E3238" s="60" t="b">
        <v>1</v>
      </c>
      <c r="F3238" s="80" t="s">
        <v>1062</v>
      </c>
      <c r="G3238" s="58" t="s">
        <v>8374</v>
      </c>
      <c r="H3238" s="58" t="s">
        <v>1413</v>
      </c>
      <c r="I3238" s="64" t="s">
        <v>8375</v>
      </c>
      <c r="J3238" s="66"/>
      <c r="K3238" s="66"/>
      <c r="L3238" s="68"/>
      <c r="M3238" s="63" t="str">
        <f>HYPERLINK("http://nsgreg.nga.mil/genc/view?v=871118&amp;end_month=12&amp;end_day=31&amp;end_year=2016","Correlation")</f>
        <v>Correlation</v>
      </c>
    </row>
    <row r="3239" spans="1:13" x14ac:dyDescent="0.2">
      <c r="A3239" s="113"/>
      <c r="B3239" s="58" t="s">
        <v>8376</v>
      </c>
      <c r="C3239" s="58" t="s">
        <v>1413</v>
      </c>
      <c r="D3239" s="58" t="s">
        <v>8377</v>
      </c>
      <c r="E3239" s="60" t="b">
        <v>1</v>
      </c>
      <c r="F3239" s="80" t="s">
        <v>1062</v>
      </c>
      <c r="G3239" s="58" t="s">
        <v>8376</v>
      </c>
      <c r="H3239" s="58" t="s">
        <v>1413</v>
      </c>
      <c r="I3239" s="64" t="s">
        <v>8377</v>
      </c>
      <c r="J3239" s="66"/>
      <c r="K3239" s="66"/>
      <c r="L3239" s="68"/>
      <c r="M3239" s="63" t="str">
        <f>HYPERLINK("http://nsgreg.nga.mil/genc/view?v=871119&amp;end_month=12&amp;end_day=31&amp;end_year=2016","Correlation")</f>
        <v>Correlation</v>
      </c>
    </row>
    <row r="3240" spans="1:13" x14ac:dyDescent="0.2">
      <c r="A3240" s="113"/>
      <c r="B3240" s="58" t="s">
        <v>8380</v>
      </c>
      <c r="C3240" s="58" t="s">
        <v>1413</v>
      </c>
      <c r="D3240" s="58" t="s">
        <v>8379</v>
      </c>
      <c r="E3240" s="60" t="b">
        <v>1</v>
      </c>
      <c r="F3240" s="80" t="s">
        <v>1062</v>
      </c>
      <c r="G3240" s="58" t="s">
        <v>8378</v>
      </c>
      <c r="H3240" s="58" t="s">
        <v>1413</v>
      </c>
      <c r="I3240" s="64" t="s">
        <v>8379</v>
      </c>
      <c r="J3240" s="66"/>
      <c r="K3240" s="66"/>
      <c r="L3240" s="68"/>
      <c r="M3240" s="63" t="str">
        <f>HYPERLINK("http://nsgreg.nga.mil/genc/view?v=871117&amp;end_month=12&amp;end_day=31&amp;end_year=2016","Correlation")</f>
        <v>Correlation</v>
      </c>
    </row>
    <row r="3241" spans="1:13" x14ac:dyDescent="0.2">
      <c r="A3241" s="113"/>
      <c r="B3241" s="58" t="s">
        <v>8385</v>
      </c>
      <c r="C3241" s="58" t="s">
        <v>1728</v>
      </c>
      <c r="D3241" s="58" t="s">
        <v>8386</v>
      </c>
      <c r="E3241" s="60" t="b">
        <v>1</v>
      </c>
      <c r="F3241" s="80" t="s">
        <v>1062</v>
      </c>
      <c r="G3241" s="58" t="s">
        <v>8385</v>
      </c>
      <c r="H3241" s="58" t="s">
        <v>1728</v>
      </c>
      <c r="I3241" s="64" t="s">
        <v>8386</v>
      </c>
      <c r="J3241" s="66"/>
      <c r="K3241" s="66"/>
      <c r="L3241" s="68"/>
      <c r="M3241" s="63" t="str">
        <f>HYPERLINK("http://nsgreg.nga.mil/genc/view?v=871051&amp;end_month=12&amp;end_day=31&amp;end_year=2016","Correlation")</f>
        <v>Correlation</v>
      </c>
    </row>
    <row r="3242" spans="1:13" x14ac:dyDescent="0.2">
      <c r="A3242" s="113"/>
      <c r="B3242" s="58" t="s">
        <v>8389</v>
      </c>
      <c r="C3242" s="58" t="s">
        <v>1413</v>
      </c>
      <c r="D3242" s="58" t="s">
        <v>8390</v>
      </c>
      <c r="E3242" s="60" t="b">
        <v>1</v>
      </c>
      <c r="F3242" s="80" t="s">
        <v>1062</v>
      </c>
      <c r="G3242" s="58" t="s">
        <v>8389</v>
      </c>
      <c r="H3242" s="58" t="s">
        <v>1413</v>
      </c>
      <c r="I3242" s="64" t="s">
        <v>8390</v>
      </c>
      <c r="J3242" s="66"/>
      <c r="K3242" s="66"/>
      <c r="L3242" s="68"/>
      <c r="M3242" s="63" t="str">
        <f>HYPERLINK("http://nsgreg.nga.mil/genc/view?v=871121&amp;end_month=12&amp;end_day=31&amp;end_year=2016","Correlation")</f>
        <v>Correlation</v>
      </c>
    </row>
    <row r="3243" spans="1:13" x14ac:dyDescent="0.2">
      <c r="A3243" s="113"/>
      <c r="B3243" s="58" t="s">
        <v>8391</v>
      </c>
      <c r="C3243" s="58" t="s">
        <v>1413</v>
      </c>
      <c r="D3243" s="58" t="s">
        <v>8392</v>
      </c>
      <c r="E3243" s="60" t="b">
        <v>1</v>
      </c>
      <c r="F3243" s="80" t="s">
        <v>1062</v>
      </c>
      <c r="G3243" s="58" t="s">
        <v>8391</v>
      </c>
      <c r="H3243" s="58" t="s">
        <v>1413</v>
      </c>
      <c r="I3243" s="64" t="s">
        <v>8392</v>
      </c>
      <c r="J3243" s="66"/>
      <c r="K3243" s="66"/>
      <c r="L3243" s="68"/>
      <c r="M3243" s="63" t="str">
        <f>HYPERLINK("http://nsgreg.nga.mil/genc/view?v=871122&amp;end_month=12&amp;end_day=31&amp;end_year=2016","Correlation")</f>
        <v>Correlation</v>
      </c>
    </row>
    <row r="3244" spans="1:13" x14ac:dyDescent="0.2">
      <c r="A3244" s="113"/>
      <c r="B3244" s="58" t="s">
        <v>8393</v>
      </c>
      <c r="C3244" s="58" t="s">
        <v>1728</v>
      </c>
      <c r="D3244" s="58" t="s">
        <v>8394</v>
      </c>
      <c r="E3244" s="60" t="b">
        <v>1</v>
      </c>
      <c r="F3244" s="80" t="s">
        <v>1062</v>
      </c>
      <c r="G3244" s="58" t="s">
        <v>8393</v>
      </c>
      <c r="H3244" s="58" t="s">
        <v>1728</v>
      </c>
      <c r="I3244" s="64" t="s">
        <v>8394</v>
      </c>
      <c r="J3244" s="66"/>
      <c r="K3244" s="66"/>
      <c r="L3244" s="68"/>
      <c r="M3244" s="63" t="str">
        <f>HYPERLINK("http://nsgreg.nga.mil/genc/view?v=871060&amp;end_month=12&amp;end_day=31&amp;end_year=2016","Correlation")</f>
        <v>Correlation</v>
      </c>
    </row>
    <row r="3245" spans="1:13" x14ac:dyDescent="0.2">
      <c r="A3245" s="113"/>
      <c r="B3245" s="58" t="s">
        <v>8395</v>
      </c>
      <c r="C3245" s="58" t="s">
        <v>1413</v>
      </c>
      <c r="D3245" s="58" t="s">
        <v>8396</v>
      </c>
      <c r="E3245" s="60" t="b">
        <v>1</v>
      </c>
      <c r="F3245" s="80" t="s">
        <v>1062</v>
      </c>
      <c r="G3245" s="58" t="s">
        <v>8395</v>
      </c>
      <c r="H3245" s="58" t="s">
        <v>1413</v>
      </c>
      <c r="I3245" s="64" t="s">
        <v>8396</v>
      </c>
      <c r="J3245" s="66"/>
      <c r="K3245" s="66"/>
      <c r="L3245" s="68"/>
      <c r="M3245" s="63" t="str">
        <f>HYPERLINK("http://nsgreg.nga.mil/genc/view?v=871123&amp;end_month=12&amp;end_day=31&amp;end_year=2016","Correlation")</f>
        <v>Correlation</v>
      </c>
    </row>
    <row r="3246" spans="1:13" x14ac:dyDescent="0.2">
      <c r="A3246" s="113"/>
      <c r="B3246" s="58" t="s">
        <v>8397</v>
      </c>
      <c r="C3246" s="58" t="s">
        <v>1413</v>
      </c>
      <c r="D3246" s="58" t="s">
        <v>8398</v>
      </c>
      <c r="E3246" s="60" t="b">
        <v>1</v>
      </c>
      <c r="F3246" s="80" t="s">
        <v>1062</v>
      </c>
      <c r="G3246" s="58" t="s">
        <v>8397</v>
      </c>
      <c r="H3246" s="58" t="s">
        <v>1413</v>
      </c>
      <c r="I3246" s="64" t="s">
        <v>8398</v>
      </c>
      <c r="J3246" s="66"/>
      <c r="K3246" s="66"/>
      <c r="L3246" s="68"/>
      <c r="M3246" s="63" t="str">
        <f>HYPERLINK("http://nsgreg.nga.mil/genc/view?v=871124&amp;end_month=12&amp;end_day=31&amp;end_year=2016","Correlation")</f>
        <v>Correlation</v>
      </c>
    </row>
    <row r="3247" spans="1:13" x14ac:dyDescent="0.2">
      <c r="A3247" s="113"/>
      <c r="B3247" s="58" t="s">
        <v>8399</v>
      </c>
      <c r="C3247" s="58" t="s">
        <v>1413</v>
      </c>
      <c r="D3247" s="58" t="s">
        <v>8400</v>
      </c>
      <c r="E3247" s="60" t="b">
        <v>1</v>
      </c>
      <c r="F3247" s="80" t="s">
        <v>1062</v>
      </c>
      <c r="G3247" s="58" t="s">
        <v>8399</v>
      </c>
      <c r="H3247" s="58" t="s">
        <v>1413</v>
      </c>
      <c r="I3247" s="64" t="s">
        <v>8400</v>
      </c>
      <c r="J3247" s="66"/>
      <c r="K3247" s="66"/>
      <c r="L3247" s="68"/>
      <c r="M3247" s="63" t="str">
        <f>HYPERLINK("http://nsgreg.nga.mil/genc/view?v=871125&amp;end_month=12&amp;end_day=31&amp;end_year=2016","Correlation")</f>
        <v>Correlation</v>
      </c>
    </row>
    <row r="3248" spans="1:13" x14ac:dyDescent="0.2">
      <c r="A3248" s="113"/>
      <c r="B3248" s="58" t="s">
        <v>8411</v>
      </c>
      <c r="C3248" s="58" t="s">
        <v>1413</v>
      </c>
      <c r="D3248" s="58" t="s">
        <v>8412</v>
      </c>
      <c r="E3248" s="60" t="b">
        <v>1</v>
      </c>
      <c r="F3248" s="80" t="s">
        <v>1062</v>
      </c>
      <c r="G3248" s="58" t="s">
        <v>8411</v>
      </c>
      <c r="H3248" s="58" t="s">
        <v>1413</v>
      </c>
      <c r="I3248" s="64" t="s">
        <v>8412</v>
      </c>
      <c r="J3248" s="66"/>
      <c r="K3248" s="66"/>
      <c r="L3248" s="68"/>
      <c r="M3248" s="63" t="str">
        <f>HYPERLINK("http://nsgreg.nga.mil/genc/view?v=871128&amp;end_month=12&amp;end_day=31&amp;end_year=2016","Correlation")</f>
        <v>Correlation</v>
      </c>
    </row>
    <row r="3249" spans="1:13" x14ac:dyDescent="0.2">
      <c r="A3249" s="113"/>
      <c r="B3249" s="58" t="s">
        <v>8413</v>
      </c>
      <c r="C3249" s="58" t="s">
        <v>1413</v>
      </c>
      <c r="D3249" s="58" t="s">
        <v>8414</v>
      </c>
      <c r="E3249" s="60" t="b">
        <v>1</v>
      </c>
      <c r="F3249" s="80" t="s">
        <v>1062</v>
      </c>
      <c r="G3249" s="58" t="s">
        <v>8413</v>
      </c>
      <c r="H3249" s="58" t="s">
        <v>1413</v>
      </c>
      <c r="I3249" s="64" t="s">
        <v>8414</v>
      </c>
      <c r="J3249" s="66"/>
      <c r="K3249" s="66"/>
      <c r="L3249" s="68"/>
      <c r="M3249" s="63" t="str">
        <f>HYPERLINK("http://nsgreg.nga.mil/genc/view?v=871126&amp;end_month=12&amp;end_day=31&amp;end_year=2016","Correlation")</f>
        <v>Correlation</v>
      </c>
    </row>
    <row r="3250" spans="1:13" x14ac:dyDescent="0.2">
      <c r="A3250" s="113"/>
      <c r="B3250" s="58" t="s">
        <v>8415</v>
      </c>
      <c r="C3250" s="58" t="s">
        <v>1413</v>
      </c>
      <c r="D3250" s="58" t="s">
        <v>8416</v>
      </c>
      <c r="E3250" s="60" t="b">
        <v>1</v>
      </c>
      <c r="F3250" s="80" t="s">
        <v>1062</v>
      </c>
      <c r="G3250" s="58" t="s">
        <v>8415</v>
      </c>
      <c r="H3250" s="58" t="s">
        <v>1413</v>
      </c>
      <c r="I3250" s="64" t="s">
        <v>8416</v>
      </c>
      <c r="J3250" s="66"/>
      <c r="K3250" s="66"/>
      <c r="L3250" s="68"/>
      <c r="M3250" s="63" t="str">
        <f>HYPERLINK("http://nsgreg.nga.mil/genc/view?v=871127&amp;end_month=12&amp;end_day=31&amp;end_year=2016","Correlation")</f>
        <v>Correlation</v>
      </c>
    </row>
    <row r="3251" spans="1:13" x14ac:dyDescent="0.2">
      <c r="A3251" s="113"/>
      <c r="B3251" s="58" t="s">
        <v>8425</v>
      </c>
      <c r="C3251" s="58" t="s">
        <v>1413</v>
      </c>
      <c r="D3251" s="58" t="s">
        <v>8427</v>
      </c>
      <c r="E3251" s="60" t="b">
        <v>1</v>
      </c>
      <c r="F3251" s="80" t="s">
        <v>1062</v>
      </c>
      <c r="G3251" s="58" t="s">
        <v>8425</v>
      </c>
      <c r="H3251" s="58" t="s">
        <v>1413</v>
      </c>
      <c r="I3251" s="64" t="s">
        <v>8427</v>
      </c>
      <c r="J3251" s="66"/>
      <c r="K3251" s="66"/>
      <c r="L3251" s="68"/>
      <c r="M3251" s="63" t="str">
        <f>HYPERLINK("http://nsgreg.nga.mil/genc/view?v=871129&amp;end_month=12&amp;end_day=31&amp;end_year=2016","Correlation")</f>
        <v>Correlation</v>
      </c>
    </row>
    <row r="3252" spans="1:13" x14ac:dyDescent="0.2">
      <c r="A3252" s="113"/>
      <c r="B3252" s="58" t="s">
        <v>8428</v>
      </c>
      <c r="C3252" s="58" t="s">
        <v>1413</v>
      </c>
      <c r="D3252" s="58" t="s">
        <v>8429</v>
      </c>
      <c r="E3252" s="60" t="b">
        <v>1</v>
      </c>
      <c r="F3252" s="80" t="s">
        <v>1062</v>
      </c>
      <c r="G3252" s="58" t="s">
        <v>8428</v>
      </c>
      <c r="H3252" s="58" t="s">
        <v>1413</v>
      </c>
      <c r="I3252" s="64" t="s">
        <v>8429</v>
      </c>
      <c r="J3252" s="66"/>
      <c r="K3252" s="66"/>
      <c r="L3252" s="68"/>
      <c r="M3252" s="63" t="str">
        <f>HYPERLINK("http://nsgreg.nga.mil/genc/view?v=871130&amp;end_month=12&amp;end_day=31&amp;end_year=2016","Correlation")</f>
        <v>Correlation</v>
      </c>
    </row>
    <row r="3253" spans="1:13" x14ac:dyDescent="0.2">
      <c r="A3253" s="113"/>
      <c r="B3253" s="58" t="s">
        <v>8430</v>
      </c>
      <c r="C3253" s="58" t="s">
        <v>1413</v>
      </c>
      <c r="D3253" s="58" t="s">
        <v>8431</v>
      </c>
      <c r="E3253" s="60" t="b">
        <v>1</v>
      </c>
      <c r="F3253" s="80" t="s">
        <v>1062</v>
      </c>
      <c r="G3253" s="58" t="s">
        <v>8430</v>
      </c>
      <c r="H3253" s="58" t="s">
        <v>1413</v>
      </c>
      <c r="I3253" s="64" t="s">
        <v>8431</v>
      </c>
      <c r="J3253" s="66"/>
      <c r="K3253" s="66"/>
      <c r="L3253" s="68"/>
      <c r="M3253" s="63" t="str">
        <f>HYPERLINK("http://nsgreg.nga.mil/genc/view?v=871131&amp;end_month=12&amp;end_day=31&amp;end_year=2016","Correlation")</f>
        <v>Correlation</v>
      </c>
    </row>
    <row r="3254" spans="1:13" x14ac:dyDescent="0.2">
      <c r="A3254" s="113"/>
      <c r="B3254" s="58" t="s">
        <v>8432</v>
      </c>
      <c r="C3254" s="58" t="s">
        <v>1413</v>
      </c>
      <c r="D3254" s="58" t="s">
        <v>8433</v>
      </c>
      <c r="E3254" s="60" t="b">
        <v>1</v>
      </c>
      <c r="F3254" s="80" t="s">
        <v>1062</v>
      </c>
      <c r="G3254" s="58" t="s">
        <v>8432</v>
      </c>
      <c r="H3254" s="58" t="s">
        <v>1413</v>
      </c>
      <c r="I3254" s="64" t="s">
        <v>8433</v>
      </c>
      <c r="J3254" s="66"/>
      <c r="K3254" s="66"/>
      <c r="L3254" s="68"/>
      <c r="M3254" s="63" t="str">
        <f>HYPERLINK("http://nsgreg.nga.mil/genc/view?v=871132&amp;end_month=12&amp;end_day=31&amp;end_year=2016","Correlation")</f>
        <v>Correlation</v>
      </c>
    </row>
    <row r="3255" spans="1:13" x14ac:dyDescent="0.2">
      <c r="A3255" s="113"/>
      <c r="B3255" s="58" t="s">
        <v>8434</v>
      </c>
      <c r="C3255" s="58" t="s">
        <v>1413</v>
      </c>
      <c r="D3255" s="58" t="s">
        <v>8435</v>
      </c>
      <c r="E3255" s="60" t="b">
        <v>1</v>
      </c>
      <c r="F3255" s="80" t="s">
        <v>1062</v>
      </c>
      <c r="G3255" s="58" t="s">
        <v>8434</v>
      </c>
      <c r="H3255" s="58" t="s">
        <v>1413</v>
      </c>
      <c r="I3255" s="64" t="s">
        <v>8435</v>
      </c>
      <c r="J3255" s="66"/>
      <c r="K3255" s="66"/>
      <c r="L3255" s="68"/>
      <c r="M3255" s="63" t="str">
        <f>HYPERLINK("http://nsgreg.nga.mil/genc/view?v=871144&amp;end_month=12&amp;end_day=31&amp;end_year=2016","Correlation")</f>
        <v>Correlation</v>
      </c>
    </row>
    <row r="3256" spans="1:13" x14ac:dyDescent="0.2">
      <c r="A3256" s="113"/>
      <c r="B3256" s="58" t="s">
        <v>8438</v>
      </c>
      <c r="C3256" s="58" t="s">
        <v>1413</v>
      </c>
      <c r="D3256" s="58" t="s">
        <v>8439</v>
      </c>
      <c r="E3256" s="60" t="b">
        <v>1</v>
      </c>
      <c r="F3256" s="80" t="s">
        <v>1062</v>
      </c>
      <c r="G3256" s="58" t="s">
        <v>8438</v>
      </c>
      <c r="H3256" s="58" t="s">
        <v>1413</v>
      </c>
      <c r="I3256" s="64" t="s">
        <v>8439</v>
      </c>
      <c r="J3256" s="66"/>
      <c r="K3256" s="66"/>
      <c r="L3256" s="68"/>
      <c r="M3256" s="63" t="str">
        <f>HYPERLINK("http://nsgreg.nga.mil/genc/view?v=871133&amp;end_month=12&amp;end_day=31&amp;end_year=2016","Correlation")</f>
        <v>Correlation</v>
      </c>
    </row>
    <row r="3257" spans="1:13" x14ac:dyDescent="0.2">
      <c r="A3257" s="113"/>
      <c r="B3257" s="58" t="s">
        <v>8440</v>
      </c>
      <c r="C3257" s="58" t="s">
        <v>1413</v>
      </c>
      <c r="D3257" s="58" t="s">
        <v>8441</v>
      </c>
      <c r="E3257" s="60" t="b">
        <v>1</v>
      </c>
      <c r="F3257" s="80" t="s">
        <v>1062</v>
      </c>
      <c r="G3257" s="58" t="s">
        <v>8440</v>
      </c>
      <c r="H3257" s="58" t="s">
        <v>1413</v>
      </c>
      <c r="I3257" s="64" t="s">
        <v>8441</v>
      </c>
      <c r="J3257" s="66"/>
      <c r="K3257" s="66"/>
      <c r="L3257" s="68"/>
      <c r="M3257" s="63" t="str">
        <f>HYPERLINK("http://nsgreg.nga.mil/genc/view?v=871135&amp;end_month=12&amp;end_day=31&amp;end_year=2016","Correlation")</f>
        <v>Correlation</v>
      </c>
    </row>
    <row r="3258" spans="1:13" x14ac:dyDescent="0.2">
      <c r="A3258" s="113"/>
      <c r="B3258" s="58" t="s">
        <v>8444</v>
      </c>
      <c r="C3258" s="58" t="s">
        <v>1728</v>
      </c>
      <c r="D3258" s="58" t="s">
        <v>8443</v>
      </c>
      <c r="E3258" s="60" t="b">
        <v>1</v>
      </c>
      <c r="F3258" s="80" t="s">
        <v>1062</v>
      </c>
      <c r="G3258" s="58" t="s">
        <v>8442</v>
      </c>
      <c r="H3258" s="58" t="s">
        <v>1728</v>
      </c>
      <c r="I3258" s="64" t="s">
        <v>8443</v>
      </c>
      <c r="J3258" s="66"/>
      <c r="K3258" s="66"/>
      <c r="L3258" s="68"/>
      <c r="M3258" s="63" t="str">
        <f>HYPERLINK("http://nsgreg.nga.mil/genc/view?v=871062&amp;end_month=12&amp;end_day=31&amp;end_year=2016","Correlation")</f>
        <v>Correlation</v>
      </c>
    </row>
    <row r="3259" spans="1:13" x14ac:dyDescent="0.2">
      <c r="A3259" s="113"/>
      <c r="B3259" s="58" t="s">
        <v>8445</v>
      </c>
      <c r="C3259" s="58" t="s">
        <v>1413</v>
      </c>
      <c r="D3259" s="58" t="s">
        <v>8446</v>
      </c>
      <c r="E3259" s="60" t="b">
        <v>1</v>
      </c>
      <c r="F3259" s="80" t="s">
        <v>1062</v>
      </c>
      <c r="G3259" s="58" t="s">
        <v>8445</v>
      </c>
      <c r="H3259" s="58" t="s">
        <v>1413</v>
      </c>
      <c r="I3259" s="64" t="s">
        <v>8446</v>
      </c>
      <c r="J3259" s="66"/>
      <c r="K3259" s="66"/>
      <c r="L3259" s="68"/>
      <c r="M3259" s="63" t="str">
        <f>HYPERLINK("http://nsgreg.nga.mil/genc/view?v=871138&amp;end_month=12&amp;end_day=31&amp;end_year=2016","Correlation")</f>
        <v>Correlation</v>
      </c>
    </row>
    <row r="3260" spans="1:13" x14ac:dyDescent="0.2">
      <c r="A3260" s="113"/>
      <c r="B3260" s="58" t="s">
        <v>8447</v>
      </c>
      <c r="C3260" s="58" t="s">
        <v>1413</v>
      </c>
      <c r="D3260" s="58" t="s">
        <v>8448</v>
      </c>
      <c r="E3260" s="60" t="b">
        <v>1</v>
      </c>
      <c r="F3260" s="80" t="s">
        <v>1062</v>
      </c>
      <c r="G3260" s="58" t="s">
        <v>8447</v>
      </c>
      <c r="H3260" s="58" t="s">
        <v>1413</v>
      </c>
      <c r="I3260" s="64" t="s">
        <v>8448</v>
      </c>
      <c r="J3260" s="66"/>
      <c r="K3260" s="66"/>
      <c r="L3260" s="68"/>
      <c r="M3260" s="63" t="str">
        <f>HYPERLINK("http://nsgreg.nga.mil/genc/view?v=871134&amp;end_month=12&amp;end_day=31&amp;end_year=2016","Correlation")</f>
        <v>Correlation</v>
      </c>
    </row>
    <row r="3261" spans="1:13" x14ac:dyDescent="0.2">
      <c r="A3261" s="113"/>
      <c r="B3261" s="58" t="s">
        <v>8449</v>
      </c>
      <c r="C3261" s="58" t="s">
        <v>1413</v>
      </c>
      <c r="D3261" s="58" t="s">
        <v>8450</v>
      </c>
      <c r="E3261" s="60" t="b">
        <v>1</v>
      </c>
      <c r="F3261" s="80" t="s">
        <v>1062</v>
      </c>
      <c r="G3261" s="58" t="s">
        <v>8449</v>
      </c>
      <c r="H3261" s="58" t="s">
        <v>1413</v>
      </c>
      <c r="I3261" s="64" t="s">
        <v>8450</v>
      </c>
      <c r="J3261" s="66"/>
      <c r="K3261" s="66"/>
      <c r="L3261" s="68"/>
      <c r="M3261" s="63" t="str">
        <f>HYPERLINK("http://nsgreg.nga.mil/genc/view?v=871136&amp;end_month=12&amp;end_day=31&amp;end_year=2016","Correlation")</f>
        <v>Correlation</v>
      </c>
    </row>
    <row r="3262" spans="1:13" x14ac:dyDescent="0.2">
      <c r="A3262" s="113"/>
      <c r="B3262" s="58" t="s">
        <v>8451</v>
      </c>
      <c r="C3262" s="58" t="s">
        <v>1413</v>
      </c>
      <c r="D3262" s="58" t="s">
        <v>8452</v>
      </c>
      <c r="E3262" s="60" t="b">
        <v>1</v>
      </c>
      <c r="F3262" s="80" t="s">
        <v>1062</v>
      </c>
      <c r="G3262" s="58" t="s">
        <v>8451</v>
      </c>
      <c r="H3262" s="58" t="s">
        <v>1413</v>
      </c>
      <c r="I3262" s="64" t="s">
        <v>8452</v>
      </c>
      <c r="J3262" s="66"/>
      <c r="K3262" s="66"/>
      <c r="L3262" s="68"/>
      <c r="M3262" s="63" t="str">
        <f>HYPERLINK("http://nsgreg.nga.mil/genc/view?v=871139&amp;end_month=12&amp;end_day=31&amp;end_year=2016","Correlation")</f>
        <v>Correlation</v>
      </c>
    </row>
    <row r="3263" spans="1:13" x14ac:dyDescent="0.2">
      <c r="A3263" s="113"/>
      <c r="B3263" s="58" t="s">
        <v>8453</v>
      </c>
      <c r="C3263" s="58" t="s">
        <v>1413</v>
      </c>
      <c r="D3263" s="58" t="s">
        <v>8454</v>
      </c>
      <c r="E3263" s="60" t="b">
        <v>1</v>
      </c>
      <c r="F3263" s="80" t="s">
        <v>1062</v>
      </c>
      <c r="G3263" s="58" t="s">
        <v>8453</v>
      </c>
      <c r="H3263" s="58" t="s">
        <v>1413</v>
      </c>
      <c r="I3263" s="64" t="s">
        <v>8454</v>
      </c>
      <c r="J3263" s="66"/>
      <c r="K3263" s="66"/>
      <c r="L3263" s="68"/>
      <c r="M3263" s="63" t="str">
        <f>HYPERLINK("http://nsgreg.nga.mil/genc/view?v=871137&amp;end_month=12&amp;end_day=31&amp;end_year=2016","Correlation")</f>
        <v>Correlation</v>
      </c>
    </row>
    <row r="3264" spans="1:13" x14ac:dyDescent="0.2">
      <c r="A3264" s="113"/>
      <c r="B3264" s="58" t="s">
        <v>8455</v>
      </c>
      <c r="C3264" s="58" t="s">
        <v>1413</v>
      </c>
      <c r="D3264" s="58" t="s">
        <v>8456</v>
      </c>
      <c r="E3264" s="60" t="b">
        <v>1</v>
      </c>
      <c r="F3264" s="80" t="s">
        <v>1062</v>
      </c>
      <c r="G3264" s="58" t="s">
        <v>8455</v>
      </c>
      <c r="H3264" s="58" t="s">
        <v>1413</v>
      </c>
      <c r="I3264" s="64" t="s">
        <v>8456</v>
      </c>
      <c r="J3264" s="66"/>
      <c r="K3264" s="66"/>
      <c r="L3264" s="68"/>
      <c r="M3264" s="63" t="str">
        <f>HYPERLINK("http://nsgreg.nga.mil/genc/view?v=871140&amp;end_month=12&amp;end_day=31&amp;end_year=2016","Correlation")</f>
        <v>Correlation</v>
      </c>
    </row>
    <row r="3265" spans="1:13" x14ac:dyDescent="0.2">
      <c r="A3265" s="113"/>
      <c r="B3265" s="58" t="s">
        <v>8457</v>
      </c>
      <c r="C3265" s="58" t="s">
        <v>1413</v>
      </c>
      <c r="D3265" s="58" t="s">
        <v>8458</v>
      </c>
      <c r="E3265" s="60" t="b">
        <v>1</v>
      </c>
      <c r="F3265" s="80" t="s">
        <v>1062</v>
      </c>
      <c r="G3265" s="58" t="s">
        <v>8457</v>
      </c>
      <c r="H3265" s="58" t="s">
        <v>1413</v>
      </c>
      <c r="I3265" s="64" t="s">
        <v>8458</v>
      </c>
      <c r="J3265" s="66"/>
      <c r="K3265" s="66"/>
      <c r="L3265" s="68"/>
      <c r="M3265" s="63" t="str">
        <f>HYPERLINK("http://nsgreg.nga.mil/genc/view?v=871141&amp;end_month=12&amp;end_day=31&amp;end_year=2016","Correlation")</f>
        <v>Correlation</v>
      </c>
    </row>
    <row r="3266" spans="1:13" x14ac:dyDescent="0.2">
      <c r="A3266" s="113"/>
      <c r="B3266" s="58" t="s">
        <v>8463</v>
      </c>
      <c r="C3266" s="58" t="s">
        <v>1413</v>
      </c>
      <c r="D3266" s="58" t="s">
        <v>8464</v>
      </c>
      <c r="E3266" s="60" t="b">
        <v>1</v>
      </c>
      <c r="F3266" s="80" t="s">
        <v>1062</v>
      </c>
      <c r="G3266" s="58" t="s">
        <v>8463</v>
      </c>
      <c r="H3266" s="58" t="s">
        <v>1413</v>
      </c>
      <c r="I3266" s="64" t="s">
        <v>8464</v>
      </c>
      <c r="J3266" s="66"/>
      <c r="K3266" s="66"/>
      <c r="L3266" s="68"/>
      <c r="M3266" s="63" t="str">
        <f>HYPERLINK("http://nsgreg.nga.mil/genc/view?v=871142&amp;end_month=12&amp;end_day=31&amp;end_year=2016","Correlation")</f>
        <v>Correlation</v>
      </c>
    </row>
    <row r="3267" spans="1:13" x14ac:dyDescent="0.2">
      <c r="A3267" s="113"/>
      <c r="B3267" s="58" t="s">
        <v>8465</v>
      </c>
      <c r="C3267" s="58" t="s">
        <v>1413</v>
      </c>
      <c r="D3267" s="58" t="s">
        <v>8466</v>
      </c>
      <c r="E3267" s="60" t="b">
        <v>1</v>
      </c>
      <c r="F3267" s="80" t="s">
        <v>1062</v>
      </c>
      <c r="G3267" s="58" t="s">
        <v>8465</v>
      </c>
      <c r="H3267" s="58" t="s">
        <v>1413</v>
      </c>
      <c r="I3267" s="64" t="s">
        <v>8466</v>
      </c>
      <c r="J3267" s="66"/>
      <c r="K3267" s="66"/>
      <c r="L3267" s="68"/>
      <c r="M3267" s="63" t="str">
        <f>HYPERLINK("http://nsgreg.nga.mil/genc/view?v=871143&amp;end_month=12&amp;end_day=31&amp;end_year=2016","Correlation")</f>
        <v>Correlation</v>
      </c>
    </row>
    <row r="3268" spans="1:13" x14ac:dyDescent="0.2">
      <c r="A3268" s="113"/>
      <c r="B3268" s="58" t="s">
        <v>8469</v>
      </c>
      <c r="C3268" s="58" t="s">
        <v>1728</v>
      </c>
      <c r="D3268" s="58" t="s">
        <v>8470</v>
      </c>
      <c r="E3268" s="60" t="b">
        <v>1</v>
      </c>
      <c r="F3268" s="80" t="s">
        <v>1062</v>
      </c>
      <c r="G3268" s="58" t="s">
        <v>8469</v>
      </c>
      <c r="H3268" s="58" t="s">
        <v>1728</v>
      </c>
      <c r="I3268" s="64" t="s">
        <v>8470</v>
      </c>
      <c r="J3268" s="66"/>
      <c r="K3268" s="66"/>
      <c r="L3268" s="68"/>
      <c r="M3268" s="63" t="str">
        <f>HYPERLINK("http://nsgreg.nga.mil/genc/view?v=871056&amp;end_month=12&amp;end_day=31&amp;end_year=2016","Correlation")</f>
        <v>Correlation</v>
      </c>
    </row>
    <row r="3269" spans="1:13" x14ac:dyDescent="0.2">
      <c r="A3269" s="113"/>
      <c r="B3269" s="58" t="s">
        <v>8471</v>
      </c>
      <c r="C3269" s="58" t="s">
        <v>1413</v>
      </c>
      <c r="D3269" s="58" t="s">
        <v>8472</v>
      </c>
      <c r="E3269" s="60" t="b">
        <v>1</v>
      </c>
      <c r="F3269" s="80" t="s">
        <v>1062</v>
      </c>
      <c r="G3269" s="58" t="s">
        <v>8471</v>
      </c>
      <c r="H3269" s="58" t="s">
        <v>1413</v>
      </c>
      <c r="I3269" s="64" t="s">
        <v>8472</v>
      </c>
      <c r="J3269" s="66"/>
      <c r="K3269" s="66"/>
      <c r="L3269" s="68"/>
      <c r="M3269" s="63" t="str">
        <f>HYPERLINK("http://nsgreg.nga.mil/genc/view?v=871147&amp;end_month=12&amp;end_day=31&amp;end_year=2016","Correlation")</f>
        <v>Correlation</v>
      </c>
    </row>
    <row r="3270" spans="1:13" x14ac:dyDescent="0.2">
      <c r="A3270" s="113"/>
      <c r="B3270" s="58" t="s">
        <v>8475</v>
      </c>
      <c r="C3270" s="58" t="s">
        <v>1413</v>
      </c>
      <c r="D3270" s="58" t="s">
        <v>8476</v>
      </c>
      <c r="E3270" s="60" t="b">
        <v>1</v>
      </c>
      <c r="F3270" s="80" t="s">
        <v>1062</v>
      </c>
      <c r="G3270" s="58" t="s">
        <v>8475</v>
      </c>
      <c r="H3270" s="58" t="s">
        <v>1413</v>
      </c>
      <c r="I3270" s="64" t="s">
        <v>8476</v>
      </c>
      <c r="J3270" s="66"/>
      <c r="K3270" s="66"/>
      <c r="L3270" s="68"/>
      <c r="M3270" s="63" t="str">
        <f>HYPERLINK("http://nsgreg.nga.mil/genc/view?v=871145&amp;end_month=12&amp;end_day=31&amp;end_year=2016","Correlation")</f>
        <v>Correlation</v>
      </c>
    </row>
    <row r="3271" spans="1:13" x14ac:dyDescent="0.2">
      <c r="A3271" s="113"/>
      <c r="B3271" s="58" t="s">
        <v>8477</v>
      </c>
      <c r="C3271" s="58" t="s">
        <v>1413</v>
      </c>
      <c r="D3271" s="58" t="s">
        <v>8478</v>
      </c>
      <c r="E3271" s="60" t="b">
        <v>1</v>
      </c>
      <c r="F3271" s="80" t="s">
        <v>1062</v>
      </c>
      <c r="G3271" s="58" t="s">
        <v>8477</v>
      </c>
      <c r="H3271" s="58" t="s">
        <v>1413</v>
      </c>
      <c r="I3271" s="64" t="s">
        <v>8478</v>
      </c>
      <c r="J3271" s="66"/>
      <c r="K3271" s="66"/>
      <c r="L3271" s="68"/>
      <c r="M3271" s="63" t="str">
        <f>HYPERLINK("http://nsgreg.nga.mil/genc/view?v=871146&amp;end_month=12&amp;end_day=31&amp;end_year=2016","Correlation")</f>
        <v>Correlation</v>
      </c>
    </row>
    <row r="3272" spans="1:13" x14ac:dyDescent="0.2">
      <c r="A3272" s="113"/>
      <c r="B3272" s="58" t="s">
        <v>8479</v>
      </c>
      <c r="C3272" s="58" t="s">
        <v>1728</v>
      </c>
      <c r="D3272" s="58" t="s">
        <v>8480</v>
      </c>
      <c r="E3272" s="60" t="b">
        <v>1</v>
      </c>
      <c r="F3272" s="80" t="s">
        <v>1062</v>
      </c>
      <c r="G3272" s="58" t="s">
        <v>8479</v>
      </c>
      <c r="H3272" s="58" t="s">
        <v>1728</v>
      </c>
      <c r="I3272" s="64" t="s">
        <v>8480</v>
      </c>
      <c r="J3272" s="66"/>
      <c r="K3272" s="66"/>
      <c r="L3272" s="68"/>
      <c r="M3272" s="63" t="str">
        <f>HYPERLINK("http://nsgreg.nga.mil/genc/view?v=871059&amp;end_month=12&amp;end_day=31&amp;end_year=2016","Correlation")</f>
        <v>Correlation</v>
      </c>
    </row>
    <row r="3273" spans="1:13" x14ac:dyDescent="0.2">
      <c r="A3273" s="114"/>
      <c r="B3273" s="71" t="s">
        <v>8481</v>
      </c>
      <c r="C3273" s="71" t="s">
        <v>1413</v>
      </c>
      <c r="D3273" s="71" t="s">
        <v>8482</v>
      </c>
      <c r="E3273" s="73" t="b">
        <v>1</v>
      </c>
      <c r="F3273" s="81" t="s">
        <v>1062</v>
      </c>
      <c r="G3273" s="71" t="s">
        <v>8481</v>
      </c>
      <c r="H3273" s="71" t="s">
        <v>1413</v>
      </c>
      <c r="I3273" s="74" t="s">
        <v>8482</v>
      </c>
      <c r="J3273" s="76"/>
      <c r="K3273" s="76"/>
      <c r="L3273" s="82"/>
      <c r="M3273" s="77" t="str">
        <f>HYPERLINK("http://nsgreg.nga.mil/genc/view?v=871148&amp;end_month=12&amp;end_day=31&amp;end_year=2016","Correlation")</f>
        <v>Correlation</v>
      </c>
    </row>
    <row r="3274" spans="1:13" x14ac:dyDescent="0.2">
      <c r="A3274" s="112" t="s">
        <v>1071</v>
      </c>
      <c r="B3274" s="50" t="s">
        <v>8483</v>
      </c>
      <c r="C3274" s="50" t="s">
        <v>1413</v>
      </c>
      <c r="D3274" s="50" t="s">
        <v>8484</v>
      </c>
      <c r="E3274" s="52" t="b">
        <v>1</v>
      </c>
      <c r="F3274" s="78" t="s">
        <v>1071</v>
      </c>
      <c r="G3274" s="50" t="s">
        <v>8483</v>
      </c>
      <c r="H3274" s="50" t="s">
        <v>1413</v>
      </c>
      <c r="I3274" s="53" t="s">
        <v>8484</v>
      </c>
      <c r="J3274" s="55"/>
      <c r="K3274" s="55"/>
      <c r="L3274" s="79"/>
      <c r="M3274" s="56" t="str">
        <f>HYPERLINK("http://nsgreg.nga.mil/genc/view?v=871157&amp;end_month=12&amp;end_day=31&amp;end_year=2016","Correlation")</f>
        <v>Correlation</v>
      </c>
    </row>
    <row r="3275" spans="1:13" x14ac:dyDescent="0.2">
      <c r="A3275" s="113"/>
      <c r="B3275" s="58" t="s">
        <v>8487</v>
      </c>
      <c r="C3275" s="58" t="s">
        <v>1413</v>
      </c>
      <c r="D3275" s="58" t="s">
        <v>8486</v>
      </c>
      <c r="E3275" s="60" t="b">
        <v>1</v>
      </c>
      <c r="F3275" s="80" t="s">
        <v>1071</v>
      </c>
      <c r="G3275" s="58" t="s">
        <v>8485</v>
      </c>
      <c r="H3275" s="58" t="s">
        <v>1413</v>
      </c>
      <c r="I3275" s="64" t="s">
        <v>8486</v>
      </c>
      <c r="J3275" s="66"/>
      <c r="K3275" s="66"/>
      <c r="L3275" s="68"/>
      <c r="M3275" s="63" t="str">
        <f>HYPERLINK("http://nsgreg.nga.mil/genc/view?v=871158&amp;end_month=12&amp;end_day=31&amp;end_year=2016","Correlation")</f>
        <v>Correlation</v>
      </c>
    </row>
    <row r="3276" spans="1:13" x14ac:dyDescent="0.2">
      <c r="A3276" s="113"/>
      <c r="B3276" s="58" t="s">
        <v>8488</v>
      </c>
      <c r="C3276" s="58" t="s">
        <v>1413</v>
      </c>
      <c r="D3276" s="58" t="s">
        <v>8489</v>
      </c>
      <c r="E3276" s="60" t="b">
        <v>1</v>
      </c>
      <c r="F3276" s="80" t="s">
        <v>1071</v>
      </c>
      <c r="G3276" s="58" t="s">
        <v>8488</v>
      </c>
      <c r="H3276" s="58" t="s">
        <v>1413</v>
      </c>
      <c r="I3276" s="64" t="s">
        <v>8489</v>
      </c>
      <c r="J3276" s="66"/>
      <c r="K3276" s="66"/>
      <c r="L3276" s="68"/>
      <c r="M3276" s="63" t="str">
        <f>HYPERLINK("http://nsgreg.nga.mil/genc/view?v=871160&amp;end_month=12&amp;end_day=31&amp;end_year=2016","Correlation")</f>
        <v>Correlation</v>
      </c>
    </row>
    <row r="3277" spans="1:13" x14ac:dyDescent="0.2">
      <c r="A3277" s="113"/>
      <c r="B3277" s="58" t="s">
        <v>8490</v>
      </c>
      <c r="C3277" s="58" t="s">
        <v>1413</v>
      </c>
      <c r="D3277" s="58" t="s">
        <v>8491</v>
      </c>
      <c r="E3277" s="60" t="b">
        <v>1</v>
      </c>
      <c r="F3277" s="80" t="s">
        <v>1071</v>
      </c>
      <c r="G3277" s="58" t="s">
        <v>8490</v>
      </c>
      <c r="H3277" s="58" t="s">
        <v>1413</v>
      </c>
      <c r="I3277" s="64" t="s">
        <v>8491</v>
      </c>
      <c r="J3277" s="66"/>
      <c r="K3277" s="66"/>
      <c r="L3277" s="68"/>
      <c r="M3277" s="63" t="str">
        <f>HYPERLINK("http://nsgreg.nga.mil/genc/view?v=871161&amp;end_month=12&amp;end_day=31&amp;end_year=2016","Correlation")</f>
        <v>Correlation</v>
      </c>
    </row>
    <row r="3278" spans="1:13" x14ac:dyDescent="0.2">
      <c r="A3278" s="113"/>
      <c r="B3278" s="58" t="s">
        <v>8492</v>
      </c>
      <c r="C3278" s="58" t="s">
        <v>1413</v>
      </c>
      <c r="D3278" s="58" t="s">
        <v>8493</v>
      </c>
      <c r="E3278" s="60" t="b">
        <v>1</v>
      </c>
      <c r="F3278" s="80" t="s">
        <v>1071</v>
      </c>
      <c r="G3278" s="58" t="s">
        <v>8492</v>
      </c>
      <c r="H3278" s="58" t="s">
        <v>1413</v>
      </c>
      <c r="I3278" s="64" t="s">
        <v>8493</v>
      </c>
      <c r="J3278" s="66"/>
      <c r="K3278" s="66"/>
      <c r="L3278" s="68"/>
      <c r="M3278" s="63" t="str">
        <f>HYPERLINK("http://nsgreg.nga.mil/genc/view?v=871159&amp;end_month=12&amp;end_day=31&amp;end_year=2016","Correlation")</f>
        <v>Correlation</v>
      </c>
    </row>
    <row r="3279" spans="1:13" x14ac:dyDescent="0.2">
      <c r="A3279" s="113"/>
      <c r="B3279" s="58" t="s">
        <v>8494</v>
      </c>
      <c r="C3279" s="58" t="s">
        <v>1413</v>
      </c>
      <c r="D3279" s="58" t="s">
        <v>8495</v>
      </c>
      <c r="E3279" s="60" t="b">
        <v>1</v>
      </c>
      <c r="F3279" s="80" t="s">
        <v>1071</v>
      </c>
      <c r="G3279" s="58" t="s">
        <v>8494</v>
      </c>
      <c r="H3279" s="58" t="s">
        <v>1413</v>
      </c>
      <c r="I3279" s="64" t="s">
        <v>8495</v>
      </c>
      <c r="J3279" s="66"/>
      <c r="K3279" s="66"/>
      <c r="L3279" s="68"/>
      <c r="M3279" s="63" t="str">
        <f>HYPERLINK("http://nsgreg.nga.mil/genc/view?v=871162&amp;end_month=12&amp;end_day=31&amp;end_year=2016","Correlation")</f>
        <v>Correlation</v>
      </c>
    </row>
    <row r="3280" spans="1:13" x14ac:dyDescent="0.2">
      <c r="A3280" s="113"/>
      <c r="B3280" s="58" t="s">
        <v>8496</v>
      </c>
      <c r="C3280" s="58" t="s">
        <v>1413</v>
      </c>
      <c r="D3280" s="58" t="s">
        <v>8497</v>
      </c>
      <c r="E3280" s="60" t="b">
        <v>1</v>
      </c>
      <c r="F3280" s="80" t="s">
        <v>1071</v>
      </c>
      <c r="G3280" s="58" t="s">
        <v>8496</v>
      </c>
      <c r="H3280" s="58" t="s">
        <v>1413</v>
      </c>
      <c r="I3280" s="64" t="s">
        <v>8497</v>
      </c>
      <c r="J3280" s="66"/>
      <c r="K3280" s="66"/>
      <c r="L3280" s="68"/>
      <c r="M3280" s="63" t="str">
        <f>HYPERLINK("http://nsgreg.nga.mil/genc/view?v=871163&amp;end_month=12&amp;end_day=31&amp;end_year=2016","Correlation")</f>
        <v>Correlation</v>
      </c>
    </row>
    <row r="3281" spans="1:13" x14ac:dyDescent="0.2">
      <c r="A3281" s="113"/>
      <c r="B3281" s="58" t="s">
        <v>8498</v>
      </c>
      <c r="C3281" s="58" t="s">
        <v>1413</v>
      </c>
      <c r="D3281" s="58" t="s">
        <v>8499</v>
      </c>
      <c r="E3281" s="60" t="b">
        <v>1</v>
      </c>
      <c r="F3281" s="80" t="s">
        <v>1071</v>
      </c>
      <c r="G3281" s="58" t="s">
        <v>8498</v>
      </c>
      <c r="H3281" s="58" t="s">
        <v>1413</v>
      </c>
      <c r="I3281" s="64" t="s">
        <v>8499</v>
      </c>
      <c r="J3281" s="66"/>
      <c r="K3281" s="66"/>
      <c r="L3281" s="68"/>
      <c r="M3281" s="63" t="str">
        <f>HYPERLINK("http://nsgreg.nga.mil/genc/view?v=871164&amp;end_month=12&amp;end_day=31&amp;end_year=2016","Correlation")</f>
        <v>Correlation</v>
      </c>
    </row>
    <row r="3282" spans="1:13" x14ac:dyDescent="0.2">
      <c r="A3282" s="113"/>
      <c r="B3282" s="58" t="s">
        <v>8500</v>
      </c>
      <c r="C3282" s="58" t="s">
        <v>1413</v>
      </c>
      <c r="D3282" s="58" t="s">
        <v>8501</v>
      </c>
      <c r="E3282" s="60" t="b">
        <v>1</v>
      </c>
      <c r="F3282" s="80" t="s">
        <v>1071</v>
      </c>
      <c r="G3282" s="58" t="s">
        <v>8500</v>
      </c>
      <c r="H3282" s="58" t="s">
        <v>1413</v>
      </c>
      <c r="I3282" s="64" t="s">
        <v>8501</v>
      </c>
      <c r="J3282" s="66"/>
      <c r="K3282" s="66"/>
      <c r="L3282" s="68"/>
      <c r="M3282" s="63" t="str">
        <f>HYPERLINK("http://nsgreg.nga.mil/genc/view?v=871166&amp;end_month=12&amp;end_day=31&amp;end_year=2016","Correlation")</f>
        <v>Correlation</v>
      </c>
    </row>
    <row r="3283" spans="1:13" x14ac:dyDescent="0.2">
      <c r="A3283" s="113"/>
      <c r="B3283" s="58" t="s">
        <v>8502</v>
      </c>
      <c r="C3283" s="58" t="s">
        <v>1413</v>
      </c>
      <c r="D3283" s="58" t="s">
        <v>8503</v>
      </c>
      <c r="E3283" s="60" t="b">
        <v>1</v>
      </c>
      <c r="F3283" s="80" t="s">
        <v>1071</v>
      </c>
      <c r="G3283" s="58" t="s">
        <v>8502</v>
      </c>
      <c r="H3283" s="58" t="s">
        <v>1413</v>
      </c>
      <c r="I3283" s="64" t="s">
        <v>8503</v>
      </c>
      <c r="J3283" s="66"/>
      <c r="K3283" s="66"/>
      <c r="L3283" s="68"/>
      <c r="M3283" s="63" t="str">
        <f>HYPERLINK("http://nsgreg.nga.mil/genc/view?v=871165&amp;end_month=12&amp;end_day=31&amp;end_year=2016","Correlation")</f>
        <v>Correlation</v>
      </c>
    </row>
    <row r="3284" spans="1:13" x14ac:dyDescent="0.2">
      <c r="A3284" s="113"/>
      <c r="B3284" s="58" t="s">
        <v>8504</v>
      </c>
      <c r="C3284" s="58" t="s">
        <v>1413</v>
      </c>
      <c r="D3284" s="58" t="s">
        <v>8505</v>
      </c>
      <c r="E3284" s="60" t="b">
        <v>1</v>
      </c>
      <c r="F3284" s="80" t="s">
        <v>1071</v>
      </c>
      <c r="G3284" s="58" t="s">
        <v>8504</v>
      </c>
      <c r="H3284" s="58" t="s">
        <v>1413</v>
      </c>
      <c r="I3284" s="64" t="s">
        <v>8505</v>
      </c>
      <c r="J3284" s="66"/>
      <c r="K3284" s="66"/>
      <c r="L3284" s="68"/>
      <c r="M3284" s="63" t="str">
        <f>HYPERLINK("http://nsgreg.nga.mil/genc/view?v=871167&amp;end_month=12&amp;end_day=31&amp;end_year=2016","Correlation")</f>
        <v>Correlation</v>
      </c>
    </row>
    <row r="3285" spans="1:13" x14ac:dyDescent="0.2">
      <c r="A3285" s="113"/>
      <c r="B3285" s="58" t="s">
        <v>8506</v>
      </c>
      <c r="C3285" s="58" t="s">
        <v>1413</v>
      </c>
      <c r="D3285" s="58" t="s">
        <v>8507</v>
      </c>
      <c r="E3285" s="60" t="b">
        <v>1</v>
      </c>
      <c r="F3285" s="80" t="s">
        <v>1071</v>
      </c>
      <c r="G3285" s="58" t="s">
        <v>8506</v>
      </c>
      <c r="H3285" s="58" t="s">
        <v>1413</v>
      </c>
      <c r="I3285" s="64" t="s">
        <v>8507</v>
      </c>
      <c r="J3285" s="66"/>
      <c r="K3285" s="66"/>
      <c r="L3285" s="68"/>
      <c r="M3285" s="63" t="str">
        <f>HYPERLINK("http://nsgreg.nga.mil/genc/view?v=871169&amp;end_month=12&amp;end_day=31&amp;end_year=2016","Correlation")</f>
        <v>Correlation</v>
      </c>
    </row>
    <row r="3286" spans="1:13" x14ac:dyDescent="0.2">
      <c r="A3286" s="113"/>
      <c r="B3286" s="58" t="s">
        <v>8508</v>
      </c>
      <c r="C3286" s="58" t="s">
        <v>1413</v>
      </c>
      <c r="D3286" s="58" t="s">
        <v>8509</v>
      </c>
      <c r="E3286" s="60" t="b">
        <v>1</v>
      </c>
      <c r="F3286" s="80" t="s">
        <v>1071</v>
      </c>
      <c r="G3286" s="58" t="s">
        <v>8508</v>
      </c>
      <c r="H3286" s="58" t="s">
        <v>1413</v>
      </c>
      <c r="I3286" s="64" t="s">
        <v>8509</v>
      </c>
      <c r="J3286" s="66"/>
      <c r="K3286" s="66"/>
      <c r="L3286" s="68"/>
      <c r="M3286" s="63" t="str">
        <f>HYPERLINK("http://nsgreg.nga.mil/genc/view?v=871168&amp;end_month=12&amp;end_day=31&amp;end_year=2016","Correlation")</f>
        <v>Correlation</v>
      </c>
    </row>
    <row r="3287" spans="1:13" x14ac:dyDescent="0.2">
      <c r="A3287" s="113"/>
      <c r="B3287" s="58" t="s">
        <v>8512</v>
      </c>
      <c r="C3287" s="58" t="s">
        <v>1413</v>
      </c>
      <c r="D3287" s="58" t="s">
        <v>8511</v>
      </c>
      <c r="E3287" s="60" t="b">
        <v>1</v>
      </c>
      <c r="F3287" s="80" t="s">
        <v>1071</v>
      </c>
      <c r="G3287" s="58" t="s">
        <v>8510</v>
      </c>
      <c r="H3287" s="58" t="s">
        <v>1413</v>
      </c>
      <c r="I3287" s="64" t="s">
        <v>8511</v>
      </c>
      <c r="J3287" s="66"/>
      <c r="K3287" s="66"/>
      <c r="L3287" s="68"/>
      <c r="M3287" s="63" t="str">
        <f>HYPERLINK("http://nsgreg.nga.mil/genc/view?v=871170&amp;end_month=12&amp;end_day=31&amp;end_year=2016","Correlation")</f>
        <v>Correlation</v>
      </c>
    </row>
    <row r="3288" spans="1:13" x14ac:dyDescent="0.2">
      <c r="A3288" s="113"/>
      <c r="B3288" s="58" t="s">
        <v>8513</v>
      </c>
      <c r="C3288" s="58" t="s">
        <v>1413</v>
      </c>
      <c r="D3288" s="58" t="s">
        <v>8514</v>
      </c>
      <c r="E3288" s="60" t="b">
        <v>1</v>
      </c>
      <c r="F3288" s="80" t="s">
        <v>1071</v>
      </c>
      <c r="G3288" s="58" t="s">
        <v>8513</v>
      </c>
      <c r="H3288" s="58" t="s">
        <v>1413</v>
      </c>
      <c r="I3288" s="64" t="s">
        <v>8514</v>
      </c>
      <c r="J3288" s="66"/>
      <c r="K3288" s="66"/>
      <c r="L3288" s="68"/>
      <c r="M3288" s="63" t="str">
        <f>HYPERLINK("http://nsgreg.nga.mil/genc/view?v=871171&amp;end_month=12&amp;end_day=31&amp;end_year=2016","Correlation")</f>
        <v>Correlation</v>
      </c>
    </row>
    <row r="3289" spans="1:13" x14ac:dyDescent="0.2">
      <c r="A3289" s="114"/>
      <c r="B3289" s="71" t="s">
        <v>8515</v>
      </c>
      <c r="C3289" s="71" t="s">
        <v>1413</v>
      </c>
      <c r="D3289" s="71" t="s">
        <v>8516</v>
      </c>
      <c r="E3289" s="73" t="b">
        <v>1</v>
      </c>
      <c r="F3289" s="81" t="s">
        <v>1071</v>
      </c>
      <c r="G3289" s="71" t="s">
        <v>8515</v>
      </c>
      <c r="H3289" s="71" t="s">
        <v>1413</v>
      </c>
      <c r="I3289" s="74" t="s">
        <v>8516</v>
      </c>
      <c r="J3289" s="76"/>
      <c r="K3289" s="76"/>
      <c r="L3289" s="82"/>
      <c r="M3289" s="77" t="str">
        <f>HYPERLINK("http://nsgreg.nga.mil/genc/view?v=871172&amp;end_month=12&amp;end_day=31&amp;end_year=2016","Correlation")</f>
        <v>Correlation</v>
      </c>
    </row>
    <row r="3290" spans="1:13" x14ac:dyDescent="0.2">
      <c r="A3290" s="112" t="s">
        <v>1075</v>
      </c>
      <c r="B3290" s="50" t="s">
        <v>8517</v>
      </c>
      <c r="C3290" s="50" t="s">
        <v>1796</v>
      </c>
      <c r="D3290" s="50" t="s">
        <v>8518</v>
      </c>
      <c r="E3290" s="52" t="b">
        <v>1</v>
      </c>
      <c r="F3290" s="78" t="s">
        <v>1075</v>
      </c>
      <c r="G3290" s="50" t="s">
        <v>8517</v>
      </c>
      <c r="H3290" s="50" t="s">
        <v>1796</v>
      </c>
      <c r="I3290" s="53" t="s">
        <v>8518</v>
      </c>
      <c r="J3290" s="55"/>
      <c r="K3290" s="55"/>
      <c r="L3290" s="79"/>
      <c r="M3290" s="56" t="str">
        <f>HYPERLINK("http://nsgreg.nga.mil/genc/view?v=871189&amp;end_month=12&amp;end_day=31&amp;end_year=2016","Correlation")</f>
        <v>Correlation</v>
      </c>
    </row>
    <row r="3291" spans="1:13" x14ac:dyDescent="0.2">
      <c r="A3291" s="113"/>
      <c r="B3291" s="58" t="s">
        <v>8522</v>
      </c>
      <c r="C3291" s="58" t="s">
        <v>1796</v>
      </c>
      <c r="D3291" s="58" t="s">
        <v>8523</v>
      </c>
      <c r="E3291" s="60" t="b">
        <v>1</v>
      </c>
      <c r="F3291" s="80" t="s">
        <v>1075</v>
      </c>
      <c r="G3291" s="58" t="s">
        <v>8522</v>
      </c>
      <c r="H3291" s="58" t="s">
        <v>1796</v>
      </c>
      <c r="I3291" s="64" t="s">
        <v>8523</v>
      </c>
      <c r="J3291" s="66"/>
      <c r="K3291" s="66"/>
      <c r="L3291" s="68"/>
      <c r="M3291" s="63" t="str">
        <f>HYPERLINK("http://nsgreg.nga.mil/genc/view?v=871190&amp;end_month=12&amp;end_day=31&amp;end_year=2016","Correlation")</f>
        <v>Correlation</v>
      </c>
    </row>
    <row r="3292" spans="1:13" x14ac:dyDescent="0.2">
      <c r="A3292" s="113"/>
      <c r="B3292" s="58" t="s">
        <v>8524</v>
      </c>
      <c r="C3292" s="58" t="s">
        <v>1796</v>
      </c>
      <c r="D3292" s="58" t="s">
        <v>8525</v>
      </c>
      <c r="E3292" s="60" t="b">
        <v>1</v>
      </c>
      <c r="F3292" s="80" t="s">
        <v>1075</v>
      </c>
      <c r="G3292" s="58" t="s">
        <v>8524</v>
      </c>
      <c r="H3292" s="58" t="s">
        <v>1796</v>
      </c>
      <c r="I3292" s="64" t="s">
        <v>8525</v>
      </c>
      <c r="J3292" s="66"/>
      <c r="K3292" s="66"/>
      <c r="L3292" s="68"/>
      <c r="M3292" s="63" t="str">
        <f>HYPERLINK("http://nsgreg.nga.mil/genc/view?v=871191&amp;end_month=12&amp;end_day=31&amp;end_year=2016","Correlation")</f>
        <v>Correlation</v>
      </c>
    </row>
    <row r="3293" spans="1:13" x14ac:dyDescent="0.2">
      <c r="A3293" s="113"/>
      <c r="B3293" s="58" t="s">
        <v>8526</v>
      </c>
      <c r="C3293" s="58" t="s">
        <v>1796</v>
      </c>
      <c r="D3293" s="58" t="s">
        <v>8527</v>
      </c>
      <c r="E3293" s="60" t="b">
        <v>1</v>
      </c>
      <c r="F3293" s="80" t="s">
        <v>1075</v>
      </c>
      <c r="G3293" s="58" t="s">
        <v>8526</v>
      </c>
      <c r="H3293" s="58" t="s">
        <v>1796</v>
      </c>
      <c r="I3293" s="64" t="s">
        <v>8527</v>
      </c>
      <c r="J3293" s="66"/>
      <c r="K3293" s="66"/>
      <c r="L3293" s="68"/>
      <c r="M3293" s="63" t="str">
        <f>HYPERLINK("http://nsgreg.nga.mil/genc/view?v=871192&amp;end_month=12&amp;end_day=31&amp;end_year=2016","Correlation")</f>
        <v>Correlation</v>
      </c>
    </row>
    <row r="3294" spans="1:13" x14ac:dyDescent="0.2">
      <c r="A3294" s="113"/>
      <c r="B3294" s="58" t="s">
        <v>8528</v>
      </c>
      <c r="C3294" s="58" t="s">
        <v>1796</v>
      </c>
      <c r="D3294" s="58" t="s">
        <v>8529</v>
      </c>
      <c r="E3294" s="60" t="b">
        <v>1</v>
      </c>
      <c r="F3294" s="80" t="s">
        <v>1075</v>
      </c>
      <c r="G3294" s="58" t="s">
        <v>8528</v>
      </c>
      <c r="H3294" s="58" t="s">
        <v>1796</v>
      </c>
      <c r="I3294" s="64" t="s">
        <v>8529</v>
      </c>
      <c r="J3294" s="66"/>
      <c r="K3294" s="66"/>
      <c r="L3294" s="68"/>
      <c r="M3294" s="63" t="str">
        <f>HYPERLINK("http://nsgreg.nga.mil/genc/view?v=871193&amp;end_month=12&amp;end_day=31&amp;end_year=2016","Correlation")</f>
        <v>Correlation</v>
      </c>
    </row>
    <row r="3295" spans="1:13" x14ac:dyDescent="0.2">
      <c r="A3295" s="113"/>
      <c r="B3295" s="58" t="s">
        <v>8530</v>
      </c>
      <c r="C3295" s="58" t="s">
        <v>1796</v>
      </c>
      <c r="D3295" s="58" t="s">
        <v>8531</v>
      </c>
      <c r="E3295" s="60" t="b">
        <v>1</v>
      </c>
      <c r="F3295" s="80" t="s">
        <v>1075</v>
      </c>
      <c r="G3295" s="58" t="s">
        <v>8530</v>
      </c>
      <c r="H3295" s="58" t="s">
        <v>1796</v>
      </c>
      <c r="I3295" s="64" t="s">
        <v>8531</v>
      </c>
      <c r="J3295" s="66"/>
      <c r="K3295" s="66"/>
      <c r="L3295" s="68"/>
      <c r="M3295" s="63" t="str">
        <f>HYPERLINK("http://nsgreg.nga.mil/genc/view?v=871194&amp;end_month=12&amp;end_day=31&amp;end_year=2016","Correlation")</f>
        <v>Correlation</v>
      </c>
    </row>
    <row r="3296" spans="1:13" x14ac:dyDescent="0.2">
      <c r="A3296" s="113"/>
      <c r="B3296" s="58" t="s">
        <v>8532</v>
      </c>
      <c r="C3296" s="58" t="s">
        <v>1796</v>
      </c>
      <c r="D3296" s="58" t="s">
        <v>8533</v>
      </c>
      <c r="E3296" s="60" t="b">
        <v>1</v>
      </c>
      <c r="F3296" s="80" t="s">
        <v>1075</v>
      </c>
      <c r="G3296" s="58" t="s">
        <v>8532</v>
      </c>
      <c r="H3296" s="58" t="s">
        <v>1796</v>
      </c>
      <c r="I3296" s="64" t="s">
        <v>8533</v>
      </c>
      <c r="J3296" s="66"/>
      <c r="K3296" s="66"/>
      <c r="L3296" s="68"/>
      <c r="M3296" s="63" t="str">
        <f>HYPERLINK("http://nsgreg.nga.mil/genc/view?v=871195&amp;end_month=12&amp;end_day=31&amp;end_year=2016","Correlation")</f>
        <v>Correlation</v>
      </c>
    </row>
    <row r="3297" spans="1:13" x14ac:dyDescent="0.2">
      <c r="A3297" s="113"/>
      <c r="B3297" s="58" t="s">
        <v>8534</v>
      </c>
      <c r="C3297" s="58" t="s">
        <v>1796</v>
      </c>
      <c r="D3297" s="58" t="s">
        <v>8535</v>
      </c>
      <c r="E3297" s="60" t="b">
        <v>1</v>
      </c>
      <c r="F3297" s="80" t="s">
        <v>1075</v>
      </c>
      <c r="G3297" s="58" t="s">
        <v>8534</v>
      </c>
      <c r="H3297" s="58" t="s">
        <v>1796</v>
      </c>
      <c r="I3297" s="64" t="s">
        <v>8535</v>
      </c>
      <c r="J3297" s="66"/>
      <c r="K3297" s="66"/>
      <c r="L3297" s="68"/>
      <c r="M3297" s="63" t="str">
        <f>HYPERLINK("http://nsgreg.nga.mil/genc/view?v=871196&amp;end_month=12&amp;end_day=31&amp;end_year=2016","Correlation")</f>
        <v>Correlation</v>
      </c>
    </row>
    <row r="3298" spans="1:13" x14ac:dyDescent="0.2">
      <c r="A3298" s="113"/>
      <c r="B3298" s="58" t="s">
        <v>8536</v>
      </c>
      <c r="C3298" s="58" t="s">
        <v>1796</v>
      </c>
      <c r="D3298" s="58" t="s">
        <v>8537</v>
      </c>
      <c r="E3298" s="60" t="b">
        <v>1</v>
      </c>
      <c r="F3298" s="80" t="s">
        <v>1075</v>
      </c>
      <c r="G3298" s="58" t="s">
        <v>8536</v>
      </c>
      <c r="H3298" s="58" t="s">
        <v>1796</v>
      </c>
      <c r="I3298" s="64" t="s">
        <v>8537</v>
      </c>
      <c r="J3298" s="66"/>
      <c r="K3298" s="66"/>
      <c r="L3298" s="68"/>
      <c r="M3298" s="63" t="str">
        <f>HYPERLINK("http://nsgreg.nga.mil/genc/view?v=871197&amp;end_month=12&amp;end_day=31&amp;end_year=2016","Correlation")</f>
        <v>Correlation</v>
      </c>
    </row>
    <row r="3299" spans="1:13" x14ac:dyDescent="0.2">
      <c r="A3299" s="113"/>
      <c r="B3299" s="58" t="s">
        <v>8538</v>
      </c>
      <c r="C3299" s="58" t="s">
        <v>1796</v>
      </c>
      <c r="D3299" s="58" t="s">
        <v>8539</v>
      </c>
      <c r="E3299" s="60" t="b">
        <v>1</v>
      </c>
      <c r="F3299" s="80" t="s">
        <v>1075</v>
      </c>
      <c r="G3299" s="58" t="s">
        <v>8538</v>
      </c>
      <c r="H3299" s="58" t="s">
        <v>1796</v>
      </c>
      <c r="I3299" s="64" t="s">
        <v>8539</v>
      </c>
      <c r="J3299" s="66"/>
      <c r="K3299" s="66"/>
      <c r="L3299" s="68"/>
      <c r="M3299" s="63" t="str">
        <f>HYPERLINK("http://nsgreg.nga.mil/genc/view?v=871198&amp;end_month=12&amp;end_day=31&amp;end_year=2016","Correlation")</f>
        <v>Correlation</v>
      </c>
    </row>
    <row r="3300" spans="1:13" x14ac:dyDescent="0.2">
      <c r="A3300" s="113"/>
      <c r="B3300" s="58" t="s">
        <v>8540</v>
      </c>
      <c r="C3300" s="58" t="s">
        <v>1796</v>
      </c>
      <c r="D3300" s="58" t="s">
        <v>8541</v>
      </c>
      <c r="E3300" s="60" t="b">
        <v>1</v>
      </c>
      <c r="F3300" s="80" t="s">
        <v>1075</v>
      </c>
      <c r="G3300" s="58" t="s">
        <v>8540</v>
      </c>
      <c r="H3300" s="58" t="s">
        <v>1796</v>
      </c>
      <c r="I3300" s="64" t="s">
        <v>8541</v>
      </c>
      <c r="J3300" s="66"/>
      <c r="K3300" s="66"/>
      <c r="L3300" s="68"/>
      <c r="M3300" s="63" t="str">
        <f>HYPERLINK("http://nsgreg.nga.mil/genc/view?v=871199&amp;end_month=12&amp;end_day=31&amp;end_year=2016","Correlation")</f>
        <v>Correlation</v>
      </c>
    </row>
    <row r="3301" spans="1:13" x14ac:dyDescent="0.2">
      <c r="A3301" s="113"/>
      <c r="B3301" s="58" t="s">
        <v>8545</v>
      </c>
      <c r="C3301" s="58" t="s">
        <v>1796</v>
      </c>
      <c r="D3301" s="58" t="s">
        <v>8546</v>
      </c>
      <c r="E3301" s="60" t="b">
        <v>1</v>
      </c>
      <c r="F3301" s="80" t="s">
        <v>1075</v>
      </c>
      <c r="G3301" s="58" t="s">
        <v>8545</v>
      </c>
      <c r="H3301" s="58" t="s">
        <v>1796</v>
      </c>
      <c r="I3301" s="64" t="s">
        <v>8546</v>
      </c>
      <c r="J3301" s="66"/>
      <c r="K3301" s="66"/>
      <c r="L3301" s="68"/>
      <c r="M3301" s="63" t="str">
        <f>HYPERLINK("http://nsgreg.nga.mil/genc/view?v=871200&amp;end_month=12&amp;end_day=31&amp;end_year=2016","Correlation")</f>
        <v>Correlation</v>
      </c>
    </row>
    <row r="3302" spans="1:13" x14ac:dyDescent="0.2">
      <c r="A3302" s="113"/>
      <c r="B3302" s="58" t="s">
        <v>8547</v>
      </c>
      <c r="C3302" s="58" t="s">
        <v>1796</v>
      </c>
      <c r="D3302" s="58" t="s">
        <v>8548</v>
      </c>
      <c r="E3302" s="60" t="b">
        <v>1</v>
      </c>
      <c r="F3302" s="80" t="s">
        <v>1075</v>
      </c>
      <c r="G3302" s="58" t="s">
        <v>8547</v>
      </c>
      <c r="H3302" s="58" t="s">
        <v>1796</v>
      </c>
      <c r="I3302" s="64" t="s">
        <v>8548</v>
      </c>
      <c r="J3302" s="66"/>
      <c r="K3302" s="66"/>
      <c r="L3302" s="68"/>
      <c r="M3302" s="63" t="str">
        <f>HYPERLINK("http://nsgreg.nga.mil/genc/view?v=871201&amp;end_month=12&amp;end_day=31&amp;end_year=2016","Correlation")</f>
        <v>Correlation</v>
      </c>
    </row>
    <row r="3303" spans="1:13" x14ac:dyDescent="0.2">
      <c r="A3303" s="113"/>
      <c r="B3303" s="58" t="s">
        <v>8544</v>
      </c>
      <c r="C3303" s="58" t="s">
        <v>3080</v>
      </c>
      <c r="D3303" s="58" t="s">
        <v>8543</v>
      </c>
      <c r="E3303" s="60" t="b">
        <v>1</v>
      </c>
      <c r="F3303" s="80" t="s">
        <v>1075</v>
      </c>
      <c r="G3303" s="58" t="s">
        <v>8542</v>
      </c>
      <c r="H3303" s="58" t="s">
        <v>3080</v>
      </c>
      <c r="I3303" s="64" t="s">
        <v>8543</v>
      </c>
      <c r="J3303" s="66"/>
      <c r="K3303" s="66"/>
      <c r="L3303" s="68"/>
      <c r="M3303" s="63" t="str">
        <f>HYPERLINK("http://nsgreg.nga.mil/genc/view?v=871208&amp;end_month=12&amp;end_day=31&amp;end_year=2016","Correlation")</f>
        <v>Correlation</v>
      </c>
    </row>
    <row r="3304" spans="1:13" x14ac:dyDescent="0.2">
      <c r="A3304" s="113"/>
      <c r="B3304" s="58" t="s">
        <v>8521</v>
      </c>
      <c r="C3304" s="58" t="s">
        <v>3080</v>
      </c>
      <c r="D3304" s="58" t="s">
        <v>8520</v>
      </c>
      <c r="E3304" s="60" t="b">
        <v>1</v>
      </c>
      <c r="F3304" s="80" t="s">
        <v>1075</v>
      </c>
      <c r="G3304" s="58" t="s">
        <v>8519</v>
      </c>
      <c r="H3304" s="58" t="s">
        <v>3080</v>
      </c>
      <c r="I3304" s="64" t="s">
        <v>8520</v>
      </c>
      <c r="J3304" s="66"/>
      <c r="K3304" s="66"/>
      <c r="L3304" s="68"/>
      <c r="M3304" s="63" t="str">
        <f>HYPERLINK("http://nsgreg.nga.mil/genc/view?v=871207&amp;end_month=12&amp;end_day=31&amp;end_year=2016","Correlation")</f>
        <v>Correlation</v>
      </c>
    </row>
    <row r="3305" spans="1:13" x14ac:dyDescent="0.2">
      <c r="A3305" s="113"/>
      <c r="B3305" s="58" t="s">
        <v>8549</v>
      </c>
      <c r="C3305" s="58" t="s">
        <v>1796</v>
      </c>
      <c r="D3305" s="58" t="s">
        <v>8550</v>
      </c>
      <c r="E3305" s="60" t="b">
        <v>1</v>
      </c>
      <c r="F3305" s="80" t="s">
        <v>1075</v>
      </c>
      <c r="G3305" s="58" t="s">
        <v>8549</v>
      </c>
      <c r="H3305" s="58" t="s">
        <v>1796</v>
      </c>
      <c r="I3305" s="64" t="s">
        <v>8550</v>
      </c>
      <c r="J3305" s="66"/>
      <c r="K3305" s="66"/>
      <c r="L3305" s="68"/>
      <c r="M3305" s="63" t="str">
        <f>HYPERLINK("http://nsgreg.nga.mil/genc/view?v=871202&amp;end_month=12&amp;end_day=31&amp;end_year=2016","Correlation")</f>
        <v>Correlation</v>
      </c>
    </row>
    <row r="3306" spans="1:13" x14ac:dyDescent="0.2">
      <c r="A3306" s="113"/>
      <c r="B3306" s="58" t="s">
        <v>8551</v>
      </c>
      <c r="C3306" s="58" t="s">
        <v>1796</v>
      </c>
      <c r="D3306" s="58" t="s">
        <v>8552</v>
      </c>
      <c r="E3306" s="60" t="b">
        <v>1</v>
      </c>
      <c r="F3306" s="80" t="s">
        <v>1075</v>
      </c>
      <c r="G3306" s="58" t="s">
        <v>8551</v>
      </c>
      <c r="H3306" s="58" t="s">
        <v>1796</v>
      </c>
      <c r="I3306" s="64" t="s">
        <v>8552</v>
      </c>
      <c r="J3306" s="66"/>
      <c r="K3306" s="66"/>
      <c r="L3306" s="68"/>
      <c r="M3306" s="63" t="str">
        <f>HYPERLINK("http://nsgreg.nga.mil/genc/view?v=871203&amp;end_month=12&amp;end_day=31&amp;end_year=2016","Correlation")</f>
        <v>Correlation</v>
      </c>
    </row>
    <row r="3307" spans="1:13" x14ac:dyDescent="0.2">
      <c r="A3307" s="113"/>
      <c r="B3307" s="58" t="s">
        <v>8553</v>
      </c>
      <c r="C3307" s="58" t="s">
        <v>1796</v>
      </c>
      <c r="D3307" s="58" t="s">
        <v>8554</v>
      </c>
      <c r="E3307" s="60" t="b">
        <v>1</v>
      </c>
      <c r="F3307" s="80" t="s">
        <v>1075</v>
      </c>
      <c r="G3307" s="58" t="s">
        <v>8553</v>
      </c>
      <c r="H3307" s="58" t="s">
        <v>1796</v>
      </c>
      <c r="I3307" s="64" t="s">
        <v>8554</v>
      </c>
      <c r="J3307" s="66"/>
      <c r="K3307" s="66"/>
      <c r="L3307" s="68"/>
      <c r="M3307" s="63" t="str">
        <f>HYPERLINK("http://nsgreg.nga.mil/genc/view?v=871204&amp;end_month=12&amp;end_day=31&amp;end_year=2016","Correlation")</f>
        <v>Correlation</v>
      </c>
    </row>
    <row r="3308" spans="1:13" x14ac:dyDescent="0.2">
      <c r="A3308" s="113"/>
      <c r="B3308" s="58" t="s">
        <v>8555</v>
      </c>
      <c r="C3308" s="58" t="s">
        <v>1796</v>
      </c>
      <c r="D3308" s="58" t="s">
        <v>8556</v>
      </c>
      <c r="E3308" s="60" t="b">
        <v>1</v>
      </c>
      <c r="F3308" s="80" t="s">
        <v>1075</v>
      </c>
      <c r="G3308" s="58" t="s">
        <v>8555</v>
      </c>
      <c r="H3308" s="58" t="s">
        <v>1796</v>
      </c>
      <c r="I3308" s="64" t="s">
        <v>8556</v>
      </c>
      <c r="J3308" s="66"/>
      <c r="K3308" s="66"/>
      <c r="L3308" s="68"/>
      <c r="M3308" s="63" t="str">
        <f>HYPERLINK("http://nsgreg.nga.mil/genc/view?v=871205&amp;end_month=12&amp;end_day=31&amp;end_year=2016","Correlation")</f>
        <v>Correlation</v>
      </c>
    </row>
    <row r="3309" spans="1:13" x14ac:dyDescent="0.2">
      <c r="A3309" s="114"/>
      <c r="B3309" s="71" t="s">
        <v>8557</v>
      </c>
      <c r="C3309" s="71" t="s">
        <v>1796</v>
      </c>
      <c r="D3309" s="71" t="s">
        <v>8558</v>
      </c>
      <c r="E3309" s="73" t="b">
        <v>1</v>
      </c>
      <c r="F3309" s="81" t="s">
        <v>1075</v>
      </c>
      <c r="G3309" s="71" t="s">
        <v>8557</v>
      </c>
      <c r="H3309" s="71" t="s">
        <v>1796</v>
      </c>
      <c r="I3309" s="74" t="s">
        <v>8558</v>
      </c>
      <c r="J3309" s="76"/>
      <c r="K3309" s="76"/>
      <c r="L3309" s="82"/>
      <c r="M3309" s="77" t="str">
        <f>HYPERLINK("http://nsgreg.nga.mil/genc/view?v=871206&amp;end_month=12&amp;end_day=31&amp;end_year=2016","Correlation")</f>
        <v>Correlation</v>
      </c>
    </row>
    <row r="3310" spans="1:13" x14ac:dyDescent="0.2">
      <c r="A3310" s="112" t="s">
        <v>1085</v>
      </c>
      <c r="B3310" s="50" t="s">
        <v>8559</v>
      </c>
      <c r="C3310" s="50" t="s">
        <v>1816</v>
      </c>
      <c r="D3310" s="50" t="s">
        <v>8560</v>
      </c>
      <c r="E3310" s="52" t="b">
        <v>1</v>
      </c>
      <c r="F3310" s="78" t="s">
        <v>1085</v>
      </c>
      <c r="G3310" s="50" t="s">
        <v>8559</v>
      </c>
      <c r="H3310" s="50" t="s">
        <v>1816</v>
      </c>
      <c r="I3310" s="53" t="s">
        <v>8560</v>
      </c>
      <c r="J3310" s="55"/>
      <c r="K3310" s="55"/>
      <c r="L3310" s="79"/>
      <c r="M3310" s="56" t="str">
        <f>HYPERLINK("http://nsgreg.nga.mil/genc/view?v=871243&amp;end_month=12&amp;end_day=31&amp;end_year=2016","Correlation")</f>
        <v>Correlation</v>
      </c>
    </row>
    <row r="3311" spans="1:13" x14ac:dyDescent="0.2">
      <c r="A3311" s="113"/>
      <c r="B3311" s="58" t="s">
        <v>8561</v>
      </c>
      <c r="C3311" s="58" t="s">
        <v>1816</v>
      </c>
      <c r="D3311" s="58" t="s">
        <v>8562</v>
      </c>
      <c r="E3311" s="60" t="b">
        <v>1</v>
      </c>
      <c r="F3311" s="80" t="s">
        <v>1085</v>
      </c>
      <c r="G3311" s="58" t="s">
        <v>8561</v>
      </c>
      <c r="H3311" s="58" t="s">
        <v>1816</v>
      </c>
      <c r="I3311" s="64" t="s">
        <v>8562</v>
      </c>
      <c r="J3311" s="66"/>
      <c r="K3311" s="66"/>
      <c r="L3311" s="68"/>
      <c r="M3311" s="63" t="str">
        <f>HYPERLINK("http://nsgreg.nga.mil/genc/view?v=871244&amp;end_month=12&amp;end_day=31&amp;end_year=2016","Correlation")</f>
        <v>Correlation</v>
      </c>
    </row>
    <row r="3312" spans="1:13" x14ac:dyDescent="0.2">
      <c r="A3312" s="113"/>
      <c r="B3312" s="58" t="s">
        <v>8563</v>
      </c>
      <c r="C3312" s="58" t="s">
        <v>1816</v>
      </c>
      <c r="D3312" s="58" t="s">
        <v>8564</v>
      </c>
      <c r="E3312" s="60" t="b">
        <v>1</v>
      </c>
      <c r="F3312" s="80" t="s">
        <v>1085</v>
      </c>
      <c r="G3312" s="58" t="s">
        <v>8563</v>
      </c>
      <c r="H3312" s="58" t="s">
        <v>1816</v>
      </c>
      <c r="I3312" s="64" t="s">
        <v>8564</v>
      </c>
      <c r="J3312" s="66"/>
      <c r="K3312" s="66"/>
      <c r="L3312" s="68"/>
      <c r="M3312" s="63" t="str">
        <f>HYPERLINK("http://nsgreg.nga.mil/genc/view?v=871248&amp;end_month=12&amp;end_day=31&amp;end_year=2016","Correlation")</f>
        <v>Correlation</v>
      </c>
    </row>
    <row r="3313" spans="1:13" x14ac:dyDescent="0.2">
      <c r="A3313" s="113"/>
      <c r="B3313" s="58" t="s">
        <v>8565</v>
      </c>
      <c r="C3313" s="58" t="s">
        <v>1816</v>
      </c>
      <c r="D3313" s="58" t="s">
        <v>8566</v>
      </c>
      <c r="E3313" s="60" t="b">
        <v>1</v>
      </c>
      <c r="F3313" s="80" t="s">
        <v>1085</v>
      </c>
      <c r="G3313" s="58" t="s">
        <v>8565</v>
      </c>
      <c r="H3313" s="58" t="s">
        <v>1816</v>
      </c>
      <c r="I3313" s="64" t="s">
        <v>8566</v>
      </c>
      <c r="J3313" s="66"/>
      <c r="K3313" s="66"/>
      <c r="L3313" s="68"/>
      <c r="M3313" s="63" t="str">
        <f>HYPERLINK("http://nsgreg.nga.mil/genc/view?v=871246&amp;end_month=12&amp;end_day=31&amp;end_year=2016","Correlation")</f>
        <v>Correlation</v>
      </c>
    </row>
    <row r="3314" spans="1:13" x14ac:dyDescent="0.2">
      <c r="A3314" s="113"/>
      <c r="B3314" s="58" t="s">
        <v>8567</v>
      </c>
      <c r="C3314" s="58" t="s">
        <v>1816</v>
      </c>
      <c r="D3314" s="58" t="s">
        <v>8568</v>
      </c>
      <c r="E3314" s="60" t="b">
        <v>1</v>
      </c>
      <c r="F3314" s="80" t="s">
        <v>1085</v>
      </c>
      <c r="G3314" s="58" t="s">
        <v>8567</v>
      </c>
      <c r="H3314" s="58" t="s">
        <v>1816</v>
      </c>
      <c r="I3314" s="64" t="s">
        <v>8568</v>
      </c>
      <c r="J3314" s="66"/>
      <c r="K3314" s="66"/>
      <c r="L3314" s="68"/>
      <c r="M3314" s="63" t="str">
        <f>HYPERLINK("http://nsgreg.nga.mil/genc/view?v=871245&amp;end_month=12&amp;end_day=31&amp;end_year=2016","Correlation")</f>
        <v>Correlation</v>
      </c>
    </row>
    <row r="3315" spans="1:13" x14ac:dyDescent="0.2">
      <c r="A3315" s="113"/>
      <c r="B3315" s="58" t="s">
        <v>8571</v>
      </c>
      <c r="C3315" s="58" t="s">
        <v>1816</v>
      </c>
      <c r="D3315" s="58" t="s">
        <v>8572</v>
      </c>
      <c r="E3315" s="60" t="b">
        <v>1</v>
      </c>
      <c r="F3315" s="80" t="s">
        <v>1085</v>
      </c>
      <c r="G3315" s="58" t="s">
        <v>8571</v>
      </c>
      <c r="H3315" s="58" t="s">
        <v>1816</v>
      </c>
      <c r="I3315" s="64" t="s">
        <v>8572</v>
      </c>
      <c r="J3315" s="66"/>
      <c r="K3315" s="66"/>
      <c r="L3315" s="68"/>
      <c r="M3315" s="63" t="str">
        <f>HYPERLINK("http://nsgreg.nga.mil/genc/view?v=871249&amp;end_month=12&amp;end_day=31&amp;end_year=2016","Correlation")</f>
        <v>Correlation</v>
      </c>
    </row>
    <row r="3316" spans="1:13" x14ac:dyDescent="0.2">
      <c r="A3316" s="114"/>
      <c r="B3316" s="71" t="s">
        <v>8573</v>
      </c>
      <c r="C3316" s="71" t="s">
        <v>1816</v>
      </c>
      <c r="D3316" s="71" t="s">
        <v>8574</v>
      </c>
      <c r="E3316" s="73" t="b">
        <v>1</v>
      </c>
      <c r="F3316" s="81" t="s">
        <v>1085</v>
      </c>
      <c r="G3316" s="71" t="s">
        <v>8573</v>
      </c>
      <c r="H3316" s="71" t="s">
        <v>1816</v>
      </c>
      <c r="I3316" s="74" t="s">
        <v>8574</v>
      </c>
      <c r="J3316" s="76"/>
      <c r="K3316" s="76"/>
      <c r="L3316" s="82"/>
      <c r="M3316" s="77" t="str">
        <f>HYPERLINK("http://nsgreg.nga.mil/genc/view?v=871247&amp;end_month=12&amp;end_day=31&amp;end_year=2016","Correlation")</f>
        <v>Correlation</v>
      </c>
    </row>
    <row r="3317" spans="1:13" x14ac:dyDescent="0.2">
      <c r="A3317" s="112" t="s">
        <v>1097</v>
      </c>
      <c r="B3317" s="50" t="s">
        <v>8575</v>
      </c>
      <c r="C3317" s="50" t="s">
        <v>2294</v>
      </c>
      <c r="D3317" s="50" t="s">
        <v>8576</v>
      </c>
      <c r="E3317" s="52" t="b">
        <v>1</v>
      </c>
      <c r="F3317" s="78" t="s">
        <v>1097</v>
      </c>
      <c r="G3317" s="50" t="s">
        <v>8575</v>
      </c>
      <c r="H3317" s="50" t="s">
        <v>1483</v>
      </c>
      <c r="I3317" s="53" t="s">
        <v>8576</v>
      </c>
      <c r="J3317" s="55"/>
      <c r="K3317" s="55"/>
      <c r="L3317" s="79"/>
      <c r="M3317" s="56" t="str">
        <f>HYPERLINK("http://nsgreg.nga.mil/genc/view?v=871250&amp;end_month=12&amp;end_day=31&amp;end_year=2016","Correlation")</f>
        <v>Correlation</v>
      </c>
    </row>
    <row r="3318" spans="1:13" x14ac:dyDescent="0.2">
      <c r="A3318" s="113"/>
      <c r="B3318" s="58" t="s">
        <v>8577</v>
      </c>
      <c r="C3318" s="58" t="s">
        <v>2294</v>
      </c>
      <c r="D3318" s="58" t="s">
        <v>8578</v>
      </c>
      <c r="E3318" s="60" t="b">
        <v>1</v>
      </c>
      <c r="F3318" s="80" t="s">
        <v>1097</v>
      </c>
      <c r="G3318" s="58" t="s">
        <v>8577</v>
      </c>
      <c r="H3318" s="58" t="s">
        <v>1483</v>
      </c>
      <c r="I3318" s="64" t="s">
        <v>8578</v>
      </c>
      <c r="J3318" s="66"/>
      <c r="K3318" s="66"/>
      <c r="L3318" s="68"/>
      <c r="M3318" s="63" t="str">
        <f>HYPERLINK("http://nsgreg.nga.mil/genc/view?v=871252&amp;end_month=12&amp;end_day=31&amp;end_year=2016","Correlation")</f>
        <v>Correlation</v>
      </c>
    </row>
    <row r="3319" spans="1:13" x14ac:dyDescent="0.2">
      <c r="A3319" s="113"/>
      <c r="B3319" s="58" t="s">
        <v>8579</v>
      </c>
      <c r="C3319" s="58" t="s">
        <v>2294</v>
      </c>
      <c r="D3319" s="58" t="s">
        <v>8580</v>
      </c>
      <c r="E3319" s="60" t="b">
        <v>1</v>
      </c>
      <c r="F3319" s="80" t="s">
        <v>1097</v>
      </c>
      <c r="G3319" s="58" t="s">
        <v>8579</v>
      </c>
      <c r="H3319" s="58" t="s">
        <v>1483</v>
      </c>
      <c r="I3319" s="64" t="s">
        <v>8580</v>
      </c>
      <c r="J3319" s="66"/>
      <c r="K3319" s="66"/>
      <c r="L3319" s="68"/>
      <c r="M3319" s="63" t="str">
        <f>HYPERLINK("http://nsgreg.nga.mil/genc/view?v=871251&amp;end_month=12&amp;end_day=31&amp;end_year=2016","Correlation")</f>
        <v>Correlation</v>
      </c>
    </row>
    <row r="3320" spans="1:13" x14ac:dyDescent="0.2">
      <c r="A3320" s="113"/>
      <c r="B3320" s="58" t="s">
        <v>8581</v>
      </c>
      <c r="C3320" s="58" t="s">
        <v>2294</v>
      </c>
      <c r="D3320" s="58" t="s">
        <v>8582</v>
      </c>
      <c r="E3320" s="60" t="b">
        <v>1</v>
      </c>
      <c r="F3320" s="80" t="s">
        <v>1097</v>
      </c>
      <c r="G3320" s="58" t="s">
        <v>8581</v>
      </c>
      <c r="H3320" s="58" t="s">
        <v>1483</v>
      </c>
      <c r="I3320" s="64" t="s">
        <v>8582</v>
      </c>
      <c r="J3320" s="66"/>
      <c r="K3320" s="66"/>
      <c r="L3320" s="68"/>
      <c r="M3320" s="63" t="str">
        <f>HYPERLINK("http://nsgreg.nga.mil/genc/view?v=871254&amp;end_month=12&amp;end_day=31&amp;end_year=2016","Correlation")</f>
        <v>Correlation</v>
      </c>
    </row>
    <row r="3321" spans="1:13" x14ac:dyDescent="0.2">
      <c r="A3321" s="113"/>
      <c r="B3321" s="58" t="s">
        <v>8583</v>
      </c>
      <c r="C3321" s="58" t="s">
        <v>2294</v>
      </c>
      <c r="D3321" s="58" t="s">
        <v>8584</v>
      </c>
      <c r="E3321" s="60" t="b">
        <v>1</v>
      </c>
      <c r="F3321" s="80" t="s">
        <v>1097</v>
      </c>
      <c r="G3321" s="58" t="s">
        <v>8583</v>
      </c>
      <c r="H3321" s="58" t="s">
        <v>1483</v>
      </c>
      <c r="I3321" s="64" t="s">
        <v>8584</v>
      </c>
      <c r="J3321" s="66"/>
      <c r="K3321" s="66"/>
      <c r="L3321" s="68"/>
      <c r="M3321" s="63" t="str">
        <f>HYPERLINK("http://nsgreg.nga.mil/genc/view?v=871255&amp;end_month=12&amp;end_day=31&amp;end_year=2016","Correlation")</f>
        <v>Correlation</v>
      </c>
    </row>
    <row r="3322" spans="1:13" x14ac:dyDescent="0.2">
      <c r="A3322" s="113"/>
      <c r="B3322" s="58" t="s">
        <v>8585</v>
      </c>
      <c r="C3322" s="58" t="s">
        <v>2294</v>
      </c>
      <c r="D3322" s="58" t="s">
        <v>8586</v>
      </c>
      <c r="E3322" s="60" t="b">
        <v>1</v>
      </c>
      <c r="F3322" s="80" t="s">
        <v>1097</v>
      </c>
      <c r="G3322" s="58" t="s">
        <v>8585</v>
      </c>
      <c r="H3322" s="58" t="s">
        <v>1483</v>
      </c>
      <c r="I3322" s="64" t="s">
        <v>8586</v>
      </c>
      <c r="J3322" s="66"/>
      <c r="K3322" s="66"/>
      <c r="L3322" s="68"/>
      <c r="M3322" s="63" t="str">
        <f>HYPERLINK("http://nsgreg.nga.mil/genc/view?v=871256&amp;end_month=12&amp;end_day=31&amp;end_year=2016","Correlation")</f>
        <v>Correlation</v>
      </c>
    </row>
    <row r="3323" spans="1:13" x14ac:dyDescent="0.2">
      <c r="A3323" s="113"/>
      <c r="B3323" s="58" t="s">
        <v>8587</v>
      </c>
      <c r="C3323" s="58" t="s">
        <v>2294</v>
      </c>
      <c r="D3323" s="58" t="s">
        <v>8588</v>
      </c>
      <c r="E3323" s="60" t="b">
        <v>1</v>
      </c>
      <c r="F3323" s="80" t="s">
        <v>1097</v>
      </c>
      <c r="G3323" s="58" t="s">
        <v>8587</v>
      </c>
      <c r="H3323" s="58" t="s">
        <v>1483</v>
      </c>
      <c r="I3323" s="64" t="s">
        <v>8588</v>
      </c>
      <c r="J3323" s="66"/>
      <c r="K3323" s="66"/>
      <c r="L3323" s="68"/>
      <c r="M3323" s="63" t="str">
        <f>HYPERLINK("http://nsgreg.nga.mil/genc/view?v=871258&amp;end_month=12&amp;end_day=31&amp;end_year=2016","Correlation")</f>
        <v>Correlation</v>
      </c>
    </row>
    <row r="3324" spans="1:13" x14ac:dyDescent="0.2">
      <c r="A3324" s="113"/>
      <c r="B3324" s="58" t="s">
        <v>8589</v>
      </c>
      <c r="C3324" s="58" t="s">
        <v>2294</v>
      </c>
      <c r="D3324" s="58" t="s">
        <v>8590</v>
      </c>
      <c r="E3324" s="60" t="b">
        <v>1</v>
      </c>
      <c r="F3324" s="80" t="s">
        <v>1097</v>
      </c>
      <c r="G3324" s="58" t="s">
        <v>8589</v>
      </c>
      <c r="H3324" s="58" t="s">
        <v>1483</v>
      </c>
      <c r="I3324" s="64" t="s">
        <v>8590</v>
      </c>
      <c r="J3324" s="66"/>
      <c r="K3324" s="66"/>
      <c r="L3324" s="68"/>
      <c r="M3324" s="63" t="str">
        <f>HYPERLINK("http://nsgreg.nga.mil/genc/view?v=871257&amp;end_month=12&amp;end_day=31&amp;end_year=2016","Correlation")</f>
        <v>Correlation</v>
      </c>
    </row>
    <row r="3325" spans="1:13" x14ac:dyDescent="0.2">
      <c r="A3325" s="113"/>
      <c r="B3325" s="58" t="s">
        <v>8591</v>
      </c>
      <c r="C3325" s="58" t="s">
        <v>2294</v>
      </c>
      <c r="D3325" s="58" t="s">
        <v>8592</v>
      </c>
      <c r="E3325" s="60" t="b">
        <v>1</v>
      </c>
      <c r="F3325" s="80" t="s">
        <v>1097</v>
      </c>
      <c r="G3325" s="58" t="s">
        <v>8591</v>
      </c>
      <c r="H3325" s="58" t="s">
        <v>1483</v>
      </c>
      <c r="I3325" s="64" t="s">
        <v>8592</v>
      </c>
      <c r="J3325" s="66"/>
      <c r="K3325" s="66"/>
      <c r="L3325" s="68"/>
      <c r="M3325" s="63" t="str">
        <f>HYPERLINK("http://nsgreg.nga.mil/genc/view?v=871259&amp;end_month=12&amp;end_day=31&amp;end_year=2016","Correlation")</f>
        <v>Correlation</v>
      </c>
    </row>
    <row r="3326" spans="1:13" x14ac:dyDescent="0.2">
      <c r="A3326" s="113"/>
      <c r="B3326" s="58" t="s">
        <v>8593</v>
      </c>
      <c r="C3326" s="58" t="s">
        <v>1816</v>
      </c>
      <c r="D3326" s="58" t="s">
        <v>8594</v>
      </c>
      <c r="E3326" s="60" t="b">
        <v>1</v>
      </c>
      <c r="F3326" s="80" t="s">
        <v>1097</v>
      </c>
      <c r="G3326" s="58" t="s">
        <v>8593</v>
      </c>
      <c r="H3326" s="58" t="s">
        <v>1816</v>
      </c>
      <c r="I3326" s="64" t="s">
        <v>8594</v>
      </c>
      <c r="J3326" s="66"/>
      <c r="K3326" s="66"/>
      <c r="L3326" s="68"/>
      <c r="M3326" s="63" t="str">
        <f>HYPERLINK("http://nsgreg.nga.mil/genc/view?v=871253&amp;end_month=12&amp;end_day=31&amp;end_year=2016","Correlation")</f>
        <v>Correlation</v>
      </c>
    </row>
    <row r="3327" spans="1:13" x14ac:dyDescent="0.2">
      <c r="A3327" s="113"/>
      <c r="B3327" s="58" t="s">
        <v>8595</v>
      </c>
      <c r="C3327" s="58" t="s">
        <v>2294</v>
      </c>
      <c r="D3327" s="58" t="s">
        <v>8596</v>
      </c>
      <c r="E3327" s="60" t="b">
        <v>1</v>
      </c>
      <c r="F3327" s="80" t="s">
        <v>1097</v>
      </c>
      <c r="G3327" s="58" t="s">
        <v>8595</v>
      </c>
      <c r="H3327" s="58" t="s">
        <v>1483</v>
      </c>
      <c r="I3327" s="64" t="s">
        <v>8596</v>
      </c>
      <c r="J3327" s="66"/>
      <c r="K3327" s="66"/>
      <c r="L3327" s="68"/>
      <c r="M3327" s="63" t="str">
        <f>HYPERLINK("http://nsgreg.nga.mil/genc/view?v=871260&amp;end_month=12&amp;end_day=31&amp;end_year=2016","Correlation")</f>
        <v>Correlation</v>
      </c>
    </row>
    <row r="3328" spans="1:13" x14ac:dyDescent="0.2">
      <c r="A3328" s="113"/>
      <c r="B3328" s="58" t="s">
        <v>7394</v>
      </c>
      <c r="C3328" s="58" t="s">
        <v>2294</v>
      </c>
      <c r="D3328" s="58" t="s">
        <v>8597</v>
      </c>
      <c r="E3328" s="60" t="b">
        <v>1</v>
      </c>
      <c r="F3328" s="80" t="s">
        <v>1097</v>
      </c>
      <c r="G3328" s="58" t="s">
        <v>7394</v>
      </c>
      <c r="H3328" s="58" t="s">
        <v>1483</v>
      </c>
      <c r="I3328" s="64" t="s">
        <v>8597</v>
      </c>
      <c r="J3328" s="66"/>
      <c r="K3328" s="66"/>
      <c r="L3328" s="68"/>
      <c r="M3328" s="63" t="str">
        <f>HYPERLINK("http://nsgreg.nga.mil/genc/view?v=871262&amp;end_month=12&amp;end_day=31&amp;end_year=2016","Correlation")</f>
        <v>Correlation</v>
      </c>
    </row>
    <row r="3329" spans="1:13" x14ac:dyDescent="0.2">
      <c r="A3329" s="113"/>
      <c r="B3329" s="58" t="s">
        <v>8598</v>
      </c>
      <c r="C3329" s="58" t="s">
        <v>2294</v>
      </c>
      <c r="D3329" s="58" t="s">
        <v>8599</v>
      </c>
      <c r="E3329" s="60" t="b">
        <v>1</v>
      </c>
      <c r="F3329" s="80" t="s">
        <v>1097</v>
      </c>
      <c r="G3329" s="58" t="s">
        <v>8598</v>
      </c>
      <c r="H3329" s="58" t="s">
        <v>1483</v>
      </c>
      <c r="I3329" s="64" t="s">
        <v>8599</v>
      </c>
      <c r="J3329" s="66"/>
      <c r="K3329" s="66"/>
      <c r="L3329" s="68"/>
      <c r="M3329" s="63" t="str">
        <f>HYPERLINK("http://nsgreg.nga.mil/genc/view?v=871263&amp;end_month=12&amp;end_day=31&amp;end_year=2016","Correlation")</f>
        <v>Correlation</v>
      </c>
    </row>
    <row r="3330" spans="1:13" x14ac:dyDescent="0.2">
      <c r="A3330" s="113"/>
      <c r="B3330" s="58" t="s">
        <v>8600</v>
      </c>
      <c r="C3330" s="58" t="s">
        <v>2294</v>
      </c>
      <c r="D3330" s="58" t="s">
        <v>8601</v>
      </c>
      <c r="E3330" s="60" t="b">
        <v>1</v>
      </c>
      <c r="F3330" s="80" t="s">
        <v>1097</v>
      </c>
      <c r="G3330" s="58" t="s">
        <v>8600</v>
      </c>
      <c r="H3330" s="58" t="s">
        <v>1483</v>
      </c>
      <c r="I3330" s="64" t="s">
        <v>8601</v>
      </c>
      <c r="J3330" s="66"/>
      <c r="K3330" s="66"/>
      <c r="L3330" s="68"/>
      <c r="M3330" s="63" t="str">
        <f>HYPERLINK("http://nsgreg.nga.mil/genc/view?v=871261&amp;end_month=12&amp;end_day=31&amp;end_year=2016","Correlation")</f>
        <v>Correlation</v>
      </c>
    </row>
    <row r="3331" spans="1:13" x14ac:dyDescent="0.2">
      <c r="A3331" s="113"/>
      <c r="B3331" s="58" t="s">
        <v>8602</v>
      </c>
      <c r="C3331" s="58" t="s">
        <v>2294</v>
      </c>
      <c r="D3331" s="58" t="s">
        <v>8603</v>
      </c>
      <c r="E3331" s="60" t="b">
        <v>1</v>
      </c>
      <c r="F3331" s="80" t="s">
        <v>1097</v>
      </c>
      <c r="G3331" s="58" t="s">
        <v>8602</v>
      </c>
      <c r="H3331" s="58" t="s">
        <v>1483</v>
      </c>
      <c r="I3331" s="64" t="s">
        <v>8603</v>
      </c>
      <c r="J3331" s="66"/>
      <c r="K3331" s="66"/>
      <c r="L3331" s="68"/>
      <c r="M3331" s="63" t="str">
        <f>HYPERLINK("http://nsgreg.nga.mil/genc/view?v=871264&amp;end_month=12&amp;end_day=31&amp;end_year=2016","Correlation")</f>
        <v>Correlation</v>
      </c>
    </row>
    <row r="3332" spans="1:13" x14ac:dyDescent="0.2">
      <c r="A3332" s="113"/>
      <c r="B3332" s="58" t="s">
        <v>8604</v>
      </c>
      <c r="C3332" s="58" t="s">
        <v>2294</v>
      </c>
      <c r="D3332" s="58" t="s">
        <v>8605</v>
      </c>
      <c r="E3332" s="60" t="b">
        <v>1</v>
      </c>
      <c r="F3332" s="80" t="s">
        <v>1097</v>
      </c>
      <c r="G3332" s="58" t="s">
        <v>8604</v>
      </c>
      <c r="H3332" s="58" t="s">
        <v>1483</v>
      </c>
      <c r="I3332" s="64" t="s">
        <v>8605</v>
      </c>
      <c r="J3332" s="66"/>
      <c r="K3332" s="66"/>
      <c r="L3332" s="68"/>
      <c r="M3332" s="63" t="str">
        <f>HYPERLINK("http://nsgreg.nga.mil/genc/view?v=871265&amp;end_month=12&amp;end_day=31&amp;end_year=2016","Correlation")</f>
        <v>Correlation</v>
      </c>
    </row>
    <row r="3333" spans="1:13" x14ac:dyDescent="0.2">
      <c r="A3333" s="113"/>
      <c r="B3333" s="58" t="s">
        <v>8606</v>
      </c>
      <c r="C3333" s="58" t="s">
        <v>2294</v>
      </c>
      <c r="D3333" s="58" t="s">
        <v>8607</v>
      </c>
      <c r="E3333" s="60" t="b">
        <v>1</v>
      </c>
      <c r="F3333" s="80" t="s">
        <v>1097</v>
      </c>
      <c r="G3333" s="58" t="s">
        <v>8606</v>
      </c>
      <c r="H3333" s="58" t="s">
        <v>1483</v>
      </c>
      <c r="I3333" s="64" t="s">
        <v>8607</v>
      </c>
      <c r="J3333" s="66"/>
      <c r="K3333" s="66"/>
      <c r="L3333" s="68"/>
      <c r="M3333" s="63" t="str">
        <f>HYPERLINK("http://nsgreg.nga.mil/genc/view?v=871266&amp;end_month=12&amp;end_day=31&amp;end_year=2016","Correlation")</f>
        <v>Correlation</v>
      </c>
    </row>
    <row r="3334" spans="1:13" x14ac:dyDescent="0.2">
      <c r="A3334" s="113"/>
      <c r="B3334" s="58" t="s">
        <v>8608</v>
      </c>
      <c r="C3334" s="58" t="s">
        <v>2294</v>
      </c>
      <c r="D3334" s="58" t="s">
        <v>8609</v>
      </c>
      <c r="E3334" s="60" t="b">
        <v>1</v>
      </c>
      <c r="F3334" s="80" t="s">
        <v>1097</v>
      </c>
      <c r="G3334" s="58" t="s">
        <v>8608</v>
      </c>
      <c r="H3334" s="58" t="s">
        <v>1483</v>
      </c>
      <c r="I3334" s="64" t="s">
        <v>8609</v>
      </c>
      <c r="J3334" s="66"/>
      <c r="K3334" s="66"/>
      <c r="L3334" s="68"/>
      <c r="M3334" s="63" t="str">
        <f>HYPERLINK("http://nsgreg.nga.mil/genc/view?v=871267&amp;end_month=12&amp;end_day=31&amp;end_year=2016","Correlation")</f>
        <v>Correlation</v>
      </c>
    </row>
    <row r="3335" spans="1:13" x14ac:dyDescent="0.2">
      <c r="A3335" s="113"/>
      <c r="B3335" s="58" t="s">
        <v>8610</v>
      </c>
      <c r="C3335" s="58" t="s">
        <v>2294</v>
      </c>
      <c r="D3335" s="58" t="s">
        <v>8611</v>
      </c>
      <c r="E3335" s="60" t="b">
        <v>1</v>
      </c>
      <c r="F3335" s="80" t="s">
        <v>1097</v>
      </c>
      <c r="G3335" s="58" t="s">
        <v>8610</v>
      </c>
      <c r="H3335" s="58" t="s">
        <v>1483</v>
      </c>
      <c r="I3335" s="64" t="s">
        <v>8611</v>
      </c>
      <c r="J3335" s="66"/>
      <c r="K3335" s="66"/>
      <c r="L3335" s="68"/>
      <c r="M3335" s="63" t="str">
        <f>HYPERLINK("http://nsgreg.nga.mil/genc/view?v=871269&amp;end_month=12&amp;end_day=31&amp;end_year=2016","Correlation")</f>
        <v>Correlation</v>
      </c>
    </row>
    <row r="3336" spans="1:13" x14ac:dyDescent="0.2">
      <c r="A3336" s="113"/>
      <c r="B3336" s="58" t="s">
        <v>8612</v>
      </c>
      <c r="C3336" s="58" t="s">
        <v>2294</v>
      </c>
      <c r="D3336" s="58" t="s">
        <v>8613</v>
      </c>
      <c r="E3336" s="60" t="b">
        <v>1</v>
      </c>
      <c r="F3336" s="80" t="s">
        <v>1097</v>
      </c>
      <c r="G3336" s="58" t="s">
        <v>8612</v>
      </c>
      <c r="H3336" s="58" t="s">
        <v>1483</v>
      </c>
      <c r="I3336" s="64" t="s">
        <v>8613</v>
      </c>
      <c r="J3336" s="66"/>
      <c r="K3336" s="66"/>
      <c r="L3336" s="68"/>
      <c r="M3336" s="63" t="str">
        <f>HYPERLINK("http://nsgreg.nga.mil/genc/view?v=871270&amp;end_month=12&amp;end_day=31&amp;end_year=2016","Correlation")</f>
        <v>Correlation</v>
      </c>
    </row>
    <row r="3337" spans="1:13" x14ac:dyDescent="0.2">
      <c r="A3337" s="113"/>
      <c r="B3337" s="58" t="s">
        <v>8614</v>
      </c>
      <c r="C3337" s="58" t="s">
        <v>2294</v>
      </c>
      <c r="D3337" s="58" t="s">
        <v>8615</v>
      </c>
      <c r="E3337" s="60" t="b">
        <v>1</v>
      </c>
      <c r="F3337" s="80" t="s">
        <v>1097</v>
      </c>
      <c r="G3337" s="58" t="s">
        <v>8614</v>
      </c>
      <c r="H3337" s="58" t="s">
        <v>1483</v>
      </c>
      <c r="I3337" s="64" t="s">
        <v>8615</v>
      </c>
      <c r="J3337" s="66"/>
      <c r="K3337" s="66"/>
      <c r="L3337" s="68"/>
      <c r="M3337" s="63" t="str">
        <f>HYPERLINK("http://nsgreg.nga.mil/genc/view?v=871268&amp;end_month=12&amp;end_day=31&amp;end_year=2016","Correlation")</f>
        <v>Correlation</v>
      </c>
    </row>
    <row r="3338" spans="1:13" x14ac:dyDescent="0.2">
      <c r="A3338" s="113"/>
      <c r="B3338" s="58" t="s">
        <v>8616</v>
      </c>
      <c r="C3338" s="58" t="s">
        <v>2294</v>
      </c>
      <c r="D3338" s="58" t="s">
        <v>8617</v>
      </c>
      <c r="E3338" s="60" t="b">
        <v>1</v>
      </c>
      <c r="F3338" s="80" t="s">
        <v>1097</v>
      </c>
      <c r="G3338" s="58" t="s">
        <v>8616</v>
      </c>
      <c r="H3338" s="58" t="s">
        <v>1483</v>
      </c>
      <c r="I3338" s="64" t="s">
        <v>8617</v>
      </c>
      <c r="J3338" s="66"/>
      <c r="K3338" s="66"/>
      <c r="L3338" s="68"/>
      <c r="M3338" s="63" t="str">
        <f>HYPERLINK("http://nsgreg.nga.mil/genc/view?v=871272&amp;end_month=12&amp;end_day=31&amp;end_year=2016","Correlation")</f>
        <v>Correlation</v>
      </c>
    </row>
    <row r="3339" spans="1:13" x14ac:dyDescent="0.2">
      <c r="A3339" s="113"/>
      <c r="B3339" s="58" t="s">
        <v>8618</v>
      </c>
      <c r="C3339" s="58" t="s">
        <v>2294</v>
      </c>
      <c r="D3339" s="58" t="s">
        <v>8619</v>
      </c>
      <c r="E3339" s="60" t="b">
        <v>1</v>
      </c>
      <c r="F3339" s="80" t="s">
        <v>1097</v>
      </c>
      <c r="G3339" s="58" t="s">
        <v>8618</v>
      </c>
      <c r="H3339" s="58" t="s">
        <v>1483</v>
      </c>
      <c r="I3339" s="64" t="s">
        <v>8619</v>
      </c>
      <c r="J3339" s="66"/>
      <c r="K3339" s="66"/>
      <c r="L3339" s="68"/>
      <c r="M3339" s="63" t="str">
        <f>HYPERLINK("http://nsgreg.nga.mil/genc/view?v=871271&amp;end_month=12&amp;end_day=31&amp;end_year=2016","Correlation")</f>
        <v>Correlation</v>
      </c>
    </row>
    <row r="3340" spans="1:13" x14ac:dyDescent="0.2">
      <c r="A3340" s="113"/>
      <c r="B3340" s="58" t="s">
        <v>8620</v>
      </c>
      <c r="C3340" s="58" t="s">
        <v>2294</v>
      </c>
      <c r="D3340" s="58" t="s">
        <v>8621</v>
      </c>
      <c r="E3340" s="60" t="b">
        <v>1</v>
      </c>
      <c r="F3340" s="80" t="s">
        <v>1097</v>
      </c>
      <c r="G3340" s="58" t="s">
        <v>8620</v>
      </c>
      <c r="H3340" s="58" t="s">
        <v>1483</v>
      </c>
      <c r="I3340" s="64" t="s">
        <v>8621</v>
      </c>
      <c r="J3340" s="66"/>
      <c r="K3340" s="66"/>
      <c r="L3340" s="68"/>
      <c r="M3340" s="63" t="str">
        <f>HYPERLINK("http://nsgreg.nga.mil/genc/view?v=871274&amp;end_month=12&amp;end_day=31&amp;end_year=2016","Correlation")</f>
        <v>Correlation</v>
      </c>
    </row>
    <row r="3341" spans="1:13" x14ac:dyDescent="0.2">
      <c r="A3341" s="113"/>
      <c r="B3341" s="58" t="s">
        <v>8622</v>
      </c>
      <c r="C3341" s="58" t="s">
        <v>2294</v>
      </c>
      <c r="D3341" s="58" t="s">
        <v>8623</v>
      </c>
      <c r="E3341" s="60" t="b">
        <v>1</v>
      </c>
      <c r="F3341" s="80" t="s">
        <v>1097</v>
      </c>
      <c r="G3341" s="58" t="s">
        <v>8622</v>
      </c>
      <c r="H3341" s="58" t="s">
        <v>1483</v>
      </c>
      <c r="I3341" s="64" t="s">
        <v>8623</v>
      </c>
      <c r="J3341" s="66"/>
      <c r="K3341" s="66"/>
      <c r="L3341" s="68"/>
      <c r="M3341" s="63" t="str">
        <f>HYPERLINK("http://nsgreg.nga.mil/genc/view?v=871275&amp;end_month=12&amp;end_day=31&amp;end_year=2016","Correlation")</f>
        <v>Correlation</v>
      </c>
    </row>
    <row r="3342" spans="1:13" x14ac:dyDescent="0.2">
      <c r="A3342" s="113"/>
      <c r="B3342" s="58" t="s">
        <v>8624</v>
      </c>
      <c r="C3342" s="58" t="s">
        <v>2294</v>
      </c>
      <c r="D3342" s="58" t="s">
        <v>8625</v>
      </c>
      <c r="E3342" s="60" t="b">
        <v>1</v>
      </c>
      <c r="F3342" s="80" t="s">
        <v>1097</v>
      </c>
      <c r="G3342" s="58" t="s">
        <v>8624</v>
      </c>
      <c r="H3342" s="58" t="s">
        <v>1483</v>
      </c>
      <c r="I3342" s="64" t="s">
        <v>8625</v>
      </c>
      <c r="J3342" s="66"/>
      <c r="K3342" s="66"/>
      <c r="L3342" s="68"/>
      <c r="M3342" s="63" t="str">
        <f>HYPERLINK("http://nsgreg.nga.mil/genc/view?v=871273&amp;end_month=12&amp;end_day=31&amp;end_year=2016","Correlation")</f>
        <v>Correlation</v>
      </c>
    </row>
    <row r="3343" spans="1:13" x14ac:dyDescent="0.2">
      <c r="A3343" s="113"/>
      <c r="B3343" s="58" t="s">
        <v>8626</v>
      </c>
      <c r="C3343" s="58" t="s">
        <v>2294</v>
      </c>
      <c r="D3343" s="58" t="s">
        <v>8627</v>
      </c>
      <c r="E3343" s="60" t="b">
        <v>1</v>
      </c>
      <c r="F3343" s="80" t="s">
        <v>1097</v>
      </c>
      <c r="G3343" s="58" t="s">
        <v>8626</v>
      </c>
      <c r="H3343" s="58" t="s">
        <v>1483</v>
      </c>
      <c r="I3343" s="64" t="s">
        <v>8627</v>
      </c>
      <c r="J3343" s="66"/>
      <c r="K3343" s="66"/>
      <c r="L3343" s="68"/>
      <c r="M3343" s="63" t="str">
        <f>HYPERLINK("http://nsgreg.nga.mil/genc/view?v=871277&amp;end_month=12&amp;end_day=31&amp;end_year=2016","Correlation")</f>
        <v>Correlation</v>
      </c>
    </row>
    <row r="3344" spans="1:13" x14ac:dyDescent="0.2">
      <c r="A3344" s="113"/>
      <c r="B3344" s="58" t="s">
        <v>8628</v>
      </c>
      <c r="C3344" s="58" t="s">
        <v>2294</v>
      </c>
      <c r="D3344" s="58" t="s">
        <v>8629</v>
      </c>
      <c r="E3344" s="60" t="b">
        <v>1</v>
      </c>
      <c r="F3344" s="80" t="s">
        <v>1097</v>
      </c>
      <c r="G3344" s="58" t="s">
        <v>8628</v>
      </c>
      <c r="H3344" s="58" t="s">
        <v>1483</v>
      </c>
      <c r="I3344" s="64" t="s">
        <v>8629</v>
      </c>
      <c r="J3344" s="66"/>
      <c r="K3344" s="66"/>
      <c r="L3344" s="68"/>
      <c r="M3344" s="63" t="str">
        <f>HYPERLINK("http://nsgreg.nga.mil/genc/view?v=871276&amp;end_month=12&amp;end_day=31&amp;end_year=2016","Correlation")</f>
        <v>Correlation</v>
      </c>
    </row>
    <row r="3345" spans="1:13" x14ac:dyDescent="0.2">
      <c r="A3345" s="113"/>
      <c r="B3345" s="58" t="s">
        <v>8630</v>
      </c>
      <c r="C3345" s="58" t="s">
        <v>2294</v>
      </c>
      <c r="D3345" s="58" t="s">
        <v>8631</v>
      </c>
      <c r="E3345" s="60" t="b">
        <v>1</v>
      </c>
      <c r="F3345" s="80" t="s">
        <v>1097</v>
      </c>
      <c r="G3345" s="58" t="s">
        <v>8630</v>
      </c>
      <c r="H3345" s="58" t="s">
        <v>1483</v>
      </c>
      <c r="I3345" s="64" t="s">
        <v>8631</v>
      </c>
      <c r="J3345" s="66"/>
      <c r="K3345" s="66"/>
      <c r="L3345" s="68"/>
      <c r="M3345" s="63" t="str">
        <f>HYPERLINK("http://nsgreg.nga.mil/genc/view?v=871278&amp;end_month=12&amp;end_day=31&amp;end_year=2016","Correlation")</f>
        <v>Correlation</v>
      </c>
    </row>
    <row r="3346" spans="1:13" x14ac:dyDescent="0.2">
      <c r="A3346" s="113"/>
      <c r="B3346" s="58" t="s">
        <v>8632</v>
      </c>
      <c r="C3346" s="58" t="s">
        <v>2294</v>
      </c>
      <c r="D3346" s="58" t="s">
        <v>8633</v>
      </c>
      <c r="E3346" s="60" t="b">
        <v>1</v>
      </c>
      <c r="F3346" s="80" t="s">
        <v>1097</v>
      </c>
      <c r="G3346" s="58" t="s">
        <v>8632</v>
      </c>
      <c r="H3346" s="58" t="s">
        <v>1483</v>
      </c>
      <c r="I3346" s="64" t="s">
        <v>8633</v>
      </c>
      <c r="J3346" s="66"/>
      <c r="K3346" s="66"/>
      <c r="L3346" s="68"/>
      <c r="M3346" s="63" t="str">
        <f>HYPERLINK("http://nsgreg.nga.mil/genc/view?v=871279&amp;end_month=12&amp;end_day=31&amp;end_year=2016","Correlation")</f>
        <v>Correlation</v>
      </c>
    </row>
    <row r="3347" spans="1:13" x14ac:dyDescent="0.2">
      <c r="A3347" s="113"/>
      <c r="B3347" s="58" t="s">
        <v>8634</v>
      </c>
      <c r="C3347" s="58" t="s">
        <v>2294</v>
      </c>
      <c r="D3347" s="58" t="s">
        <v>8635</v>
      </c>
      <c r="E3347" s="60" t="b">
        <v>1</v>
      </c>
      <c r="F3347" s="80" t="s">
        <v>1097</v>
      </c>
      <c r="G3347" s="58" t="s">
        <v>8634</v>
      </c>
      <c r="H3347" s="58" t="s">
        <v>1483</v>
      </c>
      <c r="I3347" s="64" t="s">
        <v>8635</v>
      </c>
      <c r="J3347" s="66"/>
      <c r="K3347" s="66"/>
      <c r="L3347" s="68"/>
      <c r="M3347" s="63" t="str">
        <f>HYPERLINK("http://nsgreg.nga.mil/genc/view?v=871280&amp;end_month=12&amp;end_day=31&amp;end_year=2016","Correlation")</f>
        <v>Correlation</v>
      </c>
    </row>
    <row r="3348" spans="1:13" x14ac:dyDescent="0.2">
      <c r="A3348" s="113"/>
      <c r="B3348" s="58" t="s">
        <v>8636</v>
      </c>
      <c r="C3348" s="58" t="s">
        <v>2294</v>
      </c>
      <c r="D3348" s="58" t="s">
        <v>8637</v>
      </c>
      <c r="E3348" s="60" t="b">
        <v>1</v>
      </c>
      <c r="F3348" s="80" t="s">
        <v>1097</v>
      </c>
      <c r="G3348" s="58" t="s">
        <v>8636</v>
      </c>
      <c r="H3348" s="58" t="s">
        <v>1483</v>
      </c>
      <c r="I3348" s="64" t="s">
        <v>8637</v>
      </c>
      <c r="J3348" s="66"/>
      <c r="K3348" s="66"/>
      <c r="L3348" s="68"/>
      <c r="M3348" s="63" t="str">
        <f>HYPERLINK("http://nsgreg.nga.mil/genc/view?v=871281&amp;end_month=12&amp;end_day=31&amp;end_year=2016","Correlation")</f>
        <v>Correlation</v>
      </c>
    </row>
    <row r="3349" spans="1:13" x14ac:dyDescent="0.2">
      <c r="A3349" s="113"/>
      <c r="B3349" s="58" t="s">
        <v>8638</v>
      </c>
      <c r="C3349" s="58" t="s">
        <v>2294</v>
      </c>
      <c r="D3349" s="58" t="s">
        <v>8639</v>
      </c>
      <c r="E3349" s="60" t="b">
        <v>1</v>
      </c>
      <c r="F3349" s="80" t="s">
        <v>1097</v>
      </c>
      <c r="G3349" s="58" t="s">
        <v>8638</v>
      </c>
      <c r="H3349" s="58" t="s">
        <v>1483</v>
      </c>
      <c r="I3349" s="64" t="s">
        <v>8639</v>
      </c>
      <c r="J3349" s="66"/>
      <c r="K3349" s="66"/>
      <c r="L3349" s="68"/>
      <c r="M3349" s="63" t="str">
        <f>HYPERLINK("http://nsgreg.nga.mil/genc/view?v=871283&amp;end_month=12&amp;end_day=31&amp;end_year=2016","Correlation")</f>
        <v>Correlation</v>
      </c>
    </row>
    <row r="3350" spans="1:13" x14ac:dyDescent="0.2">
      <c r="A3350" s="113"/>
      <c r="B3350" s="58" t="s">
        <v>8640</v>
      </c>
      <c r="C3350" s="58" t="s">
        <v>2294</v>
      </c>
      <c r="D3350" s="58" t="s">
        <v>8641</v>
      </c>
      <c r="E3350" s="60" t="b">
        <v>1</v>
      </c>
      <c r="F3350" s="80" t="s">
        <v>1097</v>
      </c>
      <c r="G3350" s="58" t="s">
        <v>8640</v>
      </c>
      <c r="H3350" s="58" t="s">
        <v>1483</v>
      </c>
      <c r="I3350" s="64" t="s">
        <v>8641</v>
      </c>
      <c r="J3350" s="66"/>
      <c r="K3350" s="66"/>
      <c r="L3350" s="68"/>
      <c r="M3350" s="63" t="str">
        <f>HYPERLINK("http://nsgreg.nga.mil/genc/view?v=871284&amp;end_month=12&amp;end_day=31&amp;end_year=2016","Correlation")</f>
        <v>Correlation</v>
      </c>
    </row>
    <row r="3351" spans="1:13" x14ac:dyDescent="0.2">
      <c r="A3351" s="113"/>
      <c r="B3351" s="58" t="s">
        <v>8642</v>
      </c>
      <c r="C3351" s="58" t="s">
        <v>2294</v>
      </c>
      <c r="D3351" s="58" t="s">
        <v>8643</v>
      </c>
      <c r="E3351" s="60" t="b">
        <v>1</v>
      </c>
      <c r="F3351" s="80" t="s">
        <v>1097</v>
      </c>
      <c r="G3351" s="58" t="s">
        <v>8642</v>
      </c>
      <c r="H3351" s="58" t="s">
        <v>1483</v>
      </c>
      <c r="I3351" s="64" t="s">
        <v>8643</v>
      </c>
      <c r="J3351" s="66"/>
      <c r="K3351" s="66"/>
      <c r="L3351" s="68"/>
      <c r="M3351" s="63" t="str">
        <f>HYPERLINK("http://nsgreg.nga.mil/genc/view?v=871282&amp;end_month=12&amp;end_day=31&amp;end_year=2016","Correlation")</f>
        <v>Correlation</v>
      </c>
    </row>
    <row r="3352" spans="1:13" x14ac:dyDescent="0.2">
      <c r="A3352" s="113"/>
      <c r="B3352" s="58" t="s">
        <v>8644</v>
      </c>
      <c r="C3352" s="58" t="s">
        <v>2294</v>
      </c>
      <c r="D3352" s="58" t="s">
        <v>8645</v>
      </c>
      <c r="E3352" s="60" t="b">
        <v>1</v>
      </c>
      <c r="F3352" s="80" t="s">
        <v>1097</v>
      </c>
      <c r="G3352" s="58" t="s">
        <v>8644</v>
      </c>
      <c r="H3352" s="58" t="s">
        <v>1483</v>
      </c>
      <c r="I3352" s="64" t="s">
        <v>8645</v>
      </c>
      <c r="J3352" s="66"/>
      <c r="K3352" s="66"/>
      <c r="L3352" s="68"/>
      <c r="M3352" s="63" t="str">
        <f>HYPERLINK("http://nsgreg.nga.mil/genc/view?v=871285&amp;end_month=12&amp;end_day=31&amp;end_year=2016","Correlation")</f>
        <v>Correlation</v>
      </c>
    </row>
    <row r="3353" spans="1:13" x14ac:dyDescent="0.2">
      <c r="A3353" s="113"/>
      <c r="B3353" s="58" t="s">
        <v>8646</v>
      </c>
      <c r="C3353" s="58" t="s">
        <v>2294</v>
      </c>
      <c r="D3353" s="58" t="s">
        <v>8647</v>
      </c>
      <c r="E3353" s="60" t="b">
        <v>1</v>
      </c>
      <c r="F3353" s="80" t="s">
        <v>1097</v>
      </c>
      <c r="G3353" s="58" t="s">
        <v>8646</v>
      </c>
      <c r="H3353" s="58" t="s">
        <v>1483</v>
      </c>
      <c r="I3353" s="64" t="s">
        <v>8647</v>
      </c>
      <c r="J3353" s="66"/>
      <c r="K3353" s="66"/>
      <c r="L3353" s="68"/>
      <c r="M3353" s="63" t="str">
        <f>HYPERLINK("http://nsgreg.nga.mil/genc/view?v=871288&amp;end_month=12&amp;end_day=31&amp;end_year=2016","Correlation")</f>
        <v>Correlation</v>
      </c>
    </row>
    <row r="3354" spans="1:13" x14ac:dyDescent="0.2">
      <c r="A3354" s="113"/>
      <c r="B3354" s="58" t="s">
        <v>8648</v>
      </c>
      <c r="C3354" s="58" t="s">
        <v>2294</v>
      </c>
      <c r="D3354" s="58" t="s">
        <v>8649</v>
      </c>
      <c r="E3354" s="60" t="b">
        <v>1</v>
      </c>
      <c r="F3354" s="80" t="s">
        <v>1097</v>
      </c>
      <c r="G3354" s="58" t="s">
        <v>8648</v>
      </c>
      <c r="H3354" s="58" t="s">
        <v>1483</v>
      </c>
      <c r="I3354" s="64" t="s">
        <v>8649</v>
      </c>
      <c r="J3354" s="66"/>
      <c r="K3354" s="66"/>
      <c r="L3354" s="68"/>
      <c r="M3354" s="63" t="str">
        <f>HYPERLINK("http://nsgreg.nga.mil/genc/view?v=871287&amp;end_month=12&amp;end_day=31&amp;end_year=2016","Correlation")</f>
        <v>Correlation</v>
      </c>
    </row>
    <row r="3355" spans="1:13" x14ac:dyDescent="0.2">
      <c r="A3355" s="113"/>
      <c r="B3355" s="58" t="s">
        <v>8650</v>
      </c>
      <c r="C3355" s="58" t="s">
        <v>2294</v>
      </c>
      <c r="D3355" s="58" t="s">
        <v>8651</v>
      </c>
      <c r="E3355" s="60" t="b">
        <v>1</v>
      </c>
      <c r="F3355" s="80" t="s">
        <v>1097</v>
      </c>
      <c r="G3355" s="58" t="s">
        <v>8650</v>
      </c>
      <c r="H3355" s="58" t="s">
        <v>1483</v>
      </c>
      <c r="I3355" s="64" t="s">
        <v>8651</v>
      </c>
      <c r="J3355" s="66"/>
      <c r="K3355" s="66"/>
      <c r="L3355" s="68"/>
      <c r="M3355" s="63" t="str">
        <f>HYPERLINK("http://nsgreg.nga.mil/genc/view?v=871286&amp;end_month=12&amp;end_day=31&amp;end_year=2016","Correlation")</f>
        <v>Correlation</v>
      </c>
    </row>
    <row r="3356" spans="1:13" x14ac:dyDescent="0.2">
      <c r="A3356" s="113"/>
      <c r="B3356" s="58" t="s">
        <v>8652</v>
      </c>
      <c r="C3356" s="58" t="s">
        <v>2294</v>
      </c>
      <c r="D3356" s="58" t="s">
        <v>8653</v>
      </c>
      <c r="E3356" s="60" t="b">
        <v>1</v>
      </c>
      <c r="F3356" s="80" t="s">
        <v>1097</v>
      </c>
      <c r="G3356" s="58" t="s">
        <v>8652</v>
      </c>
      <c r="H3356" s="58" t="s">
        <v>1483</v>
      </c>
      <c r="I3356" s="64" t="s">
        <v>8653</v>
      </c>
      <c r="J3356" s="66"/>
      <c r="K3356" s="66"/>
      <c r="L3356" s="68"/>
      <c r="M3356" s="63" t="str">
        <f>HYPERLINK("http://nsgreg.nga.mil/genc/view?v=871289&amp;end_month=12&amp;end_day=31&amp;end_year=2016","Correlation")</f>
        <v>Correlation</v>
      </c>
    </row>
    <row r="3357" spans="1:13" x14ac:dyDescent="0.2">
      <c r="A3357" s="113"/>
      <c r="B3357" s="58" t="s">
        <v>8654</v>
      </c>
      <c r="C3357" s="58" t="s">
        <v>2294</v>
      </c>
      <c r="D3357" s="58" t="s">
        <v>8655</v>
      </c>
      <c r="E3357" s="60" t="b">
        <v>1</v>
      </c>
      <c r="F3357" s="80" t="s">
        <v>1097</v>
      </c>
      <c r="G3357" s="58" t="s">
        <v>8654</v>
      </c>
      <c r="H3357" s="58" t="s">
        <v>1483</v>
      </c>
      <c r="I3357" s="64" t="s">
        <v>8655</v>
      </c>
      <c r="J3357" s="66"/>
      <c r="K3357" s="66"/>
      <c r="L3357" s="68"/>
      <c r="M3357" s="63" t="str">
        <f>HYPERLINK("http://nsgreg.nga.mil/genc/view?v=871291&amp;end_month=12&amp;end_day=31&amp;end_year=2016","Correlation")</f>
        <v>Correlation</v>
      </c>
    </row>
    <row r="3358" spans="1:13" x14ac:dyDescent="0.2">
      <c r="A3358" s="114"/>
      <c r="B3358" s="71" t="s">
        <v>8656</v>
      </c>
      <c r="C3358" s="71" t="s">
        <v>2294</v>
      </c>
      <c r="D3358" s="71" t="s">
        <v>8657</v>
      </c>
      <c r="E3358" s="73" t="b">
        <v>1</v>
      </c>
      <c r="F3358" s="81" t="s">
        <v>1097</v>
      </c>
      <c r="G3358" s="71" t="s">
        <v>8656</v>
      </c>
      <c r="H3358" s="71" t="s">
        <v>1483</v>
      </c>
      <c r="I3358" s="74" t="s">
        <v>8657</v>
      </c>
      <c r="J3358" s="76"/>
      <c r="K3358" s="76"/>
      <c r="L3358" s="82"/>
      <c r="M3358" s="77" t="str">
        <f>HYPERLINK("http://nsgreg.nga.mil/genc/view?v=871290&amp;end_month=12&amp;end_day=31&amp;end_year=2016","Correlation")</f>
        <v>Correlation</v>
      </c>
    </row>
    <row r="3359" spans="1:13" x14ac:dyDescent="0.2">
      <c r="A3359" s="112" t="s">
        <v>1105</v>
      </c>
      <c r="B3359" s="50" t="s">
        <v>8660</v>
      </c>
      <c r="C3359" s="50" t="s">
        <v>2408</v>
      </c>
      <c r="D3359" s="50" t="s">
        <v>8659</v>
      </c>
      <c r="E3359" s="52" t="b">
        <v>1</v>
      </c>
      <c r="F3359" s="78" t="s">
        <v>1101</v>
      </c>
      <c r="G3359" s="50" t="s">
        <v>8658</v>
      </c>
      <c r="H3359" s="50" t="s">
        <v>2408</v>
      </c>
      <c r="I3359" s="53" t="s">
        <v>8659</v>
      </c>
      <c r="J3359" s="55"/>
      <c r="K3359" s="55"/>
      <c r="L3359" s="79"/>
      <c r="M3359" s="56" t="str">
        <f>HYPERLINK("http://nsgreg.nga.mil/genc/view?v=871323&amp;end_month=12&amp;end_day=31&amp;end_year=2016","Correlation")</f>
        <v>Correlation</v>
      </c>
    </row>
    <row r="3360" spans="1:13" x14ac:dyDescent="0.2">
      <c r="A3360" s="113"/>
      <c r="B3360" s="58" t="s">
        <v>8663</v>
      </c>
      <c r="C3360" s="58" t="s">
        <v>2408</v>
      </c>
      <c r="D3360" s="58" t="s">
        <v>8662</v>
      </c>
      <c r="E3360" s="60" t="b">
        <v>1</v>
      </c>
      <c r="F3360" s="80" t="s">
        <v>1101</v>
      </c>
      <c r="G3360" s="58" t="s">
        <v>8661</v>
      </c>
      <c r="H3360" s="58" t="s">
        <v>2408</v>
      </c>
      <c r="I3360" s="64" t="s">
        <v>8662</v>
      </c>
      <c r="J3360" s="66"/>
      <c r="K3360" s="66"/>
      <c r="L3360" s="68"/>
      <c r="M3360" s="63" t="str">
        <f>HYPERLINK("http://nsgreg.nga.mil/genc/view?v=871324&amp;end_month=12&amp;end_day=31&amp;end_year=2016","Correlation")</f>
        <v>Correlation</v>
      </c>
    </row>
    <row r="3361" spans="1:13" x14ac:dyDescent="0.2">
      <c r="A3361" s="113"/>
      <c r="B3361" s="58" t="s">
        <v>8666</v>
      </c>
      <c r="C3361" s="58" t="s">
        <v>8667</v>
      </c>
      <c r="D3361" s="58" t="s">
        <v>8665</v>
      </c>
      <c r="E3361" s="60" t="b">
        <v>1</v>
      </c>
      <c r="F3361" s="80" t="s">
        <v>1101</v>
      </c>
      <c r="G3361" s="58" t="s">
        <v>8664</v>
      </c>
      <c r="H3361" s="58" t="s">
        <v>1796</v>
      </c>
      <c r="I3361" s="64" t="s">
        <v>8665</v>
      </c>
      <c r="J3361" s="66"/>
      <c r="K3361" s="66"/>
      <c r="L3361" s="68"/>
      <c r="M3361" s="63" t="str">
        <f>HYPERLINK("http://nsgreg.nga.mil/genc/view?v=871325&amp;end_month=12&amp;end_day=31&amp;end_year=2016","Correlation")</f>
        <v>Correlation</v>
      </c>
    </row>
    <row r="3362" spans="1:13" x14ac:dyDescent="0.2">
      <c r="A3362" s="113"/>
      <c r="B3362" s="58" t="s">
        <v>8670</v>
      </c>
      <c r="C3362" s="58" t="s">
        <v>4486</v>
      </c>
      <c r="D3362" s="58" t="s">
        <v>8669</v>
      </c>
      <c r="E3362" s="60" t="b">
        <v>1</v>
      </c>
      <c r="F3362" s="80" t="s">
        <v>1101</v>
      </c>
      <c r="G3362" s="58" t="s">
        <v>8668</v>
      </c>
      <c r="H3362" s="58" t="s">
        <v>1413</v>
      </c>
      <c r="I3362" s="64" t="s">
        <v>8669</v>
      </c>
      <c r="J3362" s="66"/>
      <c r="K3362" s="66"/>
      <c r="L3362" s="68"/>
      <c r="M3362" s="63" t="str">
        <f>HYPERLINK("http://nsgreg.nga.mil/genc/view?v=871326&amp;end_month=12&amp;end_day=31&amp;end_year=2016","Correlation")</f>
        <v>Correlation</v>
      </c>
    </row>
    <row r="3363" spans="1:13" x14ac:dyDescent="0.2">
      <c r="A3363" s="113"/>
      <c r="B3363" s="58" t="s">
        <v>8673</v>
      </c>
      <c r="C3363" s="58" t="s">
        <v>4486</v>
      </c>
      <c r="D3363" s="58" t="s">
        <v>8672</v>
      </c>
      <c r="E3363" s="60" t="b">
        <v>1</v>
      </c>
      <c r="F3363" s="80" t="s">
        <v>1101</v>
      </c>
      <c r="G3363" s="58" t="s">
        <v>8671</v>
      </c>
      <c r="H3363" s="58" t="s">
        <v>1413</v>
      </c>
      <c r="I3363" s="64" t="s">
        <v>8672</v>
      </c>
      <c r="J3363" s="66"/>
      <c r="K3363" s="66"/>
      <c r="L3363" s="68"/>
      <c r="M3363" s="63" t="str">
        <f>HYPERLINK("http://nsgreg.nga.mil/genc/view?v=871327&amp;end_month=12&amp;end_day=31&amp;end_year=2016","Correlation")</f>
        <v>Correlation</v>
      </c>
    </row>
    <row r="3364" spans="1:13" x14ac:dyDescent="0.2">
      <c r="A3364" s="113"/>
      <c r="B3364" s="58" t="s">
        <v>8676</v>
      </c>
      <c r="C3364" s="58" t="s">
        <v>4486</v>
      </c>
      <c r="D3364" s="58" t="s">
        <v>8675</v>
      </c>
      <c r="E3364" s="60" t="b">
        <v>1</v>
      </c>
      <c r="F3364" s="80" t="s">
        <v>1101</v>
      </c>
      <c r="G3364" s="58" t="s">
        <v>8674</v>
      </c>
      <c r="H3364" s="58" t="s">
        <v>1413</v>
      </c>
      <c r="I3364" s="64" t="s">
        <v>8675</v>
      </c>
      <c r="J3364" s="66"/>
      <c r="K3364" s="66"/>
      <c r="L3364" s="68"/>
      <c r="M3364" s="63" t="str">
        <f>HYPERLINK("http://nsgreg.nga.mil/genc/view?v=871328&amp;end_month=12&amp;end_day=31&amp;end_year=2016","Correlation")</f>
        <v>Correlation</v>
      </c>
    </row>
    <row r="3365" spans="1:13" x14ac:dyDescent="0.2">
      <c r="A3365" s="113"/>
      <c r="B3365" s="58" t="s">
        <v>8679</v>
      </c>
      <c r="C3365" s="58" t="s">
        <v>2408</v>
      </c>
      <c r="D3365" s="58" t="s">
        <v>8678</v>
      </c>
      <c r="E3365" s="60" t="b">
        <v>1</v>
      </c>
      <c r="F3365" s="80" t="s">
        <v>1101</v>
      </c>
      <c r="G3365" s="58" t="s">
        <v>8677</v>
      </c>
      <c r="H3365" s="58" t="s">
        <v>2408</v>
      </c>
      <c r="I3365" s="64" t="s">
        <v>8678</v>
      </c>
      <c r="J3365" s="66"/>
      <c r="K3365" s="66"/>
      <c r="L3365" s="68"/>
      <c r="M3365" s="63" t="str">
        <f>HYPERLINK("http://nsgreg.nga.mil/genc/view?v=871329&amp;end_month=12&amp;end_day=31&amp;end_year=2016","Correlation")</f>
        <v>Correlation</v>
      </c>
    </row>
    <row r="3366" spans="1:13" x14ac:dyDescent="0.2">
      <c r="A3366" s="113"/>
      <c r="B3366" s="58" t="s">
        <v>8682</v>
      </c>
      <c r="C3366" s="58" t="s">
        <v>4486</v>
      </c>
      <c r="D3366" s="58" t="s">
        <v>8681</v>
      </c>
      <c r="E3366" s="60" t="b">
        <v>1</v>
      </c>
      <c r="F3366" s="80" t="s">
        <v>1101</v>
      </c>
      <c r="G3366" s="58" t="s">
        <v>8680</v>
      </c>
      <c r="H3366" s="58" t="s">
        <v>1413</v>
      </c>
      <c r="I3366" s="64" t="s">
        <v>8681</v>
      </c>
      <c r="J3366" s="66"/>
      <c r="K3366" s="66"/>
      <c r="L3366" s="68"/>
      <c r="M3366" s="63" t="str">
        <f>HYPERLINK("http://nsgreg.nga.mil/genc/view?v=871330&amp;end_month=12&amp;end_day=31&amp;end_year=2016","Correlation")</f>
        <v>Correlation</v>
      </c>
    </row>
    <row r="3367" spans="1:13" x14ac:dyDescent="0.2">
      <c r="A3367" s="113"/>
      <c r="B3367" s="58" t="s">
        <v>8685</v>
      </c>
      <c r="C3367" s="58" t="s">
        <v>4486</v>
      </c>
      <c r="D3367" s="58" t="s">
        <v>8684</v>
      </c>
      <c r="E3367" s="60" t="b">
        <v>1</v>
      </c>
      <c r="F3367" s="80" t="s">
        <v>1101</v>
      </c>
      <c r="G3367" s="58" t="s">
        <v>8683</v>
      </c>
      <c r="H3367" s="58" t="s">
        <v>1413</v>
      </c>
      <c r="I3367" s="64" t="s">
        <v>8684</v>
      </c>
      <c r="J3367" s="66"/>
      <c r="K3367" s="66"/>
      <c r="L3367" s="68"/>
      <c r="M3367" s="63" t="str">
        <f>HYPERLINK("http://nsgreg.nga.mil/genc/view?v=871331&amp;end_month=12&amp;end_day=31&amp;end_year=2016","Correlation")</f>
        <v>Correlation</v>
      </c>
    </row>
    <row r="3368" spans="1:13" x14ac:dyDescent="0.2">
      <c r="A3368" s="113"/>
      <c r="B3368" s="58" t="s">
        <v>8688</v>
      </c>
      <c r="C3368" s="58" t="s">
        <v>2408</v>
      </c>
      <c r="D3368" s="58" t="s">
        <v>8687</v>
      </c>
      <c r="E3368" s="60" t="b">
        <v>1</v>
      </c>
      <c r="F3368" s="80" t="s">
        <v>1101</v>
      </c>
      <c r="G3368" s="58" t="s">
        <v>8686</v>
      </c>
      <c r="H3368" s="58" t="s">
        <v>2408</v>
      </c>
      <c r="I3368" s="64" t="s">
        <v>8687</v>
      </c>
      <c r="J3368" s="66"/>
      <c r="K3368" s="66"/>
      <c r="L3368" s="68"/>
      <c r="M3368" s="63" t="str">
        <f>HYPERLINK("http://nsgreg.nga.mil/genc/view?v=871332&amp;end_month=12&amp;end_day=31&amp;end_year=2016","Correlation")</f>
        <v>Correlation</v>
      </c>
    </row>
    <row r="3369" spans="1:13" x14ac:dyDescent="0.2">
      <c r="A3369" s="113"/>
      <c r="B3369" s="58" t="s">
        <v>8691</v>
      </c>
      <c r="C3369" s="58" t="s">
        <v>2408</v>
      </c>
      <c r="D3369" s="58" t="s">
        <v>8690</v>
      </c>
      <c r="E3369" s="60" t="b">
        <v>1</v>
      </c>
      <c r="F3369" s="80" t="s">
        <v>1101</v>
      </c>
      <c r="G3369" s="58" t="s">
        <v>8689</v>
      </c>
      <c r="H3369" s="58" t="s">
        <v>2408</v>
      </c>
      <c r="I3369" s="64" t="s">
        <v>8690</v>
      </c>
      <c r="J3369" s="66"/>
      <c r="K3369" s="66"/>
      <c r="L3369" s="68"/>
      <c r="M3369" s="63" t="str">
        <f>HYPERLINK("http://nsgreg.nga.mil/genc/view?v=871333&amp;end_month=12&amp;end_day=31&amp;end_year=2016","Correlation")</f>
        <v>Correlation</v>
      </c>
    </row>
    <row r="3370" spans="1:13" x14ac:dyDescent="0.2">
      <c r="A3370" s="113"/>
      <c r="B3370" s="58" t="s">
        <v>8694</v>
      </c>
      <c r="C3370" s="58" t="s">
        <v>4486</v>
      </c>
      <c r="D3370" s="58" t="s">
        <v>8693</v>
      </c>
      <c r="E3370" s="60" t="b">
        <v>1</v>
      </c>
      <c r="F3370" s="80" t="s">
        <v>1101</v>
      </c>
      <c r="G3370" s="58" t="s">
        <v>8692</v>
      </c>
      <c r="H3370" s="58" t="s">
        <v>1413</v>
      </c>
      <c r="I3370" s="64" t="s">
        <v>8693</v>
      </c>
      <c r="J3370" s="66"/>
      <c r="K3370" s="66"/>
      <c r="L3370" s="68"/>
      <c r="M3370" s="63" t="str">
        <f>HYPERLINK("http://nsgreg.nga.mil/genc/view?v=871334&amp;end_month=12&amp;end_day=31&amp;end_year=2016","Correlation")</f>
        <v>Correlation</v>
      </c>
    </row>
    <row r="3371" spans="1:13" x14ac:dyDescent="0.2">
      <c r="A3371" s="113"/>
      <c r="B3371" s="58" t="s">
        <v>8697</v>
      </c>
      <c r="C3371" s="58" t="s">
        <v>3301</v>
      </c>
      <c r="D3371" s="58" t="s">
        <v>8696</v>
      </c>
      <c r="E3371" s="60" t="b">
        <v>1</v>
      </c>
      <c r="F3371" s="80" t="s">
        <v>1101</v>
      </c>
      <c r="G3371" s="58" t="s">
        <v>8695</v>
      </c>
      <c r="H3371" s="58" t="s">
        <v>3080</v>
      </c>
      <c r="I3371" s="64" t="s">
        <v>8696</v>
      </c>
      <c r="J3371" s="66"/>
      <c r="K3371" s="66"/>
      <c r="L3371" s="68"/>
      <c r="M3371" s="63" t="str">
        <f>HYPERLINK("http://nsgreg.nga.mil/genc/view?v=871335&amp;end_month=12&amp;end_day=31&amp;end_year=2016","Correlation")</f>
        <v>Correlation</v>
      </c>
    </row>
    <row r="3372" spans="1:13" x14ac:dyDescent="0.2">
      <c r="A3372" s="113"/>
      <c r="B3372" s="58" t="s">
        <v>8700</v>
      </c>
      <c r="C3372" s="58" t="s">
        <v>2408</v>
      </c>
      <c r="D3372" s="58" t="s">
        <v>8699</v>
      </c>
      <c r="E3372" s="60" t="b">
        <v>1</v>
      </c>
      <c r="F3372" s="80" t="s">
        <v>1101</v>
      </c>
      <c r="G3372" s="58" t="s">
        <v>8698</v>
      </c>
      <c r="H3372" s="58" t="s">
        <v>2408</v>
      </c>
      <c r="I3372" s="64" t="s">
        <v>8699</v>
      </c>
      <c r="J3372" s="66"/>
      <c r="K3372" s="66"/>
      <c r="L3372" s="68"/>
      <c r="M3372" s="63" t="str">
        <f>HYPERLINK("http://nsgreg.nga.mil/genc/view?v=871336&amp;end_month=12&amp;end_day=31&amp;end_year=2016","Correlation")</f>
        <v>Correlation</v>
      </c>
    </row>
    <row r="3373" spans="1:13" x14ac:dyDescent="0.2">
      <c r="A3373" s="113"/>
      <c r="B3373" s="58" t="s">
        <v>8703</v>
      </c>
      <c r="C3373" s="58" t="s">
        <v>2408</v>
      </c>
      <c r="D3373" s="58" t="s">
        <v>8702</v>
      </c>
      <c r="E3373" s="60" t="b">
        <v>1</v>
      </c>
      <c r="F3373" s="80" t="s">
        <v>1101</v>
      </c>
      <c r="G3373" s="58" t="s">
        <v>8701</v>
      </c>
      <c r="H3373" s="58" t="s">
        <v>2408</v>
      </c>
      <c r="I3373" s="64" t="s">
        <v>8702</v>
      </c>
      <c r="J3373" s="66"/>
      <c r="K3373" s="66"/>
      <c r="L3373" s="68"/>
      <c r="M3373" s="63" t="str">
        <f>HYPERLINK("http://nsgreg.nga.mil/genc/view?v=871337&amp;end_month=12&amp;end_day=31&amp;end_year=2016","Correlation")</f>
        <v>Correlation</v>
      </c>
    </row>
    <row r="3374" spans="1:13" x14ac:dyDescent="0.2">
      <c r="A3374" s="113"/>
      <c r="B3374" s="58" t="s">
        <v>8706</v>
      </c>
      <c r="C3374" s="58" t="s">
        <v>2408</v>
      </c>
      <c r="D3374" s="58" t="s">
        <v>8705</v>
      </c>
      <c r="E3374" s="60" t="b">
        <v>1</v>
      </c>
      <c r="F3374" s="80" t="s">
        <v>1101</v>
      </c>
      <c r="G3374" s="58" t="s">
        <v>8704</v>
      </c>
      <c r="H3374" s="58" t="s">
        <v>2408</v>
      </c>
      <c r="I3374" s="64" t="s">
        <v>8705</v>
      </c>
      <c r="J3374" s="66"/>
      <c r="K3374" s="66"/>
      <c r="L3374" s="68"/>
      <c r="M3374" s="63" t="str">
        <f>HYPERLINK("http://nsgreg.nga.mil/genc/view?v=871338&amp;end_month=12&amp;end_day=31&amp;end_year=2016","Correlation")</f>
        <v>Correlation</v>
      </c>
    </row>
    <row r="3375" spans="1:13" x14ac:dyDescent="0.2">
      <c r="A3375" s="113"/>
      <c r="B3375" s="58" t="s">
        <v>8709</v>
      </c>
      <c r="C3375" s="58" t="s">
        <v>4486</v>
      </c>
      <c r="D3375" s="58" t="s">
        <v>8708</v>
      </c>
      <c r="E3375" s="60" t="b">
        <v>1</v>
      </c>
      <c r="F3375" s="80" t="s">
        <v>1101</v>
      </c>
      <c r="G3375" s="58" t="s">
        <v>8707</v>
      </c>
      <c r="H3375" s="58" t="s">
        <v>1413</v>
      </c>
      <c r="I3375" s="64" t="s">
        <v>8708</v>
      </c>
      <c r="J3375" s="66"/>
      <c r="K3375" s="66"/>
      <c r="L3375" s="68"/>
      <c r="M3375" s="63" t="str">
        <f>HYPERLINK("http://nsgreg.nga.mil/genc/view?v=871339&amp;end_month=12&amp;end_day=31&amp;end_year=2016","Correlation")</f>
        <v>Correlation</v>
      </c>
    </row>
    <row r="3376" spans="1:13" x14ac:dyDescent="0.2">
      <c r="A3376" s="113"/>
      <c r="B3376" s="58" t="s">
        <v>8712</v>
      </c>
      <c r="C3376" s="58" t="s">
        <v>4486</v>
      </c>
      <c r="D3376" s="58" t="s">
        <v>8711</v>
      </c>
      <c r="E3376" s="60" t="b">
        <v>1</v>
      </c>
      <c r="F3376" s="80" t="s">
        <v>1101</v>
      </c>
      <c r="G3376" s="58" t="s">
        <v>8710</v>
      </c>
      <c r="H3376" s="58" t="s">
        <v>1413</v>
      </c>
      <c r="I3376" s="64" t="s">
        <v>8711</v>
      </c>
      <c r="J3376" s="66"/>
      <c r="K3376" s="66"/>
      <c r="L3376" s="68"/>
      <c r="M3376" s="63" t="str">
        <f>HYPERLINK("http://nsgreg.nga.mil/genc/view?v=871340&amp;end_month=12&amp;end_day=31&amp;end_year=2016","Correlation")</f>
        <v>Correlation</v>
      </c>
    </row>
    <row r="3377" spans="1:13" x14ac:dyDescent="0.2">
      <c r="A3377" s="113"/>
      <c r="B3377" s="58" t="s">
        <v>8715</v>
      </c>
      <c r="C3377" s="58" t="s">
        <v>2408</v>
      </c>
      <c r="D3377" s="58" t="s">
        <v>8714</v>
      </c>
      <c r="E3377" s="60" t="b">
        <v>1</v>
      </c>
      <c r="F3377" s="80" t="s">
        <v>1101</v>
      </c>
      <c r="G3377" s="58" t="s">
        <v>8713</v>
      </c>
      <c r="H3377" s="58" t="s">
        <v>2408</v>
      </c>
      <c r="I3377" s="64" t="s">
        <v>8714</v>
      </c>
      <c r="J3377" s="66"/>
      <c r="K3377" s="66"/>
      <c r="L3377" s="68"/>
      <c r="M3377" s="63" t="str">
        <f>HYPERLINK("http://nsgreg.nga.mil/genc/view?v=871342&amp;end_month=12&amp;end_day=31&amp;end_year=2016","Correlation")</f>
        <v>Correlation</v>
      </c>
    </row>
    <row r="3378" spans="1:13" x14ac:dyDescent="0.2">
      <c r="A3378" s="113"/>
      <c r="B3378" s="58" t="s">
        <v>8718</v>
      </c>
      <c r="C3378" s="58" t="s">
        <v>4486</v>
      </c>
      <c r="D3378" s="58" t="s">
        <v>8717</v>
      </c>
      <c r="E3378" s="60" t="b">
        <v>1</v>
      </c>
      <c r="F3378" s="80" t="s">
        <v>1101</v>
      </c>
      <c r="G3378" s="58" t="s">
        <v>8716</v>
      </c>
      <c r="H3378" s="58" t="s">
        <v>1413</v>
      </c>
      <c r="I3378" s="64" t="s">
        <v>8717</v>
      </c>
      <c r="J3378" s="66"/>
      <c r="K3378" s="66"/>
      <c r="L3378" s="68"/>
      <c r="M3378" s="63" t="str">
        <f>HYPERLINK("http://nsgreg.nga.mil/genc/view?v=871346&amp;end_month=12&amp;end_day=31&amp;end_year=2016","Correlation")</f>
        <v>Correlation</v>
      </c>
    </row>
    <row r="3379" spans="1:13" x14ac:dyDescent="0.2">
      <c r="A3379" s="113"/>
      <c r="B3379" s="58" t="s">
        <v>8721</v>
      </c>
      <c r="C3379" s="58" t="s">
        <v>2408</v>
      </c>
      <c r="D3379" s="58" t="s">
        <v>8720</v>
      </c>
      <c r="E3379" s="60" t="b">
        <v>1</v>
      </c>
      <c r="F3379" s="80" t="s">
        <v>1101</v>
      </c>
      <c r="G3379" s="58" t="s">
        <v>8719</v>
      </c>
      <c r="H3379" s="58" t="s">
        <v>2408</v>
      </c>
      <c r="I3379" s="64" t="s">
        <v>8720</v>
      </c>
      <c r="J3379" s="66"/>
      <c r="K3379" s="66"/>
      <c r="L3379" s="68"/>
      <c r="M3379" s="63" t="str">
        <f>HYPERLINK("http://nsgreg.nga.mil/genc/view?v=871352&amp;end_month=12&amp;end_day=31&amp;end_year=2016","Correlation")</f>
        <v>Correlation</v>
      </c>
    </row>
    <row r="3380" spans="1:13" x14ac:dyDescent="0.2">
      <c r="A3380" s="113"/>
      <c r="B3380" s="58" t="s">
        <v>8724</v>
      </c>
      <c r="C3380" s="58" t="s">
        <v>4486</v>
      </c>
      <c r="D3380" s="58" t="s">
        <v>8723</v>
      </c>
      <c r="E3380" s="60" t="b">
        <v>1</v>
      </c>
      <c r="F3380" s="80" t="s">
        <v>1101</v>
      </c>
      <c r="G3380" s="58" t="s">
        <v>8722</v>
      </c>
      <c r="H3380" s="58" t="s">
        <v>1413</v>
      </c>
      <c r="I3380" s="64" t="s">
        <v>8723</v>
      </c>
      <c r="J3380" s="66"/>
      <c r="K3380" s="66"/>
      <c r="L3380" s="68"/>
      <c r="M3380" s="63" t="str">
        <f>HYPERLINK("http://nsgreg.nga.mil/genc/view?v=871353&amp;end_month=12&amp;end_day=31&amp;end_year=2016","Correlation")</f>
        <v>Correlation</v>
      </c>
    </row>
    <row r="3381" spans="1:13" x14ac:dyDescent="0.2">
      <c r="A3381" s="113"/>
      <c r="B3381" s="58" t="s">
        <v>8727</v>
      </c>
      <c r="C3381" s="58" t="s">
        <v>8667</v>
      </c>
      <c r="D3381" s="58" t="s">
        <v>8726</v>
      </c>
      <c r="E3381" s="60" t="b">
        <v>1</v>
      </c>
      <c r="F3381" s="80" t="s">
        <v>1101</v>
      </c>
      <c r="G3381" s="58" t="s">
        <v>8725</v>
      </c>
      <c r="H3381" s="58" t="s">
        <v>1796</v>
      </c>
      <c r="I3381" s="64" t="s">
        <v>8726</v>
      </c>
      <c r="J3381" s="66"/>
      <c r="K3381" s="66"/>
      <c r="L3381" s="68"/>
      <c r="M3381" s="63" t="str">
        <f>HYPERLINK("http://nsgreg.nga.mil/genc/view?v=871341&amp;end_month=12&amp;end_day=31&amp;end_year=2016","Correlation")</f>
        <v>Correlation</v>
      </c>
    </row>
    <row r="3382" spans="1:13" x14ac:dyDescent="0.2">
      <c r="A3382" s="113"/>
      <c r="B3382" s="58" t="s">
        <v>8730</v>
      </c>
      <c r="C3382" s="58" t="s">
        <v>2408</v>
      </c>
      <c r="D3382" s="58" t="s">
        <v>8729</v>
      </c>
      <c r="E3382" s="60" t="b">
        <v>1</v>
      </c>
      <c r="F3382" s="80" t="s">
        <v>1101</v>
      </c>
      <c r="G3382" s="58" t="s">
        <v>8728</v>
      </c>
      <c r="H3382" s="58" t="s">
        <v>2408</v>
      </c>
      <c r="I3382" s="64" t="s">
        <v>8729</v>
      </c>
      <c r="J3382" s="66"/>
      <c r="K3382" s="66"/>
      <c r="L3382" s="68"/>
      <c r="M3382" s="63" t="str">
        <f>HYPERLINK("http://nsgreg.nga.mil/genc/view?v=871343&amp;end_month=12&amp;end_day=31&amp;end_year=2016","Correlation")</f>
        <v>Correlation</v>
      </c>
    </row>
    <row r="3383" spans="1:13" x14ac:dyDescent="0.2">
      <c r="A3383" s="113"/>
      <c r="B3383" s="58" t="s">
        <v>8733</v>
      </c>
      <c r="C3383" s="58" t="s">
        <v>2408</v>
      </c>
      <c r="D3383" s="58" t="s">
        <v>8732</v>
      </c>
      <c r="E3383" s="60" t="b">
        <v>1</v>
      </c>
      <c r="F3383" s="80" t="s">
        <v>1101</v>
      </c>
      <c r="G3383" s="58" t="s">
        <v>8731</v>
      </c>
      <c r="H3383" s="58" t="s">
        <v>2408</v>
      </c>
      <c r="I3383" s="64" t="s">
        <v>8732</v>
      </c>
      <c r="J3383" s="66"/>
      <c r="K3383" s="66"/>
      <c r="L3383" s="68"/>
      <c r="M3383" s="63" t="str">
        <f>HYPERLINK("http://nsgreg.nga.mil/genc/view?v=871356&amp;end_month=12&amp;end_day=31&amp;end_year=2016","Correlation")</f>
        <v>Correlation</v>
      </c>
    </row>
    <row r="3384" spans="1:13" x14ac:dyDescent="0.2">
      <c r="A3384" s="113"/>
      <c r="B3384" s="58" t="s">
        <v>8736</v>
      </c>
      <c r="C3384" s="58" t="s">
        <v>4486</v>
      </c>
      <c r="D3384" s="58" t="s">
        <v>8735</v>
      </c>
      <c r="E3384" s="60" t="b">
        <v>1</v>
      </c>
      <c r="F3384" s="80" t="s">
        <v>1101</v>
      </c>
      <c r="G3384" s="58" t="s">
        <v>8734</v>
      </c>
      <c r="H3384" s="58" t="s">
        <v>1413</v>
      </c>
      <c r="I3384" s="64" t="s">
        <v>8735</v>
      </c>
      <c r="J3384" s="66"/>
      <c r="K3384" s="66"/>
      <c r="L3384" s="68"/>
      <c r="M3384" s="63" t="str">
        <f>HYPERLINK("http://nsgreg.nga.mil/genc/view?v=871345&amp;end_month=12&amp;end_day=31&amp;end_year=2016","Correlation")</f>
        <v>Correlation</v>
      </c>
    </row>
    <row r="3385" spans="1:13" x14ac:dyDescent="0.2">
      <c r="A3385" s="113"/>
      <c r="B3385" s="58" t="s">
        <v>8739</v>
      </c>
      <c r="C3385" s="58" t="s">
        <v>8667</v>
      </c>
      <c r="D3385" s="58" t="s">
        <v>8738</v>
      </c>
      <c r="E3385" s="60" t="b">
        <v>1</v>
      </c>
      <c r="F3385" s="80" t="s">
        <v>1101</v>
      </c>
      <c r="G3385" s="58" t="s">
        <v>8737</v>
      </c>
      <c r="H3385" s="58" t="s">
        <v>1796</v>
      </c>
      <c r="I3385" s="64" t="s">
        <v>8738</v>
      </c>
      <c r="J3385" s="66"/>
      <c r="K3385" s="66"/>
      <c r="L3385" s="68"/>
      <c r="M3385" s="63" t="str">
        <f>HYPERLINK("http://nsgreg.nga.mil/genc/view?v=871348&amp;end_month=12&amp;end_day=31&amp;end_year=2016","Correlation")</f>
        <v>Correlation</v>
      </c>
    </row>
    <row r="3386" spans="1:13" x14ac:dyDescent="0.2">
      <c r="A3386" s="113"/>
      <c r="B3386" s="58" t="s">
        <v>8742</v>
      </c>
      <c r="C3386" s="58" t="s">
        <v>2408</v>
      </c>
      <c r="D3386" s="58" t="s">
        <v>8741</v>
      </c>
      <c r="E3386" s="60" t="b">
        <v>1</v>
      </c>
      <c r="F3386" s="80" t="s">
        <v>1101</v>
      </c>
      <c r="G3386" s="58" t="s">
        <v>8740</v>
      </c>
      <c r="H3386" s="58" t="s">
        <v>2408</v>
      </c>
      <c r="I3386" s="64" t="s">
        <v>8741</v>
      </c>
      <c r="J3386" s="66"/>
      <c r="K3386" s="66"/>
      <c r="L3386" s="68"/>
      <c r="M3386" s="63" t="str">
        <f>HYPERLINK("http://nsgreg.nga.mil/genc/view?v=871351&amp;end_month=12&amp;end_day=31&amp;end_year=2016","Correlation")</f>
        <v>Correlation</v>
      </c>
    </row>
    <row r="3387" spans="1:13" x14ac:dyDescent="0.2">
      <c r="A3387" s="113"/>
      <c r="B3387" s="58" t="s">
        <v>8745</v>
      </c>
      <c r="C3387" s="58" t="s">
        <v>3301</v>
      </c>
      <c r="D3387" s="58" t="s">
        <v>8744</v>
      </c>
      <c r="E3387" s="60" t="b">
        <v>1</v>
      </c>
      <c r="F3387" s="80" t="s">
        <v>1101</v>
      </c>
      <c r="G3387" s="58" t="s">
        <v>8743</v>
      </c>
      <c r="H3387" s="58" t="s">
        <v>3080</v>
      </c>
      <c r="I3387" s="64" t="s">
        <v>8744</v>
      </c>
      <c r="J3387" s="66"/>
      <c r="K3387" s="66"/>
      <c r="L3387" s="68"/>
      <c r="M3387" s="63" t="str">
        <f>HYPERLINK("http://nsgreg.nga.mil/genc/view?v=871349&amp;end_month=12&amp;end_day=31&amp;end_year=2016","Correlation")</f>
        <v>Correlation</v>
      </c>
    </row>
    <row r="3388" spans="1:13" x14ac:dyDescent="0.2">
      <c r="A3388" s="113"/>
      <c r="B3388" s="58" t="s">
        <v>8748</v>
      </c>
      <c r="C3388" s="58" t="s">
        <v>4486</v>
      </c>
      <c r="D3388" s="58" t="s">
        <v>8747</v>
      </c>
      <c r="E3388" s="60" t="b">
        <v>1</v>
      </c>
      <c r="F3388" s="80" t="s">
        <v>1101</v>
      </c>
      <c r="G3388" s="58" t="s">
        <v>8746</v>
      </c>
      <c r="H3388" s="58" t="s">
        <v>1413</v>
      </c>
      <c r="I3388" s="64" t="s">
        <v>8747</v>
      </c>
      <c r="J3388" s="66"/>
      <c r="K3388" s="66"/>
      <c r="L3388" s="68"/>
      <c r="M3388" s="63" t="str">
        <f>HYPERLINK("http://nsgreg.nga.mil/genc/view?v=871350&amp;end_month=12&amp;end_day=31&amp;end_year=2016","Correlation")</f>
        <v>Correlation</v>
      </c>
    </row>
    <row r="3389" spans="1:13" x14ac:dyDescent="0.2">
      <c r="A3389" s="113"/>
      <c r="B3389" s="58" t="s">
        <v>8751</v>
      </c>
      <c r="C3389" s="58" t="s">
        <v>2408</v>
      </c>
      <c r="D3389" s="58" t="s">
        <v>8750</v>
      </c>
      <c r="E3389" s="60" t="b">
        <v>1</v>
      </c>
      <c r="F3389" s="80" t="s">
        <v>1101</v>
      </c>
      <c r="G3389" s="58" t="s">
        <v>8749</v>
      </c>
      <c r="H3389" s="58" t="s">
        <v>2408</v>
      </c>
      <c r="I3389" s="64" t="s">
        <v>8750</v>
      </c>
      <c r="J3389" s="66"/>
      <c r="K3389" s="66"/>
      <c r="L3389" s="68"/>
      <c r="M3389" s="63" t="str">
        <f>HYPERLINK("http://nsgreg.nga.mil/genc/view?v=871354&amp;end_month=12&amp;end_day=31&amp;end_year=2016","Correlation")</f>
        <v>Correlation</v>
      </c>
    </row>
    <row r="3390" spans="1:13" x14ac:dyDescent="0.2">
      <c r="A3390" s="113"/>
      <c r="B3390" s="58" t="s">
        <v>8754</v>
      </c>
      <c r="C3390" s="58" t="s">
        <v>4486</v>
      </c>
      <c r="D3390" s="58" t="s">
        <v>8753</v>
      </c>
      <c r="E3390" s="60" t="b">
        <v>1</v>
      </c>
      <c r="F3390" s="80" t="s">
        <v>1101</v>
      </c>
      <c r="G3390" s="58" t="s">
        <v>8752</v>
      </c>
      <c r="H3390" s="58" t="s">
        <v>1413</v>
      </c>
      <c r="I3390" s="64" t="s">
        <v>8753</v>
      </c>
      <c r="J3390" s="66"/>
      <c r="K3390" s="66"/>
      <c r="L3390" s="68"/>
      <c r="M3390" s="63" t="str">
        <f>HYPERLINK("http://nsgreg.nga.mil/genc/view?v=871355&amp;end_month=12&amp;end_day=31&amp;end_year=2016","Correlation")</f>
        <v>Correlation</v>
      </c>
    </row>
    <row r="3391" spans="1:13" x14ac:dyDescent="0.2">
      <c r="A3391" s="113"/>
      <c r="B3391" s="58" t="s">
        <v>8757</v>
      </c>
      <c r="C3391" s="58" t="s">
        <v>8667</v>
      </c>
      <c r="D3391" s="58" t="s">
        <v>8756</v>
      </c>
      <c r="E3391" s="60" t="b">
        <v>1</v>
      </c>
      <c r="F3391" s="80" t="s">
        <v>1101</v>
      </c>
      <c r="G3391" s="58" t="s">
        <v>8755</v>
      </c>
      <c r="H3391" s="58" t="s">
        <v>1796</v>
      </c>
      <c r="I3391" s="64" t="s">
        <v>8756</v>
      </c>
      <c r="J3391" s="66"/>
      <c r="K3391" s="66"/>
      <c r="L3391" s="68"/>
      <c r="M3391" s="63" t="str">
        <f>HYPERLINK("http://nsgreg.nga.mil/genc/view?v=871344&amp;end_month=12&amp;end_day=31&amp;end_year=2016","Correlation")</f>
        <v>Correlation</v>
      </c>
    </row>
    <row r="3392" spans="1:13" x14ac:dyDescent="0.2">
      <c r="A3392" s="113"/>
      <c r="B3392" s="58" t="s">
        <v>8760</v>
      </c>
      <c r="C3392" s="58" t="s">
        <v>8667</v>
      </c>
      <c r="D3392" s="58" t="s">
        <v>8759</v>
      </c>
      <c r="E3392" s="60" t="b">
        <v>1</v>
      </c>
      <c r="F3392" s="80" t="s">
        <v>1101</v>
      </c>
      <c r="G3392" s="58" t="s">
        <v>8758</v>
      </c>
      <c r="H3392" s="58" t="s">
        <v>1796</v>
      </c>
      <c r="I3392" s="64" t="s">
        <v>8759</v>
      </c>
      <c r="J3392" s="66"/>
      <c r="K3392" s="66"/>
      <c r="L3392" s="68"/>
      <c r="M3392" s="63" t="str">
        <f>HYPERLINK("http://nsgreg.nga.mil/genc/view?v=871358&amp;end_month=12&amp;end_day=31&amp;end_year=2016","Correlation")</f>
        <v>Correlation</v>
      </c>
    </row>
    <row r="3393" spans="1:13" x14ac:dyDescent="0.2">
      <c r="A3393" s="113"/>
      <c r="B3393" s="58" t="s">
        <v>8763</v>
      </c>
      <c r="C3393" s="58" t="s">
        <v>4486</v>
      </c>
      <c r="D3393" s="58" t="s">
        <v>8762</v>
      </c>
      <c r="E3393" s="60" t="b">
        <v>1</v>
      </c>
      <c r="F3393" s="80" t="s">
        <v>1101</v>
      </c>
      <c r="G3393" s="58" t="s">
        <v>8761</v>
      </c>
      <c r="H3393" s="58" t="s">
        <v>1413</v>
      </c>
      <c r="I3393" s="64" t="s">
        <v>8762</v>
      </c>
      <c r="J3393" s="66"/>
      <c r="K3393" s="66"/>
      <c r="L3393" s="68"/>
      <c r="M3393" s="63" t="str">
        <f>HYPERLINK("http://nsgreg.nga.mil/genc/view?v=871347&amp;end_month=12&amp;end_day=31&amp;end_year=2016","Correlation")</f>
        <v>Correlation</v>
      </c>
    </row>
    <row r="3394" spans="1:13" x14ac:dyDescent="0.2">
      <c r="A3394" s="113"/>
      <c r="B3394" s="58" t="s">
        <v>8766</v>
      </c>
      <c r="C3394" s="58" t="s">
        <v>4486</v>
      </c>
      <c r="D3394" s="58" t="s">
        <v>8765</v>
      </c>
      <c r="E3394" s="60" t="b">
        <v>1</v>
      </c>
      <c r="F3394" s="80" t="s">
        <v>1101</v>
      </c>
      <c r="G3394" s="58" t="s">
        <v>8764</v>
      </c>
      <c r="H3394" s="58" t="s">
        <v>1413</v>
      </c>
      <c r="I3394" s="64" t="s">
        <v>8765</v>
      </c>
      <c r="J3394" s="66"/>
      <c r="K3394" s="66"/>
      <c r="L3394" s="68"/>
      <c r="M3394" s="63" t="str">
        <f>HYPERLINK("http://nsgreg.nga.mil/genc/view?v=871357&amp;end_month=12&amp;end_day=31&amp;end_year=2016","Correlation")</f>
        <v>Correlation</v>
      </c>
    </row>
    <row r="3395" spans="1:13" x14ac:dyDescent="0.2">
      <c r="A3395" s="113"/>
      <c r="B3395" s="58" t="s">
        <v>8769</v>
      </c>
      <c r="C3395" s="58" t="s">
        <v>4486</v>
      </c>
      <c r="D3395" s="58" t="s">
        <v>8768</v>
      </c>
      <c r="E3395" s="60" t="b">
        <v>1</v>
      </c>
      <c r="F3395" s="80" t="s">
        <v>1101</v>
      </c>
      <c r="G3395" s="58" t="s">
        <v>8767</v>
      </c>
      <c r="H3395" s="58" t="s">
        <v>1413</v>
      </c>
      <c r="I3395" s="64" t="s">
        <v>8768</v>
      </c>
      <c r="J3395" s="66"/>
      <c r="K3395" s="66"/>
      <c r="L3395" s="68"/>
      <c r="M3395" s="63" t="str">
        <f>HYPERLINK("http://nsgreg.nga.mil/genc/view?v=871359&amp;end_month=12&amp;end_day=31&amp;end_year=2016","Correlation")</f>
        <v>Correlation</v>
      </c>
    </row>
    <row r="3396" spans="1:13" x14ac:dyDescent="0.2">
      <c r="A3396" s="113"/>
      <c r="B3396" s="58" t="s">
        <v>8772</v>
      </c>
      <c r="C3396" s="58" t="s">
        <v>4486</v>
      </c>
      <c r="D3396" s="58" t="s">
        <v>8771</v>
      </c>
      <c r="E3396" s="60" t="b">
        <v>1</v>
      </c>
      <c r="F3396" s="80" t="s">
        <v>1101</v>
      </c>
      <c r="G3396" s="58" t="s">
        <v>8770</v>
      </c>
      <c r="H3396" s="58" t="s">
        <v>1413</v>
      </c>
      <c r="I3396" s="64" t="s">
        <v>8771</v>
      </c>
      <c r="J3396" s="66"/>
      <c r="K3396" s="66"/>
      <c r="L3396" s="68"/>
      <c r="M3396" s="63" t="str">
        <f>HYPERLINK("http://nsgreg.nga.mil/genc/view?v=871360&amp;end_month=12&amp;end_day=31&amp;end_year=2016","Correlation")</f>
        <v>Correlation</v>
      </c>
    </row>
    <row r="3397" spans="1:13" x14ac:dyDescent="0.2">
      <c r="A3397" s="113"/>
      <c r="B3397" s="58" t="s">
        <v>8775</v>
      </c>
      <c r="C3397" s="58" t="s">
        <v>4486</v>
      </c>
      <c r="D3397" s="58" t="s">
        <v>8774</v>
      </c>
      <c r="E3397" s="60" t="b">
        <v>1</v>
      </c>
      <c r="F3397" s="80" t="s">
        <v>1101</v>
      </c>
      <c r="G3397" s="58" t="s">
        <v>8773</v>
      </c>
      <c r="H3397" s="58" t="s">
        <v>1413</v>
      </c>
      <c r="I3397" s="64" t="s">
        <v>8774</v>
      </c>
      <c r="J3397" s="66"/>
      <c r="K3397" s="66"/>
      <c r="L3397" s="68"/>
      <c r="M3397" s="63" t="str">
        <f>HYPERLINK("http://nsgreg.nga.mil/genc/view?v=871361&amp;end_month=12&amp;end_day=31&amp;end_year=2016","Correlation")</f>
        <v>Correlation</v>
      </c>
    </row>
    <row r="3398" spans="1:13" x14ac:dyDescent="0.2">
      <c r="A3398" s="113"/>
      <c r="B3398" s="58" t="s">
        <v>8778</v>
      </c>
      <c r="C3398" s="58" t="s">
        <v>2408</v>
      </c>
      <c r="D3398" s="58" t="s">
        <v>8777</v>
      </c>
      <c r="E3398" s="60" t="b">
        <v>1</v>
      </c>
      <c r="F3398" s="80" t="s">
        <v>1101</v>
      </c>
      <c r="G3398" s="58" t="s">
        <v>8776</v>
      </c>
      <c r="H3398" s="58" t="s">
        <v>2408</v>
      </c>
      <c r="I3398" s="64" t="s">
        <v>8777</v>
      </c>
      <c r="J3398" s="66"/>
      <c r="K3398" s="66"/>
      <c r="L3398" s="68"/>
      <c r="M3398" s="63" t="str">
        <f>HYPERLINK("http://nsgreg.nga.mil/genc/view?v=871362&amp;end_month=12&amp;end_day=31&amp;end_year=2016","Correlation")</f>
        <v>Correlation</v>
      </c>
    </row>
    <row r="3399" spans="1:13" x14ac:dyDescent="0.2">
      <c r="A3399" s="113"/>
      <c r="B3399" s="58" t="s">
        <v>8781</v>
      </c>
      <c r="C3399" s="58" t="s">
        <v>2408</v>
      </c>
      <c r="D3399" s="58" t="s">
        <v>8780</v>
      </c>
      <c r="E3399" s="60" t="b">
        <v>1</v>
      </c>
      <c r="F3399" s="80" t="s">
        <v>1101</v>
      </c>
      <c r="G3399" s="58" t="s">
        <v>8779</v>
      </c>
      <c r="H3399" s="58" t="s">
        <v>2408</v>
      </c>
      <c r="I3399" s="64" t="s">
        <v>8780</v>
      </c>
      <c r="J3399" s="66"/>
      <c r="K3399" s="66"/>
      <c r="L3399" s="68"/>
      <c r="M3399" s="63" t="str">
        <f>HYPERLINK("http://nsgreg.nga.mil/genc/view?v=871363&amp;end_month=12&amp;end_day=31&amp;end_year=2016","Correlation")</f>
        <v>Correlation</v>
      </c>
    </row>
    <row r="3400" spans="1:13" x14ac:dyDescent="0.2">
      <c r="A3400" s="113"/>
      <c r="B3400" s="58" t="s">
        <v>8784</v>
      </c>
      <c r="C3400" s="58" t="s">
        <v>4486</v>
      </c>
      <c r="D3400" s="58" t="s">
        <v>8783</v>
      </c>
      <c r="E3400" s="60" t="b">
        <v>1</v>
      </c>
      <c r="F3400" s="80" t="s">
        <v>1101</v>
      </c>
      <c r="G3400" s="58" t="s">
        <v>8782</v>
      </c>
      <c r="H3400" s="58" t="s">
        <v>1413</v>
      </c>
      <c r="I3400" s="64" t="s">
        <v>8783</v>
      </c>
      <c r="J3400" s="66"/>
      <c r="K3400" s="66"/>
      <c r="L3400" s="68"/>
      <c r="M3400" s="63" t="str">
        <f>HYPERLINK("http://nsgreg.nga.mil/genc/view?v=871364&amp;end_month=12&amp;end_day=31&amp;end_year=2016","Correlation")</f>
        <v>Correlation</v>
      </c>
    </row>
    <row r="3401" spans="1:13" x14ac:dyDescent="0.2">
      <c r="A3401" s="113"/>
      <c r="B3401" s="58" t="s">
        <v>8785</v>
      </c>
      <c r="C3401" s="58" t="s">
        <v>1678</v>
      </c>
      <c r="D3401" s="58" t="s">
        <v>8786</v>
      </c>
      <c r="E3401" s="60" t="b">
        <v>1</v>
      </c>
      <c r="F3401" s="80" t="s">
        <v>1101</v>
      </c>
      <c r="G3401" s="58" t="s">
        <v>8785</v>
      </c>
      <c r="H3401" s="58" t="s">
        <v>1681</v>
      </c>
      <c r="I3401" s="64" t="s">
        <v>8786</v>
      </c>
      <c r="J3401" s="66"/>
      <c r="K3401" s="66"/>
      <c r="L3401" s="68"/>
      <c r="M3401" s="63" t="str">
        <f>HYPERLINK("http://nsgreg.nga.mil/genc/view?v=871365&amp;end_month=12&amp;end_day=31&amp;end_year=2016","Correlation")</f>
        <v>Correlation</v>
      </c>
    </row>
    <row r="3402" spans="1:13" x14ac:dyDescent="0.2">
      <c r="A3402" s="113"/>
      <c r="B3402" s="58" t="s">
        <v>8789</v>
      </c>
      <c r="C3402" s="58" t="s">
        <v>4486</v>
      </c>
      <c r="D3402" s="58" t="s">
        <v>8788</v>
      </c>
      <c r="E3402" s="60" t="b">
        <v>1</v>
      </c>
      <c r="F3402" s="80" t="s">
        <v>1101</v>
      </c>
      <c r="G3402" s="58" t="s">
        <v>8787</v>
      </c>
      <c r="H3402" s="58" t="s">
        <v>1413</v>
      </c>
      <c r="I3402" s="64" t="s">
        <v>8788</v>
      </c>
      <c r="J3402" s="66"/>
      <c r="K3402" s="66"/>
      <c r="L3402" s="68"/>
      <c r="M3402" s="63" t="str">
        <f>HYPERLINK("http://nsgreg.nga.mil/genc/view?v=871366&amp;end_month=12&amp;end_day=31&amp;end_year=2016","Correlation")</f>
        <v>Correlation</v>
      </c>
    </row>
    <row r="3403" spans="1:13" x14ac:dyDescent="0.2">
      <c r="A3403" s="113"/>
      <c r="B3403" s="58" t="s">
        <v>8792</v>
      </c>
      <c r="C3403" s="58" t="s">
        <v>3301</v>
      </c>
      <c r="D3403" s="58" t="s">
        <v>8791</v>
      </c>
      <c r="E3403" s="60" t="b">
        <v>1</v>
      </c>
      <c r="F3403" s="80" t="s">
        <v>1101</v>
      </c>
      <c r="G3403" s="58" t="s">
        <v>8790</v>
      </c>
      <c r="H3403" s="58" t="s">
        <v>3080</v>
      </c>
      <c r="I3403" s="64" t="s">
        <v>8791</v>
      </c>
      <c r="J3403" s="66"/>
      <c r="K3403" s="66"/>
      <c r="L3403" s="68"/>
      <c r="M3403" s="63" t="str">
        <f>HYPERLINK("http://nsgreg.nga.mil/genc/view?v=871367&amp;end_month=12&amp;end_day=31&amp;end_year=2016","Correlation")</f>
        <v>Correlation</v>
      </c>
    </row>
    <row r="3404" spans="1:13" x14ac:dyDescent="0.2">
      <c r="A3404" s="113"/>
      <c r="B3404" s="58" t="s">
        <v>8795</v>
      </c>
      <c r="C3404" s="58" t="s">
        <v>4486</v>
      </c>
      <c r="D3404" s="58" t="s">
        <v>8794</v>
      </c>
      <c r="E3404" s="60" t="b">
        <v>1</v>
      </c>
      <c r="F3404" s="80" t="s">
        <v>1101</v>
      </c>
      <c r="G3404" s="58" t="s">
        <v>8793</v>
      </c>
      <c r="H3404" s="58" t="s">
        <v>1413</v>
      </c>
      <c r="I3404" s="64" t="s">
        <v>8794</v>
      </c>
      <c r="J3404" s="66"/>
      <c r="K3404" s="66"/>
      <c r="L3404" s="68"/>
      <c r="M3404" s="63" t="str">
        <f>HYPERLINK("http://nsgreg.nga.mil/genc/view?v=871369&amp;end_month=12&amp;end_day=31&amp;end_year=2016","Correlation")</f>
        <v>Correlation</v>
      </c>
    </row>
    <row r="3405" spans="1:13" x14ac:dyDescent="0.2">
      <c r="A3405" s="113"/>
      <c r="B3405" s="58" t="s">
        <v>8801</v>
      </c>
      <c r="C3405" s="58" t="s">
        <v>4486</v>
      </c>
      <c r="D3405" s="58" t="s">
        <v>8800</v>
      </c>
      <c r="E3405" s="60" t="b">
        <v>1</v>
      </c>
      <c r="F3405" s="80" t="s">
        <v>1101</v>
      </c>
      <c r="G3405" s="58" t="s">
        <v>8799</v>
      </c>
      <c r="H3405" s="58" t="s">
        <v>1413</v>
      </c>
      <c r="I3405" s="64" t="s">
        <v>8800</v>
      </c>
      <c r="J3405" s="66"/>
      <c r="K3405" s="66"/>
      <c r="L3405" s="68"/>
      <c r="M3405" s="63" t="str">
        <f>HYPERLINK("http://nsgreg.nga.mil/genc/view?v=871368&amp;end_month=12&amp;end_day=31&amp;end_year=2016","Correlation")</f>
        <v>Correlation</v>
      </c>
    </row>
    <row r="3406" spans="1:13" x14ac:dyDescent="0.2">
      <c r="A3406" s="113"/>
      <c r="B3406" s="58" t="s">
        <v>8804</v>
      </c>
      <c r="C3406" s="58" t="s">
        <v>4486</v>
      </c>
      <c r="D3406" s="58" t="s">
        <v>8803</v>
      </c>
      <c r="E3406" s="60" t="b">
        <v>1</v>
      </c>
      <c r="F3406" s="80" t="s">
        <v>1101</v>
      </c>
      <c r="G3406" s="58" t="s">
        <v>8802</v>
      </c>
      <c r="H3406" s="58" t="s">
        <v>1413</v>
      </c>
      <c r="I3406" s="64" t="s">
        <v>8803</v>
      </c>
      <c r="J3406" s="66"/>
      <c r="K3406" s="66"/>
      <c r="L3406" s="68"/>
      <c r="M3406" s="63" t="str">
        <f>HYPERLINK("http://nsgreg.nga.mil/genc/view?v=871370&amp;end_month=12&amp;end_day=31&amp;end_year=2016","Correlation")</f>
        <v>Correlation</v>
      </c>
    </row>
    <row r="3407" spans="1:13" x14ac:dyDescent="0.2">
      <c r="A3407" s="113"/>
      <c r="B3407" s="58" t="s">
        <v>8807</v>
      </c>
      <c r="C3407" s="58" t="s">
        <v>4486</v>
      </c>
      <c r="D3407" s="58" t="s">
        <v>8806</v>
      </c>
      <c r="E3407" s="60" t="b">
        <v>1</v>
      </c>
      <c r="F3407" s="80" t="s">
        <v>1101</v>
      </c>
      <c r="G3407" s="58" t="s">
        <v>8805</v>
      </c>
      <c r="H3407" s="58" t="s">
        <v>1413</v>
      </c>
      <c r="I3407" s="64" t="s">
        <v>8806</v>
      </c>
      <c r="J3407" s="66"/>
      <c r="K3407" s="66"/>
      <c r="L3407" s="68"/>
      <c r="M3407" s="63" t="str">
        <f>HYPERLINK("http://nsgreg.nga.mil/genc/view?v=871371&amp;end_month=12&amp;end_day=31&amp;end_year=2016","Correlation")</f>
        <v>Correlation</v>
      </c>
    </row>
    <row r="3408" spans="1:13" x14ac:dyDescent="0.2">
      <c r="A3408" s="113"/>
      <c r="B3408" s="58" t="s">
        <v>8810</v>
      </c>
      <c r="C3408" s="58" t="s">
        <v>4486</v>
      </c>
      <c r="D3408" s="58" t="s">
        <v>8809</v>
      </c>
      <c r="E3408" s="60" t="b">
        <v>1</v>
      </c>
      <c r="F3408" s="80" t="s">
        <v>1101</v>
      </c>
      <c r="G3408" s="58" t="s">
        <v>8808</v>
      </c>
      <c r="H3408" s="58" t="s">
        <v>1413</v>
      </c>
      <c r="I3408" s="64" t="s">
        <v>8809</v>
      </c>
      <c r="J3408" s="66"/>
      <c r="K3408" s="66"/>
      <c r="L3408" s="68"/>
      <c r="M3408" s="63" t="str">
        <f>HYPERLINK("http://nsgreg.nga.mil/genc/view?v=871372&amp;end_month=12&amp;end_day=31&amp;end_year=2016","Correlation")</f>
        <v>Correlation</v>
      </c>
    </row>
    <row r="3409" spans="1:13" x14ac:dyDescent="0.2">
      <c r="A3409" s="113"/>
      <c r="B3409" s="58" t="s">
        <v>8813</v>
      </c>
      <c r="C3409" s="58" t="s">
        <v>4486</v>
      </c>
      <c r="D3409" s="58" t="s">
        <v>8812</v>
      </c>
      <c r="E3409" s="60" t="b">
        <v>1</v>
      </c>
      <c r="F3409" s="80" t="s">
        <v>1101</v>
      </c>
      <c r="G3409" s="58" t="s">
        <v>8811</v>
      </c>
      <c r="H3409" s="58" t="s">
        <v>1413</v>
      </c>
      <c r="I3409" s="64" t="s">
        <v>8812</v>
      </c>
      <c r="J3409" s="66"/>
      <c r="K3409" s="66"/>
      <c r="L3409" s="68"/>
      <c r="M3409" s="63" t="str">
        <f>HYPERLINK("http://nsgreg.nga.mil/genc/view?v=871373&amp;end_month=12&amp;end_day=31&amp;end_year=2016","Correlation")</f>
        <v>Correlation</v>
      </c>
    </row>
    <row r="3410" spans="1:13" x14ac:dyDescent="0.2">
      <c r="A3410" s="113"/>
      <c r="B3410" s="58" t="s">
        <v>8816</v>
      </c>
      <c r="C3410" s="58" t="s">
        <v>4486</v>
      </c>
      <c r="D3410" s="58" t="s">
        <v>8815</v>
      </c>
      <c r="E3410" s="60" t="b">
        <v>1</v>
      </c>
      <c r="F3410" s="80" t="s">
        <v>1101</v>
      </c>
      <c r="G3410" s="58" t="s">
        <v>8814</v>
      </c>
      <c r="H3410" s="58" t="s">
        <v>1413</v>
      </c>
      <c r="I3410" s="64" t="s">
        <v>8815</v>
      </c>
      <c r="J3410" s="66"/>
      <c r="K3410" s="66"/>
      <c r="L3410" s="68"/>
      <c r="M3410" s="63" t="str">
        <f>HYPERLINK("http://nsgreg.nga.mil/genc/view?v=871375&amp;end_month=12&amp;end_day=31&amp;end_year=2016","Correlation")</f>
        <v>Correlation</v>
      </c>
    </row>
    <row r="3411" spans="1:13" x14ac:dyDescent="0.2">
      <c r="A3411" s="113"/>
      <c r="B3411" s="58" t="s">
        <v>8819</v>
      </c>
      <c r="C3411" s="58" t="s">
        <v>8667</v>
      </c>
      <c r="D3411" s="58" t="s">
        <v>8818</v>
      </c>
      <c r="E3411" s="60" t="b">
        <v>1</v>
      </c>
      <c r="F3411" s="80" t="s">
        <v>1101</v>
      </c>
      <c r="G3411" s="58" t="s">
        <v>8817</v>
      </c>
      <c r="H3411" s="58" t="s">
        <v>1796</v>
      </c>
      <c r="I3411" s="64" t="s">
        <v>8818</v>
      </c>
      <c r="J3411" s="66"/>
      <c r="K3411" s="66"/>
      <c r="L3411" s="68"/>
      <c r="M3411" s="63" t="str">
        <f>HYPERLINK("http://nsgreg.nga.mil/genc/view?v=871374&amp;end_month=12&amp;end_day=31&amp;end_year=2016","Correlation")</f>
        <v>Correlation</v>
      </c>
    </row>
    <row r="3412" spans="1:13" x14ac:dyDescent="0.2">
      <c r="A3412" s="113"/>
      <c r="B3412" s="58" t="s">
        <v>8822</v>
      </c>
      <c r="C3412" s="58" t="s">
        <v>8667</v>
      </c>
      <c r="D3412" s="58" t="s">
        <v>8821</v>
      </c>
      <c r="E3412" s="60" t="b">
        <v>1</v>
      </c>
      <c r="F3412" s="80" t="s">
        <v>1101</v>
      </c>
      <c r="G3412" s="58" t="s">
        <v>8820</v>
      </c>
      <c r="H3412" s="58" t="s">
        <v>1796</v>
      </c>
      <c r="I3412" s="64" t="s">
        <v>8821</v>
      </c>
      <c r="J3412" s="66"/>
      <c r="K3412" s="66"/>
      <c r="L3412" s="68"/>
      <c r="M3412" s="63" t="str">
        <f>HYPERLINK("http://nsgreg.nga.mil/genc/view?v=871376&amp;end_month=12&amp;end_day=31&amp;end_year=2016","Correlation")</f>
        <v>Correlation</v>
      </c>
    </row>
    <row r="3413" spans="1:13" x14ac:dyDescent="0.2">
      <c r="A3413" s="113"/>
      <c r="B3413" s="58" t="s">
        <v>8825</v>
      </c>
      <c r="C3413" s="58" t="s">
        <v>4486</v>
      </c>
      <c r="D3413" s="58" t="s">
        <v>8824</v>
      </c>
      <c r="E3413" s="60" t="b">
        <v>1</v>
      </c>
      <c r="F3413" s="80" t="s">
        <v>1101</v>
      </c>
      <c r="G3413" s="58" t="s">
        <v>8823</v>
      </c>
      <c r="H3413" s="58" t="s">
        <v>1413</v>
      </c>
      <c r="I3413" s="64" t="s">
        <v>8824</v>
      </c>
      <c r="J3413" s="66"/>
      <c r="K3413" s="66"/>
      <c r="L3413" s="68"/>
      <c r="M3413" s="63" t="str">
        <f>HYPERLINK("http://nsgreg.nga.mil/genc/view?v=871377&amp;end_month=12&amp;end_day=31&amp;end_year=2016","Correlation")</f>
        <v>Correlation</v>
      </c>
    </row>
    <row r="3414" spans="1:13" x14ac:dyDescent="0.2">
      <c r="A3414" s="113"/>
      <c r="B3414" s="58" t="s">
        <v>8828</v>
      </c>
      <c r="C3414" s="58" t="s">
        <v>4486</v>
      </c>
      <c r="D3414" s="58" t="s">
        <v>8827</v>
      </c>
      <c r="E3414" s="60" t="b">
        <v>1</v>
      </c>
      <c r="F3414" s="80" t="s">
        <v>1101</v>
      </c>
      <c r="G3414" s="58" t="s">
        <v>8826</v>
      </c>
      <c r="H3414" s="58" t="s">
        <v>1413</v>
      </c>
      <c r="I3414" s="64" t="s">
        <v>8827</v>
      </c>
      <c r="J3414" s="66"/>
      <c r="K3414" s="66"/>
      <c r="L3414" s="68"/>
      <c r="M3414" s="63" t="str">
        <f>HYPERLINK("http://nsgreg.nga.mil/genc/view?v=871378&amp;end_month=12&amp;end_day=31&amp;end_year=2016","Correlation")</f>
        <v>Correlation</v>
      </c>
    </row>
    <row r="3415" spans="1:13" x14ac:dyDescent="0.2">
      <c r="A3415" s="113"/>
      <c r="B3415" s="58" t="s">
        <v>8831</v>
      </c>
      <c r="C3415" s="58" t="s">
        <v>4486</v>
      </c>
      <c r="D3415" s="58" t="s">
        <v>8830</v>
      </c>
      <c r="E3415" s="60" t="b">
        <v>1</v>
      </c>
      <c r="F3415" s="80" t="s">
        <v>1101</v>
      </c>
      <c r="G3415" s="58" t="s">
        <v>8829</v>
      </c>
      <c r="H3415" s="58" t="s">
        <v>1413</v>
      </c>
      <c r="I3415" s="64" t="s">
        <v>8830</v>
      </c>
      <c r="J3415" s="66"/>
      <c r="K3415" s="66"/>
      <c r="L3415" s="68"/>
      <c r="M3415" s="63" t="str">
        <f>HYPERLINK("http://nsgreg.nga.mil/genc/view?v=871379&amp;end_month=12&amp;end_day=31&amp;end_year=2016","Correlation")</f>
        <v>Correlation</v>
      </c>
    </row>
    <row r="3416" spans="1:13" x14ac:dyDescent="0.2">
      <c r="A3416" s="113"/>
      <c r="B3416" s="58" t="s">
        <v>8834</v>
      </c>
      <c r="C3416" s="58" t="s">
        <v>2408</v>
      </c>
      <c r="D3416" s="58" t="s">
        <v>8833</v>
      </c>
      <c r="E3416" s="60" t="b">
        <v>1</v>
      </c>
      <c r="F3416" s="80" t="s">
        <v>1101</v>
      </c>
      <c r="G3416" s="58" t="s">
        <v>8832</v>
      </c>
      <c r="H3416" s="58" t="s">
        <v>2408</v>
      </c>
      <c r="I3416" s="64" t="s">
        <v>8833</v>
      </c>
      <c r="J3416" s="66"/>
      <c r="K3416" s="66"/>
      <c r="L3416" s="68"/>
      <c r="M3416" s="63" t="str">
        <f>HYPERLINK("http://nsgreg.nga.mil/genc/view?v=871380&amp;end_month=12&amp;end_day=31&amp;end_year=2016","Correlation")</f>
        <v>Correlation</v>
      </c>
    </row>
    <row r="3417" spans="1:13" x14ac:dyDescent="0.2">
      <c r="A3417" s="113"/>
      <c r="B3417" s="58" t="s">
        <v>8837</v>
      </c>
      <c r="C3417" s="58" t="s">
        <v>4486</v>
      </c>
      <c r="D3417" s="58" t="s">
        <v>8836</v>
      </c>
      <c r="E3417" s="60" t="b">
        <v>1</v>
      </c>
      <c r="F3417" s="80" t="s">
        <v>1101</v>
      </c>
      <c r="G3417" s="58" t="s">
        <v>8835</v>
      </c>
      <c r="H3417" s="58" t="s">
        <v>1413</v>
      </c>
      <c r="I3417" s="64" t="s">
        <v>8836</v>
      </c>
      <c r="J3417" s="66"/>
      <c r="K3417" s="66"/>
      <c r="L3417" s="68"/>
      <c r="M3417" s="63" t="str">
        <f>HYPERLINK("http://nsgreg.nga.mil/genc/view?v=871381&amp;end_month=12&amp;end_day=31&amp;end_year=2016","Correlation")</f>
        <v>Correlation</v>
      </c>
    </row>
    <row r="3418" spans="1:13" x14ac:dyDescent="0.2">
      <c r="A3418" s="113"/>
      <c r="B3418" s="58" t="s">
        <v>8840</v>
      </c>
      <c r="C3418" s="58" t="s">
        <v>4486</v>
      </c>
      <c r="D3418" s="58" t="s">
        <v>8839</v>
      </c>
      <c r="E3418" s="60" t="b">
        <v>1</v>
      </c>
      <c r="F3418" s="80" t="s">
        <v>1101</v>
      </c>
      <c r="G3418" s="58" t="s">
        <v>8838</v>
      </c>
      <c r="H3418" s="58" t="s">
        <v>1413</v>
      </c>
      <c r="I3418" s="64" t="s">
        <v>8839</v>
      </c>
      <c r="J3418" s="66"/>
      <c r="K3418" s="66"/>
      <c r="L3418" s="68"/>
      <c r="M3418" s="63" t="str">
        <f>HYPERLINK("http://nsgreg.nga.mil/genc/view?v=871382&amp;end_month=12&amp;end_day=31&amp;end_year=2016","Correlation")</f>
        <v>Correlation</v>
      </c>
    </row>
    <row r="3419" spans="1:13" x14ac:dyDescent="0.2">
      <c r="A3419" s="113"/>
      <c r="B3419" s="58" t="s">
        <v>8841</v>
      </c>
      <c r="C3419" s="58" t="s">
        <v>1678</v>
      </c>
      <c r="D3419" s="58" t="s">
        <v>8842</v>
      </c>
      <c r="E3419" s="60" t="b">
        <v>1</v>
      </c>
      <c r="F3419" s="80" t="s">
        <v>1101</v>
      </c>
      <c r="G3419" s="58" t="s">
        <v>8841</v>
      </c>
      <c r="H3419" s="58" t="s">
        <v>1681</v>
      </c>
      <c r="I3419" s="64" t="s">
        <v>8842</v>
      </c>
      <c r="J3419" s="66"/>
      <c r="K3419" s="66"/>
      <c r="L3419" s="68"/>
      <c r="M3419" s="63" t="str">
        <f>HYPERLINK("http://nsgreg.nga.mil/genc/view?v=871386&amp;end_month=12&amp;end_day=31&amp;end_year=2016","Correlation")</f>
        <v>Correlation</v>
      </c>
    </row>
    <row r="3420" spans="1:13" x14ac:dyDescent="0.2">
      <c r="A3420" s="113"/>
      <c r="B3420" s="58" t="s">
        <v>8845</v>
      </c>
      <c r="C3420" s="58" t="s">
        <v>4486</v>
      </c>
      <c r="D3420" s="58" t="s">
        <v>8844</v>
      </c>
      <c r="E3420" s="60" t="b">
        <v>1</v>
      </c>
      <c r="F3420" s="80" t="s">
        <v>1101</v>
      </c>
      <c r="G3420" s="58" t="s">
        <v>8843</v>
      </c>
      <c r="H3420" s="58" t="s">
        <v>1413</v>
      </c>
      <c r="I3420" s="64" t="s">
        <v>8844</v>
      </c>
      <c r="J3420" s="66"/>
      <c r="K3420" s="66"/>
      <c r="L3420" s="68"/>
      <c r="M3420" s="63" t="str">
        <f>HYPERLINK("http://nsgreg.nga.mil/genc/view?v=871383&amp;end_month=12&amp;end_day=31&amp;end_year=2016","Correlation")</f>
        <v>Correlation</v>
      </c>
    </row>
    <row r="3421" spans="1:13" x14ac:dyDescent="0.2">
      <c r="A3421" s="113"/>
      <c r="B3421" s="58" t="s">
        <v>8798</v>
      </c>
      <c r="C3421" s="58" t="s">
        <v>2408</v>
      </c>
      <c r="D3421" s="58" t="s">
        <v>8797</v>
      </c>
      <c r="E3421" s="60" t="b">
        <v>1</v>
      </c>
      <c r="F3421" s="80" t="s">
        <v>1101</v>
      </c>
      <c r="G3421" s="58" t="s">
        <v>8796</v>
      </c>
      <c r="H3421" s="58" t="s">
        <v>2408</v>
      </c>
      <c r="I3421" s="64" t="s">
        <v>8797</v>
      </c>
      <c r="J3421" s="66"/>
      <c r="K3421" s="66"/>
      <c r="L3421" s="68"/>
      <c r="M3421" s="63" t="str">
        <f>HYPERLINK("http://nsgreg.nga.mil/genc/view?v=871384&amp;end_month=12&amp;end_day=31&amp;end_year=2016","Correlation")</f>
        <v>Correlation</v>
      </c>
    </row>
    <row r="3422" spans="1:13" x14ac:dyDescent="0.2">
      <c r="A3422" s="113"/>
      <c r="B3422" s="58" t="s">
        <v>8848</v>
      </c>
      <c r="C3422" s="58" t="s">
        <v>4486</v>
      </c>
      <c r="D3422" s="58" t="s">
        <v>8847</v>
      </c>
      <c r="E3422" s="60" t="b">
        <v>1</v>
      </c>
      <c r="F3422" s="80" t="s">
        <v>1101</v>
      </c>
      <c r="G3422" s="58" t="s">
        <v>8846</v>
      </c>
      <c r="H3422" s="58" t="s">
        <v>1413</v>
      </c>
      <c r="I3422" s="64" t="s">
        <v>8847</v>
      </c>
      <c r="J3422" s="66"/>
      <c r="K3422" s="66"/>
      <c r="L3422" s="68"/>
      <c r="M3422" s="63" t="str">
        <f>HYPERLINK("http://nsgreg.nga.mil/genc/view?v=871385&amp;end_month=12&amp;end_day=31&amp;end_year=2016","Correlation")</f>
        <v>Correlation</v>
      </c>
    </row>
    <row r="3423" spans="1:13" x14ac:dyDescent="0.2">
      <c r="A3423" s="113"/>
      <c r="B3423" s="58" t="s">
        <v>8851</v>
      </c>
      <c r="C3423" s="58" t="s">
        <v>8667</v>
      </c>
      <c r="D3423" s="58" t="s">
        <v>8850</v>
      </c>
      <c r="E3423" s="60" t="b">
        <v>1</v>
      </c>
      <c r="F3423" s="80" t="s">
        <v>1101</v>
      </c>
      <c r="G3423" s="58" t="s">
        <v>8849</v>
      </c>
      <c r="H3423" s="58" t="s">
        <v>1796</v>
      </c>
      <c r="I3423" s="64" t="s">
        <v>8850</v>
      </c>
      <c r="J3423" s="66"/>
      <c r="K3423" s="66"/>
      <c r="L3423" s="68"/>
      <c r="M3423" s="63" t="str">
        <f>HYPERLINK("http://nsgreg.nga.mil/genc/view?v=871387&amp;end_month=12&amp;end_day=31&amp;end_year=2016","Correlation")</f>
        <v>Correlation</v>
      </c>
    </row>
    <row r="3424" spans="1:13" x14ac:dyDescent="0.2">
      <c r="A3424" s="113"/>
      <c r="B3424" s="58" t="s">
        <v>8854</v>
      </c>
      <c r="C3424" s="58" t="s">
        <v>4486</v>
      </c>
      <c r="D3424" s="58" t="s">
        <v>8853</v>
      </c>
      <c r="E3424" s="60" t="b">
        <v>1</v>
      </c>
      <c r="F3424" s="80" t="s">
        <v>1101</v>
      </c>
      <c r="G3424" s="58" t="s">
        <v>8852</v>
      </c>
      <c r="H3424" s="58" t="s">
        <v>1413</v>
      </c>
      <c r="I3424" s="64" t="s">
        <v>8853</v>
      </c>
      <c r="J3424" s="66"/>
      <c r="K3424" s="66"/>
      <c r="L3424" s="68"/>
      <c r="M3424" s="63" t="str">
        <f>HYPERLINK("http://nsgreg.nga.mil/genc/view?v=871388&amp;end_month=12&amp;end_day=31&amp;end_year=2016","Correlation")</f>
        <v>Correlation</v>
      </c>
    </row>
    <row r="3425" spans="1:13" x14ac:dyDescent="0.2">
      <c r="A3425" s="113"/>
      <c r="B3425" s="58" t="s">
        <v>8857</v>
      </c>
      <c r="C3425" s="58" t="s">
        <v>4486</v>
      </c>
      <c r="D3425" s="58" t="s">
        <v>8856</v>
      </c>
      <c r="E3425" s="60" t="b">
        <v>1</v>
      </c>
      <c r="F3425" s="80" t="s">
        <v>1101</v>
      </c>
      <c r="G3425" s="58" t="s">
        <v>8855</v>
      </c>
      <c r="H3425" s="58" t="s">
        <v>1413</v>
      </c>
      <c r="I3425" s="64" t="s">
        <v>8856</v>
      </c>
      <c r="J3425" s="66"/>
      <c r="K3425" s="66"/>
      <c r="L3425" s="68"/>
      <c r="M3425" s="63" t="str">
        <f>HYPERLINK("http://nsgreg.nga.mil/genc/view?v=871390&amp;end_month=12&amp;end_day=31&amp;end_year=2016","Correlation")</f>
        <v>Correlation</v>
      </c>
    </row>
    <row r="3426" spans="1:13" x14ac:dyDescent="0.2">
      <c r="A3426" s="113"/>
      <c r="B3426" s="58" t="s">
        <v>8860</v>
      </c>
      <c r="C3426" s="58" t="s">
        <v>2408</v>
      </c>
      <c r="D3426" s="58" t="s">
        <v>8859</v>
      </c>
      <c r="E3426" s="60" t="b">
        <v>1</v>
      </c>
      <c r="F3426" s="80" t="s">
        <v>1101</v>
      </c>
      <c r="G3426" s="58" t="s">
        <v>8858</v>
      </c>
      <c r="H3426" s="58" t="s">
        <v>2408</v>
      </c>
      <c r="I3426" s="64" t="s">
        <v>8859</v>
      </c>
      <c r="J3426" s="66"/>
      <c r="K3426" s="66"/>
      <c r="L3426" s="68"/>
      <c r="M3426" s="63" t="str">
        <f>HYPERLINK("http://nsgreg.nga.mil/genc/view?v=871389&amp;end_month=12&amp;end_day=31&amp;end_year=2016","Correlation")</f>
        <v>Correlation</v>
      </c>
    </row>
    <row r="3427" spans="1:13" x14ac:dyDescent="0.2">
      <c r="A3427" s="113"/>
      <c r="B3427" s="58" t="s">
        <v>8863</v>
      </c>
      <c r="C3427" s="58" t="s">
        <v>4486</v>
      </c>
      <c r="D3427" s="58" t="s">
        <v>8862</v>
      </c>
      <c r="E3427" s="60" t="b">
        <v>1</v>
      </c>
      <c r="F3427" s="80" t="s">
        <v>1101</v>
      </c>
      <c r="G3427" s="58" t="s">
        <v>8861</v>
      </c>
      <c r="H3427" s="58" t="s">
        <v>1413</v>
      </c>
      <c r="I3427" s="64" t="s">
        <v>8862</v>
      </c>
      <c r="J3427" s="66"/>
      <c r="K3427" s="66"/>
      <c r="L3427" s="68"/>
      <c r="M3427" s="63" t="str">
        <f>HYPERLINK("http://nsgreg.nga.mil/genc/view?v=871391&amp;end_month=12&amp;end_day=31&amp;end_year=2016","Correlation")</f>
        <v>Correlation</v>
      </c>
    </row>
    <row r="3428" spans="1:13" x14ac:dyDescent="0.2">
      <c r="A3428" s="113"/>
      <c r="B3428" s="58" t="s">
        <v>8866</v>
      </c>
      <c r="C3428" s="58" t="s">
        <v>4486</v>
      </c>
      <c r="D3428" s="58" t="s">
        <v>8865</v>
      </c>
      <c r="E3428" s="60" t="b">
        <v>1</v>
      </c>
      <c r="F3428" s="80" t="s">
        <v>1101</v>
      </c>
      <c r="G3428" s="58" t="s">
        <v>8864</v>
      </c>
      <c r="H3428" s="58" t="s">
        <v>1413</v>
      </c>
      <c r="I3428" s="64" t="s">
        <v>8865</v>
      </c>
      <c r="J3428" s="66"/>
      <c r="K3428" s="66"/>
      <c r="L3428" s="68"/>
      <c r="M3428" s="63" t="str">
        <f>HYPERLINK("http://nsgreg.nga.mil/genc/view?v=871392&amp;end_month=12&amp;end_day=31&amp;end_year=2016","Correlation")</f>
        <v>Correlation</v>
      </c>
    </row>
    <row r="3429" spans="1:13" x14ac:dyDescent="0.2">
      <c r="A3429" s="113"/>
      <c r="B3429" s="58" t="s">
        <v>8869</v>
      </c>
      <c r="C3429" s="58" t="s">
        <v>4486</v>
      </c>
      <c r="D3429" s="58" t="s">
        <v>8868</v>
      </c>
      <c r="E3429" s="60" t="b">
        <v>1</v>
      </c>
      <c r="F3429" s="80" t="s">
        <v>1101</v>
      </c>
      <c r="G3429" s="58" t="s">
        <v>8867</v>
      </c>
      <c r="H3429" s="58" t="s">
        <v>1413</v>
      </c>
      <c r="I3429" s="64" t="s">
        <v>8868</v>
      </c>
      <c r="J3429" s="66"/>
      <c r="K3429" s="66"/>
      <c r="L3429" s="68"/>
      <c r="M3429" s="63" t="str">
        <f>HYPERLINK("http://nsgreg.nga.mil/genc/view?v=871393&amp;end_month=12&amp;end_day=31&amp;end_year=2016","Correlation")</f>
        <v>Correlation</v>
      </c>
    </row>
    <row r="3430" spans="1:13" x14ac:dyDescent="0.2">
      <c r="A3430" s="113"/>
      <c r="B3430" s="58" t="s">
        <v>8872</v>
      </c>
      <c r="C3430" s="58" t="s">
        <v>4486</v>
      </c>
      <c r="D3430" s="58" t="s">
        <v>8871</v>
      </c>
      <c r="E3430" s="60" t="b">
        <v>1</v>
      </c>
      <c r="F3430" s="80" t="s">
        <v>1101</v>
      </c>
      <c r="G3430" s="58" t="s">
        <v>8870</v>
      </c>
      <c r="H3430" s="58" t="s">
        <v>1413</v>
      </c>
      <c r="I3430" s="64" t="s">
        <v>8871</v>
      </c>
      <c r="J3430" s="66"/>
      <c r="K3430" s="66"/>
      <c r="L3430" s="68"/>
      <c r="M3430" s="63" t="str">
        <f>HYPERLINK("http://nsgreg.nga.mil/genc/view?v=871395&amp;end_month=12&amp;end_day=31&amp;end_year=2016","Correlation")</f>
        <v>Correlation</v>
      </c>
    </row>
    <row r="3431" spans="1:13" x14ac:dyDescent="0.2">
      <c r="A3431" s="113"/>
      <c r="B3431" s="58" t="s">
        <v>8875</v>
      </c>
      <c r="C3431" s="58" t="s">
        <v>2408</v>
      </c>
      <c r="D3431" s="58" t="s">
        <v>8874</v>
      </c>
      <c r="E3431" s="60" t="b">
        <v>1</v>
      </c>
      <c r="F3431" s="80" t="s">
        <v>1101</v>
      </c>
      <c r="G3431" s="58" t="s">
        <v>8873</v>
      </c>
      <c r="H3431" s="58" t="s">
        <v>2408</v>
      </c>
      <c r="I3431" s="64" t="s">
        <v>8874</v>
      </c>
      <c r="J3431" s="66"/>
      <c r="K3431" s="66"/>
      <c r="L3431" s="68"/>
      <c r="M3431" s="63" t="str">
        <f>HYPERLINK("http://nsgreg.nga.mil/genc/view?v=871394&amp;end_month=12&amp;end_day=31&amp;end_year=2016","Correlation")</f>
        <v>Correlation</v>
      </c>
    </row>
    <row r="3432" spans="1:13" x14ac:dyDescent="0.2">
      <c r="A3432" s="113"/>
      <c r="B3432" s="58" t="s">
        <v>8878</v>
      </c>
      <c r="C3432" s="58" t="s">
        <v>2408</v>
      </c>
      <c r="D3432" s="58" t="s">
        <v>8877</v>
      </c>
      <c r="E3432" s="60" t="b">
        <v>1</v>
      </c>
      <c r="F3432" s="80" t="s">
        <v>1101</v>
      </c>
      <c r="G3432" s="58" t="s">
        <v>8876</v>
      </c>
      <c r="H3432" s="58" t="s">
        <v>2408</v>
      </c>
      <c r="I3432" s="64" t="s">
        <v>8877</v>
      </c>
      <c r="J3432" s="66"/>
      <c r="K3432" s="66"/>
      <c r="L3432" s="68"/>
      <c r="M3432" s="63" t="str">
        <f>HYPERLINK("http://nsgreg.nga.mil/genc/view?v=871396&amp;end_month=12&amp;end_day=31&amp;end_year=2016","Correlation")</f>
        <v>Correlation</v>
      </c>
    </row>
    <row r="3433" spans="1:13" x14ac:dyDescent="0.2">
      <c r="A3433" s="113"/>
      <c r="B3433" s="58" t="s">
        <v>8881</v>
      </c>
      <c r="C3433" s="58" t="s">
        <v>4486</v>
      </c>
      <c r="D3433" s="58" t="s">
        <v>8880</v>
      </c>
      <c r="E3433" s="60" t="b">
        <v>1</v>
      </c>
      <c r="F3433" s="80" t="s">
        <v>1101</v>
      </c>
      <c r="G3433" s="58" t="s">
        <v>8879</v>
      </c>
      <c r="H3433" s="58" t="s">
        <v>1413</v>
      </c>
      <c r="I3433" s="64" t="s">
        <v>8880</v>
      </c>
      <c r="J3433" s="66"/>
      <c r="K3433" s="66"/>
      <c r="L3433" s="68"/>
      <c r="M3433" s="63" t="str">
        <f>HYPERLINK("http://nsgreg.nga.mil/genc/view?v=871397&amp;end_month=12&amp;end_day=31&amp;end_year=2016","Correlation")</f>
        <v>Correlation</v>
      </c>
    </row>
    <row r="3434" spans="1:13" x14ac:dyDescent="0.2">
      <c r="A3434" s="113"/>
      <c r="B3434" s="58" t="s">
        <v>8884</v>
      </c>
      <c r="C3434" s="58" t="s">
        <v>4486</v>
      </c>
      <c r="D3434" s="58" t="s">
        <v>8883</v>
      </c>
      <c r="E3434" s="60" t="b">
        <v>1</v>
      </c>
      <c r="F3434" s="80" t="s">
        <v>1101</v>
      </c>
      <c r="G3434" s="58" t="s">
        <v>8882</v>
      </c>
      <c r="H3434" s="58" t="s">
        <v>1413</v>
      </c>
      <c r="I3434" s="64" t="s">
        <v>8883</v>
      </c>
      <c r="J3434" s="66"/>
      <c r="K3434" s="66"/>
      <c r="L3434" s="68"/>
      <c r="M3434" s="63" t="str">
        <f>HYPERLINK("http://nsgreg.nga.mil/genc/view?v=871399&amp;end_month=12&amp;end_day=31&amp;end_year=2016","Correlation")</f>
        <v>Correlation</v>
      </c>
    </row>
    <row r="3435" spans="1:13" x14ac:dyDescent="0.2">
      <c r="A3435" s="113"/>
      <c r="B3435" s="58" t="s">
        <v>8887</v>
      </c>
      <c r="C3435" s="58" t="s">
        <v>4486</v>
      </c>
      <c r="D3435" s="58" t="s">
        <v>8886</v>
      </c>
      <c r="E3435" s="60" t="b">
        <v>1</v>
      </c>
      <c r="F3435" s="80" t="s">
        <v>1101</v>
      </c>
      <c r="G3435" s="58" t="s">
        <v>8885</v>
      </c>
      <c r="H3435" s="58" t="s">
        <v>1413</v>
      </c>
      <c r="I3435" s="64" t="s">
        <v>8886</v>
      </c>
      <c r="J3435" s="66"/>
      <c r="K3435" s="66"/>
      <c r="L3435" s="68"/>
      <c r="M3435" s="63" t="str">
        <f>HYPERLINK("http://nsgreg.nga.mil/genc/view?v=871398&amp;end_month=12&amp;end_day=31&amp;end_year=2016","Correlation")</f>
        <v>Correlation</v>
      </c>
    </row>
    <row r="3436" spans="1:13" x14ac:dyDescent="0.2">
      <c r="A3436" s="113"/>
      <c r="B3436" s="58" t="s">
        <v>8890</v>
      </c>
      <c r="C3436" s="58" t="s">
        <v>4486</v>
      </c>
      <c r="D3436" s="58" t="s">
        <v>8889</v>
      </c>
      <c r="E3436" s="60" t="b">
        <v>1</v>
      </c>
      <c r="F3436" s="80" t="s">
        <v>1101</v>
      </c>
      <c r="G3436" s="58" t="s">
        <v>8888</v>
      </c>
      <c r="H3436" s="58" t="s">
        <v>1413</v>
      </c>
      <c r="I3436" s="64" t="s">
        <v>8889</v>
      </c>
      <c r="J3436" s="66"/>
      <c r="K3436" s="66"/>
      <c r="L3436" s="68"/>
      <c r="M3436" s="63" t="str">
        <f>HYPERLINK("http://nsgreg.nga.mil/genc/view?v=871400&amp;end_month=12&amp;end_day=31&amp;end_year=2016","Correlation")</f>
        <v>Correlation</v>
      </c>
    </row>
    <row r="3437" spans="1:13" x14ac:dyDescent="0.2">
      <c r="A3437" s="113"/>
      <c r="B3437" s="58" t="s">
        <v>8893</v>
      </c>
      <c r="C3437" s="58" t="s">
        <v>4486</v>
      </c>
      <c r="D3437" s="58" t="s">
        <v>8892</v>
      </c>
      <c r="E3437" s="60" t="b">
        <v>1</v>
      </c>
      <c r="F3437" s="80" t="s">
        <v>1101</v>
      </c>
      <c r="G3437" s="58" t="s">
        <v>8891</v>
      </c>
      <c r="H3437" s="58" t="s">
        <v>1413</v>
      </c>
      <c r="I3437" s="64" t="s">
        <v>8892</v>
      </c>
      <c r="J3437" s="66"/>
      <c r="K3437" s="66"/>
      <c r="L3437" s="68"/>
      <c r="M3437" s="63" t="str">
        <f>HYPERLINK("http://nsgreg.nga.mil/genc/view?v=871401&amp;end_month=12&amp;end_day=31&amp;end_year=2016","Correlation")</f>
        <v>Correlation</v>
      </c>
    </row>
    <row r="3438" spans="1:13" x14ac:dyDescent="0.2">
      <c r="A3438" s="113"/>
      <c r="B3438" s="58" t="s">
        <v>8896</v>
      </c>
      <c r="C3438" s="58" t="s">
        <v>3301</v>
      </c>
      <c r="D3438" s="58" t="s">
        <v>8895</v>
      </c>
      <c r="E3438" s="60" t="b">
        <v>1</v>
      </c>
      <c r="F3438" s="80" t="s">
        <v>1101</v>
      </c>
      <c r="G3438" s="58" t="s">
        <v>8894</v>
      </c>
      <c r="H3438" s="58" t="s">
        <v>3080</v>
      </c>
      <c r="I3438" s="64" t="s">
        <v>8895</v>
      </c>
      <c r="J3438" s="66"/>
      <c r="K3438" s="66"/>
      <c r="L3438" s="68"/>
      <c r="M3438" s="63" t="str">
        <f>HYPERLINK("http://nsgreg.nga.mil/genc/view?v=871402&amp;end_month=12&amp;end_day=31&amp;end_year=2016","Correlation")</f>
        <v>Correlation</v>
      </c>
    </row>
    <row r="3439" spans="1:13" x14ac:dyDescent="0.2">
      <c r="A3439" s="113"/>
      <c r="B3439" s="58" t="s">
        <v>8899</v>
      </c>
      <c r="C3439" s="58" t="s">
        <v>4486</v>
      </c>
      <c r="D3439" s="58" t="s">
        <v>8898</v>
      </c>
      <c r="E3439" s="60" t="b">
        <v>1</v>
      </c>
      <c r="F3439" s="80" t="s">
        <v>1101</v>
      </c>
      <c r="G3439" s="58" t="s">
        <v>8897</v>
      </c>
      <c r="H3439" s="58" t="s">
        <v>1413</v>
      </c>
      <c r="I3439" s="64" t="s">
        <v>8898</v>
      </c>
      <c r="J3439" s="66"/>
      <c r="K3439" s="66"/>
      <c r="L3439" s="68"/>
      <c r="M3439" s="63" t="str">
        <f>HYPERLINK("http://nsgreg.nga.mil/genc/view?v=871403&amp;end_month=12&amp;end_day=31&amp;end_year=2016","Correlation")</f>
        <v>Correlation</v>
      </c>
    </row>
    <row r="3440" spans="1:13" x14ac:dyDescent="0.2">
      <c r="A3440" s="113"/>
      <c r="B3440" s="58" t="s">
        <v>8902</v>
      </c>
      <c r="C3440" s="58" t="s">
        <v>3080</v>
      </c>
      <c r="D3440" s="58" t="s">
        <v>8901</v>
      </c>
      <c r="E3440" s="60" t="b">
        <v>1</v>
      </c>
      <c r="F3440" s="80" t="s">
        <v>1101</v>
      </c>
      <c r="G3440" s="58" t="s">
        <v>8900</v>
      </c>
      <c r="H3440" s="58" t="s">
        <v>4947</v>
      </c>
      <c r="I3440" s="64" t="s">
        <v>8901</v>
      </c>
      <c r="J3440" s="66"/>
      <c r="K3440" s="66"/>
      <c r="L3440" s="68"/>
      <c r="M3440" s="63" t="str">
        <f>HYPERLINK("http://nsgreg.nga.mil/genc/view?v=871404&amp;end_month=12&amp;end_day=31&amp;end_year=2016","Correlation")</f>
        <v>Correlation</v>
      </c>
    </row>
    <row r="3441" spans="1:13" x14ac:dyDescent="0.2">
      <c r="A3441" s="114"/>
      <c r="B3441" s="71" t="s">
        <v>8905</v>
      </c>
      <c r="C3441" s="71" t="s">
        <v>8667</v>
      </c>
      <c r="D3441" s="71" t="s">
        <v>8904</v>
      </c>
      <c r="E3441" s="73" t="b">
        <v>1</v>
      </c>
      <c r="F3441" s="81" t="s">
        <v>1101</v>
      </c>
      <c r="G3441" s="71" t="s">
        <v>8903</v>
      </c>
      <c r="H3441" s="71" t="s">
        <v>1796</v>
      </c>
      <c r="I3441" s="74" t="s">
        <v>8904</v>
      </c>
      <c r="J3441" s="76"/>
      <c r="K3441" s="76"/>
      <c r="L3441" s="82"/>
      <c r="M3441" s="77" t="str">
        <f>HYPERLINK("http://nsgreg.nga.mil/genc/view?v=871405&amp;end_month=12&amp;end_day=31&amp;end_year=2016","Correlation")</f>
        <v>Correlation</v>
      </c>
    </row>
    <row r="3442" spans="1:13" x14ac:dyDescent="0.2">
      <c r="A3442" s="112" t="s">
        <v>1106</v>
      </c>
      <c r="B3442" s="50" t="s">
        <v>8910</v>
      </c>
      <c r="C3442" s="50" t="s">
        <v>1681</v>
      </c>
      <c r="D3442" s="50" t="s">
        <v>8909</v>
      </c>
      <c r="E3442" s="52" t="b">
        <v>1</v>
      </c>
      <c r="F3442" s="78" t="s">
        <v>1106</v>
      </c>
      <c r="G3442" s="50" t="s">
        <v>8908</v>
      </c>
      <c r="H3442" s="50" t="s">
        <v>1681</v>
      </c>
      <c r="I3442" s="53" t="s">
        <v>8909</v>
      </c>
      <c r="J3442" s="55"/>
      <c r="K3442" s="55"/>
      <c r="L3442" s="79"/>
      <c r="M3442" s="56" t="str">
        <f>HYPERLINK("http://nsgreg.nga.mil/genc/view?v=871406&amp;end_month=12&amp;end_day=31&amp;end_year=2016","Correlation")</f>
        <v>Correlation</v>
      </c>
    </row>
    <row r="3443" spans="1:13" x14ac:dyDescent="0.2">
      <c r="A3443" s="113"/>
      <c r="B3443" s="58" t="s">
        <v>4055</v>
      </c>
      <c r="C3443" s="58" t="s">
        <v>1413</v>
      </c>
      <c r="D3443" s="58" t="s">
        <v>8907</v>
      </c>
      <c r="E3443" s="60" t="b">
        <v>1</v>
      </c>
      <c r="F3443" s="80" t="s">
        <v>1106</v>
      </c>
      <c r="G3443" s="58" t="s">
        <v>8906</v>
      </c>
      <c r="H3443" s="58" t="s">
        <v>1413</v>
      </c>
      <c r="I3443" s="64" t="s">
        <v>8907</v>
      </c>
      <c r="J3443" s="66"/>
      <c r="K3443" s="66"/>
      <c r="L3443" s="68"/>
      <c r="M3443" s="63" t="str">
        <f>HYPERLINK("http://nsgreg.nga.mil/genc/view?v=871407&amp;end_month=12&amp;end_day=31&amp;end_year=2016","Correlation")</f>
        <v>Correlation</v>
      </c>
    </row>
    <row r="3444" spans="1:13" x14ac:dyDescent="0.2">
      <c r="A3444" s="113"/>
      <c r="B3444" s="58" t="s">
        <v>4071</v>
      </c>
      <c r="C3444" s="58" t="s">
        <v>1413</v>
      </c>
      <c r="D3444" s="58" t="s">
        <v>8912</v>
      </c>
      <c r="E3444" s="60" t="b">
        <v>1</v>
      </c>
      <c r="F3444" s="80" t="s">
        <v>1106</v>
      </c>
      <c r="G3444" s="58" t="s">
        <v>8911</v>
      </c>
      <c r="H3444" s="58" t="s">
        <v>1413</v>
      </c>
      <c r="I3444" s="64" t="s">
        <v>8912</v>
      </c>
      <c r="J3444" s="66"/>
      <c r="K3444" s="66"/>
      <c r="L3444" s="68"/>
      <c r="M3444" s="63" t="str">
        <f>HYPERLINK("http://nsgreg.nga.mil/genc/view?v=871408&amp;end_month=12&amp;end_day=31&amp;end_year=2016","Correlation")</f>
        <v>Correlation</v>
      </c>
    </row>
    <row r="3445" spans="1:13" x14ac:dyDescent="0.2">
      <c r="A3445" s="113"/>
      <c r="B3445" s="58" t="s">
        <v>2440</v>
      </c>
      <c r="C3445" s="58" t="s">
        <v>1413</v>
      </c>
      <c r="D3445" s="58" t="s">
        <v>8914</v>
      </c>
      <c r="E3445" s="60" t="b">
        <v>1</v>
      </c>
      <c r="F3445" s="80" t="s">
        <v>1106</v>
      </c>
      <c r="G3445" s="58" t="s">
        <v>8913</v>
      </c>
      <c r="H3445" s="58" t="s">
        <v>1413</v>
      </c>
      <c r="I3445" s="64" t="s">
        <v>8914</v>
      </c>
      <c r="J3445" s="66"/>
      <c r="K3445" s="66"/>
      <c r="L3445" s="68"/>
      <c r="M3445" s="63" t="str">
        <f>HYPERLINK("http://nsgreg.nga.mil/genc/view?v=871410&amp;end_month=12&amp;end_day=31&amp;end_year=2016","Correlation")</f>
        <v>Correlation</v>
      </c>
    </row>
    <row r="3446" spans="1:13" x14ac:dyDescent="0.2">
      <c r="A3446" s="114"/>
      <c r="B3446" s="71" t="s">
        <v>4083</v>
      </c>
      <c r="C3446" s="71" t="s">
        <v>1413</v>
      </c>
      <c r="D3446" s="71" t="s">
        <v>8916</v>
      </c>
      <c r="E3446" s="73" t="b">
        <v>1</v>
      </c>
      <c r="F3446" s="81" t="s">
        <v>1106</v>
      </c>
      <c r="G3446" s="71" t="s">
        <v>8915</v>
      </c>
      <c r="H3446" s="71" t="s">
        <v>1413</v>
      </c>
      <c r="I3446" s="74" t="s">
        <v>8916</v>
      </c>
      <c r="J3446" s="76"/>
      <c r="K3446" s="76"/>
      <c r="L3446" s="82"/>
      <c r="M3446" s="77" t="str">
        <f>HYPERLINK("http://nsgreg.nga.mil/genc/view?v=871409&amp;end_month=12&amp;end_day=31&amp;end_year=2016","Correlation")</f>
        <v>Correlation</v>
      </c>
    </row>
    <row r="3447" spans="1:13" x14ac:dyDescent="0.2">
      <c r="A3447" s="112" t="s">
        <v>1121</v>
      </c>
      <c r="B3447" s="50" t="s">
        <v>8917</v>
      </c>
      <c r="C3447" s="50" t="s">
        <v>8921</v>
      </c>
      <c r="D3447" s="50" t="s">
        <v>8919</v>
      </c>
      <c r="E3447" s="52" t="b">
        <v>1</v>
      </c>
      <c r="F3447" s="78" t="s">
        <v>1117</v>
      </c>
      <c r="G3447" s="50" t="s">
        <v>8917</v>
      </c>
      <c r="H3447" s="50" t="s">
        <v>8918</v>
      </c>
      <c r="I3447" s="53" t="s">
        <v>8919</v>
      </c>
      <c r="J3447" s="55"/>
      <c r="K3447" s="55"/>
      <c r="L3447" s="79"/>
      <c r="M3447" s="56" t="str">
        <f>HYPERLINK("http://nsgreg.nga.mil/genc/view?v=871503&amp;end_month=12&amp;end_day=31&amp;end_year=2016","Correlation")</f>
        <v>Correlation</v>
      </c>
    </row>
    <row r="3448" spans="1:13" x14ac:dyDescent="0.2">
      <c r="A3448" s="113"/>
      <c r="B3448" s="58" t="s">
        <v>8922</v>
      </c>
      <c r="C3448" s="58" t="s">
        <v>8921</v>
      </c>
      <c r="D3448" s="58" t="s">
        <v>8923</v>
      </c>
      <c r="E3448" s="60" t="b">
        <v>1</v>
      </c>
      <c r="F3448" s="80" t="s">
        <v>1117</v>
      </c>
      <c r="G3448" s="58" t="s">
        <v>8922</v>
      </c>
      <c r="H3448" s="58" t="s">
        <v>1659</v>
      </c>
      <c r="I3448" s="64" t="s">
        <v>8923</v>
      </c>
      <c r="J3448" s="66"/>
      <c r="K3448" s="66"/>
      <c r="L3448" s="68"/>
      <c r="M3448" s="63" t="str">
        <f>HYPERLINK("http://nsgreg.nga.mil/genc/view?v=871504&amp;end_month=12&amp;end_day=31&amp;end_year=2016","Correlation")</f>
        <v>Correlation</v>
      </c>
    </row>
    <row r="3449" spans="1:13" x14ac:dyDescent="0.2">
      <c r="A3449" s="114"/>
      <c r="B3449" s="71" t="s">
        <v>8924</v>
      </c>
      <c r="C3449" s="71" t="s">
        <v>8921</v>
      </c>
      <c r="D3449" s="71" t="s">
        <v>8925</v>
      </c>
      <c r="E3449" s="73" t="b">
        <v>1</v>
      </c>
      <c r="F3449" s="81" t="s">
        <v>1117</v>
      </c>
      <c r="G3449" s="71" t="s">
        <v>8924</v>
      </c>
      <c r="H3449" s="71" t="s">
        <v>1659</v>
      </c>
      <c r="I3449" s="74" t="s">
        <v>8925</v>
      </c>
      <c r="J3449" s="76"/>
      <c r="K3449" s="76"/>
      <c r="L3449" s="82"/>
      <c r="M3449" s="77" t="str">
        <f>HYPERLINK("http://nsgreg.nga.mil/genc/view?v=871505&amp;end_month=12&amp;end_day=31&amp;end_year=2016","Correlation")</f>
        <v>Correlation</v>
      </c>
    </row>
    <row r="3450" spans="1:13" x14ac:dyDescent="0.2">
      <c r="A3450" s="112" t="s">
        <v>1122</v>
      </c>
      <c r="B3450" s="50" t="s">
        <v>8926</v>
      </c>
      <c r="C3450" s="50" t="s">
        <v>1607</v>
      </c>
      <c r="D3450" s="50" t="s">
        <v>8927</v>
      </c>
      <c r="E3450" s="52" t="b">
        <v>1</v>
      </c>
      <c r="F3450" s="78" t="s">
        <v>1122</v>
      </c>
      <c r="G3450" s="50" t="s">
        <v>8926</v>
      </c>
      <c r="H3450" s="50" t="s">
        <v>1607</v>
      </c>
      <c r="I3450" s="53" t="s">
        <v>8927</v>
      </c>
      <c r="J3450" s="55"/>
      <c r="K3450" s="55"/>
      <c r="L3450" s="79"/>
      <c r="M3450" s="56" t="str">
        <f>HYPERLINK("http://nsgreg.nga.mil/genc/view?v=869895&amp;end_month=12&amp;end_day=31&amp;end_year=2016","Correlation")</f>
        <v>Correlation</v>
      </c>
    </row>
    <row r="3451" spans="1:13" x14ac:dyDescent="0.2">
      <c r="A3451" s="113"/>
      <c r="B3451" s="58" t="s">
        <v>8928</v>
      </c>
      <c r="C3451" s="58" t="s">
        <v>1763</v>
      </c>
      <c r="D3451" s="58" t="s">
        <v>8929</v>
      </c>
      <c r="E3451" s="60" t="b">
        <v>1</v>
      </c>
      <c r="F3451" s="80" t="s">
        <v>1122</v>
      </c>
      <c r="G3451" s="58" t="s">
        <v>8928</v>
      </c>
      <c r="H3451" s="58" t="s">
        <v>1763</v>
      </c>
      <c r="I3451" s="64" t="s">
        <v>8929</v>
      </c>
      <c r="J3451" s="66"/>
      <c r="K3451" s="66"/>
      <c r="L3451" s="68"/>
      <c r="M3451" s="63" t="str">
        <f>HYPERLINK("http://nsgreg.nga.mil/genc/view?v=869910&amp;end_month=12&amp;end_day=31&amp;end_year=2016","Correlation")</f>
        <v>Correlation</v>
      </c>
    </row>
    <row r="3452" spans="1:13" x14ac:dyDescent="0.2">
      <c r="A3452" s="113"/>
      <c r="B3452" s="58" t="s">
        <v>8930</v>
      </c>
      <c r="C3452" s="58" t="s">
        <v>1607</v>
      </c>
      <c r="D3452" s="58" t="s">
        <v>8931</v>
      </c>
      <c r="E3452" s="60" t="b">
        <v>1</v>
      </c>
      <c r="F3452" s="80" t="s">
        <v>1122</v>
      </c>
      <c r="G3452" s="58" t="s">
        <v>8930</v>
      </c>
      <c r="H3452" s="58" t="s">
        <v>1607</v>
      </c>
      <c r="I3452" s="64" t="s">
        <v>8931</v>
      </c>
      <c r="J3452" s="66"/>
      <c r="K3452" s="66"/>
      <c r="L3452" s="68"/>
      <c r="M3452" s="63" t="str">
        <f>HYPERLINK("http://nsgreg.nga.mil/genc/view?v=869896&amp;end_month=12&amp;end_day=31&amp;end_year=2016","Correlation")</f>
        <v>Correlation</v>
      </c>
    </row>
    <row r="3453" spans="1:13" x14ac:dyDescent="0.2">
      <c r="A3453" s="113"/>
      <c r="B3453" s="58" t="s">
        <v>8932</v>
      </c>
      <c r="C3453" s="58" t="s">
        <v>1607</v>
      </c>
      <c r="D3453" s="58" t="s">
        <v>8933</v>
      </c>
      <c r="E3453" s="60" t="b">
        <v>1</v>
      </c>
      <c r="F3453" s="80" t="s">
        <v>1122</v>
      </c>
      <c r="G3453" s="58" t="s">
        <v>8932</v>
      </c>
      <c r="H3453" s="58" t="s">
        <v>1607</v>
      </c>
      <c r="I3453" s="64" t="s">
        <v>8933</v>
      </c>
      <c r="J3453" s="66"/>
      <c r="K3453" s="66"/>
      <c r="L3453" s="68"/>
      <c r="M3453" s="63" t="str">
        <f>HYPERLINK("http://nsgreg.nga.mil/genc/view?v=869897&amp;end_month=12&amp;end_day=31&amp;end_year=2016","Correlation")</f>
        <v>Correlation</v>
      </c>
    </row>
    <row r="3454" spans="1:13" x14ac:dyDescent="0.2">
      <c r="A3454" s="113"/>
      <c r="B3454" s="58" t="s">
        <v>8934</v>
      </c>
      <c r="C3454" s="58" t="s">
        <v>1607</v>
      </c>
      <c r="D3454" s="58" t="s">
        <v>8935</v>
      </c>
      <c r="E3454" s="60" t="b">
        <v>1</v>
      </c>
      <c r="F3454" s="80" t="s">
        <v>1122</v>
      </c>
      <c r="G3454" s="58" t="s">
        <v>8934</v>
      </c>
      <c r="H3454" s="58" t="s">
        <v>1607</v>
      </c>
      <c r="I3454" s="64" t="s">
        <v>8935</v>
      </c>
      <c r="J3454" s="66"/>
      <c r="K3454" s="66"/>
      <c r="L3454" s="68"/>
      <c r="M3454" s="63" t="str">
        <f>HYPERLINK("http://nsgreg.nga.mil/genc/view?v=869898&amp;end_month=12&amp;end_day=31&amp;end_year=2016","Correlation")</f>
        <v>Correlation</v>
      </c>
    </row>
    <row r="3455" spans="1:13" x14ac:dyDescent="0.2">
      <c r="A3455" s="113"/>
      <c r="B3455" s="58" t="s">
        <v>8936</v>
      </c>
      <c r="C3455" s="58" t="s">
        <v>1607</v>
      </c>
      <c r="D3455" s="58" t="s">
        <v>8937</v>
      </c>
      <c r="E3455" s="60" t="b">
        <v>1</v>
      </c>
      <c r="F3455" s="80" t="s">
        <v>1122</v>
      </c>
      <c r="G3455" s="58" t="s">
        <v>8936</v>
      </c>
      <c r="H3455" s="58" t="s">
        <v>1607</v>
      </c>
      <c r="I3455" s="64" t="s">
        <v>8937</v>
      </c>
      <c r="J3455" s="66"/>
      <c r="K3455" s="66"/>
      <c r="L3455" s="68"/>
      <c r="M3455" s="63" t="str">
        <f>HYPERLINK("http://nsgreg.nga.mil/genc/view?v=869899&amp;end_month=12&amp;end_day=31&amp;end_year=2016","Correlation")</f>
        <v>Correlation</v>
      </c>
    </row>
    <row r="3456" spans="1:13" x14ac:dyDescent="0.2">
      <c r="A3456" s="113"/>
      <c r="B3456" s="58" t="s">
        <v>8940</v>
      </c>
      <c r="C3456" s="58" t="s">
        <v>1607</v>
      </c>
      <c r="D3456" s="58" t="s">
        <v>8939</v>
      </c>
      <c r="E3456" s="60" t="b">
        <v>1</v>
      </c>
      <c r="F3456" s="80" t="s">
        <v>1122</v>
      </c>
      <c r="G3456" s="58" t="s">
        <v>8938</v>
      </c>
      <c r="H3456" s="58" t="s">
        <v>1607</v>
      </c>
      <c r="I3456" s="64" t="s">
        <v>8939</v>
      </c>
      <c r="J3456" s="66"/>
      <c r="K3456" s="66"/>
      <c r="L3456" s="68"/>
      <c r="M3456" s="63" t="str">
        <f>HYPERLINK("http://nsgreg.nga.mil/genc/view?v=869900&amp;end_month=12&amp;end_day=31&amp;end_year=2016","Correlation")</f>
        <v>Correlation</v>
      </c>
    </row>
    <row r="3457" spans="1:13" x14ac:dyDescent="0.2">
      <c r="A3457" s="113"/>
      <c r="B3457" s="58" t="s">
        <v>8941</v>
      </c>
      <c r="C3457" s="58" t="s">
        <v>1607</v>
      </c>
      <c r="D3457" s="58" t="s">
        <v>8942</v>
      </c>
      <c r="E3457" s="60" t="b">
        <v>1</v>
      </c>
      <c r="F3457" s="80" t="s">
        <v>1122</v>
      </c>
      <c r="G3457" s="58" t="s">
        <v>8941</v>
      </c>
      <c r="H3457" s="58" t="s">
        <v>1607</v>
      </c>
      <c r="I3457" s="64" t="s">
        <v>8942</v>
      </c>
      <c r="J3457" s="66"/>
      <c r="K3457" s="66"/>
      <c r="L3457" s="68"/>
      <c r="M3457" s="63" t="str">
        <f>HYPERLINK("http://nsgreg.nga.mil/genc/view?v=869901&amp;end_month=12&amp;end_day=31&amp;end_year=2016","Correlation")</f>
        <v>Correlation</v>
      </c>
    </row>
    <row r="3458" spans="1:13" x14ac:dyDescent="0.2">
      <c r="A3458" s="113"/>
      <c r="B3458" s="58" t="s">
        <v>8943</v>
      </c>
      <c r="C3458" s="58" t="s">
        <v>1763</v>
      </c>
      <c r="D3458" s="58" t="s">
        <v>8944</v>
      </c>
      <c r="E3458" s="60" t="b">
        <v>1</v>
      </c>
      <c r="F3458" s="80" t="s">
        <v>1122</v>
      </c>
      <c r="G3458" s="58" t="s">
        <v>8943</v>
      </c>
      <c r="H3458" s="58" t="s">
        <v>1763</v>
      </c>
      <c r="I3458" s="64" t="s">
        <v>8944</v>
      </c>
      <c r="J3458" s="66"/>
      <c r="K3458" s="66"/>
      <c r="L3458" s="68"/>
      <c r="M3458" s="63" t="str">
        <f>HYPERLINK("http://nsgreg.nga.mil/genc/view?v=869909&amp;end_month=12&amp;end_day=31&amp;end_year=2016","Correlation")</f>
        <v>Correlation</v>
      </c>
    </row>
    <row r="3459" spans="1:13" x14ac:dyDescent="0.2">
      <c r="A3459" s="113"/>
      <c r="B3459" s="58" t="s">
        <v>8945</v>
      </c>
      <c r="C3459" s="58" t="s">
        <v>1607</v>
      </c>
      <c r="D3459" s="58" t="s">
        <v>8946</v>
      </c>
      <c r="E3459" s="60" t="b">
        <v>1</v>
      </c>
      <c r="F3459" s="80" t="s">
        <v>1122</v>
      </c>
      <c r="G3459" s="58" t="s">
        <v>8945</v>
      </c>
      <c r="H3459" s="58" t="s">
        <v>1607</v>
      </c>
      <c r="I3459" s="64" t="s">
        <v>8946</v>
      </c>
      <c r="J3459" s="66"/>
      <c r="K3459" s="66"/>
      <c r="L3459" s="68"/>
      <c r="M3459" s="63" t="str">
        <f>HYPERLINK("http://nsgreg.nga.mil/genc/view?v=869902&amp;end_month=12&amp;end_day=31&amp;end_year=2016","Correlation")</f>
        <v>Correlation</v>
      </c>
    </row>
    <row r="3460" spans="1:13" x14ac:dyDescent="0.2">
      <c r="A3460" s="113"/>
      <c r="B3460" s="58" t="s">
        <v>8949</v>
      </c>
      <c r="C3460" s="58" t="s">
        <v>1607</v>
      </c>
      <c r="D3460" s="58" t="s">
        <v>8948</v>
      </c>
      <c r="E3460" s="60" t="b">
        <v>1</v>
      </c>
      <c r="F3460" s="80" t="s">
        <v>1122</v>
      </c>
      <c r="G3460" s="58" t="s">
        <v>8947</v>
      </c>
      <c r="H3460" s="58" t="s">
        <v>1607</v>
      </c>
      <c r="I3460" s="64" t="s">
        <v>8948</v>
      </c>
      <c r="J3460" s="66"/>
      <c r="K3460" s="66"/>
      <c r="L3460" s="68"/>
      <c r="M3460" s="63" t="str">
        <f>HYPERLINK("http://nsgreg.nga.mil/genc/view?v=869903&amp;end_month=12&amp;end_day=31&amp;end_year=2016","Correlation")</f>
        <v>Correlation</v>
      </c>
    </row>
    <row r="3461" spans="1:13" x14ac:dyDescent="0.2">
      <c r="A3461" s="113"/>
      <c r="B3461" s="58" t="s">
        <v>8950</v>
      </c>
      <c r="C3461" s="58" t="s">
        <v>1607</v>
      </c>
      <c r="D3461" s="58" t="s">
        <v>8951</v>
      </c>
      <c r="E3461" s="60" t="b">
        <v>1</v>
      </c>
      <c r="F3461" s="80" t="s">
        <v>1122</v>
      </c>
      <c r="G3461" s="58" t="s">
        <v>8950</v>
      </c>
      <c r="H3461" s="58" t="s">
        <v>1607</v>
      </c>
      <c r="I3461" s="64" t="s">
        <v>8951</v>
      </c>
      <c r="J3461" s="66"/>
      <c r="K3461" s="66"/>
      <c r="L3461" s="68"/>
      <c r="M3461" s="63" t="str">
        <f>HYPERLINK("http://nsgreg.nga.mil/genc/view?v=869904&amp;end_month=12&amp;end_day=31&amp;end_year=2016","Correlation")</f>
        <v>Correlation</v>
      </c>
    </row>
    <row r="3462" spans="1:13" x14ac:dyDescent="0.2">
      <c r="A3462" s="113"/>
      <c r="B3462" s="58" t="s">
        <v>8952</v>
      </c>
      <c r="C3462" s="58" t="s">
        <v>1607</v>
      </c>
      <c r="D3462" s="58" t="s">
        <v>8953</v>
      </c>
      <c r="E3462" s="60" t="b">
        <v>1</v>
      </c>
      <c r="F3462" s="80" t="s">
        <v>1122</v>
      </c>
      <c r="G3462" s="58" t="s">
        <v>8952</v>
      </c>
      <c r="H3462" s="58" t="s">
        <v>1607</v>
      </c>
      <c r="I3462" s="64" t="s">
        <v>8953</v>
      </c>
      <c r="J3462" s="66"/>
      <c r="K3462" s="66"/>
      <c r="L3462" s="68"/>
      <c r="M3462" s="63" t="str">
        <f>HYPERLINK("http://nsgreg.nga.mil/genc/view?v=869905&amp;end_month=12&amp;end_day=31&amp;end_year=2016","Correlation")</f>
        <v>Correlation</v>
      </c>
    </row>
    <row r="3463" spans="1:13" x14ac:dyDescent="0.2">
      <c r="A3463" s="113"/>
      <c r="B3463" s="58" t="s">
        <v>8954</v>
      </c>
      <c r="C3463" s="58" t="s">
        <v>1607</v>
      </c>
      <c r="D3463" s="58" t="s">
        <v>8955</v>
      </c>
      <c r="E3463" s="60" t="b">
        <v>1</v>
      </c>
      <c r="F3463" s="80" t="s">
        <v>1122</v>
      </c>
      <c r="G3463" s="58" t="s">
        <v>8954</v>
      </c>
      <c r="H3463" s="58" t="s">
        <v>1607</v>
      </c>
      <c r="I3463" s="64" t="s">
        <v>8955</v>
      </c>
      <c r="J3463" s="66"/>
      <c r="K3463" s="66"/>
      <c r="L3463" s="68"/>
      <c r="M3463" s="63" t="str">
        <f>HYPERLINK("http://nsgreg.nga.mil/genc/view?v=869906&amp;end_month=12&amp;end_day=31&amp;end_year=2016","Correlation")</f>
        <v>Correlation</v>
      </c>
    </row>
    <row r="3464" spans="1:13" x14ac:dyDescent="0.2">
      <c r="A3464" s="113"/>
      <c r="B3464" s="58" t="s">
        <v>8956</v>
      </c>
      <c r="C3464" s="58" t="s">
        <v>1607</v>
      </c>
      <c r="D3464" s="58" t="s">
        <v>8957</v>
      </c>
      <c r="E3464" s="60" t="b">
        <v>1</v>
      </c>
      <c r="F3464" s="80" t="s">
        <v>1122</v>
      </c>
      <c r="G3464" s="58" t="s">
        <v>8956</v>
      </c>
      <c r="H3464" s="58" t="s">
        <v>1607</v>
      </c>
      <c r="I3464" s="64" t="s">
        <v>8957</v>
      </c>
      <c r="J3464" s="66"/>
      <c r="K3464" s="66"/>
      <c r="L3464" s="68"/>
      <c r="M3464" s="63" t="str">
        <f>HYPERLINK("http://nsgreg.nga.mil/genc/view?v=869907&amp;end_month=12&amp;end_day=31&amp;end_year=2016","Correlation")</f>
        <v>Correlation</v>
      </c>
    </row>
    <row r="3465" spans="1:13" x14ac:dyDescent="0.2">
      <c r="A3465" s="114"/>
      <c r="B3465" s="71" t="s">
        <v>8958</v>
      </c>
      <c r="C3465" s="71" t="s">
        <v>1607</v>
      </c>
      <c r="D3465" s="71" t="s">
        <v>8959</v>
      </c>
      <c r="E3465" s="73" t="b">
        <v>1</v>
      </c>
      <c r="F3465" s="81" t="s">
        <v>1122</v>
      </c>
      <c r="G3465" s="71" t="s">
        <v>8958</v>
      </c>
      <c r="H3465" s="71" t="s">
        <v>1607</v>
      </c>
      <c r="I3465" s="74" t="s">
        <v>8959</v>
      </c>
      <c r="J3465" s="76"/>
      <c r="K3465" s="76"/>
      <c r="L3465" s="82"/>
      <c r="M3465" s="77" t="str">
        <f>HYPERLINK("http://nsgreg.nga.mil/genc/view?v=869908&amp;end_month=12&amp;end_day=31&amp;end_year=2016","Correlation")</f>
        <v>Correlation</v>
      </c>
    </row>
    <row r="3466" spans="1:13" x14ac:dyDescent="0.2">
      <c r="A3466" s="112" t="s">
        <v>1126</v>
      </c>
      <c r="B3466" s="50" t="s">
        <v>8962</v>
      </c>
      <c r="C3466" s="50" t="s">
        <v>1796</v>
      </c>
      <c r="D3466" s="50" t="s">
        <v>8961</v>
      </c>
      <c r="E3466" s="52" t="b">
        <v>1</v>
      </c>
      <c r="F3466" s="78" t="s">
        <v>1126</v>
      </c>
      <c r="G3466" s="50" t="s">
        <v>8960</v>
      </c>
      <c r="H3466" s="50" t="s">
        <v>1796</v>
      </c>
      <c r="I3466" s="53" t="s">
        <v>8961</v>
      </c>
      <c r="J3466" s="55"/>
      <c r="K3466" s="55"/>
      <c r="L3466" s="79"/>
      <c r="M3466" s="56" t="str">
        <f>HYPERLINK("http://nsgreg.nga.mil/genc/view?v=869988&amp;end_month=12&amp;end_day=31&amp;end_year=2016","Correlation")</f>
        <v>Correlation</v>
      </c>
    </row>
    <row r="3467" spans="1:13" x14ac:dyDescent="0.2">
      <c r="A3467" s="113"/>
      <c r="B3467" s="58" t="s">
        <v>8963</v>
      </c>
      <c r="C3467" s="58" t="s">
        <v>1796</v>
      </c>
      <c r="D3467" s="58" t="s">
        <v>8964</v>
      </c>
      <c r="E3467" s="60" t="b">
        <v>1</v>
      </c>
      <c r="F3467" s="80" t="s">
        <v>1126</v>
      </c>
      <c r="G3467" s="58" t="s">
        <v>8963</v>
      </c>
      <c r="H3467" s="58" t="s">
        <v>1796</v>
      </c>
      <c r="I3467" s="64" t="s">
        <v>8964</v>
      </c>
      <c r="J3467" s="66"/>
      <c r="K3467" s="66"/>
      <c r="L3467" s="68"/>
      <c r="M3467" s="63" t="str">
        <f>HYPERLINK("http://nsgreg.nga.mil/genc/view?v=869997&amp;end_month=12&amp;end_day=31&amp;end_year=2016","Correlation")</f>
        <v>Correlation</v>
      </c>
    </row>
    <row r="3468" spans="1:13" x14ac:dyDescent="0.2">
      <c r="A3468" s="113"/>
      <c r="B3468" s="58" t="s">
        <v>8965</v>
      </c>
      <c r="C3468" s="58" t="s">
        <v>1796</v>
      </c>
      <c r="D3468" s="58" t="s">
        <v>8966</v>
      </c>
      <c r="E3468" s="60" t="b">
        <v>1</v>
      </c>
      <c r="F3468" s="80" t="s">
        <v>1126</v>
      </c>
      <c r="G3468" s="58" t="s">
        <v>8965</v>
      </c>
      <c r="H3468" s="58" t="s">
        <v>1796</v>
      </c>
      <c r="I3468" s="64" t="s">
        <v>8966</v>
      </c>
      <c r="J3468" s="66"/>
      <c r="K3468" s="66"/>
      <c r="L3468" s="68"/>
      <c r="M3468" s="63" t="str">
        <f>HYPERLINK("http://nsgreg.nga.mil/genc/view?v=869989&amp;end_month=12&amp;end_day=31&amp;end_year=2016","Correlation")</f>
        <v>Correlation</v>
      </c>
    </row>
    <row r="3469" spans="1:13" x14ac:dyDescent="0.2">
      <c r="A3469" s="113"/>
      <c r="B3469" s="58" t="s">
        <v>8967</v>
      </c>
      <c r="C3469" s="58" t="s">
        <v>1796</v>
      </c>
      <c r="D3469" s="58" t="s">
        <v>8968</v>
      </c>
      <c r="E3469" s="60" t="b">
        <v>1</v>
      </c>
      <c r="F3469" s="80" t="s">
        <v>1126</v>
      </c>
      <c r="G3469" s="58" t="s">
        <v>8967</v>
      </c>
      <c r="H3469" s="58" t="s">
        <v>1796</v>
      </c>
      <c r="I3469" s="64" t="s">
        <v>8968</v>
      </c>
      <c r="J3469" s="66"/>
      <c r="K3469" s="66"/>
      <c r="L3469" s="68"/>
      <c r="M3469" s="63" t="str">
        <f>HYPERLINK("http://nsgreg.nga.mil/genc/view?v=869990&amp;end_month=12&amp;end_day=31&amp;end_year=2016","Correlation")</f>
        <v>Correlation</v>
      </c>
    </row>
    <row r="3470" spans="1:13" x14ac:dyDescent="0.2">
      <c r="A3470" s="113"/>
      <c r="B3470" s="58" t="s">
        <v>8969</v>
      </c>
      <c r="C3470" s="58" t="s">
        <v>1796</v>
      </c>
      <c r="D3470" s="58" t="s">
        <v>8970</v>
      </c>
      <c r="E3470" s="60" t="b">
        <v>1</v>
      </c>
      <c r="F3470" s="80" t="s">
        <v>1126</v>
      </c>
      <c r="G3470" s="58" t="s">
        <v>8969</v>
      </c>
      <c r="H3470" s="58" t="s">
        <v>1796</v>
      </c>
      <c r="I3470" s="64" t="s">
        <v>8970</v>
      </c>
      <c r="J3470" s="66"/>
      <c r="K3470" s="66"/>
      <c r="L3470" s="68"/>
      <c r="M3470" s="63" t="str">
        <f>HYPERLINK("http://nsgreg.nga.mil/genc/view?v=869991&amp;end_month=12&amp;end_day=31&amp;end_year=2016","Correlation")</f>
        <v>Correlation</v>
      </c>
    </row>
    <row r="3471" spans="1:13" x14ac:dyDescent="0.2">
      <c r="A3471" s="113"/>
      <c r="B3471" s="58" t="s">
        <v>8973</v>
      </c>
      <c r="C3471" s="58" t="s">
        <v>1796</v>
      </c>
      <c r="D3471" s="58" t="s">
        <v>8972</v>
      </c>
      <c r="E3471" s="60" t="b">
        <v>1</v>
      </c>
      <c r="F3471" s="80" t="s">
        <v>1126</v>
      </c>
      <c r="G3471" s="58" t="s">
        <v>8971</v>
      </c>
      <c r="H3471" s="58" t="s">
        <v>1796</v>
      </c>
      <c r="I3471" s="64" t="s">
        <v>8972</v>
      </c>
      <c r="J3471" s="66"/>
      <c r="K3471" s="66"/>
      <c r="L3471" s="68"/>
      <c r="M3471" s="63" t="str">
        <f>HYPERLINK("http://nsgreg.nga.mil/genc/view?v=869992&amp;end_month=12&amp;end_day=31&amp;end_year=2016","Correlation")</f>
        <v>Correlation</v>
      </c>
    </row>
    <row r="3472" spans="1:13" x14ac:dyDescent="0.2">
      <c r="A3472" s="113"/>
      <c r="B3472" s="58" t="s">
        <v>8974</v>
      </c>
      <c r="C3472" s="58" t="s">
        <v>1796</v>
      </c>
      <c r="D3472" s="58" t="s">
        <v>8975</v>
      </c>
      <c r="E3472" s="60" t="b">
        <v>1</v>
      </c>
      <c r="F3472" s="80" t="s">
        <v>1126</v>
      </c>
      <c r="G3472" s="58" t="s">
        <v>8974</v>
      </c>
      <c r="H3472" s="58" t="s">
        <v>1796</v>
      </c>
      <c r="I3472" s="64" t="s">
        <v>8975</v>
      </c>
      <c r="J3472" s="66"/>
      <c r="K3472" s="66"/>
      <c r="L3472" s="68"/>
      <c r="M3472" s="63" t="str">
        <f>HYPERLINK("http://nsgreg.nga.mil/genc/view?v=869993&amp;end_month=12&amp;end_day=31&amp;end_year=2016","Correlation")</f>
        <v>Correlation</v>
      </c>
    </row>
    <row r="3473" spans="1:13" x14ac:dyDescent="0.2">
      <c r="A3473" s="113"/>
      <c r="B3473" s="58" t="s">
        <v>8976</v>
      </c>
      <c r="C3473" s="58" t="s">
        <v>1796</v>
      </c>
      <c r="D3473" s="58" t="s">
        <v>8977</v>
      </c>
      <c r="E3473" s="60" t="b">
        <v>1</v>
      </c>
      <c r="F3473" s="80" t="s">
        <v>1126</v>
      </c>
      <c r="G3473" s="58" t="s">
        <v>8976</v>
      </c>
      <c r="H3473" s="58" t="s">
        <v>1796</v>
      </c>
      <c r="I3473" s="64" t="s">
        <v>8977</v>
      </c>
      <c r="J3473" s="66"/>
      <c r="K3473" s="66"/>
      <c r="L3473" s="68"/>
      <c r="M3473" s="63" t="str">
        <f>HYPERLINK("http://nsgreg.nga.mil/genc/view?v=869994&amp;end_month=12&amp;end_day=31&amp;end_year=2016","Correlation")</f>
        <v>Correlation</v>
      </c>
    </row>
    <row r="3474" spans="1:13" x14ac:dyDescent="0.2">
      <c r="A3474" s="113"/>
      <c r="B3474" s="58" t="s">
        <v>8978</v>
      </c>
      <c r="C3474" s="58" t="s">
        <v>1796</v>
      </c>
      <c r="D3474" s="58" t="s">
        <v>8979</v>
      </c>
      <c r="E3474" s="60" t="b">
        <v>1</v>
      </c>
      <c r="F3474" s="80" t="s">
        <v>1126</v>
      </c>
      <c r="G3474" s="58" t="s">
        <v>8978</v>
      </c>
      <c r="H3474" s="58" t="s">
        <v>1796</v>
      </c>
      <c r="I3474" s="64" t="s">
        <v>8979</v>
      </c>
      <c r="J3474" s="66"/>
      <c r="K3474" s="66"/>
      <c r="L3474" s="68"/>
      <c r="M3474" s="63" t="str">
        <f>HYPERLINK("http://nsgreg.nga.mil/genc/view?v=869995&amp;end_month=12&amp;end_day=31&amp;end_year=2016","Correlation")</f>
        <v>Correlation</v>
      </c>
    </row>
    <row r="3475" spans="1:13" x14ac:dyDescent="0.2">
      <c r="A3475" s="114"/>
      <c r="B3475" s="71" t="s">
        <v>8982</v>
      </c>
      <c r="C3475" s="71" t="s">
        <v>1796</v>
      </c>
      <c r="D3475" s="71" t="s">
        <v>8981</v>
      </c>
      <c r="E3475" s="73" t="b">
        <v>1</v>
      </c>
      <c r="F3475" s="81" t="s">
        <v>1126</v>
      </c>
      <c r="G3475" s="71" t="s">
        <v>8980</v>
      </c>
      <c r="H3475" s="71" t="s">
        <v>1796</v>
      </c>
      <c r="I3475" s="74" t="s">
        <v>8981</v>
      </c>
      <c r="J3475" s="76"/>
      <c r="K3475" s="76"/>
      <c r="L3475" s="82"/>
      <c r="M3475" s="77" t="str">
        <f>HYPERLINK("http://nsgreg.nga.mil/genc/view?v=869996&amp;end_month=12&amp;end_day=31&amp;end_year=2016","Correlation")</f>
        <v>Correlation</v>
      </c>
    </row>
    <row r="3476" spans="1:13" x14ac:dyDescent="0.2">
      <c r="A3476" s="112" t="s">
        <v>1143</v>
      </c>
      <c r="B3476" s="50" t="s">
        <v>8983</v>
      </c>
      <c r="C3476" s="50" t="s">
        <v>1607</v>
      </c>
      <c r="D3476" s="50" t="s">
        <v>8984</v>
      </c>
      <c r="E3476" s="52" t="b">
        <v>1</v>
      </c>
      <c r="F3476" s="78" t="s">
        <v>1143</v>
      </c>
      <c r="G3476" s="50" t="s">
        <v>8983</v>
      </c>
      <c r="H3476" s="50" t="s">
        <v>1607</v>
      </c>
      <c r="I3476" s="53" t="s">
        <v>8984</v>
      </c>
      <c r="J3476" s="55"/>
      <c r="K3476" s="55"/>
      <c r="L3476" s="79"/>
      <c r="M3476" s="56" t="str">
        <f>HYPERLINK("http://nsgreg.nga.mil/genc/view?v=872390&amp;end_month=12&amp;end_day=31&amp;end_year=2016","Correlation")</f>
        <v>Correlation</v>
      </c>
    </row>
    <row r="3477" spans="1:13" x14ac:dyDescent="0.2">
      <c r="A3477" s="113"/>
      <c r="B3477" s="58" t="s">
        <v>8985</v>
      </c>
      <c r="C3477" s="58" t="s">
        <v>1607</v>
      </c>
      <c r="D3477" s="58" t="s">
        <v>8986</v>
      </c>
      <c r="E3477" s="60" t="b">
        <v>1</v>
      </c>
      <c r="F3477" s="80" t="s">
        <v>1143</v>
      </c>
      <c r="G3477" s="58" t="s">
        <v>8985</v>
      </c>
      <c r="H3477" s="58" t="s">
        <v>1607</v>
      </c>
      <c r="I3477" s="64" t="s">
        <v>8986</v>
      </c>
      <c r="J3477" s="66"/>
      <c r="K3477" s="66"/>
      <c r="L3477" s="68"/>
      <c r="M3477" s="63" t="str">
        <f>HYPERLINK("http://nsgreg.nga.mil/genc/view?v=872395&amp;end_month=12&amp;end_day=31&amp;end_year=2016","Correlation")</f>
        <v>Correlation</v>
      </c>
    </row>
    <row r="3478" spans="1:13" x14ac:dyDescent="0.2">
      <c r="A3478" s="113"/>
      <c r="B3478" s="58" t="s">
        <v>2213</v>
      </c>
      <c r="C3478" s="58" t="s">
        <v>1607</v>
      </c>
      <c r="D3478" s="58" t="s">
        <v>8987</v>
      </c>
      <c r="E3478" s="60" t="b">
        <v>1</v>
      </c>
      <c r="F3478" s="80" t="s">
        <v>1143</v>
      </c>
      <c r="G3478" s="58" t="s">
        <v>2213</v>
      </c>
      <c r="H3478" s="58" t="s">
        <v>1607</v>
      </c>
      <c r="I3478" s="64" t="s">
        <v>8987</v>
      </c>
      <c r="J3478" s="66"/>
      <c r="K3478" s="66"/>
      <c r="L3478" s="68"/>
      <c r="M3478" s="63" t="str">
        <f>HYPERLINK("http://nsgreg.nga.mil/genc/view?v=872391&amp;end_month=12&amp;end_day=31&amp;end_year=2016","Correlation")</f>
        <v>Correlation</v>
      </c>
    </row>
    <row r="3479" spans="1:13" x14ac:dyDescent="0.2">
      <c r="A3479" s="113"/>
      <c r="B3479" s="58" t="s">
        <v>3736</v>
      </c>
      <c r="C3479" s="58" t="s">
        <v>1607</v>
      </c>
      <c r="D3479" s="58" t="s">
        <v>8988</v>
      </c>
      <c r="E3479" s="60" t="b">
        <v>1</v>
      </c>
      <c r="F3479" s="80" t="s">
        <v>1143</v>
      </c>
      <c r="G3479" s="58" t="s">
        <v>3736</v>
      </c>
      <c r="H3479" s="58" t="s">
        <v>1607</v>
      </c>
      <c r="I3479" s="64" t="s">
        <v>8988</v>
      </c>
      <c r="J3479" s="66"/>
      <c r="K3479" s="66"/>
      <c r="L3479" s="68"/>
      <c r="M3479" s="63" t="str">
        <f>HYPERLINK("http://nsgreg.nga.mil/genc/view?v=872392&amp;end_month=12&amp;end_day=31&amp;end_year=2016","Correlation")</f>
        <v>Correlation</v>
      </c>
    </row>
    <row r="3480" spans="1:13" x14ac:dyDescent="0.2">
      <c r="A3480" s="113"/>
      <c r="B3480" s="58" t="s">
        <v>1663</v>
      </c>
      <c r="C3480" s="58" t="s">
        <v>1607</v>
      </c>
      <c r="D3480" s="58" t="s">
        <v>8989</v>
      </c>
      <c r="E3480" s="60" t="b">
        <v>1</v>
      </c>
      <c r="F3480" s="80" t="s">
        <v>1143</v>
      </c>
      <c r="G3480" s="58" t="s">
        <v>1663</v>
      </c>
      <c r="H3480" s="58" t="s">
        <v>1607</v>
      </c>
      <c r="I3480" s="64" t="s">
        <v>8989</v>
      </c>
      <c r="J3480" s="66"/>
      <c r="K3480" s="66"/>
      <c r="L3480" s="68"/>
      <c r="M3480" s="63" t="str">
        <f>HYPERLINK("http://nsgreg.nga.mil/genc/view?v=872393&amp;end_month=12&amp;end_day=31&amp;end_year=2016","Correlation")</f>
        <v>Correlation</v>
      </c>
    </row>
    <row r="3481" spans="1:13" x14ac:dyDescent="0.2">
      <c r="A3481" s="114"/>
      <c r="B3481" s="71" t="s">
        <v>3745</v>
      </c>
      <c r="C3481" s="71" t="s">
        <v>1607</v>
      </c>
      <c r="D3481" s="71" t="s">
        <v>8990</v>
      </c>
      <c r="E3481" s="73" t="b">
        <v>1</v>
      </c>
      <c r="F3481" s="81" t="s">
        <v>1143</v>
      </c>
      <c r="G3481" s="71" t="s">
        <v>3745</v>
      </c>
      <c r="H3481" s="71" t="s">
        <v>1607</v>
      </c>
      <c r="I3481" s="74" t="s">
        <v>8990</v>
      </c>
      <c r="J3481" s="76"/>
      <c r="K3481" s="76"/>
      <c r="L3481" s="82"/>
      <c r="M3481" s="77" t="str">
        <f>HYPERLINK("http://nsgreg.nga.mil/genc/view?v=872394&amp;end_month=12&amp;end_day=31&amp;end_year=2016","Correlation")</f>
        <v>Correlation</v>
      </c>
    </row>
    <row r="3482" spans="1:13" x14ac:dyDescent="0.2">
      <c r="A3482" s="112" t="s">
        <v>1147</v>
      </c>
      <c r="B3482" s="50" t="s">
        <v>8993</v>
      </c>
      <c r="C3482" s="50" t="s">
        <v>1796</v>
      </c>
      <c r="D3482" s="50" t="s">
        <v>8992</v>
      </c>
      <c r="E3482" s="52" t="b">
        <v>1</v>
      </c>
      <c r="F3482" s="78" t="s">
        <v>1147</v>
      </c>
      <c r="G3482" s="50" t="s">
        <v>8991</v>
      </c>
      <c r="H3482" s="50" t="s">
        <v>1796</v>
      </c>
      <c r="I3482" s="53" t="s">
        <v>8992</v>
      </c>
      <c r="J3482" s="55"/>
      <c r="K3482" s="55"/>
      <c r="L3482" s="79"/>
      <c r="M3482" s="56" t="str">
        <f>HYPERLINK("http://nsgreg.nga.mil/genc/view?v=872493&amp;end_month=12&amp;end_day=31&amp;end_year=2016","Correlation")</f>
        <v>Correlation</v>
      </c>
    </row>
    <row r="3483" spans="1:13" x14ac:dyDescent="0.2">
      <c r="A3483" s="113"/>
      <c r="B3483" s="58" t="s">
        <v>8994</v>
      </c>
      <c r="C3483" s="58" t="s">
        <v>1796</v>
      </c>
      <c r="D3483" s="58" t="s">
        <v>8995</v>
      </c>
      <c r="E3483" s="60" t="b">
        <v>1</v>
      </c>
      <c r="F3483" s="80" t="s">
        <v>1147</v>
      </c>
      <c r="G3483" s="58" t="s">
        <v>8994</v>
      </c>
      <c r="H3483" s="58" t="s">
        <v>1796</v>
      </c>
      <c r="I3483" s="64" t="s">
        <v>8995</v>
      </c>
      <c r="J3483" s="66"/>
      <c r="K3483" s="66"/>
      <c r="L3483" s="68"/>
      <c r="M3483" s="63" t="str">
        <f>HYPERLINK("http://nsgreg.nga.mil/genc/view?v=872494&amp;end_month=12&amp;end_day=31&amp;end_year=2016","Correlation")</f>
        <v>Correlation</v>
      </c>
    </row>
    <row r="3484" spans="1:13" x14ac:dyDescent="0.2">
      <c r="A3484" s="113"/>
      <c r="B3484" s="58" t="s">
        <v>8996</v>
      </c>
      <c r="C3484" s="58" t="s">
        <v>1796</v>
      </c>
      <c r="D3484" s="58" t="s">
        <v>8997</v>
      </c>
      <c r="E3484" s="60" t="b">
        <v>1</v>
      </c>
      <c r="F3484" s="80" t="s">
        <v>1147</v>
      </c>
      <c r="G3484" s="58" t="s">
        <v>8996</v>
      </c>
      <c r="H3484" s="58" t="s">
        <v>1796</v>
      </c>
      <c r="I3484" s="64" t="s">
        <v>8997</v>
      </c>
      <c r="J3484" s="66"/>
      <c r="K3484" s="66"/>
      <c r="L3484" s="68"/>
      <c r="M3484" s="63" t="str">
        <f>HYPERLINK("http://nsgreg.nga.mil/genc/view?v=872495&amp;end_month=12&amp;end_day=31&amp;end_year=2016","Correlation")</f>
        <v>Correlation</v>
      </c>
    </row>
    <row r="3485" spans="1:13" x14ac:dyDescent="0.2">
      <c r="A3485" s="113"/>
      <c r="B3485" s="58" t="s">
        <v>9000</v>
      </c>
      <c r="C3485" s="58" t="s">
        <v>1796</v>
      </c>
      <c r="D3485" s="58" t="s">
        <v>8999</v>
      </c>
      <c r="E3485" s="60" t="b">
        <v>1</v>
      </c>
      <c r="F3485" s="80" t="s">
        <v>1147</v>
      </c>
      <c r="G3485" s="58" t="s">
        <v>8998</v>
      </c>
      <c r="H3485" s="58" t="s">
        <v>1796</v>
      </c>
      <c r="I3485" s="64" t="s">
        <v>8999</v>
      </c>
      <c r="J3485" s="66"/>
      <c r="K3485" s="66"/>
      <c r="L3485" s="68"/>
      <c r="M3485" s="63" t="str">
        <f>HYPERLINK("http://nsgreg.nga.mil/genc/view?v=872496&amp;end_month=12&amp;end_day=31&amp;end_year=2016","Correlation")</f>
        <v>Correlation</v>
      </c>
    </row>
    <row r="3486" spans="1:13" x14ac:dyDescent="0.2">
      <c r="A3486" s="113"/>
      <c r="B3486" s="58" t="s">
        <v>9003</v>
      </c>
      <c r="C3486" s="58" t="s">
        <v>1796</v>
      </c>
      <c r="D3486" s="58" t="s">
        <v>9002</v>
      </c>
      <c r="E3486" s="60" t="b">
        <v>1</v>
      </c>
      <c r="F3486" s="80" t="s">
        <v>1147</v>
      </c>
      <c r="G3486" s="58" t="s">
        <v>9001</v>
      </c>
      <c r="H3486" s="58" t="s">
        <v>1796</v>
      </c>
      <c r="I3486" s="64" t="s">
        <v>9002</v>
      </c>
      <c r="J3486" s="66"/>
      <c r="K3486" s="66"/>
      <c r="L3486" s="68"/>
      <c r="M3486" s="63" t="str">
        <f>HYPERLINK("http://nsgreg.nga.mil/genc/view?v=872497&amp;end_month=12&amp;end_day=31&amp;end_year=2016","Correlation")</f>
        <v>Correlation</v>
      </c>
    </row>
    <row r="3487" spans="1:13" x14ac:dyDescent="0.2">
      <c r="A3487" s="113"/>
      <c r="B3487" s="58" t="s">
        <v>9004</v>
      </c>
      <c r="C3487" s="58" t="s">
        <v>1796</v>
      </c>
      <c r="D3487" s="58" t="s">
        <v>9005</v>
      </c>
      <c r="E3487" s="60" t="b">
        <v>1</v>
      </c>
      <c r="F3487" s="80" t="s">
        <v>1147</v>
      </c>
      <c r="G3487" s="58" t="s">
        <v>9004</v>
      </c>
      <c r="H3487" s="58" t="s">
        <v>1796</v>
      </c>
      <c r="I3487" s="64" t="s">
        <v>9005</v>
      </c>
      <c r="J3487" s="66"/>
      <c r="K3487" s="66"/>
      <c r="L3487" s="68"/>
      <c r="M3487" s="63" t="str">
        <f>HYPERLINK("http://nsgreg.nga.mil/genc/view?v=872498&amp;end_month=12&amp;end_day=31&amp;end_year=2016","Correlation")</f>
        <v>Correlation</v>
      </c>
    </row>
    <row r="3488" spans="1:13" x14ac:dyDescent="0.2">
      <c r="A3488" s="113"/>
      <c r="B3488" s="58" t="s">
        <v>9006</v>
      </c>
      <c r="C3488" s="58" t="s">
        <v>1796</v>
      </c>
      <c r="D3488" s="58" t="s">
        <v>9007</v>
      </c>
      <c r="E3488" s="60" t="b">
        <v>1</v>
      </c>
      <c r="F3488" s="80" t="s">
        <v>1147</v>
      </c>
      <c r="G3488" s="58" t="s">
        <v>9006</v>
      </c>
      <c r="H3488" s="58" t="s">
        <v>1796</v>
      </c>
      <c r="I3488" s="64" t="s">
        <v>9007</v>
      </c>
      <c r="J3488" s="66"/>
      <c r="K3488" s="66"/>
      <c r="L3488" s="68"/>
      <c r="M3488" s="63" t="str">
        <f>HYPERLINK("http://nsgreg.nga.mil/genc/view?v=872499&amp;end_month=12&amp;end_day=31&amp;end_year=2016","Correlation")</f>
        <v>Correlation</v>
      </c>
    </row>
    <row r="3489" spans="1:13" x14ac:dyDescent="0.2">
      <c r="A3489" s="113"/>
      <c r="B3489" s="58" t="s">
        <v>9010</v>
      </c>
      <c r="C3489" s="58" t="s">
        <v>1796</v>
      </c>
      <c r="D3489" s="58" t="s">
        <v>9009</v>
      </c>
      <c r="E3489" s="60" t="b">
        <v>1</v>
      </c>
      <c r="F3489" s="80" t="s">
        <v>1147</v>
      </c>
      <c r="G3489" s="58" t="s">
        <v>9008</v>
      </c>
      <c r="H3489" s="58" t="s">
        <v>1796</v>
      </c>
      <c r="I3489" s="64" t="s">
        <v>9009</v>
      </c>
      <c r="J3489" s="66"/>
      <c r="K3489" s="66"/>
      <c r="L3489" s="68"/>
      <c r="M3489" s="63" t="str">
        <f>HYPERLINK("http://nsgreg.nga.mil/genc/view?v=872500&amp;end_month=12&amp;end_day=31&amp;end_year=2016","Correlation")</f>
        <v>Correlation</v>
      </c>
    </row>
    <row r="3490" spans="1:13" x14ac:dyDescent="0.2">
      <c r="A3490" s="113"/>
      <c r="B3490" s="58" t="s">
        <v>9011</v>
      </c>
      <c r="C3490" s="58" t="s">
        <v>1796</v>
      </c>
      <c r="D3490" s="58" t="s">
        <v>9012</v>
      </c>
      <c r="E3490" s="60" t="b">
        <v>1</v>
      </c>
      <c r="F3490" s="80" t="s">
        <v>1147</v>
      </c>
      <c r="G3490" s="58" t="s">
        <v>9011</v>
      </c>
      <c r="H3490" s="58" t="s">
        <v>1796</v>
      </c>
      <c r="I3490" s="64" t="s">
        <v>9012</v>
      </c>
      <c r="J3490" s="66"/>
      <c r="K3490" s="66"/>
      <c r="L3490" s="68"/>
      <c r="M3490" s="63" t="str">
        <f>HYPERLINK("http://nsgreg.nga.mil/genc/view?v=872501&amp;end_month=12&amp;end_day=31&amp;end_year=2016","Correlation")</f>
        <v>Correlation</v>
      </c>
    </row>
    <row r="3491" spans="1:13" x14ac:dyDescent="0.2">
      <c r="A3491" s="113"/>
      <c r="B3491" s="58" t="s">
        <v>9015</v>
      </c>
      <c r="C3491" s="58" t="s">
        <v>1796</v>
      </c>
      <c r="D3491" s="58" t="s">
        <v>9014</v>
      </c>
      <c r="E3491" s="60" t="b">
        <v>1</v>
      </c>
      <c r="F3491" s="80" t="s">
        <v>1147</v>
      </c>
      <c r="G3491" s="58" t="s">
        <v>9013</v>
      </c>
      <c r="H3491" s="58" t="s">
        <v>1796</v>
      </c>
      <c r="I3491" s="64" t="s">
        <v>9014</v>
      </c>
      <c r="J3491" s="66"/>
      <c r="K3491" s="66"/>
      <c r="L3491" s="68"/>
      <c r="M3491" s="63" t="str">
        <f>HYPERLINK("http://nsgreg.nga.mil/genc/view?v=872502&amp;end_month=12&amp;end_day=31&amp;end_year=2016","Correlation")</f>
        <v>Correlation</v>
      </c>
    </row>
    <row r="3492" spans="1:13" x14ac:dyDescent="0.2">
      <c r="A3492" s="114"/>
      <c r="B3492" s="71" t="s">
        <v>9016</v>
      </c>
      <c r="C3492" s="71" t="s">
        <v>1796</v>
      </c>
      <c r="D3492" s="71" t="s">
        <v>9017</v>
      </c>
      <c r="E3492" s="73" t="b">
        <v>1</v>
      </c>
      <c r="F3492" s="81" t="s">
        <v>1147</v>
      </c>
      <c r="G3492" s="71" t="s">
        <v>9016</v>
      </c>
      <c r="H3492" s="71" t="s">
        <v>1796</v>
      </c>
      <c r="I3492" s="74" t="s">
        <v>9017</v>
      </c>
      <c r="J3492" s="76"/>
      <c r="K3492" s="76"/>
      <c r="L3492" s="82"/>
      <c r="M3492" s="77" t="str">
        <f>HYPERLINK("http://nsgreg.nga.mil/genc/view?v=872503&amp;end_month=12&amp;end_day=31&amp;end_year=2016","Correlation")</f>
        <v>Correlation</v>
      </c>
    </row>
    <row r="3493" spans="1:13" x14ac:dyDescent="0.2">
      <c r="A3493" s="112" t="s">
        <v>1151</v>
      </c>
      <c r="B3493" s="50" t="s">
        <v>9018</v>
      </c>
      <c r="C3493" s="50" t="s">
        <v>1816</v>
      </c>
      <c r="D3493" s="50" t="s">
        <v>9019</v>
      </c>
      <c r="E3493" s="52" t="b">
        <v>1</v>
      </c>
      <c r="F3493" s="78" t="s">
        <v>1151</v>
      </c>
      <c r="G3493" s="50" t="s">
        <v>9018</v>
      </c>
      <c r="H3493" s="50" t="s">
        <v>1816</v>
      </c>
      <c r="I3493" s="53" t="s">
        <v>9019</v>
      </c>
      <c r="J3493" s="55"/>
      <c r="K3493" s="55"/>
      <c r="L3493" s="79"/>
      <c r="M3493" s="56" t="str">
        <f>HYPERLINK("http://nsgreg.nga.mil/genc/view?v=871730&amp;end_month=12&amp;end_day=31&amp;end_year=2016","Correlation")</f>
        <v>Correlation</v>
      </c>
    </row>
    <row r="3494" spans="1:13" x14ac:dyDescent="0.2">
      <c r="A3494" s="113"/>
      <c r="B3494" s="58" t="s">
        <v>9020</v>
      </c>
      <c r="C3494" s="58" t="s">
        <v>1816</v>
      </c>
      <c r="D3494" s="58" t="s">
        <v>9021</v>
      </c>
      <c r="E3494" s="60" t="b">
        <v>1</v>
      </c>
      <c r="F3494" s="80" t="s">
        <v>1151</v>
      </c>
      <c r="G3494" s="58" t="s">
        <v>9020</v>
      </c>
      <c r="H3494" s="58" t="s">
        <v>1816</v>
      </c>
      <c r="I3494" s="64" t="s">
        <v>9021</v>
      </c>
      <c r="J3494" s="66"/>
      <c r="K3494" s="66"/>
      <c r="L3494" s="68"/>
      <c r="M3494" s="63" t="str">
        <f>HYPERLINK("http://nsgreg.nga.mil/genc/view?v=871735&amp;end_month=12&amp;end_day=31&amp;end_year=2016","Correlation")</f>
        <v>Correlation</v>
      </c>
    </row>
    <row r="3495" spans="1:13" x14ac:dyDescent="0.2">
      <c r="A3495" s="113"/>
      <c r="B3495" s="58" t="s">
        <v>9022</v>
      </c>
      <c r="C3495" s="58" t="s">
        <v>1816</v>
      </c>
      <c r="D3495" s="58" t="s">
        <v>9023</v>
      </c>
      <c r="E3495" s="60" t="b">
        <v>1</v>
      </c>
      <c r="F3495" s="80" t="s">
        <v>1151</v>
      </c>
      <c r="G3495" s="58" t="s">
        <v>9022</v>
      </c>
      <c r="H3495" s="58" t="s">
        <v>1816</v>
      </c>
      <c r="I3495" s="64" t="s">
        <v>9023</v>
      </c>
      <c r="J3495" s="66"/>
      <c r="K3495" s="66"/>
      <c r="L3495" s="68"/>
      <c r="M3495" s="63" t="str">
        <f>HYPERLINK("http://nsgreg.nga.mil/genc/view?v=871731&amp;end_month=12&amp;end_day=31&amp;end_year=2016","Correlation")</f>
        <v>Correlation</v>
      </c>
    </row>
    <row r="3496" spans="1:13" x14ac:dyDescent="0.2">
      <c r="A3496" s="113"/>
      <c r="B3496" s="58" t="s">
        <v>9024</v>
      </c>
      <c r="C3496" s="58" t="s">
        <v>1816</v>
      </c>
      <c r="D3496" s="58" t="s">
        <v>9025</v>
      </c>
      <c r="E3496" s="60" t="b">
        <v>1</v>
      </c>
      <c r="F3496" s="80" t="s">
        <v>1151</v>
      </c>
      <c r="G3496" s="58" t="s">
        <v>9024</v>
      </c>
      <c r="H3496" s="58" t="s">
        <v>1816</v>
      </c>
      <c r="I3496" s="64" t="s">
        <v>9025</v>
      </c>
      <c r="J3496" s="66"/>
      <c r="K3496" s="66"/>
      <c r="L3496" s="68"/>
      <c r="M3496" s="63" t="str">
        <f>HYPERLINK("http://nsgreg.nga.mil/genc/view?v=871732&amp;end_month=12&amp;end_day=31&amp;end_year=2016","Correlation")</f>
        <v>Correlation</v>
      </c>
    </row>
    <row r="3497" spans="1:13" x14ac:dyDescent="0.2">
      <c r="A3497" s="113"/>
      <c r="B3497" s="58" t="s">
        <v>9026</v>
      </c>
      <c r="C3497" s="58" t="s">
        <v>1816</v>
      </c>
      <c r="D3497" s="58" t="s">
        <v>9027</v>
      </c>
      <c r="E3497" s="60" t="b">
        <v>1</v>
      </c>
      <c r="F3497" s="80" t="s">
        <v>1151</v>
      </c>
      <c r="G3497" s="58" t="s">
        <v>9026</v>
      </c>
      <c r="H3497" s="58" t="s">
        <v>1816</v>
      </c>
      <c r="I3497" s="64" t="s">
        <v>9027</v>
      </c>
      <c r="J3497" s="66"/>
      <c r="K3497" s="66"/>
      <c r="L3497" s="68"/>
      <c r="M3497" s="63" t="str">
        <f>HYPERLINK("http://nsgreg.nga.mil/genc/view?v=871733&amp;end_month=12&amp;end_day=31&amp;end_year=2016","Correlation")</f>
        <v>Correlation</v>
      </c>
    </row>
    <row r="3498" spans="1:13" x14ac:dyDescent="0.2">
      <c r="A3498" s="113"/>
      <c r="B3498" s="58" t="s">
        <v>9028</v>
      </c>
      <c r="C3498" s="58" t="s">
        <v>1816</v>
      </c>
      <c r="D3498" s="58" t="s">
        <v>9029</v>
      </c>
      <c r="E3498" s="60" t="b">
        <v>1</v>
      </c>
      <c r="F3498" s="80" t="s">
        <v>1151</v>
      </c>
      <c r="G3498" s="58" t="s">
        <v>9028</v>
      </c>
      <c r="H3498" s="58" t="s">
        <v>1816</v>
      </c>
      <c r="I3498" s="64" t="s">
        <v>9029</v>
      </c>
      <c r="J3498" s="66"/>
      <c r="K3498" s="66"/>
      <c r="L3498" s="68"/>
      <c r="M3498" s="63" t="str">
        <f>HYPERLINK("http://nsgreg.nga.mil/genc/view?v=871734&amp;end_month=12&amp;end_day=31&amp;end_year=2016","Correlation")</f>
        <v>Correlation</v>
      </c>
    </row>
    <row r="3499" spans="1:13" x14ac:dyDescent="0.2">
      <c r="A3499" s="113"/>
      <c r="B3499" s="58" t="s">
        <v>9030</v>
      </c>
      <c r="C3499" s="58" t="s">
        <v>1816</v>
      </c>
      <c r="D3499" s="58" t="s">
        <v>9031</v>
      </c>
      <c r="E3499" s="60" t="b">
        <v>1</v>
      </c>
      <c r="F3499" s="80" t="s">
        <v>1151</v>
      </c>
      <c r="G3499" s="58" t="s">
        <v>9030</v>
      </c>
      <c r="H3499" s="58" t="s">
        <v>1816</v>
      </c>
      <c r="I3499" s="64" t="s">
        <v>9031</v>
      </c>
      <c r="J3499" s="66"/>
      <c r="K3499" s="66"/>
      <c r="L3499" s="68"/>
      <c r="M3499" s="63" t="str">
        <f>HYPERLINK("http://nsgreg.nga.mil/genc/view?v=871737&amp;end_month=12&amp;end_day=31&amp;end_year=2016","Correlation")</f>
        <v>Correlation</v>
      </c>
    </row>
    <row r="3500" spans="1:13" x14ac:dyDescent="0.2">
      <c r="A3500" s="113"/>
      <c r="B3500" s="58" t="s">
        <v>9034</v>
      </c>
      <c r="C3500" s="58" t="s">
        <v>1816</v>
      </c>
      <c r="D3500" s="58" t="s">
        <v>9033</v>
      </c>
      <c r="E3500" s="60" t="b">
        <v>1</v>
      </c>
      <c r="F3500" s="80" t="s">
        <v>1151</v>
      </c>
      <c r="G3500" s="58" t="s">
        <v>9032</v>
      </c>
      <c r="H3500" s="58" t="s">
        <v>1816</v>
      </c>
      <c r="I3500" s="64" t="s">
        <v>9033</v>
      </c>
      <c r="J3500" s="66"/>
      <c r="K3500" s="66"/>
      <c r="L3500" s="68"/>
      <c r="M3500" s="63" t="str">
        <f>HYPERLINK("http://nsgreg.nga.mil/genc/view?v=871736&amp;end_month=12&amp;end_day=31&amp;end_year=2016","Correlation")</f>
        <v>Correlation</v>
      </c>
    </row>
    <row r="3501" spans="1:13" x14ac:dyDescent="0.2">
      <c r="A3501" s="114"/>
      <c r="B3501" s="71" t="s">
        <v>9035</v>
      </c>
      <c r="C3501" s="71" t="s">
        <v>1816</v>
      </c>
      <c r="D3501" s="71" t="s">
        <v>9036</v>
      </c>
      <c r="E3501" s="73" t="b">
        <v>1</v>
      </c>
      <c r="F3501" s="81" t="s">
        <v>1151</v>
      </c>
      <c r="G3501" s="71" t="s">
        <v>9035</v>
      </c>
      <c r="H3501" s="71" t="s">
        <v>1816</v>
      </c>
      <c r="I3501" s="74" t="s">
        <v>9036</v>
      </c>
      <c r="J3501" s="76"/>
      <c r="K3501" s="76"/>
      <c r="L3501" s="82"/>
      <c r="M3501" s="77" t="str">
        <f>HYPERLINK("http://nsgreg.nga.mil/genc/view?v=871738&amp;end_month=12&amp;end_day=31&amp;end_year=2016","Correlation")</f>
        <v>Correlation</v>
      </c>
    </row>
    <row r="3502" spans="1:13" x14ac:dyDescent="0.2">
      <c r="A3502" s="112" t="s">
        <v>1155</v>
      </c>
      <c r="B3502" s="50" t="s">
        <v>9037</v>
      </c>
      <c r="C3502" s="50" t="s">
        <v>1413</v>
      </c>
      <c r="D3502" s="50" t="s">
        <v>9038</v>
      </c>
      <c r="E3502" s="52" t="b">
        <v>1</v>
      </c>
      <c r="F3502" s="78" t="s">
        <v>1155</v>
      </c>
      <c r="G3502" s="50" t="s">
        <v>9037</v>
      </c>
      <c r="H3502" s="50" t="s">
        <v>1413</v>
      </c>
      <c r="I3502" s="53" t="s">
        <v>9038</v>
      </c>
      <c r="J3502" s="55"/>
      <c r="K3502" s="55"/>
      <c r="L3502" s="79"/>
      <c r="M3502" s="56" t="str">
        <f>HYPERLINK("http://nsgreg.nga.mil/genc/view?v=871791&amp;end_month=12&amp;end_day=31&amp;end_year=2016","Correlation")</f>
        <v>Correlation</v>
      </c>
    </row>
    <row r="3503" spans="1:13" x14ac:dyDescent="0.2">
      <c r="A3503" s="114"/>
      <c r="B3503" s="71" t="s">
        <v>9039</v>
      </c>
      <c r="C3503" s="71" t="s">
        <v>1413</v>
      </c>
      <c r="D3503" s="71" t="s">
        <v>9040</v>
      </c>
      <c r="E3503" s="73" t="b">
        <v>1</v>
      </c>
      <c r="F3503" s="81" t="s">
        <v>1155</v>
      </c>
      <c r="G3503" s="71" t="s">
        <v>9039</v>
      </c>
      <c r="H3503" s="71" t="s">
        <v>1413</v>
      </c>
      <c r="I3503" s="74" t="s">
        <v>9040</v>
      </c>
      <c r="J3503" s="76"/>
      <c r="K3503" s="76"/>
      <c r="L3503" s="82"/>
      <c r="M3503" s="77" t="str">
        <f>HYPERLINK("http://nsgreg.nga.mil/genc/view?v=871792&amp;end_month=12&amp;end_day=31&amp;end_year=2016","Correlation")</f>
        <v>Correlation</v>
      </c>
    </row>
    <row r="3504" spans="1:13" x14ac:dyDescent="0.2">
      <c r="A3504" s="112" t="s">
        <v>1159</v>
      </c>
      <c r="B3504" s="50" t="s">
        <v>9041</v>
      </c>
      <c r="C3504" s="50" t="s">
        <v>1413</v>
      </c>
      <c r="D3504" s="50" t="s">
        <v>9042</v>
      </c>
      <c r="E3504" s="52" t="b">
        <v>1</v>
      </c>
      <c r="F3504" s="78" t="s">
        <v>1159</v>
      </c>
      <c r="G3504" s="50" t="s">
        <v>9041</v>
      </c>
      <c r="H3504" s="50" t="s">
        <v>1816</v>
      </c>
      <c r="I3504" s="53" t="s">
        <v>9042</v>
      </c>
      <c r="J3504" s="55"/>
      <c r="K3504" s="55"/>
      <c r="L3504" s="79"/>
      <c r="M3504" s="56" t="str">
        <f>HYPERLINK("http://nsgreg.nga.mil/genc/view?v=871421&amp;end_month=12&amp;end_day=31&amp;end_year=2016","Correlation")</f>
        <v>Correlation</v>
      </c>
    </row>
    <row r="3505" spans="1:13" x14ac:dyDescent="0.2">
      <c r="A3505" s="113"/>
      <c r="B3505" s="58" t="s">
        <v>9043</v>
      </c>
      <c r="C3505" s="58" t="s">
        <v>1413</v>
      </c>
      <c r="D3505" s="58" t="s">
        <v>9044</v>
      </c>
      <c r="E3505" s="60" t="b">
        <v>1</v>
      </c>
      <c r="F3505" s="80" t="s">
        <v>1159</v>
      </c>
      <c r="G3505" s="58" t="s">
        <v>9043</v>
      </c>
      <c r="H3505" s="58" t="s">
        <v>1816</v>
      </c>
      <c r="I3505" s="64" t="s">
        <v>9044</v>
      </c>
      <c r="J3505" s="66"/>
      <c r="K3505" s="66"/>
      <c r="L3505" s="68"/>
      <c r="M3505" s="63" t="str">
        <f>HYPERLINK("http://nsgreg.nga.mil/genc/view?v=871418&amp;end_month=12&amp;end_day=31&amp;end_year=2016","Correlation")</f>
        <v>Correlation</v>
      </c>
    </row>
    <row r="3506" spans="1:13" x14ac:dyDescent="0.2">
      <c r="A3506" s="113"/>
      <c r="B3506" s="58" t="s">
        <v>9045</v>
      </c>
      <c r="C3506" s="58" t="s">
        <v>1413</v>
      </c>
      <c r="D3506" s="58" t="s">
        <v>9046</v>
      </c>
      <c r="E3506" s="60" t="b">
        <v>1</v>
      </c>
      <c r="F3506" s="80" t="s">
        <v>1159</v>
      </c>
      <c r="G3506" s="58" t="s">
        <v>9045</v>
      </c>
      <c r="H3506" s="58" t="s">
        <v>1816</v>
      </c>
      <c r="I3506" s="64" t="s">
        <v>9046</v>
      </c>
      <c r="J3506" s="66"/>
      <c r="K3506" s="66"/>
      <c r="L3506" s="68"/>
      <c r="M3506" s="63" t="str">
        <f>HYPERLINK("http://nsgreg.nga.mil/genc/view?v=871422&amp;end_month=12&amp;end_day=31&amp;end_year=2016","Correlation")</f>
        <v>Correlation</v>
      </c>
    </row>
    <row r="3507" spans="1:13" x14ac:dyDescent="0.2">
      <c r="A3507" s="113"/>
      <c r="B3507" s="58" t="s">
        <v>9047</v>
      </c>
      <c r="C3507" s="58" t="s">
        <v>1413</v>
      </c>
      <c r="D3507" s="58" t="s">
        <v>9048</v>
      </c>
      <c r="E3507" s="60" t="b">
        <v>1</v>
      </c>
      <c r="F3507" s="80" t="s">
        <v>1159</v>
      </c>
      <c r="G3507" s="58" t="s">
        <v>9047</v>
      </c>
      <c r="H3507" s="58" t="s">
        <v>1816</v>
      </c>
      <c r="I3507" s="64" t="s">
        <v>9048</v>
      </c>
      <c r="J3507" s="66"/>
      <c r="K3507" s="66"/>
      <c r="L3507" s="68"/>
      <c r="M3507" s="63" t="str">
        <f>HYPERLINK("http://nsgreg.nga.mil/genc/view?v=871413&amp;end_month=12&amp;end_day=31&amp;end_year=2016","Correlation")</f>
        <v>Correlation</v>
      </c>
    </row>
    <row r="3508" spans="1:13" x14ac:dyDescent="0.2">
      <c r="A3508" s="113"/>
      <c r="B3508" s="58" t="s">
        <v>9049</v>
      </c>
      <c r="C3508" s="58" t="s">
        <v>1413</v>
      </c>
      <c r="D3508" s="58" t="s">
        <v>9050</v>
      </c>
      <c r="E3508" s="60" t="b">
        <v>1</v>
      </c>
      <c r="F3508" s="80" t="s">
        <v>1159</v>
      </c>
      <c r="G3508" s="58" t="s">
        <v>9049</v>
      </c>
      <c r="H3508" s="58" t="s">
        <v>1816</v>
      </c>
      <c r="I3508" s="64" t="s">
        <v>9050</v>
      </c>
      <c r="J3508" s="66"/>
      <c r="K3508" s="66"/>
      <c r="L3508" s="68"/>
      <c r="M3508" s="63" t="str">
        <f>HYPERLINK("http://nsgreg.nga.mil/genc/view?v=871415&amp;end_month=12&amp;end_day=31&amp;end_year=2016","Correlation")</f>
        <v>Correlation</v>
      </c>
    </row>
    <row r="3509" spans="1:13" x14ac:dyDescent="0.2">
      <c r="A3509" s="113"/>
      <c r="B3509" s="58" t="s">
        <v>9051</v>
      </c>
      <c r="C3509" s="58" t="s">
        <v>1413</v>
      </c>
      <c r="D3509" s="58" t="s">
        <v>9052</v>
      </c>
      <c r="E3509" s="60" t="b">
        <v>1</v>
      </c>
      <c r="F3509" s="80" t="s">
        <v>1159</v>
      </c>
      <c r="G3509" s="58" t="s">
        <v>9051</v>
      </c>
      <c r="H3509" s="58" t="s">
        <v>1816</v>
      </c>
      <c r="I3509" s="64" t="s">
        <v>9052</v>
      </c>
      <c r="J3509" s="66"/>
      <c r="K3509" s="66"/>
      <c r="L3509" s="68"/>
      <c r="M3509" s="63" t="str">
        <f>HYPERLINK("http://nsgreg.nga.mil/genc/view?v=871411&amp;end_month=12&amp;end_day=31&amp;end_year=2016","Correlation")</f>
        <v>Correlation</v>
      </c>
    </row>
    <row r="3510" spans="1:13" x14ac:dyDescent="0.2">
      <c r="A3510" s="113"/>
      <c r="B3510" s="58" t="s">
        <v>3906</v>
      </c>
      <c r="C3510" s="58" t="s">
        <v>1413</v>
      </c>
      <c r="D3510" s="58" t="s">
        <v>9053</v>
      </c>
      <c r="E3510" s="60" t="b">
        <v>1</v>
      </c>
      <c r="F3510" s="80" t="s">
        <v>1159</v>
      </c>
      <c r="G3510" s="58" t="s">
        <v>3906</v>
      </c>
      <c r="H3510" s="58" t="s">
        <v>1816</v>
      </c>
      <c r="I3510" s="64" t="s">
        <v>9053</v>
      </c>
      <c r="J3510" s="66"/>
      <c r="K3510" s="66"/>
      <c r="L3510" s="68"/>
      <c r="M3510" s="63" t="str">
        <f>HYPERLINK("http://nsgreg.nga.mil/genc/view?v=871414&amp;end_month=12&amp;end_day=31&amp;end_year=2016","Correlation")</f>
        <v>Correlation</v>
      </c>
    </row>
    <row r="3511" spans="1:13" x14ac:dyDescent="0.2">
      <c r="A3511" s="113"/>
      <c r="B3511" s="58" t="s">
        <v>9054</v>
      </c>
      <c r="C3511" s="58" t="s">
        <v>1413</v>
      </c>
      <c r="D3511" s="58" t="s">
        <v>9055</v>
      </c>
      <c r="E3511" s="60" t="b">
        <v>1</v>
      </c>
      <c r="F3511" s="80" t="s">
        <v>1159</v>
      </c>
      <c r="G3511" s="58" t="s">
        <v>9054</v>
      </c>
      <c r="H3511" s="58" t="s">
        <v>1816</v>
      </c>
      <c r="I3511" s="64" t="s">
        <v>9055</v>
      </c>
      <c r="J3511" s="66"/>
      <c r="K3511" s="66"/>
      <c r="L3511" s="68"/>
      <c r="M3511" s="63" t="str">
        <f>HYPERLINK("http://nsgreg.nga.mil/genc/view?v=871423&amp;end_month=12&amp;end_day=31&amp;end_year=2016","Correlation")</f>
        <v>Correlation</v>
      </c>
    </row>
    <row r="3512" spans="1:13" x14ac:dyDescent="0.2">
      <c r="A3512" s="113"/>
      <c r="B3512" s="58" t="s">
        <v>9056</v>
      </c>
      <c r="C3512" s="58" t="s">
        <v>1413</v>
      </c>
      <c r="D3512" s="58" t="s">
        <v>9057</v>
      </c>
      <c r="E3512" s="60" t="b">
        <v>1</v>
      </c>
      <c r="F3512" s="80" t="s">
        <v>1159</v>
      </c>
      <c r="G3512" s="58" t="s">
        <v>9056</v>
      </c>
      <c r="H3512" s="58" t="s">
        <v>1816</v>
      </c>
      <c r="I3512" s="64" t="s">
        <v>9057</v>
      </c>
      <c r="J3512" s="66"/>
      <c r="K3512" s="66"/>
      <c r="L3512" s="68"/>
      <c r="M3512" s="63" t="str">
        <f>HYPERLINK("http://nsgreg.nga.mil/genc/view?v=871416&amp;end_month=12&amp;end_day=31&amp;end_year=2016","Correlation")</f>
        <v>Correlation</v>
      </c>
    </row>
    <row r="3513" spans="1:13" x14ac:dyDescent="0.2">
      <c r="A3513" s="113"/>
      <c r="B3513" s="58" t="s">
        <v>9058</v>
      </c>
      <c r="C3513" s="58" t="s">
        <v>1413</v>
      </c>
      <c r="D3513" s="58" t="s">
        <v>9059</v>
      </c>
      <c r="E3513" s="60" t="b">
        <v>1</v>
      </c>
      <c r="F3513" s="80" t="s">
        <v>1159</v>
      </c>
      <c r="G3513" s="58" t="s">
        <v>9058</v>
      </c>
      <c r="H3513" s="58" t="s">
        <v>1816</v>
      </c>
      <c r="I3513" s="64" t="s">
        <v>9059</v>
      </c>
      <c r="J3513" s="66"/>
      <c r="K3513" s="66"/>
      <c r="L3513" s="68"/>
      <c r="M3513" s="63" t="str">
        <f>HYPERLINK("http://nsgreg.nga.mil/genc/view?v=871419&amp;end_month=12&amp;end_day=31&amp;end_year=2016","Correlation")</f>
        <v>Correlation</v>
      </c>
    </row>
    <row r="3514" spans="1:13" x14ac:dyDescent="0.2">
      <c r="A3514" s="113"/>
      <c r="B3514" s="58" t="s">
        <v>9060</v>
      </c>
      <c r="C3514" s="58" t="s">
        <v>1413</v>
      </c>
      <c r="D3514" s="58" t="s">
        <v>9061</v>
      </c>
      <c r="E3514" s="60" t="b">
        <v>1</v>
      </c>
      <c r="F3514" s="80" t="s">
        <v>1159</v>
      </c>
      <c r="G3514" s="58" t="s">
        <v>9060</v>
      </c>
      <c r="H3514" s="58" t="s">
        <v>1816</v>
      </c>
      <c r="I3514" s="64" t="s">
        <v>9061</v>
      </c>
      <c r="J3514" s="66"/>
      <c r="K3514" s="66"/>
      <c r="L3514" s="68"/>
      <c r="M3514" s="63" t="str">
        <f>HYPERLINK("http://nsgreg.nga.mil/genc/view?v=871412&amp;end_month=12&amp;end_day=31&amp;end_year=2016","Correlation")</f>
        <v>Correlation</v>
      </c>
    </row>
    <row r="3515" spans="1:13" x14ac:dyDescent="0.2">
      <c r="A3515" s="113"/>
      <c r="B3515" s="58" t="s">
        <v>9062</v>
      </c>
      <c r="C3515" s="58" t="s">
        <v>1413</v>
      </c>
      <c r="D3515" s="58" t="s">
        <v>9063</v>
      </c>
      <c r="E3515" s="60" t="b">
        <v>1</v>
      </c>
      <c r="F3515" s="80" t="s">
        <v>1159</v>
      </c>
      <c r="G3515" s="58" t="s">
        <v>9062</v>
      </c>
      <c r="H3515" s="58" t="s">
        <v>1816</v>
      </c>
      <c r="I3515" s="64" t="s">
        <v>9063</v>
      </c>
      <c r="J3515" s="66"/>
      <c r="K3515" s="66"/>
      <c r="L3515" s="68"/>
      <c r="M3515" s="63" t="str">
        <f>HYPERLINK("http://nsgreg.nga.mil/genc/view?v=871420&amp;end_month=12&amp;end_day=31&amp;end_year=2016","Correlation")</f>
        <v>Correlation</v>
      </c>
    </row>
    <row r="3516" spans="1:13" x14ac:dyDescent="0.2">
      <c r="A3516" s="114"/>
      <c r="B3516" s="71" t="s">
        <v>9064</v>
      </c>
      <c r="C3516" s="71" t="s">
        <v>1413</v>
      </c>
      <c r="D3516" s="71" t="s">
        <v>9065</v>
      </c>
      <c r="E3516" s="73" t="b">
        <v>1</v>
      </c>
      <c r="F3516" s="81" t="s">
        <v>1159</v>
      </c>
      <c r="G3516" s="71" t="s">
        <v>9064</v>
      </c>
      <c r="H3516" s="71" t="s">
        <v>1816</v>
      </c>
      <c r="I3516" s="74" t="s">
        <v>9065</v>
      </c>
      <c r="J3516" s="76"/>
      <c r="K3516" s="76"/>
      <c r="L3516" s="82"/>
      <c r="M3516" s="77" t="str">
        <f>HYPERLINK("http://nsgreg.nga.mil/genc/view?v=871417&amp;end_month=12&amp;end_day=31&amp;end_year=2016","Correlation")</f>
        <v>Correlation</v>
      </c>
    </row>
    <row r="3517" spans="1:13" x14ac:dyDescent="0.2">
      <c r="A3517" s="112" t="s">
        <v>1163</v>
      </c>
      <c r="B3517" s="50" t="s">
        <v>9066</v>
      </c>
      <c r="C3517" s="50" t="s">
        <v>1728</v>
      </c>
      <c r="D3517" s="50" t="s">
        <v>9067</v>
      </c>
      <c r="E3517" s="52" t="b">
        <v>1</v>
      </c>
      <c r="F3517" s="78" t="s">
        <v>1163</v>
      </c>
      <c r="G3517" s="50" t="s">
        <v>9066</v>
      </c>
      <c r="H3517" s="50" t="s">
        <v>1728</v>
      </c>
      <c r="I3517" s="53" t="s">
        <v>9067</v>
      </c>
      <c r="J3517" s="55"/>
      <c r="K3517" s="55"/>
      <c r="L3517" s="79"/>
      <c r="M3517" s="56" t="str">
        <f>HYPERLINK("http://nsgreg.nga.mil/genc/view?v=871740&amp;end_month=12&amp;end_day=31&amp;end_year=2016","Correlation")</f>
        <v>Correlation</v>
      </c>
    </row>
    <row r="3518" spans="1:13" x14ac:dyDescent="0.2">
      <c r="A3518" s="113"/>
      <c r="B3518" s="58" t="s">
        <v>9068</v>
      </c>
      <c r="C3518" s="58" t="s">
        <v>1728</v>
      </c>
      <c r="D3518" s="58" t="s">
        <v>9069</v>
      </c>
      <c r="E3518" s="60" t="b">
        <v>1</v>
      </c>
      <c r="F3518" s="80" t="s">
        <v>1163</v>
      </c>
      <c r="G3518" s="58" t="s">
        <v>9068</v>
      </c>
      <c r="H3518" s="58" t="s">
        <v>1728</v>
      </c>
      <c r="I3518" s="64" t="s">
        <v>9069</v>
      </c>
      <c r="J3518" s="66"/>
      <c r="K3518" s="66"/>
      <c r="L3518" s="68"/>
      <c r="M3518" s="63" t="str">
        <f>HYPERLINK("http://nsgreg.nga.mil/genc/view?v=871739&amp;end_month=12&amp;end_day=31&amp;end_year=2016","Correlation")</f>
        <v>Correlation</v>
      </c>
    </row>
    <row r="3519" spans="1:13" x14ac:dyDescent="0.2">
      <c r="A3519" s="113"/>
      <c r="B3519" s="58" t="s">
        <v>9070</v>
      </c>
      <c r="C3519" s="58" t="s">
        <v>1728</v>
      </c>
      <c r="D3519" s="58" t="s">
        <v>9071</v>
      </c>
      <c r="E3519" s="60" t="b">
        <v>1</v>
      </c>
      <c r="F3519" s="80" t="s">
        <v>1163</v>
      </c>
      <c r="G3519" s="58" t="s">
        <v>9070</v>
      </c>
      <c r="H3519" s="58" t="s">
        <v>1728</v>
      </c>
      <c r="I3519" s="64" t="s">
        <v>9071</v>
      </c>
      <c r="J3519" s="66"/>
      <c r="K3519" s="66"/>
      <c r="L3519" s="68"/>
      <c r="M3519" s="63" t="str">
        <f>HYPERLINK("http://nsgreg.nga.mil/genc/view?v=871741&amp;end_month=12&amp;end_day=31&amp;end_year=2016","Correlation")</f>
        <v>Correlation</v>
      </c>
    </row>
    <row r="3520" spans="1:13" x14ac:dyDescent="0.2">
      <c r="A3520" s="113"/>
      <c r="B3520" s="58" t="s">
        <v>9072</v>
      </c>
      <c r="C3520" s="58" t="s">
        <v>1728</v>
      </c>
      <c r="D3520" s="58" t="s">
        <v>9073</v>
      </c>
      <c r="E3520" s="60" t="b">
        <v>1</v>
      </c>
      <c r="F3520" s="80" t="s">
        <v>1163</v>
      </c>
      <c r="G3520" s="58" t="s">
        <v>9072</v>
      </c>
      <c r="H3520" s="58" t="s">
        <v>1728</v>
      </c>
      <c r="I3520" s="64" t="s">
        <v>9073</v>
      </c>
      <c r="J3520" s="66"/>
      <c r="K3520" s="66"/>
      <c r="L3520" s="68"/>
      <c r="M3520" s="63" t="str">
        <f>HYPERLINK("http://nsgreg.nga.mil/genc/view?v=871742&amp;end_month=12&amp;end_day=31&amp;end_year=2016","Correlation")</f>
        <v>Correlation</v>
      </c>
    </row>
    <row r="3521" spans="1:13" x14ac:dyDescent="0.2">
      <c r="A3521" s="113"/>
      <c r="B3521" s="58" t="s">
        <v>9074</v>
      </c>
      <c r="C3521" s="58" t="s">
        <v>1728</v>
      </c>
      <c r="D3521" s="58" t="s">
        <v>9075</v>
      </c>
      <c r="E3521" s="60" t="b">
        <v>1</v>
      </c>
      <c r="F3521" s="80" t="s">
        <v>1163</v>
      </c>
      <c r="G3521" s="58" t="s">
        <v>9074</v>
      </c>
      <c r="H3521" s="58" t="s">
        <v>1728</v>
      </c>
      <c r="I3521" s="64" t="s">
        <v>9075</v>
      </c>
      <c r="J3521" s="66"/>
      <c r="K3521" s="66"/>
      <c r="L3521" s="68"/>
      <c r="M3521" s="63" t="str">
        <f>HYPERLINK("http://nsgreg.nga.mil/genc/view?v=871745&amp;end_month=12&amp;end_day=31&amp;end_year=2016","Correlation")</f>
        <v>Correlation</v>
      </c>
    </row>
    <row r="3522" spans="1:13" x14ac:dyDescent="0.2">
      <c r="A3522" s="113"/>
      <c r="B3522" s="58" t="s">
        <v>9076</v>
      </c>
      <c r="C3522" s="58" t="s">
        <v>1728</v>
      </c>
      <c r="D3522" s="58" t="s">
        <v>9077</v>
      </c>
      <c r="E3522" s="60" t="b">
        <v>1</v>
      </c>
      <c r="F3522" s="80" t="s">
        <v>1163</v>
      </c>
      <c r="G3522" s="58" t="s">
        <v>9076</v>
      </c>
      <c r="H3522" s="58" t="s">
        <v>1728</v>
      </c>
      <c r="I3522" s="64" t="s">
        <v>9077</v>
      </c>
      <c r="J3522" s="66"/>
      <c r="K3522" s="66"/>
      <c r="L3522" s="68"/>
      <c r="M3522" s="63" t="str">
        <f>HYPERLINK("http://nsgreg.nga.mil/genc/view?v=871744&amp;end_month=12&amp;end_day=31&amp;end_year=2016","Correlation")</f>
        <v>Correlation</v>
      </c>
    </row>
    <row r="3523" spans="1:13" x14ac:dyDescent="0.2">
      <c r="A3523" s="113"/>
      <c r="B3523" s="58" t="s">
        <v>9078</v>
      </c>
      <c r="C3523" s="58" t="s">
        <v>1728</v>
      </c>
      <c r="D3523" s="58" t="s">
        <v>9079</v>
      </c>
      <c r="E3523" s="60" t="b">
        <v>1</v>
      </c>
      <c r="F3523" s="80" t="s">
        <v>1163</v>
      </c>
      <c r="G3523" s="58" t="s">
        <v>9078</v>
      </c>
      <c r="H3523" s="58" t="s">
        <v>1728</v>
      </c>
      <c r="I3523" s="64" t="s">
        <v>9079</v>
      </c>
      <c r="J3523" s="66"/>
      <c r="K3523" s="66"/>
      <c r="L3523" s="68"/>
      <c r="M3523" s="63" t="str">
        <f>HYPERLINK("http://nsgreg.nga.mil/genc/view?v=871743&amp;end_month=12&amp;end_day=31&amp;end_year=2016","Correlation")</f>
        <v>Correlation</v>
      </c>
    </row>
    <row r="3524" spans="1:13" x14ac:dyDescent="0.2">
      <c r="A3524" s="113"/>
      <c r="B3524" s="58" t="s">
        <v>9080</v>
      </c>
      <c r="C3524" s="58" t="s">
        <v>1728</v>
      </c>
      <c r="D3524" s="58" t="s">
        <v>9081</v>
      </c>
      <c r="E3524" s="60" t="b">
        <v>1</v>
      </c>
      <c r="F3524" s="80" t="s">
        <v>1163</v>
      </c>
      <c r="G3524" s="58" t="s">
        <v>9080</v>
      </c>
      <c r="H3524" s="58" t="s">
        <v>1728</v>
      </c>
      <c r="I3524" s="64" t="s">
        <v>9081</v>
      </c>
      <c r="J3524" s="66"/>
      <c r="K3524" s="66"/>
      <c r="L3524" s="68"/>
      <c r="M3524" s="63" t="str">
        <f>HYPERLINK("http://nsgreg.nga.mil/genc/view?v=871746&amp;end_month=12&amp;end_day=31&amp;end_year=2016","Correlation")</f>
        <v>Correlation</v>
      </c>
    </row>
    <row r="3525" spans="1:13" x14ac:dyDescent="0.2">
      <c r="A3525" s="113"/>
      <c r="B3525" s="58" t="s">
        <v>9082</v>
      </c>
      <c r="C3525" s="58" t="s">
        <v>1728</v>
      </c>
      <c r="D3525" s="58" t="s">
        <v>9083</v>
      </c>
      <c r="E3525" s="60" t="b">
        <v>1</v>
      </c>
      <c r="F3525" s="80" t="s">
        <v>1163</v>
      </c>
      <c r="G3525" s="58" t="s">
        <v>9082</v>
      </c>
      <c r="H3525" s="58" t="s">
        <v>1728</v>
      </c>
      <c r="I3525" s="64" t="s">
        <v>9083</v>
      </c>
      <c r="J3525" s="66"/>
      <c r="K3525" s="66"/>
      <c r="L3525" s="68"/>
      <c r="M3525" s="63" t="str">
        <f>HYPERLINK("http://nsgreg.nga.mil/genc/view?v=871747&amp;end_month=12&amp;end_day=31&amp;end_year=2016","Correlation")</f>
        <v>Correlation</v>
      </c>
    </row>
    <row r="3526" spans="1:13" x14ac:dyDescent="0.2">
      <c r="A3526" s="113"/>
      <c r="B3526" s="58" t="s">
        <v>9084</v>
      </c>
      <c r="C3526" s="58" t="s">
        <v>1728</v>
      </c>
      <c r="D3526" s="58" t="s">
        <v>9085</v>
      </c>
      <c r="E3526" s="60" t="b">
        <v>1</v>
      </c>
      <c r="F3526" s="80" t="s">
        <v>1163</v>
      </c>
      <c r="G3526" s="58" t="s">
        <v>9084</v>
      </c>
      <c r="H3526" s="58" t="s">
        <v>1728</v>
      </c>
      <c r="I3526" s="64" t="s">
        <v>9085</v>
      </c>
      <c r="J3526" s="66"/>
      <c r="K3526" s="66"/>
      <c r="L3526" s="68"/>
      <c r="M3526" s="63" t="str">
        <f>HYPERLINK("http://nsgreg.nga.mil/genc/view?v=871749&amp;end_month=12&amp;end_day=31&amp;end_year=2016","Correlation")</f>
        <v>Correlation</v>
      </c>
    </row>
    <row r="3527" spans="1:13" x14ac:dyDescent="0.2">
      <c r="A3527" s="113"/>
      <c r="B3527" s="58" t="s">
        <v>9086</v>
      </c>
      <c r="C3527" s="58" t="s">
        <v>1728</v>
      </c>
      <c r="D3527" s="58" t="s">
        <v>9087</v>
      </c>
      <c r="E3527" s="60" t="b">
        <v>1</v>
      </c>
      <c r="F3527" s="80" t="s">
        <v>1163</v>
      </c>
      <c r="G3527" s="58" t="s">
        <v>9086</v>
      </c>
      <c r="H3527" s="58" t="s">
        <v>1728</v>
      </c>
      <c r="I3527" s="64" t="s">
        <v>9087</v>
      </c>
      <c r="J3527" s="66"/>
      <c r="K3527" s="66"/>
      <c r="L3527" s="68"/>
      <c r="M3527" s="63" t="str">
        <f>HYPERLINK("http://nsgreg.nga.mil/genc/view?v=871748&amp;end_month=12&amp;end_day=31&amp;end_year=2016","Correlation")</f>
        <v>Correlation</v>
      </c>
    </row>
    <row r="3528" spans="1:13" x14ac:dyDescent="0.2">
      <c r="A3528" s="113"/>
      <c r="B3528" s="58" t="s">
        <v>9088</v>
      </c>
      <c r="C3528" s="58" t="s">
        <v>1728</v>
      </c>
      <c r="D3528" s="58" t="s">
        <v>9089</v>
      </c>
      <c r="E3528" s="60" t="b">
        <v>1</v>
      </c>
      <c r="F3528" s="80" t="s">
        <v>1163</v>
      </c>
      <c r="G3528" s="58" t="s">
        <v>9088</v>
      </c>
      <c r="H3528" s="58" t="s">
        <v>1728</v>
      </c>
      <c r="I3528" s="64" t="s">
        <v>9089</v>
      </c>
      <c r="J3528" s="66"/>
      <c r="K3528" s="66"/>
      <c r="L3528" s="68"/>
      <c r="M3528" s="63" t="str">
        <f>HYPERLINK("http://nsgreg.nga.mil/genc/view?v=871750&amp;end_month=12&amp;end_day=31&amp;end_year=2016","Correlation")</f>
        <v>Correlation</v>
      </c>
    </row>
    <row r="3529" spans="1:13" x14ac:dyDescent="0.2">
      <c r="A3529" s="113"/>
      <c r="B3529" s="58" t="s">
        <v>9090</v>
      </c>
      <c r="C3529" s="58" t="s">
        <v>1728</v>
      </c>
      <c r="D3529" s="58" t="s">
        <v>9091</v>
      </c>
      <c r="E3529" s="60" t="b">
        <v>1</v>
      </c>
      <c r="F3529" s="80" t="s">
        <v>1163</v>
      </c>
      <c r="G3529" s="58" t="s">
        <v>9090</v>
      </c>
      <c r="H3529" s="58" t="s">
        <v>1728</v>
      </c>
      <c r="I3529" s="64" t="s">
        <v>9091</v>
      </c>
      <c r="J3529" s="66"/>
      <c r="K3529" s="66"/>
      <c r="L3529" s="68"/>
      <c r="M3529" s="63" t="str">
        <f>HYPERLINK("http://nsgreg.nga.mil/genc/view?v=871751&amp;end_month=12&amp;end_day=31&amp;end_year=2016","Correlation")</f>
        <v>Correlation</v>
      </c>
    </row>
    <row r="3530" spans="1:13" x14ac:dyDescent="0.2">
      <c r="A3530" s="114"/>
      <c r="B3530" s="71" t="s">
        <v>9092</v>
      </c>
      <c r="C3530" s="71" t="s">
        <v>1728</v>
      </c>
      <c r="D3530" s="71" t="s">
        <v>9093</v>
      </c>
      <c r="E3530" s="73" t="b">
        <v>1</v>
      </c>
      <c r="F3530" s="81" t="s">
        <v>1163</v>
      </c>
      <c r="G3530" s="71" t="s">
        <v>9092</v>
      </c>
      <c r="H3530" s="71" t="s">
        <v>1728</v>
      </c>
      <c r="I3530" s="74" t="s">
        <v>9093</v>
      </c>
      <c r="J3530" s="76"/>
      <c r="K3530" s="76"/>
      <c r="L3530" s="82"/>
      <c r="M3530" s="77" t="str">
        <f>HYPERLINK("http://nsgreg.nga.mil/genc/view?v=871752&amp;end_month=12&amp;end_day=31&amp;end_year=2016","Correlation")</f>
        <v>Correlation</v>
      </c>
    </row>
    <row r="3531" spans="1:13" x14ac:dyDescent="0.2">
      <c r="A3531" s="112" t="s">
        <v>1167</v>
      </c>
      <c r="B3531" s="50" t="s">
        <v>9130</v>
      </c>
      <c r="C3531" s="50" t="s">
        <v>1681</v>
      </c>
      <c r="D3531" s="50" t="s">
        <v>9131</v>
      </c>
      <c r="E3531" s="52" t="b">
        <v>1</v>
      </c>
      <c r="F3531" s="78" t="s">
        <v>1167</v>
      </c>
      <c r="G3531" s="50" t="s">
        <v>9130</v>
      </c>
      <c r="H3531" s="50" t="s">
        <v>1681</v>
      </c>
      <c r="I3531" s="53" t="s">
        <v>9131</v>
      </c>
      <c r="J3531" s="55"/>
      <c r="K3531" s="55"/>
      <c r="L3531" s="79"/>
      <c r="M3531" s="56" t="str">
        <f>HYPERLINK("http://nsgreg.nga.mil/genc/view?v=871292&amp;end_month=12&amp;end_day=31&amp;end_year=2016","Correlation")</f>
        <v>Correlation</v>
      </c>
    </row>
    <row r="3532" spans="1:13" x14ac:dyDescent="0.2">
      <c r="A3532" s="113"/>
      <c r="B3532" s="58" t="s">
        <v>9144</v>
      </c>
      <c r="C3532" s="58" t="s">
        <v>1796</v>
      </c>
      <c r="D3532" s="58" t="s">
        <v>9143</v>
      </c>
      <c r="E3532" s="60" t="b">
        <v>1</v>
      </c>
      <c r="F3532" s="80" t="s">
        <v>1167</v>
      </c>
      <c r="G3532" s="58" t="s">
        <v>9142</v>
      </c>
      <c r="H3532" s="58" t="s">
        <v>1796</v>
      </c>
      <c r="I3532" s="64" t="s">
        <v>9143</v>
      </c>
      <c r="J3532" s="66"/>
      <c r="K3532" s="66"/>
      <c r="L3532" s="68"/>
      <c r="M3532" s="63" t="str">
        <f>HYPERLINK("http://nsgreg.nga.mil/genc/view?v=871306&amp;end_month=12&amp;end_day=31&amp;end_year=2016","Correlation")</f>
        <v>Correlation</v>
      </c>
    </row>
    <row r="3533" spans="1:13" x14ac:dyDescent="0.2">
      <c r="A3533" s="113"/>
      <c r="B3533" s="58" t="s">
        <v>9149</v>
      </c>
      <c r="C3533" s="58" t="s">
        <v>1796</v>
      </c>
      <c r="D3533" s="58" t="s">
        <v>9148</v>
      </c>
      <c r="E3533" s="60" t="b">
        <v>1</v>
      </c>
      <c r="F3533" s="80" t="s">
        <v>1167</v>
      </c>
      <c r="G3533" s="58" t="s">
        <v>9147</v>
      </c>
      <c r="H3533" s="58" t="s">
        <v>1796</v>
      </c>
      <c r="I3533" s="64" t="s">
        <v>9148</v>
      </c>
      <c r="J3533" s="66"/>
      <c r="K3533" s="66"/>
      <c r="L3533" s="68"/>
      <c r="M3533" s="63" t="str">
        <f>HYPERLINK("http://nsgreg.nga.mil/genc/view?v=871303&amp;end_month=12&amp;end_day=31&amp;end_year=2016","Correlation")</f>
        <v>Correlation</v>
      </c>
    </row>
    <row r="3534" spans="1:13" x14ac:dyDescent="0.2">
      <c r="A3534" s="113"/>
      <c r="B3534" s="58" t="s">
        <v>9186</v>
      </c>
      <c r="C3534" s="58" t="s">
        <v>1796</v>
      </c>
      <c r="D3534" s="58" t="s">
        <v>9185</v>
      </c>
      <c r="E3534" s="60" t="b">
        <v>1</v>
      </c>
      <c r="F3534" s="80" t="s">
        <v>1167</v>
      </c>
      <c r="G3534" s="58" t="s">
        <v>9184</v>
      </c>
      <c r="H3534" s="58" t="s">
        <v>1796</v>
      </c>
      <c r="I3534" s="64" t="s">
        <v>9185</v>
      </c>
      <c r="J3534" s="66"/>
      <c r="K3534" s="66"/>
      <c r="L3534" s="68"/>
      <c r="M3534" s="63" t="str">
        <f>HYPERLINK("http://nsgreg.nga.mil/genc/view?v=871315&amp;end_month=12&amp;end_day=31&amp;end_year=2016","Correlation")</f>
        <v>Correlation</v>
      </c>
    </row>
    <row r="3535" spans="1:13" x14ac:dyDescent="0.2">
      <c r="A3535" s="113"/>
      <c r="B3535" s="58" t="s">
        <v>9191</v>
      </c>
      <c r="C3535" s="58" t="s">
        <v>1796</v>
      </c>
      <c r="D3535" s="58" t="s">
        <v>9190</v>
      </c>
      <c r="E3535" s="60" t="b">
        <v>1</v>
      </c>
      <c r="F3535" s="80" t="s">
        <v>1167</v>
      </c>
      <c r="G3535" s="58" t="s">
        <v>9189</v>
      </c>
      <c r="H3535" s="58" t="s">
        <v>1796</v>
      </c>
      <c r="I3535" s="64" t="s">
        <v>9190</v>
      </c>
      <c r="J3535" s="66"/>
      <c r="K3535" s="66"/>
      <c r="L3535" s="68"/>
      <c r="M3535" s="63" t="str">
        <f>HYPERLINK("http://nsgreg.nga.mil/genc/view?v=871298&amp;end_month=12&amp;end_day=31&amp;end_year=2016","Correlation")</f>
        <v>Correlation</v>
      </c>
    </row>
    <row r="3536" spans="1:13" x14ac:dyDescent="0.2">
      <c r="A3536" s="113"/>
      <c r="B3536" s="58" t="s">
        <v>9194</v>
      </c>
      <c r="C3536" s="58" t="s">
        <v>1796</v>
      </c>
      <c r="D3536" s="58" t="s">
        <v>9193</v>
      </c>
      <c r="E3536" s="60" t="b">
        <v>1</v>
      </c>
      <c r="F3536" s="80" t="s">
        <v>1167</v>
      </c>
      <c r="G3536" s="58" t="s">
        <v>9192</v>
      </c>
      <c r="H3536" s="58" t="s">
        <v>1796</v>
      </c>
      <c r="I3536" s="64" t="s">
        <v>9193</v>
      </c>
      <c r="J3536" s="66"/>
      <c r="K3536" s="66"/>
      <c r="L3536" s="68"/>
      <c r="M3536" s="63" t="str">
        <f>HYPERLINK("http://nsgreg.nga.mil/genc/view?v=871296&amp;end_month=12&amp;end_day=31&amp;end_year=2016","Correlation")</f>
        <v>Correlation</v>
      </c>
    </row>
    <row r="3537" spans="1:13" x14ac:dyDescent="0.2">
      <c r="A3537" s="113"/>
      <c r="B3537" s="58" t="s">
        <v>9209</v>
      </c>
      <c r="C3537" s="58" t="s">
        <v>1796</v>
      </c>
      <c r="D3537" s="58" t="s">
        <v>9208</v>
      </c>
      <c r="E3537" s="60" t="b">
        <v>1</v>
      </c>
      <c r="F3537" s="80" t="s">
        <v>1167</v>
      </c>
      <c r="G3537" s="58" t="s">
        <v>9207</v>
      </c>
      <c r="H3537" s="58" t="s">
        <v>1796</v>
      </c>
      <c r="I3537" s="64" t="s">
        <v>9208</v>
      </c>
      <c r="J3537" s="66"/>
      <c r="K3537" s="66"/>
      <c r="L3537" s="68"/>
      <c r="M3537" s="63" t="str">
        <f>HYPERLINK("http://nsgreg.nga.mil/genc/view?v=871301&amp;end_month=12&amp;end_day=31&amp;end_year=2016","Correlation")</f>
        <v>Correlation</v>
      </c>
    </row>
    <row r="3538" spans="1:13" x14ac:dyDescent="0.2">
      <c r="A3538" s="113"/>
      <c r="B3538" s="58" t="s">
        <v>806</v>
      </c>
      <c r="C3538" s="58" t="s">
        <v>4947</v>
      </c>
      <c r="D3538" s="58" t="s">
        <v>807</v>
      </c>
      <c r="E3538" s="60" t="b">
        <v>1</v>
      </c>
      <c r="F3538" s="80" t="s">
        <v>802</v>
      </c>
      <c r="G3538" s="88"/>
      <c r="H3538" s="88"/>
      <c r="I3538" s="66"/>
      <c r="J3538" s="64" t="s">
        <v>803</v>
      </c>
      <c r="K3538" s="64" t="s">
        <v>804</v>
      </c>
      <c r="L3538" s="65" t="s">
        <v>805</v>
      </c>
      <c r="M3538" s="63" t="str">
        <f>HYPERLINK("http://nsgreg.nga.mil/genc/view?v=867437&amp;end_month=12&amp;end_day=31&amp;end_year=2016","Correlation")</f>
        <v>Correlation</v>
      </c>
    </row>
    <row r="3539" spans="1:13" x14ac:dyDescent="0.2">
      <c r="A3539" s="113"/>
      <c r="B3539" s="58" t="s">
        <v>12542</v>
      </c>
      <c r="C3539" s="58" t="s">
        <v>1796</v>
      </c>
      <c r="D3539" s="58" t="s">
        <v>12543</v>
      </c>
      <c r="E3539" s="60" t="b">
        <v>1</v>
      </c>
      <c r="F3539" s="61" t="s">
        <v>167</v>
      </c>
      <c r="G3539" s="61"/>
      <c r="H3539" s="61"/>
      <c r="I3539" s="61"/>
      <c r="J3539" s="61"/>
      <c r="K3539" s="61"/>
      <c r="L3539" s="62"/>
      <c r="M3539" s="63" t="str">
        <f>HYPERLINK("http://nsgreg.nga.mil/genc/view?v=871317&amp;end_month=12&amp;end_day=31&amp;end_year=2016","Correlation")</f>
        <v>Correlation</v>
      </c>
    </row>
    <row r="3540" spans="1:13" x14ac:dyDescent="0.2">
      <c r="A3540" s="113"/>
      <c r="B3540" s="58" t="s">
        <v>12544</v>
      </c>
      <c r="C3540" s="58" t="s">
        <v>1796</v>
      </c>
      <c r="D3540" s="58" t="s">
        <v>12545</v>
      </c>
      <c r="E3540" s="60" t="b">
        <v>1</v>
      </c>
      <c r="F3540" s="61" t="s">
        <v>167</v>
      </c>
      <c r="G3540" s="61"/>
      <c r="H3540" s="61"/>
      <c r="I3540" s="61"/>
      <c r="J3540" s="61"/>
      <c r="K3540" s="61"/>
      <c r="L3540" s="62"/>
      <c r="M3540" s="63" t="str">
        <f>HYPERLINK("http://nsgreg.nga.mil/genc/view?v=871320&amp;end_month=12&amp;end_day=31&amp;end_year=2016","Correlation")</f>
        <v>Correlation</v>
      </c>
    </row>
    <row r="3541" spans="1:13" x14ac:dyDescent="0.2">
      <c r="A3541" s="113"/>
      <c r="B3541" s="58" t="s">
        <v>12546</v>
      </c>
      <c r="C3541" s="58" t="s">
        <v>1796</v>
      </c>
      <c r="D3541" s="58" t="s">
        <v>12547</v>
      </c>
      <c r="E3541" s="60" t="b">
        <v>1</v>
      </c>
      <c r="F3541" s="61" t="s">
        <v>167</v>
      </c>
      <c r="G3541" s="61"/>
      <c r="H3541" s="61"/>
      <c r="I3541" s="61"/>
      <c r="J3541" s="61"/>
      <c r="K3541" s="61"/>
      <c r="L3541" s="62"/>
      <c r="M3541" s="63" t="str">
        <f>HYPERLINK("http://nsgreg.nga.mil/genc/view?v=871321&amp;end_month=12&amp;end_day=31&amp;end_year=2016","Correlation")</f>
        <v>Correlation</v>
      </c>
    </row>
    <row r="3542" spans="1:13" x14ac:dyDescent="0.2">
      <c r="A3542" s="113"/>
      <c r="B3542" s="58" t="s">
        <v>9248</v>
      </c>
      <c r="C3542" s="58" t="s">
        <v>1796</v>
      </c>
      <c r="D3542" s="58" t="s">
        <v>9247</v>
      </c>
      <c r="E3542" s="60" t="b">
        <v>1</v>
      </c>
      <c r="F3542" s="80" t="s">
        <v>1167</v>
      </c>
      <c r="G3542" s="58" t="s">
        <v>9246</v>
      </c>
      <c r="H3542" s="58" t="s">
        <v>1796</v>
      </c>
      <c r="I3542" s="64" t="s">
        <v>9247</v>
      </c>
      <c r="J3542" s="66"/>
      <c r="K3542" s="66"/>
      <c r="L3542" s="68"/>
      <c r="M3542" s="63" t="str">
        <f>HYPERLINK("http://nsgreg.nga.mil/genc/view?v=871300&amp;end_month=12&amp;end_day=31&amp;end_year=2016","Correlation")</f>
        <v>Correlation</v>
      </c>
    </row>
    <row r="3543" spans="1:13" x14ac:dyDescent="0.2">
      <c r="A3543" s="113"/>
      <c r="B3543" s="58" t="s">
        <v>9265</v>
      </c>
      <c r="C3543" s="58" t="s">
        <v>1796</v>
      </c>
      <c r="D3543" s="58" t="s">
        <v>9264</v>
      </c>
      <c r="E3543" s="60" t="b">
        <v>1</v>
      </c>
      <c r="F3543" s="80" t="s">
        <v>1167</v>
      </c>
      <c r="G3543" s="58" t="s">
        <v>9263</v>
      </c>
      <c r="H3543" s="58" t="s">
        <v>1796</v>
      </c>
      <c r="I3543" s="64" t="s">
        <v>9264</v>
      </c>
      <c r="J3543" s="66"/>
      <c r="K3543" s="66"/>
      <c r="L3543" s="68"/>
      <c r="M3543" s="63" t="str">
        <f>HYPERLINK("http://nsgreg.nga.mil/genc/view?v=871309&amp;end_month=12&amp;end_day=31&amp;end_year=2016","Correlation")</f>
        <v>Correlation</v>
      </c>
    </row>
    <row r="3544" spans="1:13" x14ac:dyDescent="0.2">
      <c r="A3544" s="113"/>
      <c r="B3544" s="58" t="s">
        <v>9272</v>
      </c>
      <c r="C3544" s="58" t="s">
        <v>1796</v>
      </c>
      <c r="D3544" s="58" t="s">
        <v>9271</v>
      </c>
      <c r="E3544" s="60" t="b">
        <v>1</v>
      </c>
      <c r="F3544" s="80" t="s">
        <v>1167</v>
      </c>
      <c r="G3544" s="58" t="s">
        <v>9270</v>
      </c>
      <c r="H3544" s="58" t="s">
        <v>1796</v>
      </c>
      <c r="I3544" s="64" t="s">
        <v>9271</v>
      </c>
      <c r="J3544" s="66"/>
      <c r="K3544" s="66"/>
      <c r="L3544" s="68"/>
      <c r="M3544" s="63" t="str">
        <f>HYPERLINK("http://nsgreg.nga.mil/genc/view?v=871312&amp;end_month=12&amp;end_day=31&amp;end_year=2016","Correlation")</f>
        <v>Correlation</v>
      </c>
    </row>
    <row r="3545" spans="1:13" x14ac:dyDescent="0.2">
      <c r="A3545" s="113"/>
      <c r="B3545" s="58" t="s">
        <v>9297</v>
      </c>
      <c r="C3545" s="58" t="s">
        <v>1796</v>
      </c>
      <c r="D3545" s="58" t="s">
        <v>9296</v>
      </c>
      <c r="E3545" s="60" t="b">
        <v>1</v>
      </c>
      <c r="F3545" s="80" t="s">
        <v>1167</v>
      </c>
      <c r="G3545" s="58" t="s">
        <v>9295</v>
      </c>
      <c r="H3545" s="58" t="s">
        <v>1796</v>
      </c>
      <c r="I3545" s="64" t="s">
        <v>9296</v>
      </c>
      <c r="J3545" s="66"/>
      <c r="K3545" s="66"/>
      <c r="L3545" s="68"/>
      <c r="M3545" s="63" t="str">
        <f>HYPERLINK("http://nsgreg.nga.mil/genc/view?v=871316&amp;end_month=12&amp;end_day=31&amp;end_year=2016","Correlation")</f>
        <v>Correlation</v>
      </c>
    </row>
    <row r="3546" spans="1:13" x14ac:dyDescent="0.2">
      <c r="A3546" s="113"/>
      <c r="B3546" s="58" t="s">
        <v>12548</v>
      </c>
      <c r="C3546" s="58" t="s">
        <v>1796</v>
      </c>
      <c r="D3546" s="58" t="s">
        <v>12549</v>
      </c>
      <c r="E3546" s="60" t="b">
        <v>1</v>
      </c>
      <c r="F3546" s="61" t="s">
        <v>167</v>
      </c>
      <c r="G3546" s="61"/>
      <c r="H3546" s="61"/>
      <c r="I3546" s="61"/>
      <c r="J3546" s="61"/>
      <c r="K3546" s="61"/>
      <c r="L3546" s="62"/>
      <c r="M3546" s="63" t="str">
        <f>HYPERLINK("http://nsgreg.nga.mil/genc/view?v=871318&amp;end_month=12&amp;end_day=31&amp;end_year=2016","Correlation")</f>
        <v>Correlation</v>
      </c>
    </row>
    <row r="3547" spans="1:13" x14ac:dyDescent="0.2">
      <c r="A3547" s="113"/>
      <c r="B3547" s="58" t="s">
        <v>9306</v>
      </c>
      <c r="C3547" s="58" t="s">
        <v>1796</v>
      </c>
      <c r="D3547" s="58" t="s">
        <v>9305</v>
      </c>
      <c r="E3547" s="60" t="b">
        <v>1</v>
      </c>
      <c r="F3547" s="80" t="s">
        <v>1167</v>
      </c>
      <c r="G3547" s="58" t="s">
        <v>9304</v>
      </c>
      <c r="H3547" s="58" t="s">
        <v>1796</v>
      </c>
      <c r="I3547" s="64" t="s">
        <v>9305</v>
      </c>
      <c r="J3547" s="66"/>
      <c r="K3547" s="66"/>
      <c r="L3547" s="68"/>
      <c r="M3547" s="63" t="str">
        <f>HYPERLINK("http://nsgreg.nga.mil/genc/view?v=871314&amp;end_month=12&amp;end_day=31&amp;end_year=2016","Correlation")</f>
        <v>Correlation</v>
      </c>
    </row>
    <row r="3548" spans="1:13" x14ac:dyDescent="0.2">
      <c r="A3548" s="113"/>
      <c r="B3548" s="58" t="s">
        <v>9311</v>
      </c>
      <c r="C3548" s="58" t="s">
        <v>1796</v>
      </c>
      <c r="D3548" s="58" t="s">
        <v>9310</v>
      </c>
      <c r="E3548" s="60" t="b">
        <v>1</v>
      </c>
      <c r="F3548" s="80" t="s">
        <v>1167</v>
      </c>
      <c r="G3548" s="58" t="s">
        <v>9309</v>
      </c>
      <c r="H3548" s="58" t="s">
        <v>1796</v>
      </c>
      <c r="I3548" s="64" t="s">
        <v>9310</v>
      </c>
      <c r="J3548" s="66"/>
      <c r="K3548" s="66"/>
      <c r="L3548" s="68"/>
      <c r="M3548" s="63" t="str">
        <f>HYPERLINK("http://nsgreg.nga.mil/genc/view?v=871302&amp;end_month=12&amp;end_day=31&amp;end_year=2016","Correlation")</f>
        <v>Correlation</v>
      </c>
    </row>
    <row r="3549" spans="1:13" x14ac:dyDescent="0.2">
      <c r="A3549" s="113"/>
      <c r="B3549" s="58" t="s">
        <v>9314</v>
      </c>
      <c r="C3549" s="58" t="s">
        <v>1796</v>
      </c>
      <c r="D3549" s="58" t="s">
        <v>9313</v>
      </c>
      <c r="E3549" s="60" t="b">
        <v>1</v>
      </c>
      <c r="F3549" s="80" t="s">
        <v>1167</v>
      </c>
      <c r="G3549" s="58" t="s">
        <v>9312</v>
      </c>
      <c r="H3549" s="58" t="s">
        <v>1796</v>
      </c>
      <c r="I3549" s="64" t="s">
        <v>9313</v>
      </c>
      <c r="J3549" s="66"/>
      <c r="K3549" s="66"/>
      <c r="L3549" s="68"/>
      <c r="M3549" s="63" t="str">
        <f>HYPERLINK("http://nsgreg.nga.mil/genc/view?v=871305&amp;end_month=12&amp;end_day=31&amp;end_year=2016","Correlation")</f>
        <v>Correlation</v>
      </c>
    </row>
    <row r="3550" spans="1:13" x14ac:dyDescent="0.2">
      <c r="A3550" s="113"/>
      <c r="B3550" s="58" t="s">
        <v>12550</v>
      </c>
      <c r="C3550" s="58" t="s">
        <v>1796</v>
      </c>
      <c r="D3550" s="58" t="s">
        <v>12551</v>
      </c>
      <c r="E3550" s="60" t="b">
        <v>1</v>
      </c>
      <c r="F3550" s="61" t="s">
        <v>167</v>
      </c>
      <c r="G3550" s="61"/>
      <c r="H3550" s="61"/>
      <c r="I3550" s="61"/>
      <c r="J3550" s="61"/>
      <c r="K3550" s="61"/>
      <c r="L3550" s="62"/>
      <c r="M3550" s="63" t="str">
        <f>HYPERLINK("http://nsgreg.nga.mil/genc/view?v=871319&amp;end_month=12&amp;end_day=31&amp;end_year=2016","Correlation")</f>
        <v>Correlation</v>
      </c>
    </row>
    <row r="3551" spans="1:13" x14ac:dyDescent="0.2">
      <c r="A3551" s="113"/>
      <c r="B3551" s="58" t="s">
        <v>9331</v>
      </c>
      <c r="C3551" s="58" t="s">
        <v>1796</v>
      </c>
      <c r="D3551" s="58" t="s">
        <v>9330</v>
      </c>
      <c r="E3551" s="60" t="b">
        <v>1</v>
      </c>
      <c r="F3551" s="80" t="s">
        <v>1167</v>
      </c>
      <c r="G3551" s="58" t="s">
        <v>9329</v>
      </c>
      <c r="H3551" s="58" t="s">
        <v>1796</v>
      </c>
      <c r="I3551" s="64" t="s">
        <v>9330</v>
      </c>
      <c r="J3551" s="66"/>
      <c r="K3551" s="66"/>
      <c r="L3551" s="68"/>
      <c r="M3551" s="63" t="str">
        <f>HYPERLINK("http://nsgreg.nga.mil/genc/view?v=871311&amp;end_month=12&amp;end_day=31&amp;end_year=2016","Correlation")</f>
        <v>Correlation</v>
      </c>
    </row>
    <row r="3552" spans="1:13" x14ac:dyDescent="0.2">
      <c r="A3552" s="113"/>
      <c r="B3552" s="58" t="s">
        <v>9336</v>
      </c>
      <c r="C3552" s="58" t="s">
        <v>1796</v>
      </c>
      <c r="D3552" s="58" t="s">
        <v>9335</v>
      </c>
      <c r="E3552" s="60" t="b">
        <v>1</v>
      </c>
      <c r="F3552" s="80" t="s">
        <v>1167</v>
      </c>
      <c r="G3552" s="58" t="s">
        <v>9334</v>
      </c>
      <c r="H3552" s="58" t="s">
        <v>1796</v>
      </c>
      <c r="I3552" s="64" t="s">
        <v>9335</v>
      </c>
      <c r="J3552" s="66"/>
      <c r="K3552" s="66"/>
      <c r="L3552" s="68"/>
      <c r="M3552" s="63" t="str">
        <f>HYPERLINK("http://nsgreg.nga.mil/genc/view?v=871310&amp;end_month=12&amp;end_day=31&amp;end_year=2016","Correlation")</f>
        <v>Correlation</v>
      </c>
    </row>
    <row r="3553" spans="1:13" x14ac:dyDescent="0.2">
      <c r="A3553" s="113"/>
      <c r="B3553" s="58" t="s">
        <v>9351</v>
      </c>
      <c r="C3553" s="58" t="s">
        <v>1796</v>
      </c>
      <c r="D3553" s="58" t="s">
        <v>9350</v>
      </c>
      <c r="E3553" s="60" t="b">
        <v>1</v>
      </c>
      <c r="F3553" s="80" t="s">
        <v>1167</v>
      </c>
      <c r="G3553" s="58" t="s">
        <v>9349</v>
      </c>
      <c r="H3553" s="58" t="s">
        <v>1796</v>
      </c>
      <c r="I3553" s="64" t="s">
        <v>9350</v>
      </c>
      <c r="J3553" s="66"/>
      <c r="K3553" s="66"/>
      <c r="L3553" s="68"/>
      <c r="M3553" s="63" t="str">
        <f>HYPERLINK("http://nsgreg.nga.mil/genc/view?v=871293&amp;end_month=12&amp;end_day=31&amp;end_year=2016","Correlation")</f>
        <v>Correlation</v>
      </c>
    </row>
    <row r="3554" spans="1:13" x14ac:dyDescent="0.2">
      <c r="A3554" s="113"/>
      <c r="B3554" s="58" t="s">
        <v>9354</v>
      </c>
      <c r="C3554" s="58" t="s">
        <v>1796</v>
      </c>
      <c r="D3554" s="58" t="s">
        <v>9353</v>
      </c>
      <c r="E3554" s="60" t="b">
        <v>1</v>
      </c>
      <c r="F3554" s="80" t="s">
        <v>1167</v>
      </c>
      <c r="G3554" s="58" t="s">
        <v>9352</v>
      </c>
      <c r="H3554" s="58" t="s">
        <v>1796</v>
      </c>
      <c r="I3554" s="64" t="s">
        <v>9353</v>
      </c>
      <c r="J3554" s="66"/>
      <c r="K3554" s="66"/>
      <c r="L3554" s="68"/>
      <c r="M3554" s="63" t="str">
        <f>HYPERLINK("http://nsgreg.nga.mil/genc/view?v=871295&amp;end_month=12&amp;end_day=31&amp;end_year=2016","Correlation")</f>
        <v>Correlation</v>
      </c>
    </row>
    <row r="3555" spans="1:13" x14ac:dyDescent="0.2">
      <c r="A3555" s="113"/>
      <c r="B3555" s="58" t="s">
        <v>9371</v>
      </c>
      <c r="C3555" s="58" t="s">
        <v>1796</v>
      </c>
      <c r="D3555" s="58" t="s">
        <v>9370</v>
      </c>
      <c r="E3555" s="60" t="b">
        <v>1</v>
      </c>
      <c r="F3555" s="80" t="s">
        <v>1167</v>
      </c>
      <c r="G3555" s="58" t="s">
        <v>9369</v>
      </c>
      <c r="H3555" s="58" t="s">
        <v>1796</v>
      </c>
      <c r="I3555" s="64" t="s">
        <v>9370</v>
      </c>
      <c r="J3555" s="66"/>
      <c r="K3555" s="66"/>
      <c r="L3555" s="68"/>
      <c r="M3555" s="63" t="str">
        <f>HYPERLINK("http://nsgreg.nga.mil/genc/view?v=871294&amp;end_month=12&amp;end_day=31&amp;end_year=2016","Correlation")</f>
        <v>Correlation</v>
      </c>
    </row>
    <row r="3556" spans="1:13" x14ac:dyDescent="0.2">
      <c r="A3556" s="113"/>
      <c r="B3556" s="58" t="s">
        <v>9378</v>
      </c>
      <c r="C3556" s="58" t="s">
        <v>1796</v>
      </c>
      <c r="D3556" s="58" t="s">
        <v>9377</v>
      </c>
      <c r="E3556" s="60" t="b">
        <v>1</v>
      </c>
      <c r="F3556" s="80" t="s">
        <v>1167</v>
      </c>
      <c r="G3556" s="58" t="s">
        <v>9376</v>
      </c>
      <c r="H3556" s="58" t="s">
        <v>1796</v>
      </c>
      <c r="I3556" s="64" t="s">
        <v>9377</v>
      </c>
      <c r="J3556" s="66"/>
      <c r="K3556" s="66"/>
      <c r="L3556" s="68"/>
      <c r="M3556" s="63" t="str">
        <f>HYPERLINK("http://nsgreg.nga.mil/genc/view?v=871299&amp;end_month=12&amp;end_day=31&amp;end_year=2016","Correlation")</f>
        <v>Correlation</v>
      </c>
    </row>
    <row r="3557" spans="1:13" x14ac:dyDescent="0.2">
      <c r="A3557" s="113"/>
      <c r="B3557" s="58" t="s">
        <v>9385</v>
      </c>
      <c r="C3557" s="58" t="s">
        <v>1796</v>
      </c>
      <c r="D3557" s="58" t="s">
        <v>9384</v>
      </c>
      <c r="E3557" s="60" t="b">
        <v>1</v>
      </c>
      <c r="F3557" s="80" t="s">
        <v>1167</v>
      </c>
      <c r="G3557" s="58" t="s">
        <v>9383</v>
      </c>
      <c r="H3557" s="58" t="s">
        <v>1796</v>
      </c>
      <c r="I3557" s="64" t="s">
        <v>9384</v>
      </c>
      <c r="J3557" s="66"/>
      <c r="K3557" s="66"/>
      <c r="L3557" s="68"/>
      <c r="M3557" s="63" t="str">
        <f>HYPERLINK("http://nsgreg.nga.mil/genc/view?v=871304&amp;end_month=12&amp;end_day=31&amp;end_year=2016","Correlation")</f>
        <v>Correlation</v>
      </c>
    </row>
    <row r="3558" spans="1:13" x14ac:dyDescent="0.2">
      <c r="A3558" s="113"/>
      <c r="B3558" s="58" t="s">
        <v>9398</v>
      </c>
      <c r="C3558" s="58" t="s">
        <v>1796</v>
      </c>
      <c r="D3558" s="58" t="s">
        <v>9397</v>
      </c>
      <c r="E3558" s="60" t="b">
        <v>1</v>
      </c>
      <c r="F3558" s="80" t="s">
        <v>1167</v>
      </c>
      <c r="G3558" s="58" t="s">
        <v>9396</v>
      </c>
      <c r="H3558" s="58" t="s">
        <v>1796</v>
      </c>
      <c r="I3558" s="64" t="s">
        <v>9397</v>
      </c>
      <c r="J3558" s="66"/>
      <c r="K3558" s="66"/>
      <c r="L3558" s="68"/>
      <c r="M3558" s="63" t="str">
        <f>HYPERLINK("http://nsgreg.nga.mil/genc/view?v=871313&amp;end_month=12&amp;end_day=31&amp;end_year=2016","Correlation")</f>
        <v>Correlation</v>
      </c>
    </row>
    <row r="3559" spans="1:13" x14ac:dyDescent="0.2">
      <c r="A3559" s="113"/>
      <c r="B3559" s="58" t="s">
        <v>9425</v>
      </c>
      <c r="C3559" s="58" t="s">
        <v>4947</v>
      </c>
      <c r="D3559" s="58" t="s">
        <v>9426</v>
      </c>
      <c r="E3559" s="60" t="b">
        <v>1</v>
      </c>
      <c r="F3559" s="80" t="s">
        <v>1167</v>
      </c>
      <c r="G3559" s="58" t="s">
        <v>9425</v>
      </c>
      <c r="H3559" s="58" t="s">
        <v>4947</v>
      </c>
      <c r="I3559" s="64" t="s">
        <v>9426</v>
      </c>
      <c r="J3559" s="66"/>
      <c r="K3559" s="66"/>
      <c r="L3559" s="68"/>
      <c r="M3559" s="63" t="str">
        <f>HYPERLINK("http://nsgreg.nga.mil/genc/view?v=871322&amp;end_month=12&amp;end_day=31&amp;end_year=2016","Correlation")</f>
        <v>Correlation</v>
      </c>
    </row>
    <row r="3560" spans="1:13" x14ac:dyDescent="0.2">
      <c r="A3560" s="113"/>
      <c r="B3560" s="58" t="s">
        <v>9445</v>
      </c>
      <c r="C3560" s="58" t="s">
        <v>1796</v>
      </c>
      <c r="D3560" s="58" t="s">
        <v>9444</v>
      </c>
      <c r="E3560" s="60" t="b">
        <v>1</v>
      </c>
      <c r="F3560" s="80" t="s">
        <v>1167</v>
      </c>
      <c r="G3560" s="58" t="s">
        <v>9443</v>
      </c>
      <c r="H3560" s="58" t="s">
        <v>1796</v>
      </c>
      <c r="I3560" s="64" t="s">
        <v>9444</v>
      </c>
      <c r="J3560" s="66"/>
      <c r="K3560" s="66"/>
      <c r="L3560" s="68"/>
      <c r="M3560" s="63" t="str">
        <f>HYPERLINK("http://nsgreg.nga.mil/genc/view?v=871307&amp;end_month=12&amp;end_day=31&amp;end_year=2016","Correlation")</f>
        <v>Correlation</v>
      </c>
    </row>
    <row r="3561" spans="1:13" x14ac:dyDescent="0.2">
      <c r="A3561" s="113"/>
      <c r="B3561" s="58" t="s">
        <v>9448</v>
      </c>
      <c r="C3561" s="58" t="s">
        <v>1796</v>
      </c>
      <c r="D3561" s="58" t="s">
        <v>9447</v>
      </c>
      <c r="E3561" s="60" t="b">
        <v>1</v>
      </c>
      <c r="F3561" s="80" t="s">
        <v>1167</v>
      </c>
      <c r="G3561" s="58" t="s">
        <v>9446</v>
      </c>
      <c r="H3561" s="58" t="s">
        <v>1796</v>
      </c>
      <c r="I3561" s="64" t="s">
        <v>9447</v>
      </c>
      <c r="J3561" s="66"/>
      <c r="K3561" s="66"/>
      <c r="L3561" s="68"/>
      <c r="M3561" s="63" t="str">
        <f>HYPERLINK("http://nsgreg.nga.mil/genc/view?v=871297&amp;end_month=12&amp;end_day=31&amp;end_year=2016","Correlation")</f>
        <v>Correlation</v>
      </c>
    </row>
    <row r="3562" spans="1:13" x14ac:dyDescent="0.2">
      <c r="A3562" s="114"/>
      <c r="B3562" s="71" t="s">
        <v>9455</v>
      </c>
      <c r="C3562" s="71" t="s">
        <v>1796</v>
      </c>
      <c r="D3562" s="71" t="s">
        <v>9454</v>
      </c>
      <c r="E3562" s="73" t="b">
        <v>1</v>
      </c>
      <c r="F3562" s="81" t="s">
        <v>1167</v>
      </c>
      <c r="G3562" s="71" t="s">
        <v>9453</v>
      </c>
      <c r="H3562" s="71" t="s">
        <v>1796</v>
      </c>
      <c r="I3562" s="74" t="s">
        <v>9454</v>
      </c>
      <c r="J3562" s="76"/>
      <c r="K3562" s="76"/>
      <c r="L3562" s="82"/>
      <c r="M3562" s="77" t="str">
        <f>HYPERLINK("http://nsgreg.nga.mil/genc/view?v=871308&amp;end_month=12&amp;end_day=31&amp;end_year=2016","Correlation")</f>
        <v>Correlation</v>
      </c>
    </row>
    <row r="3563" spans="1:13" x14ac:dyDescent="0.2">
      <c r="A3563" s="112" t="s">
        <v>1171</v>
      </c>
      <c r="B3563" s="50" t="s">
        <v>9458</v>
      </c>
      <c r="C3563" s="50" t="s">
        <v>1796</v>
      </c>
      <c r="D3563" s="50" t="s">
        <v>9459</v>
      </c>
      <c r="E3563" s="52" t="b">
        <v>1</v>
      </c>
      <c r="F3563" s="78" t="s">
        <v>1171</v>
      </c>
      <c r="G3563" s="50" t="s">
        <v>9458</v>
      </c>
      <c r="H3563" s="50" t="s">
        <v>1796</v>
      </c>
      <c r="I3563" s="53" t="s">
        <v>9459</v>
      </c>
      <c r="J3563" s="55"/>
      <c r="K3563" s="55"/>
      <c r="L3563" s="79"/>
      <c r="M3563" s="56" t="str">
        <f>HYPERLINK("http://nsgreg.nga.mil/genc/view?v=871434&amp;end_month=12&amp;end_day=31&amp;end_year=2016","Correlation")</f>
        <v>Correlation</v>
      </c>
    </row>
    <row r="3564" spans="1:13" x14ac:dyDescent="0.2">
      <c r="A3564" s="113"/>
      <c r="B3564" s="58" t="s">
        <v>9460</v>
      </c>
      <c r="C3564" s="58" t="s">
        <v>1796</v>
      </c>
      <c r="D3564" s="58" t="s">
        <v>9461</v>
      </c>
      <c r="E3564" s="60" t="b">
        <v>1</v>
      </c>
      <c r="F3564" s="80" t="s">
        <v>1171</v>
      </c>
      <c r="G3564" s="58" t="s">
        <v>9460</v>
      </c>
      <c r="H3564" s="58" t="s">
        <v>1796</v>
      </c>
      <c r="I3564" s="64" t="s">
        <v>9461</v>
      </c>
      <c r="J3564" s="66"/>
      <c r="K3564" s="66"/>
      <c r="L3564" s="68"/>
      <c r="M3564" s="63" t="str">
        <f>HYPERLINK("http://nsgreg.nga.mil/genc/view?v=871435&amp;end_month=12&amp;end_day=31&amp;end_year=2016","Correlation")</f>
        <v>Correlation</v>
      </c>
    </row>
    <row r="3565" spans="1:13" x14ac:dyDescent="0.2">
      <c r="A3565" s="113"/>
      <c r="B3565" s="58" t="s">
        <v>9462</v>
      </c>
      <c r="C3565" s="58" t="s">
        <v>1796</v>
      </c>
      <c r="D3565" s="58" t="s">
        <v>9463</v>
      </c>
      <c r="E3565" s="60" t="b">
        <v>1</v>
      </c>
      <c r="F3565" s="80" t="s">
        <v>1171</v>
      </c>
      <c r="G3565" s="58" t="s">
        <v>9462</v>
      </c>
      <c r="H3565" s="58" t="s">
        <v>1796</v>
      </c>
      <c r="I3565" s="64" t="s">
        <v>9463</v>
      </c>
      <c r="J3565" s="66"/>
      <c r="K3565" s="66"/>
      <c r="L3565" s="68"/>
      <c r="M3565" s="63" t="str">
        <f>HYPERLINK("http://nsgreg.nga.mil/genc/view?v=871436&amp;end_month=12&amp;end_day=31&amp;end_year=2016","Correlation")</f>
        <v>Correlation</v>
      </c>
    </row>
    <row r="3566" spans="1:13" x14ac:dyDescent="0.2">
      <c r="A3566" s="113"/>
      <c r="B3566" s="58" t="s">
        <v>9464</v>
      </c>
      <c r="C3566" s="58" t="s">
        <v>1796</v>
      </c>
      <c r="D3566" s="58" t="s">
        <v>9465</v>
      </c>
      <c r="E3566" s="60" t="b">
        <v>1</v>
      </c>
      <c r="F3566" s="80" t="s">
        <v>1171</v>
      </c>
      <c r="G3566" s="58" t="s">
        <v>9464</v>
      </c>
      <c r="H3566" s="58" t="s">
        <v>1796</v>
      </c>
      <c r="I3566" s="64" t="s">
        <v>9465</v>
      </c>
      <c r="J3566" s="66"/>
      <c r="K3566" s="66"/>
      <c r="L3566" s="68"/>
      <c r="M3566" s="63" t="str">
        <f>HYPERLINK("http://nsgreg.nga.mil/genc/view?v=871438&amp;end_month=12&amp;end_day=31&amp;end_year=2016","Correlation")</f>
        <v>Correlation</v>
      </c>
    </row>
    <row r="3567" spans="1:13" x14ac:dyDescent="0.2">
      <c r="A3567" s="113"/>
      <c r="B3567" s="58" t="s">
        <v>9466</v>
      </c>
      <c r="C3567" s="58" t="s">
        <v>1796</v>
      </c>
      <c r="D3567" s="58" t="s">
        <v>9467</v>
      </c>
      <c r="E3567" s="60" t="b">
        <v>1</v>
      </c>
      <c r="F3567" s="80" t="s">
        <v>1171</v>
      </c>
      <c r="G3567" s="58" t="s">
        <v>9466</v>
      </c>
      <c r="H3567" s="58" t="s">
        <v>1796</v>
      </c>
      <c r="I3567" s="64" t="s">
        <v>9467</v>
      </c>
      <c r="J3567" s="66"/>
      <c r="K3567" s="66"/>
      <c r="L3567" s="68"/>
      <c r="M3567" s="63" t="str">
        <f>HYPERLINK("http://nsgreg.nga.mil/genc/view?v=871437&amp;end_month=12&amp;end_day=31&amp;end_year=2016","Correlation")</f>
        <v>Correlation</v>
      </c>
    </row>
    <row r="3568" spans="1:13" x14ac:dyDescent="0.2">
      <c r="A3568" s="113"/>
      <c r="B3568" s="58" t="s">
        <v>9468</v>
      </c>
      <c r="C3568" s="58" t="s">
        <v>1796</v>
      </c>
      <c r="D3568" s="58" t="s">
        <v>9469</v>
      </c>
      <c r="E3568" s="60" t="b">
        <v>1</v>
      </c>
      <c r="F3568" s="80" t="s">
        <v>1171</v>
      </c>
      <c r="G3568" s="58" t="s">
        <v>9468</v>
      </c>
      <c r="H3568" s="58" t="s">
        <v>1796</v>
      </c>
      <c r="I3568" s="64" t="s">
        <v>9469</v>
      </c>
      <c r="J3568" s="66"/>
      <c r="K3568" s="66"/>
      <c r="L3568" s="68"/>
      <c r="M3568" s="63" t="str">
        <f>HYPERLINK("http://nsgreg.nga.mil/genc/view?v=871439&amp;end_month=12&amp;end_day=31&amp;end_year=2016","Correlation")</f>
        <v>Correlation</v>
      </c>
    </row>
    <row r="3569" spans="1:13" x14ac:dyDescent="0.2">
      <c r="A3569" s="113"/>
      <c r="B3569" s="58" t="s">
        <v>9470</v>
      </c>
      <c r="C3569" s="58" t="s">
        <v>1796</v>
      </c>
      <c r="D3569" s="58" t="s">
        <v>9471</v>
      </c>
      <c r="E3569" s="60" t="b">
        <v>1</v>
      </c>
      <c r="F3569" s="80" t="s">
        <v>1171</v>
      </c>
      <c r="G3569" s="58" t="s">
        <v>9470</v>
      </c>
      <c r="H3569" s="58" t="s">
        <v>1796</v>
      </c>
      <c r="I3569" s="64" t="s">
        <v>9471</v>
      </c>
      <c r="J3569" s="66"/>
      <c r="K3569" s="66"/>
      <c r="L3569" s="68"/>
      <c r="M3569" s="63" t="str">
        <f>HYPERLINK("http://nsgreg.nga.mil/genc/view?v=871440&amp;end_month=12&amp;end_day=31&amp;end_year=2016","Correlation")</f>
        <v>Correlation</v>
      </c>
    </row>
    <row r="3570" spans="1:13" x14ac:dyDescent="0.2">
      <c r="A3570" s="113"/>
      <c r="B3570" s="58" t="s">
        <v>9472</v>
      </c>
      <c r="C3570" s="58" t="s">
        <v>1796</v>
      </c>
      <c r="D3570" s="58" t="s">
        <v>9473</v>
      </c>
      <c r="E3570" s="60" t="b">
        <v>1</v>
      </c>
      <c r="F3570" s="80" t="s">
        <v>1171</v>
      </c>
      <c r="G3570" s="58" t="s">
        <v>9472</v>
      </c>
      <c r="H3570" s="58" t="s">
        <v>1796</v>
      </c>
      <c r="I3570" s="64" t="s">
        <v>9473</v>
      </c>
      <c r="J3570" s="66"/>
      <c r="K3570" s="66"/>
      <c r="L3570" s="68"/>
      <c r="M3570" s="63" t="str">
        <f>HYPERLINK("http://nsgreg.nga.mil/genc/view?v=871441&amp;end_month=12&amp;end_day=31&amp;end_year=2016","Correlation")</f>
        <v>Correlation</v>
      </c>
    </row>
    <row r="3571" spans="1:13" x14ac:dyDescent="0.2">
      <c r="A3571" s="113"/>
      <c r="B3571" s="58" t="s">
        <v>9474</v>
      </c>
      <c r="C3571" s="58" t="s">
        <v>1796</v>
      </c>
      <c r="D3571" s="58" t="s">
        <v>9475</v>
      </c>
      <c r="E3571" s="60" t="b">
        <v>1</v>
      </c>
      <c r="F3571" s="80" t="s">
        <v>1171</v>
      </c>
      <c r="G3571" s="58" t="s">
        <v>9474</v>
      </c>
      <c r="H3571" s="58" t="s">
        <v>1796</v>
      </c>
      <c r="I3571" s="64" t="s">
        <v>9475</v>
      </c>
      <c r="J3571" s="66"/>
      <c r="K3571" s="66"/>
      <c r="L3571" s="68"/>
      <c r="M3571" s="63" t="str">
        <f>HYPERLINK("http://nsgreg.nga.mil/genc/view?v=871442&amp;end_month=12&amp;end_day=31&amp;end_year=2016","Correlation")</f>
        <v>Correlation</v>
      </c>
    </row>
    <row r="3572" spans="1:13" x14ac:dyDescent="0.2">
      <c r="A3572" s="113"/>
      <c r="B3572" s="58" t="s">
        <v>9476</v>
      </c>
      <c r="C3572" s="58" t="s">
        <v>1796</v>
      </c>
      <c r="D3572" s="58" t="s">
        <v>9477</v>
      </c>
      <c r="E3572" s="60" t="b">
        <v>1</v>
      </c>
      <c r="F3572" s="80" t="s">
        <v>1171</v>
      </c>
      <c r="G3572" s="58" t="s">
        <v>9476</v>
      </c>
      <c r="H3572" s="58" t="s">
        <v>1796</v>
      </c>
      <c r="I3572" s="64" t="s">
        <v>9477</v>
      </c>
      <c r="J3572" s="66"/>
      <c r="K3572" s="66"/>
      <c r="L3572" s="68"/>
      <c r="M3572" s="63" t="str">
        <f>HYPERLINK("http://nsgreg.nga.mil/genc/view?v=871443&amp;end_month=12&amp;end_day=31&amp;end_year=2016","Correlation")</f>
        <v>Correlation</v>
      </c>
    </row>
    <row r="3573" spans="1:13" x14ac:dyDescent="0.2">
      <c r="A3573" s="113"/>
      <c r="B3573" s="58" t="s">
        <v>9478</v>
      </c>
      <c r="C3573" s="58" t="s">
        <v>1796</v>
      </c>
      <c r="D3573" s="58" t="s">
        <v>9479</v>
      </c>
      <c r="E3573" s="60" t="b">
        <v>1</v>
      </c>
      <c r="F3573" s="80" t="s">
        <v>1171</v>
      </c>
      <c r="G3573" s="58" t="s">
        <v>9478</v>
      </c>
      <c r="H3573" s="58" t="s">
        <v>1796</v>
      </c>
      <c r="I3573" s="64" t="s">
        <v>9479</v>
      </c>
      <c r="J3573" s="66"/>
      <c r="K3573" s="66"/>
      <c r="L3573" s="68"/>
      <c r="M3573" s="63" t="str">
        <f>HYPERLINK("http://nsgreg.nga.mil/genc/view?v=871444&amp;end_month=12&amp;end_day=31&amp;end_year=2016","Correlation")</f>
        <v>Correlation</v>
      </c>
    </row>
    <row r="3574" spans="1:13" x14ac:dyDescent="0.2">
      <c r="A3574" s="113"/>
      <c r="B3574" s="58" t="s">
        <v>9480</v>
      </c>
      <c r="C3574" s="58" t="s">
        <v>1796</v>
      </c>
      <c r="D3574" s="58" t="s">
        <v>9481</v>
      </c>
      <c r="E3574" s="60" t="b">
        <v>1</v>
      </c>
      <c r="F3574" s="80" t="s">
        <v>1171</v>
      </c>
      <c r="G3574" s="58" t="s">
        <v>9480</v>
      </c>
      <c r="H3574" s="58" t="s">
        <v>1796</v>
      </c>
      <c r="I3574" s="64" t="s">
        <v>9481</v>
      </c>
      <c r="J3574" s="66"/>
      <c r="K3574" s="66"/>
      <c r="L3574" s="68"/>
      <c r="M3574" s="63" t="str">
        <f>HYPERLINK("http://nsgreg.nga.mil/genc/view?v=871449&amp;end_month=12&amp;end_day=31&amp;end_year=2016","Correlation")</f>
        <v>Correlation</v>
      </c>
    </row>
    <row r="3575" spans="1:13" x14ac:dyDescent="0.2">
      <c r="A3575" s="113"/>
      <c r="B3575" s="58" t="s">
        <v>9482</v>
      </c>
      <c r="C3575" s="58" t="s">
        <v>1796</v>
      </c>
      <c r="D3575" s="58" t="s">
        <v>9483</v>
      </c>
      <c r="E3575" s="60" t="b">
        <v>1</v>
      </c>
      <c r="F3575" s="80" t="s">
        <v>1171</v>
      </c>
      <c r="G3575" s="58" t="s">
        <v>9482</v>
      </c>
      <c r="H3575" s="58" t="s">
        <v>1796</v>
      </c>
      <c r="I3575" s="64" t="s">
        <v>9483</v>
      </c>
      <c r="J3575" s="66"/>
      <c r="K3575" s="66"/>
      <c r="L3575" s="68"/>
      <c r="M3575" s="63" t="str">
        <f>HYPERLINK("http://nsgreg.nga.mil/genc/view?v=871445&amp;end_month=12&amp;end_day=31&amp;end_year=2016","Correlation")</f>
        <v>Correlation</v>
      </c>
    </row>
    <row r="3576" spans="1:13" x14ac:dyDescent="0.2">
      <c r="A3576" s="113"/>
      <c r="B3576" s="58" t="s">
        <v>9484</v>
      </c>
      <c r="C3576" s="58" t="s">
        <v>1796</v>
      </c>
      <c r="D3576" s="58" t="s">
        <v>9485</v>
      </c>
      <c r="E3576" s="60" t="b">
        <v>1</v>
      </c>
      <c r="F3576" s="80" t="s">
        <v>1171</v>
      </c>
      <c r="G3576" s="58" t="s">
        <v>9484</v>
      </c>
      <c r="H3576" s="58" t="s">
        <v>1796</v>
      </c>
      <c r="I3576" s="64" t="s">
        <v>9485</v>
      </c>
      <c r="J3576" s="66"/>
      <c r="K3576" s="66"/>
      <c r="L3576" s="68"/>
      <c r="M3576" s="63" t="str">
        <f>HYPERLINK("http://nsgreg.nga.mil/genc/view?v=871446&amp;end_month=12&amp;end_day=31&amp;end_year=2016","Correlation")</f>
        <v>Correlation</v>
      </c>
    </row>
    <row r="3577" spans="1:13" x14ac:dyDescent="0.2">
      <c r="A3577" s="113"/>
      <c r="B3577" s="58" t="s">
        <v>9486</v>
      </c>
      <c r="C3577" s="58" t="s">
        <v>1796</v>
      </c>
      <c r="D3577" s="58" t="s">
        <v>9487</v>
      </c>
      <c r="E3577" s="60" t="b">
        <v>1</v>
      </c>
      <c r="F3577" s="80" t="s">
        <v>1171</v>
      </c>
      <c r="G3577" s="58" t="s">
        <v>9486</v>
      </c>
      <c r="H3577" s="58" t="s">
        <v>1796</v>
      </c>
      <c r="I3577" s="64" t="s">
        <v>9487</v>
      </c>
      <c r="J3577" s="66"/>
      <c r="K3577" s="66"/>
      <c r="L3577" s="68"/>
      <c r="M3577" s="63" t="str">
        <f>HYPERLINK("http://nsgreg.nga.mil/genc/view?v=871447&amp;end_month=12&amp;end_day=31&amp;end_year=2016","Correlation")</f>
        <v>Correlation</v>
      </c>
    </row>
    <row r="3578" spans="1:13" x14ac:dyDescent="0.2">
      <c r="A3578" s="113"/>
      <c r="B3578" s="58" t="s">
        <v>9490</v>
      </c>
      <c r="C3578" s="58" t="s">
        <v>1796</v>
      </c>
      <c r="D3578" s="58" t="s">
        <v>9489</v>
      </c>
      <c r="E3578" s="60" t="b">
        <v>1</v>
      </c>
      <c r="F3578" s="80" t="s">
        <v>1171</v>
      </c>
      <c r="G3578" s="58" t="s">
        <v>9488</v>
      </c>
      <c r="H3578" s="58" t="s">
        <v>1796</v>
      </c>
      <c r="I3578" s="64" t="s">
        <v>9489</v>
      </c>
      <c r="J3578" s="66"/>
      <c r="K3578" s="66"/>
      <c r="L3578" s="68"/>
      <c r="M3578" s="63" t="str">
        <f>HYPERLINK("http://nsgreg.nga.mil/genc/view?v=871448&amp;end_month=12&amp;end_day=31&amp;end_year=2016","Correlation")</f>
        <v>Correlation</v>
      </c>
    </row>
    <row r="3579" spans="1:13" x14ac:dyDescent="0.2">
      <c r="A3579" s="113"/>
      <c r="B3579" s="58" t="s">
        <v>9491</v>
      </c>
      <c r="C3579" s="58" t="s">
        <v>1796</v>
      </c>
      <c r="D3579" s="58" t="s">
        <v>9492</v>
      </c>
      <c r="E3579" s="60" t="b">
        <v>1</v>
      </c>
      <c r="F3579" s="80" t="s">
        <v>1171</v>
      </c>
      <c r="G3579" s="58" t="s">
        <v>9491</v>
      </c>
      <c r="H3579" s="58" t="s">
        <v>1796</v>
      </c>
      <c r="I3579" s="64" t="s">
        <v>9492</v>
      </c>
      <c r="J3579" s="66"/>
      <c r="K3579" s="66"/>
      <c r="L3579" s="68"/>
      <c r="M3579" s="63" t="str">
        <f>HYPERLINK("http://nsgreg.nga.mil/genc/view?v=871457&amp;end_month=12&amp;end_day=31&amp;end_year=2016","Correlation")</f>
        <v>Correlation</v>
      </c>
    </row>
    <row r="3580" spans="1:13" x14ac:dyDescent="0.2">
      <c r="A3580" s="113"/>
      <c r="B3580" s="58" t="s">
        <v>9493</v>
      </c>
      <c r="C3580" s="58" t="s">
        <v>1796</v>
      </c>
      <c r="D3580" s="58" t="s">
        <v>9494</v>
      </c>
      <c r="E3580" s="60" t="b">
        <v>1</v>
      </c>
      <c r="F3580" s="80" t="s">
        <v>1171</v>
      </c>
      <c r="G3580" s="58" t="s">
        <v>9493</v>
      </c>
      <c r="H3580" s="58" t="s">
        <v>1796</v>
      </c>
      <c r="I3580" s="64" t="s">
        <v>9494</v>
      </c>
      <c r="J3580" s="66"/>
      <c r="K3580" s="66"/>
      <c r="L3580" s="68"/>
      <c r="M3580" s="63" t="str">
        <f>HYPERLINK("http://nsgreg.nga.mil/genc/view?v=871450&amp;end_month=12&amp;end_day=31&amp;end_year=2016","Correlation")</f>
        <v>Correlation</v>
      </c>
    </row>
    <row r="3581" spans="1:13" x14ac:dyDescent="0.2">
      <c r="A3581" s="113"/>
      <c r="B3581" s="58" t="s">
        <v>9495</v>
      </c>
      <c r="C3581" s="58" t="s">
        <v>1796</v>
      </c>
      <c r="D3581" s="58" t="s">
        <v>9496</v>
      </c>
      <c r="E3581" s="60" t="b">
        <v>1</v>
      </c>
      <c r="F3581" s="80" t="s">
        <v>1171</v>
      </c>
      <c r="G3581" s="58" t="s">
        <v>9495</v>
      </c>
      <c r="H3581" s="58" t="s">
        <v>1796</v>
      </c>
      <c r="I3581" s="64" t="s">
        <v>9496</v>
      </c>
      <c r="J3581" s="66"/>
      <c r="K3581" s="66"/>
      <c r="L3581" s="68"/>
      <c r="M3581" s="63" t="str">
        <f>HYPERLINK("http://nsgreg.nga.mil/genc/view?v=871451&amp;end_month=12&amp;end_day=31&amp;end_year=2016","Correlation")</f>
        <v>Correlation</v>
      </c>
    </row>
    <row r="3582" spans="1:13" x14ac:dyDescent="0.2">
      <c r="A3582" s="113"/>
      <c r="B3582" s="58" t="s">
        <v>9497</v>
      </c>
      <c r="C3582" s="58" t="s">
        <v>1796</v>
      </c>
      <c r="D3582" s="58" t="s">
        <v>9498</v>
      </c>
      <c r="E3582" s="60" t="b">
        <v>1</v>
      </c>
      <c r="F3582" s="80" t="s">
        <v>1171</v>
      </c>
      <c r="G3582" s="58" t="s">
        <v>9497</v>
      </c>
      <c r="H3582" s="58" t="s">
        <v>1796</v>
      </c>
      <c r="I3582" s="64" t="s">
        <v>9498</v>
      </c>
      <c r="J3582" s="66"/>
      <c r="K3582" s="66"/>
      <c r="L3582" s="68"/>
      <c r="M3582" s="63" t="str">
        <f>HYPERLINK("http://nsgreg.nga.mil/genc/view?v=871452&amp;end_month=12&amp;end_day=31&amp;end_year=2016","Correlation")</f>
        <v>Correlation</v>
      </c>
    </row>
    <row r="3583" spans="1:13" x14ac:dyDescent="0.2">
      <c r="A3583" s="113"/>
      <c r="B3583" s="58" t="s">
        <v>9499</v>
      </c>
      <c r="C3583" s="58" t="s">
        <v>1796</v>
      </c>
      <c r="D3583" s="58" t="s">
        <v>9500</v>
      </c>
      <c r="E3583" s="60" t="b">
        <v>1</v>
      </c>
      <c r="F3583" s="80" t="s">
        <v>1171</v>
      </c>
      <c r="G3583" s="58" t="s">
        <v>9499</v>
      </c>
      <c r="H3583" s="58" t="s">
        <v>1796</v>
      </c>
      <c r="I3583" s="64" t="s">
        <v>9500</v>
      </c>
      <c r="J3583" s="66"/>
      <c r="K3583" s="66"/>
      <c r="L3583" s="68"/>
      <c r="M3583" s="63" t="str">
        <f>HYPERLINK("http://nsgreg.nga.mil/genc/view?v=871453&amp;end_month=12&amp;end_day=31&amp;end_year=2016","Correlation")</f>
        <v>Correlation</v>
      </c>
    </row>
    <row r="3584" spans="1:13" x14ac:dyDescent="0.2">
      <c r="A3584" s="113"/>
      <c r="B3584" s="58" t="s">
        <v>9501</v>
      </c>
      <c r="C3584" s="58" t="s">
        <v>1796</v>
      </c>
      <c r="D3584" s="58" t="s">
        <v>9502</v>
      </c>
      <c r="E3584" s="60" t="b">
        <v>1</v>
      </c>
      <c r="F3584" s="80" t="s">
        <v>1171</v>
      </c>
      <c r="G3584" s="58" t="s">
        <v>9501</v>
      </c>
      <c r="H3584" s="58" t="s">
        <v>1796</v>
      </c>
      <c r="I3584" s="64" t="s">
        <v>9502</v>
      </c>
      <c r="J3584" s="66"/>
      <c r="K3584" s="66"/>
      <c r="L3584" s="68"/>
      <c r="M3584" s="63" t="str">
        <f>HYPERLINK("http://nsgreg.nga.mil/genc/view?v=871454&amp;end_month=12&amp;end_day=31&amp;end_year=2016","Correlation")</f>
        <v>Correlation</v>
      </c>
    </row>
    <row r="3585" spans="1:13" x14ac:dyDescent="0.2">
      <c r="A3585" s="113"/>
      <c r="B3585" s="58" t="s">
        <v>9503</v>
      </c>
      <c r="C3585" s="58" t="s">
        <v>1796</v>
      </c>
      <c r="D3585" s="58" t="s">
        <v>9504</v>
      </c>
      <c r="E3585" s="60" t="b">
        <v>1</v>
      </c>
      <c r="F3585" s="80" t="s">
        <v>1171</v>
      </c>
      <c r="G3585" s="58" t="s">
        <v>9503</v>
      </c>
      <c r="H3585" s="58" t="s">
        <v>1796</v>
      </c>
      <c r="I3585" s="64" t="s">
        <v>9504</v>
      </c>
      <c r="J3585" s="66"/>
      <c r="K3585" s="66"/>
      <c r="L3585" s="68"/>
      <c r="M3585" s="63" t="str">
        <f>HYPERLINK("http://nsgreg.nga.mil/genc/view?v=871458&amp;end_month=12&amp;end_day=31&amp;end_year=2016","Correlation")</f>
        <v>Correlation</v>
      </c>
    </row>
    <row r="3586" spans="1:13" x14ac:dyDescent="0.2">
      <c r="A3586" s="113"/>
      <c r="B3586" s="58" t="s">
        <v>9505</v>
      </c>
      <c r="C3586" s="58" t="s">
        <v>1796</v>
      </c>
      <c r="D3586" s="58" t="s">
        <v>9506</v>
      </c>
      <c r="E3586" s="60" t="b">
        <v>1</v>
      </c>
      <c r="F3586" s="80" t="s">
        <v>1171</v>
      </c>
      <c r="G3586" s="58" t="s">
        <v>9505</v>
      </c>
      <c r="H3586" s="58" t="s">
        <v>1796</v>
      </c>
      <c r="I3586" s="64" t="s">
        <v>9506</v>
      </c>
      <c r="J3586" s="66"/>
      <c r="K3586" s="66"/>
      <c r="L3586" s="68"/>
      <c r="M3586" s="63" t="str">
        <f>HYPERLINK("http://nsgreg.nga.mil/genc/view?v=871455&amp;end_month=12&amp;end_day=31&amp;end_year=2016","Correlation")</f>
        <v>Correlation</v>
      </c>
    </row>
    <row r="3587" spans="1:13" x14ac:dyDescent="0.2">
      <c r="A3587" s="114"/>
      <c r="B3587" s="71" t="s">
        <v>9507</v>
      </c>
      <c r="C3587" s="71" t="s">
        <v>1796</v>
      </c>
      <c r="D3587" s="71" t="s">
        <v>9508</v>
      </c>
      <c r="E3587" s="73" t="b">
        <v>1</v>
      </c>
      <c r="F3587" s="81" t="s">
        <v>1171</v>
      </c>
      <c r="G3587" s="71" t="s">
        <v>9507</v>
      </c>
      <c r="H3587" s="71" t="s">
        <v>1796</v>
      </c>
      <c r="I3587" s="74" t="s">
        <v>9508</v>
      </c>
      <c r="J3587" s="76"/>
      <c r="K3587" s="76"/>
      <c r="L3587" s="82"/>
      <c r="M3587" s="77" t="str">
        <f>HYPERLINK("http://nsgreg.nga.mil/genc/view?v=871456&amp;end_month=12&amp;end_day=31&amp;end_year=2016","Correlation")</f>
        <v>Correlation</v>
      </c>
    </row>
    <row r="3588" spans="1:13" x14ac:dyDescent="0.2">
      <c r="A3588" s="112" t="s">
        <v>1175</v>
      </c>
      <c r="B3588" s="50" t="s">
        <v>4055</v>
      </c>
      <c r="C3588" s="50" t="s">
        <v>1413</v>
      </c>
      <c r="D3588" s="50" t="s">
        <v>9509</v>
      </c>
      <c r="E3588" s="52" t="b">
        <v>1</v>
      </c>
      <c r="F3588" s="78" t="s">
        <v>1175</v>
      </c>
      <c r="G3588" s="50" t="s">
        <v>4055</v>
      </c>
      <c r="H3588" s="50" t="s">
        <v>1413</v>
      </c>
      <c r="I3588" s="53" t="s">
        <v>9509</v>
      </c>
      <c r="J3588" s="55"/>
      <c r="K3588" s="55"/>
      <c r="L3588" s="79"/>
      <c r="M3588" s="56" t="str">
        <f>HYPERLINK("http://nsgreg.nga.mil/genc/view?v=871726&amp;end_month=12&amp;end_day=31&amp;end_year=2016","Correlation")</f>
        <v>Correlation</v>
      </c>
    </row>
    <row r="3589" spans="1:13" x14ac:dyDescent="0.2">
      <c r="A3589" s="113"/>
      <c r="B3589" s="58" t="s">
        <v>4071</v>
      </c>
      <c r="C3589" s="58" t="s">
        <v>1413</v>
      </c>
      <c r="D3589" s="58" t="s">
        <v>9510</v>
      </c>
      <c r="E3589" s="60" t="b">
        <v>1</v>
      </c>
      <c r="F3589" s="80" t="s">
        <v>1175</v>
      </c>
      <c r="G3589" s="58" t="s">
        <v>4071</v>
      </c>
      <c r="H3589" s="58" t="s">
        <v>1413</v>
      </c>
      <c r="I3589" s="64" t="s">
        <v>9510</v>
      </c>
      <c r="J3589" s="66"/>
      <c r="K3589" s="66"/>
      <c r="L3589" s="68"/>
      <c r="M3589" s="63" t="str">
        <f>HYPERLINK("http://nsgreg.nga.mil/genc/view?v=871727&amp;end_month=12&amp;end_day=31&amp;end_year=2016","Correlation")</f>
        <v>Correlation</v>
      </c>
    </row>
    <row r="3590" spans="1:13" x14ac:dyDescent="0.2">
      <c r="A3590" s="113"/>
      <c r="B3590" s="58" t="s">
        <v>2440</v>
      </c>
      <c r="C3590" s="58" t="s">
        <v>1413</v>
      </c>
      <c r="D3590" s="58" t="s">
        <v>9511</v>
      </c>
      <c r="E3590" s="60" t="b">
        <v>1</v>
      </c>
      <c r="F3590" s="80" t="s">
        <v>1175</v>
      </c>
      <c r="G3590" s="58" t="s">
        <v>2440</v>
      </c>
      <c r="H3590" s="58" t="s">
        <v>1413</v>
      </c>
      <c r="I3590" s="64" t="s">
        <v>9511</v>
      </c>
      <c r="J3590" s="66"/>
      <c r="K3590" s="66"/>
      <c r="L3590" s="68"/>
      <c r="M3590" s="63" t="str">
        <f>HYPERLINK("http://nsgreg.nga.mil/genc/view?v=871728&amp;end_month=12&amp;end_day=31&amp;end_year=2016","Correlation")</f>
        <v>Correlation</v>
      </c>
    </row>
    <row r="3591" spans="1:13" x14ac:dyDescent="0.2">
      <c r="A3591" s="114"/>
      <c r="B3591" s="71" t="s">
        <v>9512</v>
      </c>
      <c r="C3591" s="71" t="s">
        <v>9514</v>
      </c>
      <c r="D3591" s="71" t="s">
        <v>9513</v>
      </c>
      <c r="E3591" s="73" t="b">
        <v>1</v>
      </c>
      <c r="F3591" s="81" t="s">
        <v>1175</v>
      </c>
      <c r="G3591" s="71" t="s">
        <v>9512</v>
      </c>
      <c r="H3591" s="71" t="s">
        <v>1413</v>
      </c>
      <c r="I3591" s="74" t="s">
        <v>9513</v>
      </c>
      <c r="J3591" s="76"/>
      <c r="K3591" s="76"/>
      <c r="L3591" s="82"/>
      <c r="M3591" s="77" t="str">
        <f>HYPERLINK("http://nsgreg.nga.mil/genc/view?v=871729&amp;end_month=12&amp;end_day=31&amp;end_year=2016","Correlation")</f>
        <v>Correlation</v>
      </c>
    </row>
    <row r="3592" spans="1:13" x14ac:dyDescent="0.2">
      <c r="A3592" s="112" t="s">
        <v>1179</v>
      </c>
      <c r="B3592" s="50" t="s">
        <v>9515</v>
      </c>
      <c r="C3592" s="50" t="s">
        <v>1796</v>
      </c>
      <c r="D3592" s="50" t="s">
        <v>9516</v>
      </c>
      <c r="E3592" s="52" t="b">
        <v>1</v>
      </c>
      <c r="F3592" s="78" t="s">
        <v>1179</v>
      </c>
      <c r="G3592" s="50" t="s">
        <v>9515</v>
      </c>
      <c r="H3592" s="50" t="s">
        <v>1796</v>
      </c>
      <c r="I3592" s="53" t="s">
        <v>9516</v>
      </c>
      <c r="J3592" s="55"/>
      <c r="K3592" s="55"/>
      <c r="L3592" s="79"/>
      <c r="M3592" s="56" t="str">
        <f>HYPERLINK("http://nsgreg.nga.mil/genc/view?v=871498&amp;end_month=12&amp;end_day=31&amp;end_year=2016","Correlation")</f>
        <v>Correlation</v>
      </c>
    </row>
    <row r="3593" spans="1:13" x14ac:dyDescent="0.2">
      <c r="A3593" s="113"/>
      <c r="B3593" s="58" t="s">
        <v>2432</v>
      </c>
      <c r="C3593" s="58" t="s">
        <v>1796</v>
      </c>
      <c r="D3593" s="58" t="s">
        <v>9517</v>
      </c>
      <c r="E3593" s="60" t="b">
        <v>1</v>
      </c>
      <c r="F3593" s="80" t="s">
        <v>1179</v>
      </c>
      <c r="G3593" s="58" t="s">
        <v>2432</v>
      </c>
      <c r="H3593" s="58" t="s">
        <v>1796</v>
      </c>
      <c r="I3593" s="64" t="s">
        <v>9517</v>
      </c>
      <c r="J3593" s="66"/>
      <c r="K3593" s="66"/>
      <c r="L3593" s="68"/>
      <c r="M3593" s="63" t="str">
        <f>HYPERLINK("http://nsgreg.nga.mil/genc/view?v=871499&amp;end_month=12&amp;end_day=31&amp;end_year=2016","Correlation")</f>
        <v>Correlation</v>
      </c>
    </row>
    <row r="3594" spans="1:13" x14ac:dyDescent="0.2">
      <c r="A3594" s="113"/>
      <c r="B3594" s="58" t="s">
        <v>2434</v>
      </c>
      <c r="C3594" s="58" t="s">
        <v>1796</v>
      </c>
      <c r="D3594" s="58" t="s">
        <v>9518</v>
      </c>
      <c r="E3594" s="60" t="b">
        <v>1</v>
      </c>
      <c r="F3594" s="80" t="s">
        <v>1179</v>
      </c>
      <c r="G3594" s="58" t="s">
        <v>2434</v>
      </c>
      <c r="H3594" s="58" t="s">
        <v>1796</v>
      </c>
      <c r="I3594" s="64" t="s">
        <v>9518</v>
      </c>
      <c r="J3594" s="66"/>
      <c r="K3594" s="66"/>
      <c r="L3594" s="68"/>
      <c r="M3594" s="63" t="str">
        <f>HYPERLINK("http://nsgreg.nga.mil/genc/view?v=871500&amp;end_month=12&amp;end_day=31&amp;end_year=2016","Correlation")</f>
        <v>Correlation</v>
      </c>
    </row>
    <row r="3595" spans="1:13" x14ac:dyDescent="0.2">
      <c r="A3595" s="113"/>
      <c r="B3595" s="58" t="s">
        <v>2438</v>
      </c>
      <c r="C3595" s="58" t="s">
        <v>1796</v>
      </c>
      <c r="D3595" s="58" t="s">
        <v>9519</v>
      </c>
      <c r="E3595" s="60" t="b">
        <v>1</v>
      </c>
      <c r="F3595" s="80" t="s">
        <v>1179</v>
      </c>
      <c r="G3595" s="58" t="s">
        <v>2438</v>
      </c>
      <c r="H3595" s="58" t="s">
        <v>1796</v>
      </c>
      <c r="I3595" s="64" t="s">
        <v>9519</v>
      </c>
      <c r="J3595" s="66"/>
      <c r="K3595" s="66"/>
      <c r="L3595" s="68"/>
      <c r="M3595" s="63" t="str">
        <f>HYPERLINK("http://nsgreg.nga.mil/genc/view?v=871501&amp;end_month=12&amp;end_day=31&amp;end_year=2016","Correlation")</f>
        <v>Correlation</v>
      </c>
    </row>
    <row r="3596" spans="1:13" x14ac:dyDescent="0.2">
      <c r="A3596" s="114"/>
      <c r="B3596" s="71" t="s">
        <v>9520</v>
      </c>
      <c r="C3596" s="71" t="s">
        <v>1796</v>
      </c>
      <c r="D3596" s="71" t="s">
        <v>9521</v>
      </c>
      <c r="E3596" s="73" t="b">
        <v>1</v>
      </c>
      <c r="F3596" s="81" t="s">
        <v>1179</v>
      </c>
      <c r="G3596" s="71" t="s">
        <v>9520</v>
      </c>
      <c r="H3596" s="71" t="s">
        <v>1796</v>
      </c>
      <c r="I3596" s="74" t="s">
        <v>9521</v>
      </c>
      <c r="J3596" s="76"/>
      <c r="K3596" s="76"/>
      <c r="L3596" s="82"/>
      <c r="M3596" s="77" t="str">
        <f>HYPERLINK("http://nsgreg.nga.mil/genc/view?v=871502&amp;end_month=12&amp;end_day=31&amp;end_year=2016","Correlation")</f>
        <v>Correlation</v>
      </c>
    </row>
    <row r="3597" spans="1:13" x14ac:dyDescent="0.2">
      <c r="A3597" s="112" t="s">
        <v>1190</v>
      </c>
      <c r="B3597" s="50" t="s">
        <v>9524</v>
      </c>
      <c r="C3597" s="50" t="s">
        <v>1728</v>
      </c>
      <c r="D3597" s="50" t="s">
        <v>9523</v>
      </c>
      <c r="E3597" s="52" t="b">
        <v>1</v>
      </c>
      <c r="F3597" s="78" t="s">
        <v>1190</v>
      </c>
      <c r="G3597" s="50" t="s">
        <v>9522</v>
      </c>
      <c r="H3597" s="50" t="s">
        <v>1796</v>
      </c>
      <c r="I3597" s="53" t="s">
        <v>9523</v>
      </c>
      <c r="J3597" s="55"/>
      <c r="K3597" s="55"/>
      <c r="L3597" s="79"/>
      <c r="M3597" s="56" t="str">
        <f>HYPERLINK("http://nsgreg.nga.mil/genc/view?v=871718&amp;end_month=12&amp;end_day=31&amp;end_year=2016","Correlation")</f>
        <v>Correlation</v>
      </c>
    </row>
    <row r="3598" spans="1:13" x14ac:dyDescent="0.2">
      <c r="A3598" s="113"/>
      <c r="B3598" s="58" t="s">
        <v>9527</v>
      </c>
      <c r="C3598" s="58" t="s">
        <v>1728</v>
      </c>
      <c r="D3598" s="58" t="s">
        <v>9526</v>
      </c>
      <c r="E3598" s="60" t="b">
        <v>1</v>
      </c>
      <c r="F3598" s="80" t="s">
        <v>1190</v>
      </c>
      <c r="G3598" s="58" t="s">
        <v>9525</v>
      </c>
      <c r="H3598" s="58" t="s">
        <v>1796</v>
      </c>
      <c r="I3598" s="64" t="s">
        <v>9526</v>
      </c>
      <c r="J3598" s="66"/>
      <c r="K3598" s="66"/>
      <c r="L3598" s="68"/>
      <c r="M3598" s="63" t="str">
        <f>HYPERLINK("http://nsgreg.nga.mil/genc/view?v=871719&amp;end_month=12&amp;end_day=31&amp;end_year=2016","Correlation")</f>
        <v>Correlation</v>
      </c>
    </row>
    <row r="3599" spans="1:13" x14ac:dyDescent="0.2">
      <c r="A3599" s="113"/>
      <c r="B3599" s="58" t="s">
        <v>9530</v>
      </c>
      <c r="C3599" s="58" t="s">
        <v>1728</v>
      </c>
      <c r="D3599" s="58" t="s">
        <v>9529</v>
      </c>
      <c r="E3599" s="60" t="b">
        <v>1</v>
      </c>
      <c r="F3599" s="80" t="s">
        <v>1190</v>
      </c>
      <c r="G3599" s="58" t="s">
        <v>9528</v>
      </c>
      <c r="H3599" s="58" t="s">
        <v>1796</v>
      </c>
      <c r="I3599" s="64" t="s">
        <v>9529</v>
      </c>
      <c r="J3599" s="66"/>
      <c r="K3599" s="66"/>
      <c r="L3599" s="68"/>
      <c r="M3599" s="63" t="str">
        <f>HYPERLINK("http://nsgreg.nga.mil/genc/view?v=871720&amp;end_month=12&amp;end_day=31&amp;end_year=2016","Correlation")</f>
        <v>Correlation</v>
      </c>
    </row>
    <row r="3600" spans="1:13" x14ac:dyDescent="0.2">
      <c r="A3600" s="113"/>
      <c r="B3600" s="58" t="s">
        <v>9533</v>
      </c>
      <c r="C3600" s="58" t="s">
        <v>1728</v>
      </c>
      <c r="D3600" s="58" t="s">
        <v>9532</v>
      </c>
      <c r="E3600" s="60" t="b">
        <v>1</v>
      </c>
      <c r="F3600" s="80" t="s">
        <v>1190</v>
      </c>
      <c r="G3600" s="58" t="s">
        <v>9531</v>
      </c>
      <c r="H3600" s="58" t="s">
        <v>1796</v>
      </c>
      <c r="I3600" s="64" t="s">
        <v>9532</v>
      </c>
      <c r="J3600" s="66"/>
      <c r="K3600" s="66"/>
      <c r="L3600" s="68"/>
      <c r="M3600" s="63" t="str">
        <f>HYPERLINK("http://nsgreg.nga.mil/genc/view?v=871721&amp;end_month=12&amp;end_day=31&amp;end_year=2016","Correlation")</f>
        <v>Correlation</v>
      </c>
    </row>
    <row r="3601" spans="1:13" x14ac:dyDescent="0.2">
      <c r="A3601" s="113"/>
      <c r="B3601" s="58" t="s">
        <v>9536</v>
      </c>
      <c r="C3601" s="58" t="s">
        <v>1728</v>
      </c>
      <c r="D3601" s="58" t="s">
        <v>9535</v>
      </c>
      <c r="E3601" s="60" t="b">
        <v>1</v>
      </c>
      <c r="F3601" s="80" t="s">
        <v>1190</v>
      </c>
      <c r="G3601" s="58" t="s">
        <v>9534</v>
      </c>
      <c r="H3601" s="58" t="s">
        <v>1796</v>
      </c>
      <c r="I3601" s="64" t="s">
        <v>9535</v>
      </c>
      <c r="J3601" s="66"/>
      <c r="K3601" s="66"/>
      <c r="L3601" s="68"/>
      <c r="M3601" s="63" t="str">
        <f>HYPERLINK("http://nsgreg.nga.mil/genc/view?v=871722&amp;end_month=12&amp;end_day=31&amp;end_year=2016","Correlation")</f>
        <v>Correlation</v>
      </c>
    </row>
    <row r="3602" spans="1:13" x14ac:dyDescent="0.2">
      <c r="A3602" s="113"/>
      <c r="B3602" s="58" t="s">
        <v>9539</v>
      </c>
      <c r="C3602" s="58" t="s">
        <v>1728</v>
      </c>
      <c r="D3602" s="58" t="s">
        <v>9538</v>
      </c>
      <c r="E3602" s="60" t="b">
        <v>1</v>
      </c>
      <c r="F3602" s="80" t="s">
        <v>1190</v>
      </c>
      <c r="G3602" s="58" t="s">
        <v>9537</v>
      </c>
      <c r="H3602" s="58" t="s">
        <v>1796</v>
      </c>
      <c r="I3602" s="64" t="s">
        <v>9538</v>
      </c>
      <c r="J3602" s="66"/>
      <c r="K3602" s="66"/>
      <c r="L3602" s="68"/>
      <c r="M3602" s="63" t="str">
        <f>HYPERLINK("http://nsgreg.nga.mil/genc/view?v=871724&amp;end_month=12&amp;end_day=31&amp;end_year=2016","Correlation")</f>
        <v>Correlation</v>
      </c>
    </row>
    <row r="3603" spans="1:13" x14ac:dyDescent="0.2">
      <c r="A3603" s="113"/>
      <c r="B3603" s="58" t="s">
        <v>9542</v>
      </c>
      <c r="C3603" s="58" t="s">
        <v>1728</v>
      </c>
      <c r="D3603" s="58" t="s">
        <v>9541</v>
      </c>
      <c r="E3603" s="60" t="b">
        <v>1</v>
      </c>
      <c r="F3603" s="80" t="s">
        <v>1190</v>
      </c>
      <c r="G3603" s="58" t="s">
        <v>9540</v>
      </c>
      <c r="H3603" s="58" t="s">
        <v>1796</v>
      </c>
      <c r="I3603" s="64" t="s">
        <v>9541</v>
      </c>
      <c r="J3603" s="66"/>
      <c r="K3603" s="66"/>
      <c r="L3603" s="68"/>
      <c r="M3603" s="63" t="str">
        <f>HYPERLINK("http://nsgreg.nga.mil/genc/view?v=871723&amp;end_month=12&amp;end_day=31&amp;end_year=2016","Correlation")</f>
        <v>Correlation</v>
      </c>
    </row>
    <row r="3604" spans="1:13" x14ac:dyDescent="0.2">
      <c r="A3604" s="114"/>
      <c r="B3604" s="71" t="s">
        <v>9545</v>
      </c>
      <c r="C3604" s="71" t="s">
        <v>1728</v>
      </c>
      <c r="D3604" s="71" t="s">
        <v>9544</v>
      </c>
      <c r="E3604" s="73" t="b">
        <v>1</v>
      </c>
      <c r="F3604" s="81" t="s">
        <v>1190</v>
      </c>
      <c r="G3604" s="71" t="s">
        <v>9543</v>
      </c>
      <c r="H3604" s="71" t="s">
        <v>1796</v>
      </c>
      <c r="I3604" s="74" t="s">
        <v>9544</v>
      </c>
      <c r="J3604" s="76"/>
      <c r="K3604" s="76"/>
      <c r="L3604" s="82"/>
      <c r="M3604" s="77" t="str">
        <f>HYPERLINK("http://nsgreg.nga.mil/genc/view?v=871725&amp;end_month=12&amp;end_day=31&amp;end_year=2016","Correlation")</f>
        <v>Correlation</v>
      </c>
    </row>
    <row r="3605" spans="1:13" x14ac:dyDescent="0.2">
      <c r="A3605" s="112" t="s">
        <v>1194</v>
      </c>
      <c r="B3605" s="50" t="s">
        <v>9546</v>
      </c>
      <c r="C3605" s="50" t="s">
        <v>1816</v>
      </c>
      <c r="D3605" s="50" t="s">
        <v>9547</v>
      </c>
      <c r="E3605" s="52" t="b">
        <v>1</v>
      </c>
      <c r="F3605" s="78" t="s">
        <v>1194</v>
      </c>
      <c r="G3605" s="50" t="s">
        <v>9546</v>
      </c>
      <c r="H3605" s="50" t="s">
        <v>1816</v>
      </c>
      <c r="I3605" s="53" t="s">
        <v>9547</v>
      </c>
      <c r="J3605" s="55"/>
      <c r="K3605" s="55"/>
      <c r="L3605" s="79"/>
      <c r="M3605" s="56" t="str">
        <f>HYPERLINK("http://nsgreg.nga.mil/genc/view?v=871506&amp;end_month=12&amp;end_day=31&amp;end_year=2016","Correlation")</f>
        <v>Correlation</v>
      </c>
    </row>
    <row r="3606" spans="1:13" x14ac:dyDescent="0.2">
      <c r="A3606" s="113"/>
      <c r="B3606" s="58" t="s">
        <v>9548</v>
      </c>
      <c r="C3606" s="58" t="s">
        <v>1816</v>
      </c>
      <c r="D3606" s="58" t="s">
        <v>9549</v>
      </c>
      <c r="E3606" s="60" t="b">
        <v>1</v>
      </c>
      <c r="F3606" s="80" t="s">
        <v>1194</v>
      </c>
      <c r="G3606" s="58" t="s">
        <v>9548</v>
      </c>
      <c r="H3606" s="58" t="s">
        <v>1816</v>
      </c>
      <c r="I3606" s="64" t="s">
        <v>9549</v>
      </c>
      <c r="J3606" s="66"/>
      <c r="K3606" s="66"/>
      <c r="L3606" s="68"/>
      <c r="M3606" s="63" t="str">
        <f>HYPERLINK("http://nsgreg.nga.mil/genc/view?v=871717&amp;end_month=12&amp;end_day=31&amp;end_year=2016","Correlation")</f>
        <v>Correlation</v>
      </c>
    </row>
    <row r="3607" spans="1:13" x14ac:dyDescent="0.2">
      <c r="A3607" s="113"/>
      <c r="B3607" s="58" t="s">
        <v>9550</v>
      </c>
      <c r="C3607" s="58" t="s">
        <v>1816</v>
      </c>
      <c r="D3607" s="58" t="s">
        <v>9551</v>
      </c>
      <c r="E3607" s="60" t="b">
        <v>1</v>
      </c>
      <c r="F3607" s="80" t="s">
        <v>1194</v>
      </c>
      <c r="G3607" s="58" t="s">
        <v>9550</v>
      </c>
      <c r="H3607" s="58" t="s">
        <v>1816</v>
      </c>
      <c r="I3607" s="64" t="s">
        <v>9551</v>
      </c>
      <c r="J3607" s="66"/>
      <c r="K3607" s="66"/>
      <c r="L3607" s="68"/>
      <c r="M3607" s="63" t="str">
        <f>HYPERLINK("http://nsgreg.nga.mil/genc/view?v=871699&amp;end_month=12&amp;end_day=31&amp;end_year=2016","Correlation")</f>
        <v>Correlation</v>
      </c>
    </row>
    <row r="3608" spans="1:13" x14ac:dyDescent="0.2">
      <c r="A3608" s="113"/>
      <c r="B3608" s="58" t="s">
        <v>9552</v>
      </c>
      <c r="C3608" s="58" t="s">
        <v>1816</v>
      </c>
      <c r="D3608" s="58" t="s">
        <v>9553</v>
      </c>
      <c r="E3608" s="60" t="b">
        <v>1</v>
      </c>
      <c r="F3608" s="80" t="s">
        <v>1194</v>
      </c>
      <c r="G3608" s="58" t="s">
        <v>9552</v>
      </c>
      <c r="H3608" s="58" t="s">
        <v>1816</v>
      </c>
      <c r="I3608" s="64" t="s">
        <v>9553</v>
      </c>
      <c r="J3608" s="66"/>
      <c r="K3608" s="66"/>
      <c r="L3608" s="68"/>
      <c r="M3608" s="63" t="str">
        <f>HYPERLINK("http://nsgreg.nga.mil/genc/view?v=871507&amp;end_month=12&amp;end_day=31&amp;end_year=2016","Correlation")</f>
        <v>Correlation</v>
      </c>
    </row>
    <row r="3609" spans="1:13" x14ac:dyDescent="0.2">
      <c r="A3609" s="113"/>
      <c r="B3609" s="58" t="s">
        <v>9554</v>
      </c>
      <c r="C3609" s="58" t="s">
        <v>1816</v>
      </c>
      <c r="D3609" s="58" t="s">
        <v>9555</v>
      </c>
      <c r="E3609" s="60" t="b">
        <v>1</v>
      </c>
      <c r="F3609" s="80" t="s">
        <v>1194</v>
      </c>
      <c r="G3609" s="58" t="s">
        <v>9554</v>
      </c>
      <c r="H3609" s="58" t="s">
        <v>1816</v>
      </c>
      <c r="I3609" s="64" t="s">
        <v>9555</v>
      </c>
      <c r="J3609" s="66"/>
      <c r="K3609" s="66"/>
      <c r="L3609" s="68"/>
      <c r="M3609" s="63" t="str">
        <f>HYPERLINK("http://nsgreg.nga.mil/genc/view?v=871652&amp;end_month=12&amp;end_day=31&amp;end_year=2016","Correlation")</f>
        <v>Correlation</v>
      </c>
    </row>
    <row r="3610" spans="1:13" x14ac:dyDescent="0.2">
      <c r="A3610" s="113"/>
      <c r="B3610" s="58" t="s">
        <v>9556</v>
      </c>
      <c r="C3610" s="58" t="s">
        <v>1816</v>
      </c>
      <c r="D3610" s="58" t="s">
        <v>9557</v>
      </c>
      <c r="E3610" s="60" t="b">
        <v>1</v>
      </c>
      <c r="F3610" s="80" t="s">
        <v>1194</v>
      </c>
      <c r="G3610" s="58" t="s">
        <v>9556</v>
      </c>
      <c r="H3610" s="58" t="s">
        <v>1816</v>
      </c>
      <c r="I3610" s="64" t="s">
        <v>9557</v>
      </c>
      <c r="J3610" s="66"/>
      <c r="K3610" s="66"/>
      <c r="L3610" s="68"/>
      <c r="M3610" s="63" t="str">
        <f>HYPERLINK("http://nsgreg.nga.mil/genc/view?v=871653&amp;end_month=12&amp;end_day=31&amp;end_year=2016","Correlation")</f>
        <v>Correlation</v>
      </c>
    </row>
    <row r="3611" spans="1:13" x14ac:dyDescent="0.2">
      <c r="A3611" s="113"/>
      <c r="B3611" s="58" t="s">
        <v>9558</v>
      </c>
      <c r="C3611" s="58" t="s">
        <v>1816</v>
      </c>
      <c r="D3611" s="58" t="s">
        <v>9559</v>
      </c>
      <c r="E3611" s="60" t="b">
        <v>1</v>
      </c>
      <c r="F3611" s="80" t="s">
        <v>1194</v>
      </c>
      <c r="G3611" s="58" t="s">
        <v>9558</v>
      </c>
      <c r="H3611" s="58" t="s">
        <v>1816</v>
      </c>
      <c r="I3611" s="64" t="s">
        <v>9559</v>
      </c>
      <c r="J3611" s="66"/>
      <c r="K3611" s="66"/>
      <c r="L3611" s="68"/>
      <c r="M3611" s="63" t="str">
        <f>HYPERLINK("http://nsgreg.nga.mil/genc/view?v=871508&amp;end_month=12&amp;end_day=31&amp;end_year=2016","Correlation")</f>
        <v>Correlation</v>
      </c>
    </row>
    <row r="3612" spans="1:13" x14ac:dyDescent="0.2">
      <c r="A3612" s="113"/>
      <c r="B3612" s="58" t="s">
        <v>9560</v>
      </c>
      <c r="C3612" s="58" t="s">
        <v>1816</v>
      </c>
      <c r="D3612" s="58" t="s">
        <v>9561</v>
      </c>
      <c r="E3612" s="60" t="b">
        <v>1</v>
      </c>
      <c r="F3612" s="80" t="s">
        <v>1194</v>
      </c>
      <c r="G3612" s="58" t="s">
        <v>9560</v>
      </c>
      <c r="H3612" s="58" t="s">
        <v>1816</v>
      </c>
      <c r="I3612" s="64" t="s">
        <v>9561</v>
      </c>
      <c r="J3612" s="66"/>
      <c r="K3612" s="66"/>
      <c r="L3612" s="68"/>
      <c r="M3612" s="63" t="str">
        <f>HYPERLINK("http://nsgreg.nga.mil/genc/view?v=871654&amp;end_month=12&amp;end_day=31&amp;end_year=2016","Correlation")</f>
        <v>Correlation</v>
      </c>
    </row>
    <row r="3613" spans="1:13" x14ac:dyDescent="0.2">
      <c r="A3613" s="113"/>
      <c r="B3613" s="58" t="s">
        <v>9562</v>
      </c>
      <c r="C3613" s="58" t="s">
        <v>1816</v>
      </c>
      <c r="D3613" s="58" t="s">
        <v>9563</v>
      </c>
      <c r="E3613" s="60" t="b">
        <v>1</v>
      </c>
      <c r="F3613" s="80" t="s">
        <v>1194</v>
      </c>
      <c r="G3613" s="58" t="s">
        <v>9562</v>
      </c>
      <c r="H3613" s="58" t="s">
        <v>1816</v>
      </c>
      <c r="I3613" s="64" t="s">
        <v>9563</v>
      </c>
      <c r="J3613" s="66"/>
      <c r="K3613" s="66"/>
      <c r="L3613" s="68"/>
      <c r="M3613" s="63" t="str">
        <f>HYPERLINK("http://nsgreg.nga.mil/genc/view?v=871509&amp;end_month=12&amp;end_day=31&amp;end_year=2016","Correlation")</f>
        <v>Correlation</v>
      </c>
    </row>
    <row r="3614" spans="1:13" x14ac:dyDescent="0.2">
      <c r="A3614" s="113"/>
      <c r="B3614" s="58" t="s">
        <v>9564</v>
      </c>
      <c r="C3614" s="58" t="s">
        <v>1816</v>
      </c>
      <c r="D3614" s="58" t="s">
        <v>9565</v>
      </c>
      <c r="E3614" s="60" t="b">
        <v>1</v>
      </c>
      <c r="F3614" s="80" t="s">
        <v>1194</v>
      </c>
      <c r="G3614" s="58" t="s">
        <v>9564</v>
      </c>
      <c r="H3614" s="58" t="s">
        <v>1816</v>
      </c>
      <c r="I3614" s="64" t="s">
        <v>9565</v>
      </c>
      <c r="J3614" s="66"/>
      <c r="K3614" s="66"/>
      <c r="L3614" s="68"/>
      <c r="M3614" s="63" t="str">
        <f>HYPERLINK("http://nsgreg.nga.mil/genc/view?v=871510&amp;end_month=12&amp;end_day=31&amp;end_year=2016","Correlation")</f>
        <v>Correlation</v>
      </c>
    </row>
    <row r="3615" spans="1:13" x14ac:dyDescent="0.2">
      <c r="A3615" s="113"/>
      <c r="B3615" s="58" t="s">
        <v>9566</v>
      </c>
      <c r="C3615" s="58" t="s">
        <v>1816</v>
      </c>
      <c r="D3615" s="58" t="s">
        <v>9567</v>
      </c>
      <c r="E3615" s="60" t="b">
        <v>1</v>
      </c>
      <c r="F3615" s="80" t="s">
        <v>1194</v>
      </c>
      <c r="G3615" s="58" t="s">
        <v>9566</v>
      </c>
      <c r="H3615" s="58" t="s">
        <v>1816</v>
      </c>
      <c r="I3615" s="64" t="s">
        <v>9567</v>
      </c>
      <c r="J3615" s="66"/>
      <c r="K3615" s="66"/>
      <c r="L3615" s="68"/>
      <c r="M3615" s="63" t="str">
        <f>HYPERLINK("http://nsgreg.nga.mil/genc/view?v=871511&amp;end_month=12&amp;end_day=31&amp;end_year=2016","Correlation")</f>
        <v>Correlation</v>
      </c>
    </row>
    <row r="3616" spans="1:13" x14ac:dyDescent="0.2">
      <c r="A3616" s="113"/>
      <c r="B3616" s="58" t="s">
        <v>9568</v>
      </c>
      <c r="C3616" s="58" t="s">
        <v>1816</v>
      </c>
      <c r="D3616" s="58" t="s">
        <v>9569</v>
      </c>
      <c r="E3616" s="60" t="b">
        <v>1</v>
      </c>
      <c r="F3616" s="80" t="s">
        <v>1194</v>
      </c>
      <c r="G3616" s="58" t="s">
        <v>9568</v>
      </c>
      <c r="H3616" s="58" t="s">
        <v>1816</v>
      </c>
      <c r="I3616" s="64" t="s">
        <v>9569</v>
      </c>
      <c r="J3616" s="66"/>
      <c r="K3616" s="66"/>
      <c r="L3616" s="68"/>
      <c r="M3616" s="63" t="str">
        <f>HYPERLINK("http://nsgreg.nga.mil/genc/view?v=871655&amp;end_month=12&amp;end_day=31&amp;end_year=2016","Correlation")</f>
        <v>Correlation</v>
      </c>
    </row>
    <row r="3617" spans="1:13" x14ac:dyDescent="0.2">
      <c r="A3617" s="113"/>
      <c r="B3617" s="58" t="s">
        <v>9570</v>
      </c>
      <c r="C3617" s="58" t="s">
        <v>1816</v>
      </c>
      <c r="D3617" s="58" t="s">
        <v>9571</v>
      </c>
      <c r="E3617" s="60" t="b">
        <v>1</v>
      </c>
      <c r="F3617" s="80" t="s">
        <v>1194</v>
      </c>
      <c r="G3617" s="58" t="s">
        <v>9570</v>
      </c>
      <c r="H3617" s="58" t="s">
        <v>1816</v>
      </c>
      <c r="I3617" s="64" t="s">
        <v>9571</v>
      </c>
      <c r="J3617" s="66"/>
      <c r="K3617" s="66"/>
      <c r="L3617" s="68"/>
      <c r="M3617" s="63" t="str">
        <f>HYPERLINK("http://nsgreg.nga.mil/genc/view?v=871512&amp;end_month=12&amp;end_day=31&amp;end_year=2016","Correlation")</f>
        <v>Correlation</v>
      </c>
    </row>
    <row r="3618" spans="1:13" x14ac:dyDescent="0.2">
      <c r="A3618" s="113"/>
      <c r="B3618" s="58" t="s">
        <v>9572</v>
      </c>
      <c r="C3618" s="58" t="s">
        <v>1816</v>
      </c>
      <c r="D3618" s="58" t="s">
        <v>9573</v>
      </c>
      <c r="E3618" s="60" t="b">
        <v>1</v>
      </c>
      <c r="F3618" s="80" t="s">
        <v>1194</v>
      </c>
      <c r="G3618" s="58" t="s">
        <v>9572</v>
      </c>
      <c r="H3618" s="58" t="s">
        <v>1816</v>
      </c>
      <c r="I3618" s="64" t="s">
        <v>9573</v>
      </c>
      <c r="J3618" s="66"/>
      <c r="K3618" s="66"/>
      <c r="L3618" s="68"/>
      <c r="M3618" s="63" t="str">
        <f>HYPERLINK("http://nsgreg.nga.mil/genc/view?v=871514&amp;end_month=12&amp;end_day=31&amp;end_year=2016","Correlation")</f>
        <v>Correlation</v>
      </c>
    </row>
    <row r="3619" spans="1:13" x14ac:dyDescent="0.2">
      <c r="A3619" s="113"/>
      <c r="B3619" s="58" t="s">
        <v>9574</v>
      </c>
      <c r="C3619" s="58" t="s">
        <v>1816</v>
      </c>
      <c r="D3619" s="58" t="s">
        <v>9575</v>
      </c>
      <c r="E3619" s="60" t="b">
        <v>1</v>
      </c>
      <c r="F3619" s="80" t="s">
        <v>1194</v>
      </c>
      <c r="G3619" s="58" t="s">
        <v>9574</v>
      </c>
      <c r="H3619" s="58" t="s">
        <v>1816</v>
      </c>
      <c r="I3619" s="64" t="s">
        <v>9575</v>
      </c>
      <c r="J3619" s="66"/>
      <c r="K3619" s="66"/>
      <c r="L3619" s="68"/>
      <c r="M3619" s="63" t="str">
        <f>HYPERLINK("http://nsgreg.nga.mil/genc/view?v=871513&amp;end_month=12&amp;end_day=31&amp;end_year=2016","Correlation")</f>
        <v>Correlation</v>
      </c>
    </row>
    <row r="3620" spans="1:13" x14ac:dyDescent="0.2">
      <c r="A3620" s="113"/>
      <c r="B3620" s="58" t="s">
        <v>9576</v>
      </c>
      <c r="C3620" s="58" t="s">
        <v>1816</v>
      </c>
      <c r="D3620" s="58" t="s">
        <v>9577</v>
      </c>
      <c r="E3620" s="60" t="b">
        <v>1</v>
      </c>
      <c r="F3620" s="80" t="s">
        <v>1194</v>
      </c>
      <c r="G3620" s="58" t="s">
        <v>9576</v>
      </c>
      <c r="H3620" s="58" t="s">
        <v>1816</v>
      </c>
      <c r="I3620" s="64" t="s">
        <v>9577</v>
      </c>
      <c r="J3620" s="66"/>
      <c r="K3620" s="66"/>
      <c r="L3620" s="68"/>
      <c r="M3620" s="63" t="str">
        <f>HYPERLINK("http://nsgreg.nga.mil/genc/view?v=871656&amp;end_month=12&amp;end_day=31&amp;end_year=2016","Correlation")</f>
        <v>Correlation</v>
      </c>
    </row>
    <row r="3621" spans="1:13" x14ac:dyDescent="0.2">
      <c r="A3621" s="113"/>
      <c r="B3621" s="58" t="s">
        <v>9578</v>
      </c>
      <c r="C3621" s="58" t="s">
        <v>1816</v>
      </c>
      <c r="D3621" s="58" t="s">
        <v>9579</v>
      </c>
      <c r="E3621" s="60" t="b">
        <v>1</v>
      </c>
      <c r="F3621" s="80" t="s">
        <v>1194</v>
      </c>
      <c r="G3621" s="58" t="s">
        <v>9578</v>
      </c>
      <c r="H3621" s="58" t="s">
        <v>1816</v>
      </c>
      <c r="I3621" s="64" t="s">
        <v>9579</v>
      </c>
      <c r="J3621" s="66"/>
      <c r="K3621" s="66"/>
      <c r="L3621" s="68"/>
      <c r="M3621" s="63" t="str">
        <f>HYPERLINK("http://nsgreg.nga.mil/genc/view?v=871516&amp;end_month=12&amp;end_day=31&amp;end_year=2016","Correlation")</f>
        <v>Correlation</v>
      </c>
    </row>
    <row r="3622" spans="1:13" x14ac:dyDescent="0.2">
      <c r="A3622" s="113"/>
      <c r="B3622" s="58" t="s">
        <v>9580</v>
      </c>
      <c r="C3622" s="58" t="s">
        <v>1816</v>
      </c>
      <c r="D3622" s="58" t="s">
        <v>9581</v>
      </c>
      <c r="E3622" s="60" t="b">
        <v>1</v>
      </c>
      <c r="F3622" s="80" t="s">
        <v>1194</v>
      </c>
      <c r="G3622" s="58" t="s">
        <v>9580</v>
      </c>
      <c r="H3622" s="58" t="s">
        <v>1816</v>
      </c>
      <c r="I3622" s="64" t="s">
        <v>9581</v>
      </c>
      <c r="J3622" s="66"/>
      <c r="K3622" s="66"/>
      <c r="L3622" s="68"/>
      <c r="M3622" s="63" t="str">
        <f>HYPERLINK("http://nsgreg.nga.mil/genc/view?v=871517&amp;end_month=12&amp;end_day=31&amp;end_year=2016","Correlation")</f>
        <v>Correlation</v>
      </c>
    </row>
    <row r="3623" spans="1:13" x14ac:dyDescent="0.2">
      <c r="A3623" s="113"/>
      <c r="B3623" s="58" t="s">
        <v>9582</v>
      </c>
      <c r="C3623" s="58" t="s">
        <v>1816</v>
      </c>
      <c r="D3623" s="58" t="s">
        <v>9583</v>
      </c>
      <c r="E3623" s="60" t="b">
        <v>1</v>
      </c>
      <c r="F3623" s="80" t="s">
        <v>1194</v>
      </c>
      <c r="G3623" s="58" t="s">
        <v>9582</v>
      </c>
      <c r="H3623" s="58" t="s">
        <v>1816</v>
      </c>
      <c r="I3623" s="64" t="s">
        <v>9583</v>
      </c>
      <c r="J3623" s="66"/>
      <c r="K3623" s="66"/>
      <c r="L3623" s="68"/>
      <c r="M3623" s="63" t="str">
        <f>HYPERLINK("http://nsgreg.nga.mil/genc/view?v=871518&amp;end_month=12&amp;end_day=31&amp;end_year=2016","Correlation")</f>
        <v>Correlation</v>
      </c>
    </row>
    <row r="3624" spans="1:13" x14ac:dyDescent="0.2">
      <c r="A3624" s="113"/>
      <c r="B3624" s="58" t="s">
        <v>9584</v>
      </c>
      <c r="C3624" s="58" t="s">
        <v>1816</v>
      </c>
      <c r="D3624" s="58" t="s">
        <v>9585</v>
      </c>
      <c r="E3624" s="60" t="b">
        <v>1</v>
      </c>
      <c r="F3624" s="80" t="s">
        <v>1194</v>
      </c>
      <c r="G3624" s="58" t="s">
        <v>9584</v>
      </c>
      <c r="H3624" s="58" t="s">
        <v>1816</v>
      </c>
      <c r="I3624" s="64" t="s">
        <v>9585</v>
      </c>
      <c r="J3624" s="66"/>
      <c r="K3624" s="66"/>
      <c r="L3624" s="68"/>
      <c r="M3624" s="63" t="str">
        <f>HYPERLINK("http://nsgreg.nga.mil/genc/view?v=871519&amp;end_month=12&amp;end_day=31&amp;end_year=2016","Correlation")</f>
        <v>Correlation</v>
      </c>
    </row>
    <row r="3625" spans="1:13" x14ac:dyDescent="0.2">
      <c r="A3625" s="113"/>
      <c r="B3625" s="58" t="s">
        <v>9586</v>
      </c>
      <c r="C3625" s="58" t="s">
        <v>1816</v>
      </c>
      <c r="D3625" s="58" t="s">
        <v>9587</v>
      </c>
      <c r="E3625" s="60" t="b">
        <v>1</v>
      </c>
      <c r="F3625" s="80" t="s">
        <v>1194</v>
      </c>
      <c r="G3625" s="58" t="s">
        <v>9586</v>
      </c>
      <c r="H3625" s="58" t="s">
        <v>1816</v>
      </c>
      <c r="I3625" s="64" t="s">
        <v>9587</v>
      </c>
      <c r="J3625" s="66"/>
      <c r="K3625" s="66"/>
      <c r="L3625" s="68"/>
      <c r="M3625" s="63" t="str">
        <f>HYPERLINK("http://nsgreg.nga.mil/genc/view?v=871657&amp;end_month=12&amp;end_day=31&amp;end_year=2016","Correlation")</f>
        <v>Correlation</v>
      </c>
    </row>
    <row r="3626" spans="1:13" x14ac:dyDescent="0.2">
      <c r="A3626" s="113"/>
      <c r="B3626" s="58" t="s">
        <v>9588</v>
      </c>
      <c r="C3626" s="58" t="s">
        <v>1816</v>
      </c>
      <c r="D3626" s="58" t="s">
        <v>9589</v>
      </c>
      <c r="E3626" s="60" t="b">
        <v>1</v>
      </c>
      <c r="F3626" s="80" t="s">
        <v>1194</v>
      </c>
      <c r="G3626" s="58" t="s">
        <v>9588</v>
      </c>
      <c r="H3626" s="58" t="s">
        <v>1816</v>
      </c>
      <c r="I3626" s="64" t="s">
        <v>9589</v>
      </c>
      <c r="J3626" s="66"/>
      <c r="K3626" s="66"/>
      <c r="L3626" s="68"/>
      <c r="M3626" s="63" t="str">
        <f>HYPERLINK("http://nsgreg.nga.mil/genc/view?v=871700&amp;end_month=12&amp;end_day=31&amp;end_year=2016","Correlation")</f>
        <v>Correlation</v>
      </c>
    </row>
    <row r="3627" spans="1:13" x14ac:dyDescent="0.2">
      <c r="A3627" s="113"/>
      <c r="B3627" s="58" t="s">
        <v>9590</v>
      </c>
      <c r="C3627" s="58" t="s">
        <v>1816</v>
      </c>
      <c r="D3627" s="58" t="s">
        <v>9591</v>
      </c>
      <c r="E3627" s="60" t="b">
        <v>1</v>
      </c>
      <c r="F3627" s="80" t="s">
        <v>1194</v>
      </c>
      <c r="G3627" s="58" t="s">
        <v>9590</v>
      </c>
      <c r="H3627" s="58" t="s">
        <v>1816</v>
      </c>
      <c r="I3627" s="64" t="s">
        <v>9591</v>
      </c>
      <c r="J3627" s="66"/>
      <c r="K3627" s="66"/>
      <c r="L3627" s="68"/>
      <c r="M3627" s="63" t="str">
        <f>HYPERLINK("http://nsgreg.nga.mil/genc/view?v=871520&amp;end_month=12&amp;end_day=31&amp;end_year=2016","Correlation")</f>
        <v>Correlation</v>
      </c>
    </row>
    <row r="3628" spans="1:13" x14ac:dyDescent="0.2">
      <c r="A3628" s="113"/>
      <c r="B3628" s="58" t="s">
        <v>9592</v>
      </c>
      <c r="C3628" s="58" t="s">
        <v>1816</v>
      </c>
      <c r="D3628" s="58" t="s">
        <v>9593</v>
      </c>
      <c r="E3628" s="60" t="b">
        <v>1</v>
      </c>
      <c r="F3628" s="80" t="s">
        <v>1194</v>
      </c>
      <c r="G3628" s="58" t="s">
        <v>9592</v>
      </c>
      <c r="H3628" s="58" t="s">
        <v>1816</v>
      </c>
      <c r="I3628" s="64" t="s">
        <v>9593</v>
      </c>
      <c r="J3628" s="66"/>
      <c r="K3628" s="66"/>
      <c r="L3628" s="68"/>
      <c r="M3628" s="63" t="str">
        <f>HYPERLINK("http://nsgreg.nga.mil/genc/view?v=871521&amp;end_month=12&amp;end_day=31&amp;end_year=2016","Correlation")</f>
        <v>Correlation</v>
      </c>
    </row>
    <row r="3629" spans="1:13" x14ac:dyDescent="0.2">
      <c r="A3629" s="113"/>
      <c r="B3629" s="58" t="s">
        <v>9594</v>
      </c>
      <c r="C3629" s="58" t="s">
        <v>1816</v>
      </c>
      <c r="D3629" s="58" t="s">
        <v>9595</v>
      </c>
      <c r="E3629" s="60" t="b">
        <v>1</v>
      </c>
      <c r="F3629" s="80" t="s">
        <v>1194</v>
      </c>
      <c r="G3629" s="58" t="s">
        <v>9594</v>
      </c>
      <c r="H3629" s="58" t="s">
        <v>1816</v>
      </c>
      <c r="I3629" s="64" t="s">
        <v>9595</v>
      </c>
      <c r="J3629" s="66"/>
      <c r="K3629" s="66"/>
      <c r="L3629" s="68"/>
      <c r="M3629" s="63" t="str">
        <f>HYPERLINK("http://nsgreg.nga.mil/genc/view?v=871522&amp;end_month=12&amp;end_day=31&amp;end_year=2016","Correlation")</f>
        <v>Correlation</v>
      </c>
    </row>
    <row r="3630" spans="1:13" x14ac:dyDescent="0.2">
      <c r="A3630" s="113"/>
      <c r="B3630" s="58" t="s">
        <v>9596</v>
      </c>
      <c r="C3630" s="58" t="s">
        <v>1816</v>
      </c>
      <c r="D3630" s="58" t="s">
        <v>9597</v>
      </c>
      <c r="E3630" s="60" t="b">
        <v>1</v>
      </c>
      <c r="F3630" s="80" t="s">
        <v>1194</v>
      </c>
      <c r="G3630" s="58" t="s">
        <v>9596</v>
      </c>
      <c r="H3630" s="58" t="s">
        <v>1816</v>
      </c>
      <c r="I3630" s="64" t="s">
        <v>9597</v>
      </c>
      <c r="J3630" s="66"/>
      <c r="K3630" s="66"/>
      <c r="L3630" s="68"/>
      <c r="M3630" s="63" t="str">
        <f>HYPERLINK("http://nsgreg.nga.mil/genc/view?v=871523&amp;end_month=12&amp;end_day=31&amp;end_year=2016","Correlation")</f>
        <v>Correlation</v>
      </c>
    </row>
    <row r="3631" spans="1:13" x14ac:dyDescent="0.2">
      <c r="A3631" s="113"/>
      <c r="B3631" s="58" t="s">
        <v>9598</v>
      </c>
      <c r="C3631" s="58" t="s">
        <v>1816</v>
      </c>
      <c r="D3631" s="58" t="s">
        <v>9599</v>
      </c>
      <c r="E3631" s="60" t="b">
        <v>1</v>
      </c>
      <c r="F3631" s="80" t="s">
        <v>1194</v>
      </c>
      <c r="G3631" s="58" t="s">
        <v>9598</v>
      </c>
      <c r="H3631" s="58" t="s">
        <v>1816</v>
      </c>
      <c r="I3631" s="64" t="s">
        <v>9599</v>
      </c>
      <c r="J3631" s="66"/>
      <c r="K3631" s="66"/>
      <c r="L3631" s="68"/>
      <c r="M3631" s="63" t="str">
        <f>HYPERLINK("http://nsgreg.nga.mil/genc/view?v=871524&amp;end_month=12&amp;end_day=31&amp;end_year=2016","Correlation")</f>
        <v>Correlation</v>
      </c>
    </row>
    <row r="3632" spans="1:13" x14ac:dyDescent="0.2">
      <c r="A3632" s="113"/>
      <c r="B3632" s="58" t="s">
        <v>9600</v>
      </c>
      <c r="C3632" s="58" t="s">
        <v>1816</v>
      </c>
      <c r="D3632" s="58" t="s">
        <v>9601</v>
      </c>
      <c r="E3632" s="60" t="b">
        <v>1</v>
      </c>
      <c r="F3632" s="80" t="s">
        <v>1194</v>
      </c>
      <c r="G3632" s="58" t="s">
        <v>9600</v>
      </c>
      <c r="H3632" s="58" t="s">
        <v>1816</v>
      </c>
      <c r="I3632" s="64" t="s">
        <v>9601</v>
      </c>
      <c r="J3632" s="66"/>
      <c r="K3632" s="66"/>
      <c r="L3632" s="68"/>
      <c r="M3632" s="63" t="str">
        <f>HYPERLINK("http://nsgreg.nga.mil/genc/view?v=871658&amp;end_month=12&amp;end_day=31&amp;end_year=2016","Correlation")</f>
        <v>Correlation</v>
      </c>
    </row>
    <row r="3633" spans="1:13" x14ac:dyDescent="0.2">
      <c r="A3633" s="113"/>
      <c r="B3633" s="58" t="s">
        <v>9602</v>
      </c>
      <c r="C3633" s="58" t="s">
        <v>1816</v>
      </c>
      <c r="D3633" s="58" t="s">
        <v>9603</v>
      </c>
      <c r="E3633" s="60" t="b">
        <v>1</v>
      </c>
      <c r="F3633" s="80" t="s">
        <v>1194</v>
      </c>
      <c r="G3633" s="58" t="s">
        <v>9602</v>
      </c>
      <c r="H3633" s="58" t="s">
        <v>1816</v>
      </c>
      <c r="I3633" s="64" t="s">
        <v>9603</v>
      </c>
      <c r="J3633" s="66"/>
      <c r="K3633" s="66"/>
      <c r="L3633" s="68"/>
      <c r="M3633" s="63" t="str">
        <f>HYPERLINK("http://nsgreg.nga.mil/genc/view?v=871525&amp;end_month=12&amp;end_day=31&amp;end_year=2016","Correlation")</f>
        <v>Correlation</v>
      </c>
    </row>
    <row r="3634" spans="1:13" x14ac:dyDescent="0.2">
      <c r="A3634" s="113"/>
      <c r="B3634" s="58" t="s">
        <v>9604</v>
      </c>
      <c r="C3634" s="58" t="s">
        <v>1816</v>
      </c>
      <c r="D3634" s="58" t="s">
        <v>9605</v>
      </c>
      <c r="E3634" s="60" t="b">
        <v>1</v>
      </c>
      <c r="F3634" s="80" t="s">
        <v>1194</v>
      </c>
      <c r="G3634" s="58" t="s">
        <v>9604</v>
      </c>
      <c r="H3634" s="58" t="s">
        <v>1816</v>
      </c>
      <c r="I3634" s="64" t="s">
        <v>9605</v>
      </c>
      <c r="J3634" s="66"/>
      <c r="K3634" s="66"/>
      <c r="L3634" s="68"/>
      <c r="M3634" s="63" t="str">
        <f>HYPERLINK("http://nsgreg.nga.mil/genc/view?v=871659&amp;end_month=12&amp;end_day=31&amp;end_year=2016","Correlation")</f>
        <v>Correlation</v>
      </c>
    </row>
    <row r="3635" spans="1:13" x14ac:dyDescent="0.2">
      <c r="A3635" s="113"/>
      <c r="B3635" s="58" t="s">
        <v>9608</v>
      </c>
      <c r="C3635" s="58" t="s">
        <v>1816</v>
      </c>
      <c r="D3635" s="58" t="s">
        <v>9607</v>
      </c>
      <c r="E3635" s="60" t="b">
        <v>1</v>
      </c>
      <c r="F3635" s="80" t="s">
        <v>1194</v>
      </c>
      <c r="G3635" s="58" t="s">
        <v>9606</v>
      </c>
      <c r="H3635" s="58" t="s">
        <v>1816</v>
      </c>
      <c r="I3635" s="64" t="s">
        <v>9607</v>
      </c>
      <c r="J3635" s="66"/>
      <c r="K3635" s="66"/>
      <c r="L3635" s="68"/>
      <c r="M3635" s="63" t="str">
        <f>HYPERLINK("http://nsgreg.nga.mil/genc/view?v=871526&amp;end_month=12&amp;end_day=31&amp;end_year=2016","Correlation")</f>
        <v>Correlation</v>
      </c>
    </row>
    <row r="3636" spans="1:13" x14ac:dyDescent="0.2">
      <c r="A3636" s="113"/>
      <c r="B3636" s="58" t="s">
        <v>9609</v>
      </c>
      <c r="C3636" s="58" t="s">
        <v>1816</v>
      </c>
      <c r="D3636" s="58" t="s">
        <v>9610</v>
      </c>
      <c r="E3636" s="60" t="b">
        <v>1</v>
      </c>
      <c r="F3636" s="80" t="s">
        <v>1194</v>
      </c>
      <c r="G3636" s="58" t="s">
        <v>9609</v>
      </c>
      <c r="H3636" s="58" t="s">
        <v>1816</v>
      </c>
      <c r="I3636" s="64" t="s">
        <v>9610</v>
      </c>
      <c r="J3636" s="66"/>
      <c r="K3636" s="66"/>
      <c r="L3636" s="68"/>
      <c r="M3636" s="63" t="str">
        <f>HYPERLINK("http://nsgreg.nga.mil/genc/view?v=871660&amp;end_month=12&amp;end_day=31&amp;end_year=2016","Correlation")</f>
        <v>Correlation</v>
      </c>
    </row>
    <row r="3637" spans="1:13" x14ac:dyDescent="0.2">
      <c r="A3637" s="113"/>
      <c r="B3637" s="58" t="s">
        <v>9611</v>
      </c>
      <c r="C3637" s="58" t="s">
        <v>1816</v>
      </c>
      <c r="D3637" s="58" t="s">
        <v>9612</v>
      </c>
      <c r="E3637" s="60" t="b">
        <v>1</v>
      </c>
      <c r="F3637" s="80" t="s">
        <v>1194</v>
      </c>
      <c r="G3637" s="58" t="s">
        <v>9611</v>
      </c>
      <c r="H3637" s="58" t="s">
        <v>1816</v>
      </c>
      <c r="I3637" s="64" t="s">
        <v>9612</v>
      </c>
      <c r="J3637" s="66"/>
      <c r="K3637" s="66"/>
      <c r="L3637" s="68"/>
      <c r="M3637" s="63" t="str">
        <f>HYPERLINK("http://nsgreg.nga.mil/genc/view?v=871661&amp;end_month=12&amp;end_day=31&amp;end_year=2016","Correlation")</f>
        <v>Correlation</v>
      </c>
    </row>
    <row r="3638" spans="1:13" x14ac:dyDescent="0.2">
      <c r="A3638" s="113"/>
      <c r="B3638" s="58" t="s">
        <v>9613</v>
      </c>
      <c r="C3638" s="58" t="s">
        <v>1816</v>
      </c>
      <c r="D3638" s="58" t="s">
        <v>9614</v>
      </c>
      <c r="E3638" s="60" t="b">
        <v>1</v>
      </c>
      <c r="F3638" s="80" t="s">
        <v>1194</v>
      </c>
      <c r="G3638" s="58" t="s">
        <v>9613</v>
      </c>
      <c r="H3638" s="58" t="s">
        <v>1816</v>
      </c>
      <c r="I3638" s="64" t="s">
        <v>9614</v>
      </c>
      <c r="J3638" s="66"/>
      <c r="K3638" s="66"/>
      <c r="L3638" s="68"/>
      <c r="M3638" s="63" t="str">
        <f>HYPERLINK("http://nsgreg.nga.mil/genc/view?v=871527&amp;end_month=12&amp;end_day=31&amp;end_year=2016","Correlation")</f>
        <v>Correlation</v>
      </c>
    </row>
    <row r="3639" spans="1:13" x14ac:dyDescent="0.2">
      <c r="A3639" s="113"/>
      <c r="B3639" s="58" t="s">
        <v>9615</v>
      </c>
      <c r="C3639" s="58" t="s">
        <v>1816</v>
      </c>
      <c r="D3639" s="58" t="s">
        <v>9616</v>
      </c>
      <c r="E3639" s="60" t="b">
        <v>1</v>
      </c>
      <c r="F3639" s="80" t="s">
        <v>1194</v>
      </c>
      <c r="G3639" s="58" t="s">
        <v>9615</v>
      </c>
      <c r="H3639" s="58" t="s">
        <v>1816</v>
      </c>
      <c r="I3639" s="64" t="s">
        <v>9616</v>
      </c>
      <c r="J3639" s="66"/>
      <c r="K3639" s="66"/>
      <c r="L3639" s="68"/>
      <c r="M3639" s="63" t="str">
        <f>HYPERLINK("http://nsgreg.nga.mil/genc/view?v=871528&amp;end_month=12&amp;end_day=31&amp;end_year=2016","Correlation")</f>
        <v>Correlation</v>
      </c>
    </row>
    <row r="3640" spans="1:13" x14ac:dyDescent="0.2">
      <c r="A3640" s="113"/>
      <c r="B3640" s="58" t="s">
        <v>9617</v>
      </c>
      <c r="C3640" s="58" t="s">
        <v>1816</v>
      </c>
      <c r="D3640" s="58" t="s">
        <v>9618</v>
      </c>
      <c r="E3640" s="60" t="b">
        <v>1</v>
      </c>
      <c r="F3640" s="80" t="s">
        <v>1194</v>
      </c>
      <c r="G3640" s="58" t="s">
        <v>9617</v>
      </c>
      <c r="H3640" s="58" t="s">
        <v>1816</v>
      </c>
      <c r="I3640" s="64" t="s">
        <v>9618</v>
      </c>
      <c r="J3640" s="66"/>
      <c r="K3640" s="66"/>
      <c r="L3640" s="68"/>
      <c r="M3640" s="63" t="str">
        <f>HYPERLINK("http://nsgreg.nga.mil/genc/view?v=871529&amp;end_month=12&amp;end_day=31&amp;end_year=2016","Correlation")</f>
        <v>Correlation</v>
      </c>
    </row>
    <row r="3641" spans="1:13" x14ac:dyDescent="0.2">
      <c r="A3641" s="113"/>
      <c r="B3641" s="58" t="s">
        <v>9619</v>
      </c>
      <c r="C3641" s="58" t="s">
        <v>1816</v>
      </c>
      <c r="D3641" s="58" t="s">
        <v>9620</v>
      </c>
      <c r="E3641" s="60" t="b">
        <v>1</v>
      </c>
      <c r="F3641" s="80" t="s">
        <v>1194</v>
      </c>
      <c r="G3641" s="58" t="s">
        <v>9619</v>
      </c>
      <c r="H3641" s="58" t="s">
        <v>1816</v>
      </c>
      <c r="I3641" s="64" t="s">
        <v>9620</v>
      </c>
      <c r="J3641" s="66"/>
      <c r="K3641" s="66"/>
      <c r="L3641" s="68"/>
      <c r="M3641" s="63" t="str">
        <f>HYPERLINK("http://nsgreg.nga.mil/genc/view?v=871530&amp;end_month=12&amp;end_day=31&amp;end_year=2016","Correlation")</f>
        <v>Correlation</v>
      </c>
    </row>
    <row r="3642" spans="1:13" x14ac:dyDescent="0.2">
      <c r="A3642" s="113"/>
      <c r="B3642" s="58" t="s">
        <v>9621</v>
      </c>
      <c r="C3642" s="58" t="s">
        <v>1816</v>
      </c>
      <c r="D3642" s="58" t="s">
        <v>9622</v>
      </c>
      <c r="E3642" s="60" t="b">
        <v>1</v>
      </c>
      <c r="F3642" s="80" t="s">
        <v>1194</v>
      </c>
      <c r="G3642" s="58" t="s">
        <v>9621</v>
      </c>
      <c r="H3642" s="58" t="s">
        <v>1816</v>
      </c>
      <c r="I3642" s="64" t="s">
        <v>9622</v>
      </c>
      <c r="J3642" s="66"/>
      <c r="K3642" s="66"/>
      <c r="L3642" s="68"/>
      <c r="M3642" s="63" t="str">
        <f>HYPERLINK("http://nsgreg.nga.mil/genc/view?v=871531&amp;end_month=12&amp;end_day=31&amp;end_year=2016","Correlation")</f>
        <v>Correlation</v>
      </c>
    </row>
    <row r="3643" spans="1:13" x14ac:dyDescent="0.2">
      <c r="A3643" s="113"/>
      <c r="B3643" s="58" t="s">
        <v>9623</v>
      </c>
      <c r="C3643" s="58" t="s">
        <v>1816</v>
      </c>
      <c r="D3643" s="58" t="s">
        <v>9624</v>
      </c>
      <c r="E3643" s="60" t="b">
        <v>1</v>
      </c>
      <c r="F3643" s="80" t="s">
        <v>1194</v>
      </c>
      <c r="G3643" s="58" t="s">
        <v>9623</v>
      </c>
      <c r="H3643" s="58" t="s">
        <v>1816</v>
      </c>
      <c r="I3643" s="64" t="s">
        <v>9624</v>
      </c>
      <c r="J3643" s="66"/>
      <c r="K3643" s="66"/>
      <c r="L3643" s="68"/>
      <c r="M3643" s="63" t="str">
        <f>HYPERLINK("http://nsgreg.nga.mil/genc/view?v=871532&amp;end_month=12&amp;end_day=31&amp;end_year=2016","Correlation")</f>
        <v>Correlation</v>
      </c>
    </row>
    <row r="3644" spans="1:13" x14ac:dyDescent="0.2">
      <c r="A3644" s="113"/>
      <c r="B3644" s="58" t="s">
        <v>9625</v>
      </c>
      <c r="C3644" s="58" t="s">
        <v>1816</v>
      </c>
      <c r="D3644" s="58" t="s">
        <v>9626</v>
      </c>
      <c r="E3644" s="60" t="b">
        <v>1</v>
      </c>
      <c r="F3644" s="80" t="s">
        <v>1194</v>
      </c>
      <c r="G3644" s="58" t="s">
        <v>9625</v>
      </c>
      <c r="H3644" s="58" t="s">
        <v>1816</v>
      </c>
      <c r="I3644" s="64" t="s">
        <v>9626</v>
      </c>
      <c r="J3644" s="66"/>
      <c r="K3644" s="66"/>
      <c r="L3644" s="68"/>
      <c r="M3644" s="63" t="str">
        <f>HYPERLINK("http://nsgreg.nga.mil/genc/view?v=871533&amp;end_month=12&amp;end_day=31&amp;end_year=2016","Correlation")</f>
        <v>Correlation</v>
      </c>
    </row>
    <row r="3645" spans="1:13" x14ac:dyDescent="0.2">
      <c r="A3645" s="113"/>
      <c r="B3645" s="58" t="s">
        <v>9627</v>
      </c>
      <c r="C3645" s="58" t="s">
        <v>1816</v>
      </c>
      <c r="D3645" s="58" t="s">
        <v>9628</v>
      </c>
      <c r="E3645" s="60" t="b">
        <v>1</v>
      </c>
      <c r="F3645" s="80" t="s">
        <v>1194</v>
      </c>
      <c r="G3645" s="58" t="s">
        <v>9627</v>
      </c>
      <c r="H3645" s="58" t="s">
        <v>1816</v>
      </c>
      <c r="I3645" s="64" t="s">
        <v>9628</v>
      </c>
      <c r="J3645" s="66"/>
      <c r="K3645" s="66"/>
      <c r="L3645" s="68"/>
      <c r="M3645" s="63" t="str">
        <f>HYPERLINK("http://nsgreg.nga.mil/genc/view?v=871711&amp;end_month=12&amp;end_day=31&amp;end_year=2016","Correlation")</f>
        <v>Correlation</v>
      </c>
    </row>
    <row r="3646" spans="1:13" x14ac:dyDescent="0.2">
      <c r="A3646" s="113"/>
      <c r="B3646" s="58" t="s">
        <v>9629</v>
      </c>
      <c r="C3646" s="58" t="s">
        <v>1816</v>
      </c>
      <c r="D3646" s="58" t="s">
        <v>9630</v>
      </c>
      <c r="E3646" s="60" t="b">
        <v>1</v>
      </c>
      <c r="F3646" s="80" t="s">
        <v>1194</v>
      </c>
      <c r="G3646" s="58" t="s">
        <v>9629</v>
      </c>
      <c r="H3646" s="58" t="s">
        <v>1816</v>
      </c>
      <c r="I3646" s="64" t="s">
        <v>9630</v>
      </c>
      <c r="J3646" s="66"/>
      <c r="K3646" s="66"/>
      <c r="L3646" s="68"/>
      <c r="M3646" s="63" t="str">
        <f>HYPERLINK("http://nsgreg.nga.mil/genc/view?v=871534&amp;end_month=12&amp;end_day=31&amp;end_year=2016","Correlation")</f>
        <v>Correlation</v>
      </c>
    </row>
    <row r="3647" spans="1:13" x14ac:dyDescent="0.2">
      <c r="A3647" s="113"/>
      <c r="B3647" s="58" t="s">
        <v>9631</v>
      </c>
      <c r="C3647" s="58" t="s">
        <v>1816</v>
      </c>
      <c r="D3647" s="58" t="s">
        <v>9632</v>
      </c>
      <c r="E3647" s="60" t="b">
        <v>1</v>
      </c>
      <c r="F3647" s="80" t="s">
        <v>1194</v>
      </c>
      <c r="G3647" s="58" t="s">
        <v>9631</v>
      </c>
      <c r="H3647" s="58" t="s">
        <v>1816</v>
      </c>
      <c r="I3647" s="64" t="s">
        <v>9632</v>
      </c>
      <c r="J3647" s="66"/>
      <c r="K3647" s="66"/>
      <c r="L3647" s="68"/>
      <c r="M3647" s="63" t="str">
        <f>HYPERLINK("http://nsgreg.nga.mil/genc/view?v=871535&amp;end_month=12&amp;end_day=31&amp;end_year=2016","Correlation")</f>
        <v>Correlation</v>
      </c>
    </row>
    <row r="3648" spans="1:13" x14ac:dyDescent="0.2">
      <c r="A3648" s="113"/>
      <c r="B3648" s="58" t="s">
        <v>9633</v>
      </c>
      <c r="C3648" s="58" t="s">
        <v>1816</v>
      </c>
      <c r="D3648" s="58" t="s">
        <v>9634</v>
      </c>
      <c r="E3648" s="60" t="b">
        <v>1</v>
      </c>
      <c r="F3648" s="80" t="s">
        <v>1194</v>
      </c>
      <c r="G3648" s="58" t="s">
        <v>9633</v>
      </c>
      <c r="H3648" s="58" t="s">
        <v>1816</v>
      </c>
      <c r="I3648" s="64" t="s">
        <v>9634</v>
      </c>
      <c r="J3648" s="66"/>
      <c r="K3648" s="66"/>
      <c r="L3648" s="68"/>
      <c r="M3648" s="63" t="str">
        <f>HYPERLINK("http://nsgreg.nga.mil/genc/view?v=871536&amp;end_month=12&amp;end_day=31&amp;end_year=2016","Correlation")</f>
        <v>Correlation</v>
      </c>
    </row>
    <row r="3649" spans="1:13" x14ac:dyDescent="0.2">
      <c r="A3649" s="113"/>
      <c r="B3649" s="58" t="s">
        <v>9635</v>
      </c>
      <c r="C3649" s="58" t="s">
        <v>1816</v>
      </c>
      <c r="D3649" s="58" t="s">
        <v>9636</v>
      </c>
      <c r="E3649" s="60" t="b">
        <v>1</v>
      </c>
      <c r="F3649" s="80" t="s">
        <v>1194</v>
      </c>
      <c r="G3649" s="58" t="s">
        <v>9635</v>
      </c>
      <c r="H3649" s="58" t="s">
        <v>1816</v>
      </c>
      <c r="I3649" s="64" t="s">
        <v>9636</v>
      </c>
      <c r="J3649" s="66"/>
      <c r="K3649" s="66"/>
      <c r="L3649" s="68"/>
      <c r="M3649" s="63" t="str">
        <f>HYPERLINK("http://nsgreg.nga.mil/genc/view?v=871662&amp;end_month=12&amp;end_day=31&amp;end_year=2016","Correlation")</f>
        <v>Correlation</v>
      </c>
    </row>
    <row r="3650" spans="1:13" x14ac:dyDescent="0.2">
      <c r="A3650" s="113"/>
      <c r="B3650" s="58" t="s">
        <v>9637</v>
      </c>
      <c r="C3650" s="58" t="s">
        <v>1816</v>
      </c>
      <c r="D3650" s="58" t="s">
        <v>9638</v>
      </c>
      <c r="E3650" s="60" t="b">
        <v>1</v>
      </c>
      <c r="F3650" s="80" t="s">
        <v>1194</v>
      </c>
      <c r="G3650" s="58" t="s">
        <v>9637</v>
      </c>
      <c r="H3650" s="58" t="s">
        <v>1816</v>
      </c>
      <c r="I3650" s="64" t="s">
        <v>9638</v>
      </c>
      <c r="J3650" s="66"/>
      <c r="K3650" s="66"/>
      <c r="L3650" s="68"/>
      <c r="M3650" s="63" t="str">
        <f>HYPERLINK("http://nsgreg.nga.mil/genc/view?v=871537&amp;end_month=12&amp;end_day=31&amp;end_year=2016","Correlation")</f>
        <v>Correlation</v>
      </c>
    </row>
    <row r="3651" spans="1:13" x14ac:dyDescent="0.2">
      <c r="A3651" s="113"/>
      <c r="B3651" s="58" t="s">
        <v>9639</v>
      </c>
      <c r="C3651" s="58" t="s">
        <v>1816</v>
      </c>
      <c r="D3651" s="58" t="s">
        <v>9640</v>
      </c>
      <c r="E3651" s="60" t="b">
        <v>1</v>
      </c>
      <c r="F3651" s="80" t="s">
        <v>1194</v>
      </c>
      <c r="G3651" s="58" t="s">
        <v>9639</v>
      </c>
      <c r="H3651" s="58" t="s">
        <v>1816</v>
      </c>
      <c r="I3651" s="64" t="s">
        <v>9640</v>
      </c>
      <c r="J3651" s="66"/>
      <c r="K3651" s="66"/>
      <c r="L3651" s="68"/>
      <c r="M3651" s="63" t="str">
        <f>HYPERLINK("http://nsgreg.nga.mil/genc/view?v=871663&amp;end_month=12&amp;end_day=31&amp;end_year=2016","Correlation")</f>
        <v>Correlation</v>
      </c>
    </row>
    <row r="3652" spans="1:13" x14ac:dyDescent="0.2">
      <c r="A3652" s="113"/>
      <c r="B3652" s="58" t="s">
        <v>9641</v>
      </c>
      <c r="C3652" s="58" t="s">
        <v>1816</v>
      </c>
      <c r="D3652" s="58" t="s">
        <v>9642</v>
      </c>
      <c r="E3652" s="60" t="b">
        <v>1</v>
      </c>
      <c r="F3652" s="80" t="s">
        <v>1194</v>
      </c>
      <c r="G3652" s="58" t="s">
        <v>9641</v>
      </c>
      <c r="H3652" s="58" t="s">
        <v>1816</v>
      </c>
      <c r="I3652" s="64" t="s">
        <v>9642</v>
      </c>
      <c r="J3652" s="66"/>
      <c r="K3652" s="66"/>
      <c r="L3652" s="68"/>
      <c r="M3652" s="63" t="str">
        <f>HYPERLINK("http://nsgreg.nga.mil/genc/view?v=871664&amp;end_month=12&amp;end_day=31&amp;end_year=2016","Correlation")</f>
        <v>Correlation</v>
      </c>
    </row>
    <row r="3653" spans="1:13" x14ac:dyDescent="0.2">
      <c r="A3653" s="113"/>
      <c r="B3653" s="58" t="s">
        <v>9643</v>
      </c>
      <c r="C3653" s="58" t="s">
        <v>1816</v>
      </c>
      <c r="D3653" s="58" t="s">
        <v>9644</v>
      </c>
      <c r="E3653" s="60" t="b">
        <v>1</v>
      </c>
      <c r="F3653" s="80" t="s">
        <v>1194</v>
      </c>
      <c r="G3653" s="58" t="s">
        <v>9643</v>
      </c>
      <c r="H3653" s="58" t="s">
        <v>1816</v>
      </c>
      <c r="I3653" s="64" t="s">
        <v>9644</v>
      </c>
      <c r="J3653" s="66"/>
      <c r="K3653" s="66"/>
      <c r="L3653" s="68"/>
      <c r="M3653" s="63" t="str">
        <f>HYPERLINK("http://nsgreg.nga.mil/genc/view?v=871665&amp;end_month=12&amp;end_day=31&amp;end_year=2016","Correlation")</f>
        <v>Correlation</v>
      </c>
    </row>
    <row r="3654" spans="1:13" x14ac:dyDescent="0.2">
      <c r="A3654" s="113"/>
      <c r="B3654" s="58" t="s">
        <v>9645</v>
      </c>
      <c r="C3654" s="58" t="s">
        <v>1816</v>
      </c>
      <c r="D3654" s="58" t="s">
        <v>9646</v>
      </c>
      <c r="E3654" s="60" t="b">
        <v>1</v>
      </c>
      <c r="F3654" s="80" t="s">
        <v>1194</v>
      </c>
      <c r="G3654" s="58" t="s">
        <v>9645</v>
      </c>
      <c r="H3654" s="58" t="s">
        <v>1816</v>
      </c>
      <c r="I3654" s="64" t="s">
        <v>9646</v>
      </c>
      <c r="J3654" s="66"/>
      <c r="K3654" s="66"/>
      <c r="L3654" s="68"/>
      <c r="M3654" s="63" t="str">
        <f>HYPERLINK("http://nsgreg.nga.mil/genc/view?v=871666&amp;end_month=12&amp;end_day=31&amp;end_year=2016","Correlation")</f>
        <v>Correlation</v>
      </c>
    </row>
    <row r="3655" spans="1:13" x14ac:dyDescent="0.2">
      <c r="A3655" s="113"/>
      <c r="B3655" s="58" t="s">
        <v>9647</v>
      </c>
      <c r="C3655" s="58" t="s">
        <v>1816</v>
      </c>
      <c r="D3655" s="58" t="s">
        <v>9648</v>
      </c>
      <c r="E3655" s="60" t="b">
        <v>1</v>
      </c>
      <c r="F3655" s="80" t="s">
        <v>1194</v>
      </c>
      <c r="G3655" s="58" t="s">
        <v>9647</v>
      </c>
      <c r="H3655" s="58" t="s">
        <v>1816</v>
      </c>
      <c r="I3655" s="64" t="s">
        <v>9648</v>
      </c>
      <c r="J3655" s="66"/>
      <c r="K3655" s="66"/>
      <c r="L3655" s="68"/>
      <c r="M3655" s="63" t="str">
        <f>HYPERLINK("http://nsgreg.nga.mil/genc/view?v=871539&amp;end_month=12&amp;end_day=31&amp;end_year=2016","Correlation")</f>
        <v>Correlation</v>
      </c>
    </row>
    <row r="3656" spans="1:13" x14ac:dyDescent="0.2">
      <c r="A3656" s="113"/>
      <c r="B3656" s="58" t="s">
        <v>9649</v>
      </c>
      <c r="C3656" s="58" t="s">
        <v>1816</v>
      </c>
      <c r="D3656" s="58" t="s">
        <v>9650</v>
      </c>
      <c r="E3656" s="60" t="b">
        <v>1</v>
      </c>
      <c r="F3656" s="80" t="s">
        <v>1194</v>
      </c>
      <c r="G3656" s="58" t="s">
        <v>9649</v>
      </c>
      <c r="H3656" s="58" t="s">
        <v>1816</v>
      </c>
      <c r="I3656" s="64" t="s">
        <v>9650</v>
      </c>
      <c r="J3656" s="66"/>
      <c r="K3656" s="66"/>
      <c r="L3656" s="68"/>
      <c r="M3656" s="63" t="str">
        <f>HYPERLINK("http://nsgreg.nga.mil/genc/view?v=871540&amp;end_month=12&amp;end_day=31&amp;end_year=2016","Correlation")</f>
        <v>Correlation</v>
      </c>
    </row>
    <row r="3657" spans="1:13" x14ac:dyDescent="0.2">
      <c r="A3657" s="113"/>
      <c r="B3657" s="58" t="s">
        <v>9651</v>
      </c>
      <c r="C3657" s="58" t="s">
        <v>1816</v>
      </c>
      <c r="D3657" s="58" t="s">
        <v>9652</v>
      </c>
      <c r="E3657" s="60" t="b">
        <v>1</v>
      </c>
      <c r="F3657" s="80" t="s">
        <v>1194</v>
      </c>
      <c r="G3657" s="58" t="s">
        <v>9651</v>
      </c>
      <c r="H3657" s="58" t="s">
        <v>1816</v>
      </c>
      <c r="I3657" s="64" t="s">
        <v>9652</v>
      </c>
      <c r="J3657" s="66"/>
      <c r="K3657" s="66"/>
      <c r="L3657" s="68"/>
      <c r="M3657" s="63" t="str">
        <f>HYPERLINK("http://nsgreg.nga.mil/genc/view?v=871541&amp;end_month=12&amp;end_day=31&amp;end_year=2016","Correlation")</f>
        <v>Correlation</v>
      </c>
    </row>
    <row r="3658" spans="1:13" x14ac:dyDescent="0.2">
      <c r="A3658" s="113"/>
      <c r="B3658" s="58" t="s">
        <v>9653</v>
      </c>
      <c r="C3658" s="58" t="s">
        <v>1816</v>
      </c>
      <c r="D3658" s="58" t="s">
        <v>9654</v>
      </c>
      <c r="E3658" s="60" t="b">
        <v>1</v>
      </c>
      <c r="F3658" s="80" t="s">
        <v>1194</v>
      </c>
      <c r="G3658" s="58" t="s">
        <v>9653</v>
      </c>
      <c r="H3658" s="58" t="s">
        <v>1816</v>
      </c>
      <c r="I3658" s="64" t="s">
        <v>9654</v>
      </c>
      <c r="J3658" s="66"/>
      <c r="K3658" s="66"/>
      <c r="L3658" s="68"/>
      <c r="M3658" s="63" t="str">
        <f>HYPERLINK("http://nsgreg.nga.mil/genc/view?v=871542&amp;end_month=12&amp;end_day=31&amp;end_year=2016","Correlation")</f>
        <v>Correlation</v>
      </c>
    </row>
    <row r="3659" spans="1:13" x14ac:dyDescent="0.2">
      <c r="A3659" s="113"/>
      <c r="B3659" s="58" t="s">
        <v>9655</v>
      </c>
      <c r="C3659" s="58" t="s">
        <v>1816</v>
      </c>
      <c r="D3659" s="58" t="s">
        <v>9656</v>
      </c>
      <c r="E3659" s="60" t="b">
        <v>1</v>
      </c>
      <c r="F3659" s="80" t="s">
        <v>1194</v>
      </c>
      <c r="G3659" s="58" t="s">
        <v>9655</v>
      </c>
      <c r="H3659" s="58" t="s">
        <v>1816</v>
      </c>
      <c r="I3659" s="64" t="s">
        <v>9656</v>
      </c>
      <c r="J3659" s="66"/>
      <c r="K3659" s="66"/>
      <c r="L3659" s="68"/>
      <c r="M3659" s="63" t="str">
        <f>HYPERLINK("http://nsgreg.nga.mil/genc/view?v=871543&amp;end_month=12&amp;end_day=31&amp;end_year=2016","Correlation")</f>
        <v>Correlation</v>
      </c>
    </row>
    <row r="3660" spans="1:13" x14ac:dyDescent="0.2">
      <c r="A3660" s="113"/>
      <c r="B3660" s="58" t="s">
        <v>9657</v>
      </c>
      <c r="C3660" s="58" t="s">
        <v>1816</v>
      </c>
      <c r="D3660" s="58" t="s">
        <v>9658</v>
      </c>
      <c r="E3660" s="60" t="b">
        <v>1</v>
      </c>
      <c r="F3660" s="80" t="s">
        <v>1194</v>
      </c>
      <c r="G3660" s="58" t="s">
        <v>9657</v>
      </c>
      <c r="H3660" s="58" t="s">
        <v>1816</v>
      </c>
      <c r="I3660" s="64" t="s">
        <v>9658</v>
      </c>
      <c r="J3660" s="66"/>
      <c r="K3660" s="66"/>
      <c r="L3660" s="68"/>
      <c r="M3660" s="63" t="str">
        <f>HYPERLINK("http://nsgreg.nga.mil/genc/view?v=871544&amp;end_month=12&amp;end_day=31&amp;end_year=2016","Correlation")</f>
        <v>Correlation</v>
      </c>
    </row>
    <row r="3661" spans="1:13" x14ac:dyDescent="0.2">
      <c r="A3661" s="113"/>
      <c r="B3661" s="58" t="s">
        <v>9659</v>
      </c>
      <c r="C3661" s="58" t="s">
        <v>1816</v>
      </c>
      <c r="D3661" s="58" t="s">
        <v>9660</v>
      </c>
      <c r="E3661" s="60" t="b">
        <v>1</v>
      </c>
      <c r="F3661" s="80" t="s">
        <v>1194</v>
      </c>
      <c r="G3661" s="58" t="s">
        <v>9659</v>
      </c>
      <c r="H3661" s="58" t="s">
        <v>1816</v>
      </c>
      <c r="I3661" s="64" t="s">
        <v>9660</v>
      </c>
      <c r="J3661" s="66"/>
      <c r="K3661" s="66"/>
      <c r="L3661" s="68"/>
      <c r="M3661" s="63" t="str">
        <f>HYPERLINK("http://nsgreg.nga.mil/genc/view?v=871545&amp;end_month=12&amp;end_day=31&amp;end_year=2016","Correlation")</f>
        <v>Correlation</v>
      </c>
    </row>
    <row r="3662" spans="1:13" x14ac:dyDescent="0.2">
      <c r="A3662" s="113"/>
      <c r="B3662" s="58" t="s">
        <v>9661</v>
      </c>
      <c r="C3662" s="58" t="s">
        <v>1816</v>
      </c>
      <c r="D3662" s="58" t="s">
        <v>9662</v>
      </c>
      <c r="E3662" s="60" t="b">
        <v>1</v>
      </c>
      <c r="F3662" s="80" t="s">
        <v>1194</v>
      </c>
      <c r="G3662" s="58" t="s">
        <v>9661</v>
      </c>
      <c r="H3662" s="58" t="s">
        <v>1816</v>
      </c>
      <c r="I3662" s="64" t="s">
        <v>9662</v>
      </c>
      <c r="J3662" s="66"/>
      <c r="K3662" s="66"/>
      <c r="L3662" s="68"/>
      <c r="M3662" s="63" t="str">
        <f>HYPERLINK("http://nsgreg.nga.mil/genc/view?v=871546&amp;end_month=12&amp;end_day=31&amp;end_year=2016","Correlation")</f>
        <v>Correlation</v>
      </c>
    </row>
    <row r="3663" spans="1:13" x14ac:dyDescent="0.2">
      <c r="A3663" s="113"/>
      <c r="B3663" s="58" t="s">
        <v>9663</v>
      </c>
      <c r="C3663" s="58" t="s">
        <v>1816</v>
      </c>
      <c r="D3663" s="58" t="s">
        <v>9664</v>
      </c>
      <c r="E3663" s="60" t="b">
        <v>1</v>
      </c>
      <c r="F3663" s="80" t="s">
        <v>1194</v>
      </c>
      <c r="G3663" s="58" t="s">
        <v>9663</v>
      </c>
      <c r="H3663" s="58" t="s">
        <v>1816</v>
      </c>
      <c r="I3663" s="64" t="s">
        <v>9664</v>
      </c>
      <c r="J3663" s="66"/>
      <c r="K3663" s="66"/>
      <c r="L3663" s="68"/>
      <c r="M3663" s="63" t="str">
        <f>HYPERLINK("http://nsgreg.nga.mil/genc/view?v=871667&amp;end_month=12&amp;end_day=31&amp;end_year=2016","Correlation")</f>
        <v>Correlation</v>
      </c>
    </row>
    <row r="3664" spans="1:13" x14ac:dyDescent="0.2">
      <c r="A3664" s="113"/>
      <c r="B3664" s="58" t="s">
        <v>9665</v>
      </c>
      <c r="C3664" s="58" t="s">
        <v>1816</v>
      </c>
      <c r="D3664" s="58" t="s">
        <v>9666</v>
      </c>
      <c r="E3664" s="60" t="b">
        <v>1</v>
      </c>
      <c r="F3664" s="80" t="s">
        <v>1194</v>
      </c>
      <c r="G3664" s="58" t="s">
        <v>9665</v>
      </c>
      <c r="H3664" s="58" t="s">
        <v>1816</v>
      </c>
      <c r="I3664" s="64" t="s">
        <v>9666</v>
      </c>
      <c r="J3664" s="66"/>
      <c r="K3664" s="66"/>
      <c r="L3664" s="68"/>
      <c r="M3664" s="63" t="str">
        <f>HYPERLINK("http://nsgreg.nga.mil/genc/view?v=871547&amp;end_month=12&amp;end_day=31&amp;end_year=2016","Correlation")</f>
        <v>Correlation</v>
      </c>
    </row>
    <row r="3665" spans="1:13" x14ac:dyDescent="0.2">
      <c r="A3665" s="113"/>
      <c r="B3665" s="58" t="s">
        <v>9667</v>
      </c>
      <c r="C3665" s="58" t="s">
        <v>1816</v>
      </c>
      <c r="D3665" s="58" t="s">
        <v>9668</v>
      </c>
      <c r="E3665" s="60" t="b">
        <v>1</v>
      </c>
      <c r="F3665" s="80" t="s">
        <v>1194</v>
      </c>
      <c r="G3665" s="58" t="s">
        <v>9667</v>
      </c>
      <c r="H3665" s="58" t="s">
        <v>1816</v>
      </c>
      <c r="I3665" s="64" t="s">
        <v>9668</v>
      </c>
      <c r="J3665" s="66"/>
      <c r="K3665" s="66"/>
      <c r="L3665" s="68"/>
      <c r="M3665" s="63" t="str">
        <f>HYPERLINK("http://nsgreg.nga.mil/genc/view?v=871548&amp;end_month=12&amp;end_day=31&amp;end_year=2016","Correlation")</f>
        <v>Correlation</v>
      </c>
    </row>
    <row r="3666" spans="1:13" x14ac:dyDescent="0.2">
      <c r="A3666" s="113"/>
      <c r="B3666" s="58" t="s">
        <v>9669</v>
      </c>
      <c r="C3666" s="58" t="s">
        <v>1816</v>
      </c>
      <c r="D3666" s="58" t="s">
        <v>9670</v>
      </c>
      <c r="E3666" s="60" t="b">
        <v>1</v>
      </c>
      <c r="F3666" s="80" t="s">
        <v>1194</v>
      </c>
      <c r="G3666" s="58" t="s">
        <v>9669</v>
      </c>
      <c r="H3666" s="58" t="s">
        <v>1816</v>
      </c>
      <c r="I3666" s="64" t="s">
        <v>9670</v>
      </c>
      <c r="J3666" s="66"/>
      <c r="K3666" s="66"/>
      <c r="L3666" s="68"/>
      <c r="M3666" s="63" t="str">
        <f>HYPERLINK("http://nsgreg.nga.mil/genc/view?v=871549&amp;end_month=12&amp;end_day=31&amp;end_year=2016","Correlation")</f>
        <v>Correlation</v>
      </c>
    </row>
    <row r="3667" spans="1:13" x14ac:dyDescent="0.2">
      <c r="A3667" s="113"/>
      <c r="B3667" s="58" t="s">
        <v>9671</v>
      </c>
      <c r="C3667" s="58" t="s">
        <v>1816</v>
      </c>
      <c r="D3667" s="58" t="s">
        <v>9672</v>
      </c>
      <c r="E3667" s="60" t="b">
        <v>1</v>
      </c>
      <c r="F3667" s="80" t="s">
        <v>1194</v>
      </c>
      <c r="G3667" s="58" t="s">
        <v>9671</v>
      </c>
      <c r="H3667" s="58" t="s">
        <v>1816</v>
      </c>
      <c r="I3667" s="64" t="s">
        <v>9672</v>
      </c>
      <c r="J3667" s="66"/>
      <c r="K3667" s="66"/>
      <c r="L3667" s="68"/>
      <c r="M3667" s="63" t="str">
        <f>HYPERLINK("http://nsgreg.nga.mil/genc/view?v=871550&amp;end_month=12&amp;end_day=31&amp;end_year=2016","Correlation")</f>
        <v>Correlation</v>
      </c>
    </row>
    <row r="3668" spans="1:13" x14ac:dyDescent="0.2">
      <c r="A3668" s="113"/>
      <c r="B3668" s="58" t="s">
        <v>9673</v>
      </c>
      <c r="C3668" s="58" t="s">
        <v>1816</v>
      </c>
      <c r="D3668" s="58" t="s">
        <v>9674</v>
      </c>
      <c r="E3668" s="60" t="b">
        <v>1</v>
      </c>
      <c r="F3668" s="80" t="s">
        <v>1194</v>
      </c>
      <c r="G3668" s="58" t="s">
        <v>9673</v>
      </c>
      <c r="H3668" s="58" t="s">
        <v>1816</v>
      </c>
      <c r="I3668" s="64" t="s">
        <v>9674</v>
      </c>
      <c r="J3668" s="66"/>
      <c r="K3668" s="66"/>
      <c r="L3668" s="68"/>
      <c r="M3668" s="63" t="str">
        <f>HYPERLINK("http://nsgreg.nga.mil/genc/view?v=871551&amp;end_month=12&amp;end_day=31&amp;end_year=2016","Correlation")</f>
        <v>Correlation</v>
      </c>
    </row>
    <row r="3669" spans="1:13" x14ac:dyDescent="0.2">
      <c r="A3669" s="113"/>
      <c r="B3669" s="58" t="s">
        <v>9675</v>
      </c>
      <c r="C3669" s="58" t="s">
        <v>1816</v>
      </c>
      <c r="D3669" s="58" t="s">
        <v>9676</v>
      </c>
      <c r="E3669" s="60" t="b">
        <v>1</v>
      </c>
      <c r="F3669" s="80" t="s">
        <v>1194</v>
      </c>
      <c r="G3669" s="58" t="s">
        <v>9675</v>
      </c>
      <c r="H3669" s="58" t="s">
        <v>1816</v>
      </c>
      <c r="I3669" s="64" t="s">
        <v>9676</v>
      </c>
      <c r="J3669" s="66"/>
      <c r="K3669" s="66"/>
      <c r="L3669" s="68"/>
      <c r="M3669" s="63" t="str">
        <f>HYPERLINK("http://nsgreg.nga.mil/genc/view?v=871552&amp;end_month=12&amp;end_day=31&amp;end_year=2016","Correlation")</f>
        <v>Correlation</v>
      </c>
    </row>
    <row r="3670" spans="1:13" x14ac:dyDescent="0.2">
      <c r="A3670" s="113"/>
      <c r="B3670" s="58" t="s">
        <v>9677</v>
      </c>
      <c r="C3670" s="58" t="s">
        <v>1816</v>
      </c>
      <c r="D3670" s="58" t="s">
        <v>9678</v>
      </c>
      <c r="E3670" s="60" t="b">
        <v>1</v>
      </c>
      <c r="F3670" s="80" t="s">
        <v>1194</v>
      </c>
      <c r="G3670" s="58" t="s">
        <v>9677</v>
      </c>
      <c r="H3670" s="58" t="s">
        <v>1816</v>
      </c>
      <c r="I3670" s="64" t="s">
        <v>9678</v>
      </c>
      <c r="J3670" s="66"/>
      <c r="K3670" s="66"/>
      <c r="L3670" s="68"/>
      <c r="M3670" s="63" t="str">
        <f>HYPERLINK("http://nsgreg.nga.mil/genc/view?v=871553&amp;end_month=12&amp;end_day=31&amp;end_year=2016","Correlation")</f>
        <v>Correlation</v>
      </c>
    </row>
    <row r="3671" spans="1:13" x14ac:dyDescent="0.2">
      <c r="A3671" s="113"/>
      <c r="B3671" s="58" t="s">
        <v>9679</v>
      </c>
      <c r="C3671" s="58" t="s">
        <v>1816</v>
      </c>
      <c r="D3671" s="58" t="s">
        <v>9680</v>
      </c>
      <c r="E3671" s="60" t="b">
        <v>1</v>
      </c>
      <c r="F3671" s="80" t="s">
        <v>1194</v>
      </c>
      <c r="G3671" s="58" t="s">
        <v>9679</v>
      </c>
      <c r="H3671" s="58" t="s">
        <v>1816</v>
      </c>
      <c r="I3671" s="64" t="s">
        <v>9680</v>
      </c>
      <c r="J3671" s="66"/>
      <c r="K3671" s="66"/>
      <c r="L3671" s="68"/>
      <c r="M3671" s="63" t="str">
        <f>HYPERLINK("http://nsgreg.nga.mil/genc/view?v=871554&amp;end_month=12&amp;end_day=31&amp;end_year=2016","Correlation")</f>
        <v>Correlation</v>
      </c>
    </row>
    <row r="3672" spans="1:13" x14ac:dyDescent="0.2">
      <c r="A3672" s="113"/>
      <c r="B3672" s="58" t="s">
        <v>9681</v>
      </c>
      <c r="C3672" s="58" t="s">
        <v>1816</v>
      </c>
      <c r="D3672" s="58" t="s">
        <v>9682</v>
      </c>
      <c r="E3672" s="60" t="b">
        <v>1</v>
      </c>
      <c r="F3672" s="80" t="s">
        <v>1194</v>
      </c>
      <c r="G3672" s="58" t="s">
        <v>9681</v>
      </c>
      <c r="H3672" s="58" t="s">
        <v>1816</v>
      </c>
      <c r="I3672" s="64" t="s">
        <v>9682</v>
      </c>
      <c r="J3672" s="66"/>
      <c r="K3672" s="66"/>
      <c r="L3672" s="68"/>
      <c r="M3672" s="63" t="str">
        <f>HYPERLINK("http://nsgreg.nga.mil/genc/view?v=871668&amp;end_month=12&amp;end_day=31&amp;end_year=2016","Correlation")</f>
        <v>Correlation</v>
      </c>
    </row>
    <row r="3673" spans="1:13" x14ac:dyDescent="0.2">
      <c r="A3673" s="113"/>
      <c r="B3673" s="58" t="s">
        <v>9683</v>
      </c>
      <c r="C3673" s="58" t="s">
        <v>1816</v>
      </c>
      <c r="D3673" s="58" t="s">
        <v>9685</v>
      </c>
      <c r="E3673" s="60" t="b">
        <v>1</v>
      </c>
      <c r="F3673" s="80" t="s">
        <v>1194</v>
      </c>
      <c r="G3673" s="58" t="s">
        <v>9683</v>
      </c>
      <c r="H3673" s="58" t="s">
        <v>9684</v>
      </c>
      <c r="I3673" s="64" t="s">
        <v>9685</v>
      </c>
      <c r="J3673" s="66"/>
      <c r="K3673" s="66"/>
      <c r="L3673" s="68"/>
      <c r="M3673" s="63" t="str">
        <f>HYPERLINK("http://nsgreg.nga.mil/genc/view?v=871555&amp;end_month=12&amp;end_day=31&amp;end_year=2016","Correlation")</f>
        <v>Correlation</v>
      </c>
    </row>
    <row r="3674" spans="1:13" x14ac:dyDescent="0.2">
      <c r="A3674" s="113"/>
      <c r="B3674" s="58" t="s">
        <v>9688</v>
      </c>
      <c r="C3674" s="58" t="s">
        <v>1816</v>
      </c>
      <c r="D3674" s="58" t="s">
        <v>9687</v>
      </c>
      <c r="E3674" s="60" t="b">
        <v>1</v>
      </c>
      <c r="F3674" s="80" t="s">
        <v>1194</v>
      </c>
      <c r="G3674" s="58" t="s">
        <v>9686</v>
      </c>
      <c r="H3674" s="58" t="s">
        <v>1816</v>
      </c>
      <c r="I3674" s="64" t="s">
        <v>9687</v>
      </c>
      <c r="J3674" s="66"/>
      <c r="K3674" s="66"/>
      <c r="L3674" s="68"/>
      <c r="M3674" s="63" t="str">
        <f>HYPERLINK("http://nsgreg.nga.mil/genc/view?v=871701&amp;end_month=12&amp;end_day=31&amp;end_year=2016","Correlation")</f>
        <v>Correlation</v>
      </c>
    </row>
    <row r="3675" spans="1:13" x14ac:dyDescent="0.2">
      <c r="A3675" s="113"/>
      <c r="B3675" s="58" t="s">
        <v>9689</v>
      </c>
      <c r="C3675" s="58" t="s">
        <v>1816</v>
      </c>
      <c r="D3675" s="58" t="s">
        <v>9690</v>
      </c>
      <c r="E3675" s="60" t="b">
        <v>1</v>
      </c>
      <c r="F3675" s="80" t="s">
        <v>1194</v>
      </c>
      <c r="G3675" s="58" t="s">
        <v>9689</v>
      </c>
      <c r="H3675" s="58" t="s">
        <v>1816</v>
      </c>
      <c r="I3675" s="64" t="s">
        <v>9690</v>
      </c>
      <c r="J3675" s="66"/>
      <c r="K3675" s="66"/>
      <c r="L3675" s="68"/>
      <c r="M3675" s="63" t="str">
        <f>HYPERLINK("http://nsgreg.nga.mil/genc/view?v=871669&amp;end_month=12&amp;end_day=31&amp;end_year=2016","Correlation")</f>
        <v>Correlation</v>
      </c>
    </row>
    <row r="3676" spans="1:13" x14ac:dyDescent="0.2">
      <c r="A3676" s="113"/>
      <c r="B3676" s="58" t="s">
        <v>9691</v>
      </c>
      <c r="C3676" s="58" t="s">
        <v>1816</v>
      </c>
      <c r="D3676" s="58" t="s">
        <v>9692</v>
      </c>
      <c r="E3676" s="60" t="b">
        <v>1</v>
      </c>
      <c r="F3676" s="80" t="s">
        <v>1194</v>
      </c>
      <c r="G3676" s="58" t="s">
        <v>9691</v>
      </c>
      <c r="H3676" s="58" t="s">
        <v>1816</v>
      </c>
      <c r="I3676" s="64" t="s">
        <v>9692</v>
      </c>
      <c r="J3676" s="66"/>
      <c r="K3676" s="66"/>
      <c r="L3676" s="68"/>
      <c r="M3676" s="63" t="str">
        <f>HYPERLINK("http://nsgreg.nga.mil/genc/view?v=871556&amp;end_month=12&amp;end_day=31&amp;end_year=2016","Correlation")</f>
        <v>Correlation</v>
      </c>
    </row>
    <row r="3677" spans="1:13" x14ac:dyDescent="0.2">
      <c r="A3677" s="113"/>
      <c r="B3677" s="58" t="s">
        <v>9693</v>
      </c>
      <c r="C3677" s="58" t="s">
        <v>1816</v>
      </c>
      <c r="D3677" s="58" t="s">
        <v>9694</v>
      </c>
      <c r="E3677" s="60" t="b">
        <v>1</v>
      </c>
      <c r="F3677" s="80" t="s">
        <v>1194</v>
      </c>
      <c r="G3677" s="58" t="s">
        <v>9693</v>
      </c>
      <c r="H3677" s="58" t="s">
        <v>1816</v>
      </c>
      <c r="I3677" s="64" t="s">
        <v>9694</v>
      </c>
      <c r="J3677" s="66"/>
      <c r="K3677" s="66"/>
      <c r="L3677" s="68"/>
      <c r="M3677" s="63" t="str">
        <f>HYPERLINK("http://nsgreg.nga.mil/genc/view?v=871557&amp;end_month=12&amp;end_day=31&amp;end_year=2016","Correlation")</f>
        <v>Correlation</v>
      </c>
    </row>
    <row r="3678" spans="1:13" x14ac:dyDescent="0.2">
      <c r="A3678" s="113"/>
      <c r="B3678" s="58" t="s">
        <v>9695</v>
      </c>
      <c r="C3678" s="58" t="s">
        <v>1816</v>
      </c>
      <c r="D3678" s="58" t="s">
        <v>9696</v>
      </c>
      <c r="E3678" s="60" t="b">
        <v>1</v>
      </c>
      <c r="F3678" s="80" t="s">
        <v>1194</v>
      </c>
      <c r="G3678" s="58" t="s">
        <v>9695</v>
      </c>
      <c r="H3678" s="58" t="s">
        <v>1816</v>
      </c>
      <c r="I3678" s="64" t="s">
        <v>9696</v>
      </c>
      <c r="J3678" s="66"/>
      <c r="K3678" s="66"/>
      <c r="L3678" s="68"/>
      <c r="M3678" s="63" t="str">
        <f>HYPERLINK("http://nsgreg.nga.mil/genc/view?v=871558&amp;end_month=12&amp;end_day=31&amp;end_year=2016","Correlation")</f>
        <v>Correlation</v>
      </c>
    </row>
    <row r="3679" spans="1:13" x14ac:dyDescent="0.2">
      <c r="A3679" s="113"/>
      <c r="B3679" s="58" t="s">
        <v>9697</v>
      </c>
      <c r="C3679" s="58" t="s">
        <v>1816</v>
      </c>
      <c r="D3679" s="58" t="s">
        <v>9698</v>
      </c>
      <c r="E3679" s="60" t="b">
        <v>1</v>
      </c>
      <c r="F3679" s="80" t="s">
        <v>1194</v>
      </c>
      <c r="G3679" s="58" t="s">
        <v>9697</v>
      </c>
      <c r="H3679" s="58" t="s">
        <v>1816</v>
      </c>
      <c r="I3679" s="64" t="s">
        <v>9698</v>
      </c>
      <c r="J3679" s="66"/>
      <c r="K3679" s="66"/>
      <c r="L3679" s="68"/>
      <c r="M3679" s="63" t="str">
        <f>HYPERLINK("http://nsgreg.nga.mil/genc/view?v=871670&amp;end_month=12&amp;end_day=31&amp;end_year=2016","Correlation")</f>
        <v>Correlation</v>
      </c>
    </row>
    <row r="3680" spans="1:13" x14ac:dyDescent="0.2">
      <c r="A3680" s="113"/>
      <c r="B3680" s="58" t="s">
        <v>9699</v>
      </c>
      <c r="C3680" s="58" t="s">
        <v>1816</v>
      </c>
      <c r="D3680" s="58" t="s">
        <v>9700</v>
      </c>
      <c r="E3680" s="60" t="b">
        <v>1</v>
      </c>
      <c r="F3680" s="80" t="s">
        <v>1194</v>
      </c>
      <c r="G3680" s="58" t="s">
        <v>9699</v>
      </c>
      <c r="H3680" s="58" t="s">
        <v>1816</v>
      </c>
      <c r="I3680" s="64" t="s">
        <v>9700</v>
      </c>
      <c r="J3680" s="66"/>
      <c r="K3680" s="66"/>
      <c r="L3680" s="68"/>
      <c r="M3680" s="63" t="str">
        <f>HYPERLINK("http://nsgreg.nga.mil/genc/view?v=871559&amp;end_month=12&amp;end_day=31&amp;end_year=2016","Correlation")</f>
        <v>Correlation</v>
      </c>
    </row>
    <row r="3681" spans="1:13" x14ac:dyDescent="0.2">
      <c r="A3681" s="113"/>
      <c r="B3681" s="58" t="s">
        <v>9701</v>
      </c>
      <c r="C3681" s="58" t="s">
        <v>1816</v>
      </c>
      <c r="D3681" s="58" t="s">
        <v>9702</v>
      </c>
      <c r="E3681" s="60" t="b">
        <v>1</v>
      </c>
      <c r="F3681" s="80" t="s">
        <v>1194</v>
      </c>
      <c r="G3681" s="58" t="s">
        <v>9701</v>
      </c>
      <c r="H3681" s="58" t="s">
        <v>1816</v>
      </c>
      <c r="I3681" s="64" t="s">
        <v>9702</v>
      </c>
      <c r="J3681" s="66"/>
      <c r="K3681" s="66"/>
      <c r="L3681" s="68"/>
      <c r="M3681" s="63" t="str">
        <f>HYPERLINK("http://nsgreg.nga.mil/genc/view?v=871560&amp;end_month=12&amp;end_day=31&amp;end_year=2016","Correlation")</f>
        <v>Correlation</v>
      </c>
    </row>
    <row r="3682" spans="1:13" x14ac:dyDescent="0.2">
      <c r="A3682" s="113"/>
      <c r="B3682" s="58" t="s">
        <v>9703</v>
      </c>
      <c r="C3682" s="58" t="s">
        <v>1816</v>
      </c>
      <c r="D3682" s="58" t="s">
        <v>9704</v>
      </c>
      <c r="E3682" s="60" t="b">
        <v>1</v>
      </c>
      <c r="F3682" s="80" t="s">
        <v>1194</v>
      </c>
      <c r="G3682" s="58" t="s">
        <v>9703</v>
      </c>
      <c r="H3682" s="58" t="s">
        <v>1816</v>
      </c>
      <c r="I3682" s="64" t="s">
        <v>9704</v>
      </c>
      <c r="J3682" s="66"/>
      <c r="K3682" s="66"/>
      <c r="L3682" s="68"/>
      <c r="M3682" s="63" t="str">
        <f>HYPERLINK("http://nsgreg.nga.mil/genc/view?v=871561&amp;end_month=12&amp;end_day=31&amp;end_year=2016","Correlation")</f>
        <v>Correlation</v>
      </c>
    </row>
    <row r="3683" spans="1:13" x14ac:dyDescent="0.2">
      <c r="A3683" s="113"/>
      <c r="B3683" s="58" t="s">
        <v>9705</v>
      </c>
      <c r="C3683" s="58" t="s">
        <v>1816</v>
      </c>
      <c r="D3683" s="58" t="s">
        <v>9706</v>
      </c>
      <c r="E3683" s="60" t="b">
        <v>1</v>
      </c>
      <c r="F3683" s="80" t="s">
        <v>1194</v>
      </c>
      <c r="G3683" s="58" t="s">
        <v>9705</v>
      </c>
      <c r="H3683" s="58" t="s">
        <v>1816</v>
      </c>
      <c r="I3683" s="64" t="s">
        <v>9706</v>
      </c>
      <c r="J3683" s="66"/>
      <c r="K3683" s="66"/>
      <c r="L3683" s="68"/>
      <c r="M3683" s="63" t="str">
        <f>HYPERLINK("http://nsgreg.nga.mil/genc/view?v=871562&amp;end_month=12&amp;end_day=31&amp;end_year=2016","Correlation")</f>
        <v>Correlation</v>
      </c>
    </row>
    <row r="3684" spans="1:13" x14ac:dyDescent="0.2">
      <c r="A3684" s="113"/>
      <c r="B3684" s="58" t="s">
        <v>9707</v>
      </c>
      <c r="C3684" s="58" t="s">
        <v>1816</v>
      </c>
      <c r="D3684" s="58" t="s">
        <v>9708</v>
      </c>
      <c r="E3684" s="60" t="b">
        <v>1</v>
      </c>
      <c r="F3684" s="80" t="s">
        <v>1194</v>
      </c>
      <c r="G3684" s="58" t="s">
        <v>9707</v>
      </c>
      <c r="H3684" s="58" t="s">
        <v>1816</v>
      </c>
      <c r="I3684" s="64" t="s">
        <v>9708</v>
      </c>
      <c r="J3684" s="66"/>
      <c r="K3684" s="66"/>
      <c r="L3684" s="68"/>
      <c r="M3684" s="63" t="str">
        <f>HYPERLINK("http://nsgreg.nga.mil/genc/view?v=871563&amp;end_month=12&amp;end_day=31&amp;end_year=2016","Correlation")</f>
        <v>Correlation</v>
      </c>
    </row>
    <row r="3685" spans="1:13" x14ac:dyDescent="0.2">
      <c r="A3685" s="113"/>
      <c r="B3685" s="58" t="s">
        <v>9709</v>
      </c>
      <c r="C3685" s="58" t="s">
        <v>1816</v>
      </c>
      <c r="D3685" s="58" t="s">
        <v>9710</v>
      </c>
      <c r="E3685" s="60" t="b">
        <v>1</v>
      </c>
      <c r="F3685" s="80" t="s">
        <v>1194</v>
      </c>
      <c r="G3685" s="58" t="s">
        <v>9709</v>
      </c>
      <c r="H3685" s="58" t="s">
        <v>1816</v>
      </c>
      <c r="I3685" s="64" t="s">
        <v>9710</v>
      </c>
      <c r="J3685" s="66"/>
      <c r="K3685" s="66"/>
      <c r="L3685" s="68"/>
      <c r="M3685" s="63" t="str">
        <f>HYPERLINK("http://nsgreg.nga.mil/genc/view?v=871564&amp;end_month=12&amp;end_day=31&amp;end_year=2016","Correlation")</f>
        <v>Correlation</v>
      </c>
    </row>
    <row r="3686" spans="1:13" x14ac:dyDescent="0.2">
      <c r="A3686" s="113"/>
      <c r="B3686" s="58" t="s">
        <v>9711</v>
      </c>
      <c r="C3686" s="58" t="s">
        <v>1816</v>
      </c>
      <c r="D3686" s="58" t="s">
        <v>9712</v>
      </c>
      <c r="E3686" s="60" t="b">
        <v>1</v>
      </c>
      <c r="F3686" s="80" t="s">
        <v>1194</v>
      </c>
      <c r="G3686" s="58" t="s">
        <v>9711</v>
      </c>
      <c r="H3686" s="58" t="s">
        <v>1816</v>
      </c>
      <c r="I3686" s="64" t="s">
        <v>9712</v>
      </c>
      <c r="J3686" s="66"/>
      <c r="K3686" s="66"/>
      <c r="L3686" s="68"/>
      <c r="M3686" s="63" t="str">
        <f>HYPERLINK("http://nsgreg.nga.mil/genc/view?v=871565&amp;end_month=12&amp;end_day=31&amp;end_year=2016","Correlation")</f>
        <v>Correlation</v>
      </c>
    </row>
    <row r="3687" spans="1:13" x14ac:dyDescent="0.2">
      <c r="A3687" s="113"/>
      <c r="B3687" s="58" t="s">
        <v>9713</v>
      </c>
      <c r="C3687" s="58" t="s">
        <v>1816</v>
      </c>
      <c r="D3687" s="58" t="s">
        <v>9714</v>
      </c>
      <c r="E3687" s="60" t="b">
        <v>1</v>
      </c>
      <c r="F3687" s="80" t="s">
        <v>1194</v>
      </c>
      <c r="G3687" s="58" t="s">
        <v>9713</v>
      </c>
      <c r="H3687" s="58" t="s">
        <v>9684</v>
      </c>
      <c r="I3687" s="64" t="s">
        <v>9714</v>
      </c>
      <c r="J3687" s="66"/>
      <c r="K3687" s="66"/>
      <c r="L3687" s="68"/>
      <c r="M3687" s="63" t="str">
        <f>HYPERLINK("http://nsgreg.nga.mil/genc/view?v=871566&amp;end_month=12&amp;end_day=31&amp;end_year=2016","Correlation")</f>
        <v>Correlation</v>
      </c>
    </row>
    <row r="3688" spans="1:13" x14ac:dyDescent="0.2">
      <c r="A3688" s="113"/>
      <c r="B3688" s="58" t="s">
        <v>9715</v>
      </c>
      <c r="C3688" s="58" t="s">
        <v>1816</v>
      </c>
      <c r="D3688" s="58" t="s">
        <v>9716</v>
      </c>
      <c r="E3688" s="60" t="b">
        <v>1</v>
      </c>
      <c r="F3688" s="80" t="s">
        <v>1194</v>
      </c>
      <c r="G3688" s="58" t="s">
        <v>9715</v>
      </c>
      <c r="H3688" s="58" t="s">
        <v>1816</v>
      </c>
      <c r="I3688" s="64" t="s">
        <v>9716</v>
      </c>
      <c r="J3688" s="66"/>
      <c r="K3688" s="66"/>
      <c r="L3688" s="68"/>
      <c r="M3688" s="63" t="str">
        <f>HYPERLINK("http://nsgreg.nga.mil/genc/view?v=871567&amp;end_month=12&amp;end_day=31&amp;end_year=2016","Correlation")</f>
        <v>Correlation</v>
      </c>
    </row>
    <row r="3689" spans="1:13" x14ac:dyDescent="0.2">
      <c r="A3689" s="113"/>
      <c r="B3689" s="58" t="s">
        <v>9717</v>
      </c>
      <c r="C3689" s="58" t="s">
        <v>1816</v>
      </c>
      <c r="D3689" s="58" t="s">
        <v>9718</v>
      </c>
      <c r="E3689" s="60" t="b">
        <v>1</v>
      </c>
      <c r="F3689" s="80" t="s">
        <v>1194</v>
      </c>
      <c r="G3689" s="58" t="s">
        <v>9717</v>
      </c>
      <c r="H3689" s="58" t="s">
        <v>1816</v>
      </c>
      <c r="I3689" s="64" t="s">
        <v>9718</v>
      </c>
      <c r="J3689" s="66"/>
      <c r="K3689" s="66"/>
      <c r="L3689" s="68"/>
      <c r="M3689" s="63" t="str">
        <f>HYPERLINK("http://nsgreg.nga.mil/genc/view?v=871568&amp;end_month=12&amp;end_day=31&amp;end_year=2016","Correlation")</f>
        <v>Correlation</v>
      </c>
    </row>
    <row r="3690" spans="1:13" x14ac:dyDescent="0.2">
      <c r="A3690" s="113"/>
      <c r="B3690" s="58" t="s">
        <v>9719</v>
      </c>
      <c r="C3690" s="58" t="s">
        <v>1816</v>
      </c>
      <c r="D3690" s="58" t="s">
        <v>9720</v>
      </c>
      <c r="E3690" s="60" t="b">
        <v>1</v>
      </c>
      <c r="F3690" s="80" t="s">
        <v>1194</v>
      </c>
      <c r="G3690" s="58" t="s">
        <v>9719</v>
      </c>
      <c r="H3690" s="58" t="s">
        <v>1816</v>
      </c>
      <c r="I3690" s="64" t="s">
        <v>9720</v>
      </c>
      <c r="J3690" s="66"/>
      <c r="K3690" s="66"/>
      <c r="L3690" s="68"/>
      <c r="M3690" s="63" t="str">
        <f>HYPERLINK("http://nsgreg.nga.mil/genc/view?v=871569&amp;end_month=12&amp;end_day=31&amp;end_year=2016","Correlation")</f>
        <v>Correlation</v>
      </c>
    </row>
    <row r="3691" spans="1:13" x14ac:dyDescent="0.2">
      <c r="A3691" s="113"/>
      <c r="B3691" s="58" t="s">
        <v>9721</v>
      </c>
      <c r="C3691" s="58" t="s">
        <v>1816</v>
      </c>
      <c r="D3691" s="58" t="s">
        <v>9722</v>
      </c>
      <c r="E3691" s="60" t="b">
        <v>1</v>
      </c>
      <c r="F3691" s="80" t="s">
        <v>1194</v>
      </c>
      <c r="G3691" s="58" t="s">
        <v>9721</v>
      </c>
      <c r="H3691" s="58" t="s">
        <v>1816</v>
      </c>
      <c r="I3691" s="64" t="s">
        <v>9722</v>
      </c>
      <c r="J3691" s="66"/>
      <c r="K3691" s="66"/>
      <c r="L3691" s="68"/>
      <c r="M3691" s="63" t="str">
        <f>HYPERLINK("http://nsgreg.nga.mil/genc/view?v=871712&amp;end_month=12&amp;end_day=31&amp;end_year=2016","Correlation")</f>
        <v>Correlation</v>
      </c>
    </row>
    <row r="3692" spans="1:13" x14ac:dyDescent="0.2">
      <c r="A3692" s="113"/>
      <c r="B3692" s="58" t="s">
        <v>9723</v>
      </c>
      <c r="C3692" s="58" t="s">
        <v>1816</v>
      </c>
      <c r="D3692" s="58" t="s">
        <v>9724</v>
      </c>
      <c r="E3692" s="60" t="b">
        <v>1</v>
      </c>
      <c r="F3692" s="80" t="s">
        <v>1194</v>
      </c>
      <c r="G3692" s="58" t="s">
        <v>9723</v>
      </c>
      <c r="H3692" s="58" t="s">
        <v>1816</v>
      </c>
      <c r="I3692" s="64" t="s">
        <v>9724</v>
      </c>
      <c r="J3692" s="66"/>
      <c r="K3692" s="66"/>
      <c r="L3692" s="68"/>
      <c r="M3692" s="63" t="str">
        <f>HYPERLINK("http://nsgreg.nga.mil/genc/view?v=871570&amp;end_month=12&amp;end_day=31&amp;end_year=2016","Correlation")</f>
        <v>Correlation</v>
      </c>
    </row>
    <row r="3693" spans="1:13" x14ac:dyDescent="0.2">
      <c r="A3693" s="113"/>
      <c r="B3693" s="58" t="s">
        <v>9725</v>
      </c>
      <c r="C3693" s="58" t="s">
        <v>1816</v>
      </c>
      <c r="D3693" s="58" t="s">
        <v>9726</v>
      </c>
      <c r="E3693" s="60" t="b">
        <v>1</v>
      </c>
      <c r="F3693" s="80" t="s">
        <v>1194</v>
      </c>
      <c r="G3693" s="58" t="s">
        <v>9725</v>
      </c>
      <c r="H3693" s="58" t="s">
        <v>1816</v>
      </c>
      <c r="I3693" s="64" t="s">
        <v>9726</v>
      </c>
      <c r="J3693" s="66"/>
      <c r="K3693" s="66"/>
      <c r="L3693" s="68"/>
      <c r="M3693" s="63" t="str">
        <f>HYPERLINK("http://nsgreg.nga.mil/genc/view?v=871571&amp;end_month=12&amp;end_day=31&amp;end_year=2016","Correlation")</f>
        <v>Correlation</v>
      </c>
    </row>
    <row r="3694" spans="1:13" x14ac:dyDescent="0.2">
      <c r="A3694" s="113"/>
      <c r="B3694" s="58" t="s">
        <v>9727</v>
      </c>
      <c r="C3694" s="58" t="s">
        <v>1816</v>
      </c>
      <c r="D3694" s="58" t="s">
        <v>9728</v>
      </c>
      <c r="E3694" s="60" t="b">
        <v>1</v>
      </c>
      <c r="F3694" s="80" t="s">
        <v>1194</v>
      </c>
      <c r="G3694" s="58" t="s">
        <v>9727</v>
      </c>
      <c r="H3694" s="58" t="s">
        <v>1816</v>
      </c>
      <c r="I3694" s="64" t="s">
        <v>9728</v>
      </c>
      <c r="J3694" s="66"/>
      <c r="K3694" s="66"/>
      <c r="L3694" s="68"/>
      <c r="M3694" s="63" t="str">
        <f>HYPERLINK("http://nsgreg.nga.mil/genc/view?v=871671&amp;end_month=12&amp;end_day=31&amp;end_year=2016","Correlation")</f>
        <v>Correlation</v>
      </c>
    </row>
    <row r="3695" spans="1:13" x14ac:dyDescent="0.2">
      <c r="A3695" s="113"/>
      <c r="B3695" s="58" t="s">
        <v>9729</v>
      </c>
      <c r="C3695" s="58" t="s">
        <v>1816</v>
      </c>
      <c r="D3695" s="58" t="s">
        <v>9730</v>
      </c>
      <c r="E3695" s="60" t="b">
        <v>1</v>
      </c>
      <c r="F3695" s="80" t="s">
        <v>1194</v>
      </c>
      <c r="G3695" s="58" t="s">
        <v>9729</v>
      </c>
      <c r="H3695" s="58" t="s">
        <v>1816</v>
      </c>
      <c r="I3695" s="64" t="s">
        <v>9730</v>
      </c>
      <c r="J3695" s="66"/>
      <c r="K3695" s="66"/>
      <c r="L3695" s="68"/>
      <c r="M3695" s="63" t="str">
        <f>HYPERLINK("http://nsgreg.nga.mil/genc/view?v=871572&amp;end_month=12&amp;end_day=31&amp;end_year=2016","Correlation")</f>
        <v>Correlation</v>
      </c>
    </row>
    <row r="3696" spans="1:13" x14ac:dyDescent="0.2">
      <c r="A3696" s="113"/>
      <c r="B3696" s="58" t="s">
        <v>9731</v>
      </c>
      <c r="C3696" s="58" t="s">
        <v>1816</v>
      </c>
      <c r="D3696" s="58" t="s">
        <v>9732</v>
      </c>
      <c r="E3696" s="60" t="b">
        <v>1</v>
      </c>
      <c r="F3696" s="80" t="s">
        <v>1194</v>
      </c>
      <c r="G3696" s="58" t="s">
        <v>9731</v>
      </c>
      <c r="H3696" s="58" t="s">
        <v>1816</v>
      </c>
      <c r="I3696" s="64" t="s">
        <v>9732</v>
      </c>
      <c r="J3696" s="66"/>
      <c r="K3696" s="66"/>
      <c r="L3696" s="68"/>
      <c r="M3696" s="63" t="str">
        <f>HYPERLINK("http://nsgreg.nga.mil/genc/view?v=871573&amp;end_month=12&amp;end_day=31&amp;end_year=2016","Correlation")</f>
        <v>Correlation</v>
      </c>
    </row>
    <row r="3697" spans="1:13" x14ac:dyDescent="0.2">
      <c r="A3697" s="113"/>
      <c r="B3697" s="58" t="s">
        <v>9733</v>
      </c>
      <c r="C3697" s="58" t="s">
        <v>1816</v>
      </c>
      <c r="D3697" s="58" t="s">
        <v>9734</v>
      </c>
      <c r="E3697" s="60" t="b">
        <v>1</v>
      </c>
      <c r="F3697" s="80" t="s">
        <v>1194</v>
      </c>
      <c r="G3697" s="58" t="s">
        <v>9733</v>
      </c>
      <c r="H3697" s="58" t="s">
        <v>1816</v>
      </c>
      <c r="I3697" s="64" t="s">
        <v>9734</v>
      </c>
      <c r="J3697" s="66"/>
      <c r="K3697" s="66"/>
      <c r="L3697" s="68"/>
      <c r="M3697" s="63" t="str">
        <f>HYPERLINK("http://nsgreg.nga.mil/genc/view?v=871574&amp;end_month=12&amp;end_day=31&amp;end_year=2016","Correlation")</f>
        <v>Correlation</v>
      </c>
    </row>
    <row r="3698" spans="1:13" x14ac:dyDescent="0.2">
      <c r="A3698" s="113"/>
      <c r="B3698" s="58" t="s">
        <v>9735</v>
      </c>
      <c r="C3698" s="58" t="s">
        <v>1816</v>
      </c>
      <c r="D3698" s="58" t="s">
        <v>9736</v>
      </c>
      <c r="E3698" s="60" t="b">
        <v>1</v>
      </c>
      <c r="F3698" s="80" t="s">
        <v>1194</v>
      </c>
      <c r="G3698" s="58" t="s">
        <v>9735</v>
      </c>
      <c r="H3698" s="58" t="s">
        <v>1816</v>
      </c>
      <c r="I3698" s="64" t="s">
        <v>9736</v>
      </c>
      <c r="J3698" s="66"/>
      <c r="K3698" s="66"/>
      <c r="L3698" s="68"/>
      <c r="M3698" s="63" t="str">
        <f>HYPERLINK("http://nsgreg.nga.mil/genc/view?v=871702&amp;end_month=12&amp;end_day=31&amp;end_year=2016","Correlation")</f>
        <v>Correlation</v>
      </c>
    </row>
    <row r="3699" spans="1:13" x14ac:dyDescent="0.2">
      <c r="A3699" s="113"/>
      <c r="B3699" s="58" t="s">
        <v>9737</v>
      </c>
      <c r="C3699" s="58" t="s">
        <v>1816</v>
      </c>
      <c r="D3699" s="58" t="s">
        <v>9738</v>
      </c>
      <c r="E3699" s="60" t="b">
        <v>1</v>
      </c>
      <c r="F3699" s="80" t="s">
        <v>1194</v>
      </c>
      <c r="G3699" s="58" t="s">
        <v>9737</v>
      </c>
      <c r="H3699" s="58" t="s">
        <v>9684</v>
      </c>
      <c r="I3699" s="64" t="s">
        <v>9738</v>
      </c>
      <c r="J3699" s="66"/>
      <c r="K3699" s="66"/>
      <c r="L3699" s="68"/>
      <c r="M3699" s="63" t="str">
        <f>HYPERLINK("http://nsgreg.nga.mil/genc/view?v=871575&amp;end_month=12&amp;end_day=31&amp;end_year=2016","Correlation")</f>
        <v>Correlation</v>
      </c>
    </row>
    <row r="3700" spans="1:13" x14ac:dyDescent="0.2">
      <c r="A3700" s="113"/>
      <c r="B3700" s="58" t="s">
        <v>9739</v>
      </c>
      <c r="C3700" s="58" t="s">
        <v>1816</v>
      </c>
      <c r="D3700" s="58" t="s">
        <v>9740</v>
      </c>
      <c r="E3700" s="60" t="b">
        <v>1</v>
      </c>
      <c r="F3700" s="80" t="s">
        <v>1194</v>
      </c>
      <c r="G3700" s="58" t="s">
        <v>9739</v>
      </c>
      <c r="H3700" s="58" t="s">
        <v>1816</v>
      </c>
      <c r="I3700" s="64" t="s">
        <v>9740</v>
      </c>
      <c r="J3700" s="66"/>
      <c r="K3700" s="66"/>
      <c r="L3700" s="68"/>
      <c r="M3700" s="63" t="str">
        <f>HYPERLINK("http://nsgreg.nga.mil/genc/view?v=871672&amp;end_month=12&amp;end_day=31&amp;end_year=2016","Correlation")</f>
        <v>Correlation</v>
      </c>
    </row>
    <row r="3701" spans="1:13" x14ac:dyDescent="0.2">
      <c r="A3701" s="113"/>
      <c r="B3701" s="58" t="s">
        <v>9741</v>
      </c>
      <c r="C3701" s="58" t="s">
        <v>1816</v>
      </c>
      <c r="D3701" s="58" t="s">
        <v>9742</v>
      </c>
      <c r="E3701" s="60" t="b">
        <v>1</v>
      </c>
      <c r="F3701" s="80" t="s">
        <v>1194</v>
      </c>
      <c r="G3701" s="58" t="s">
        <v>9741</v>
      </c>
      <c r="H3701" s="58" t="s">
        <v>1816</v>
      </c>
      <c r="I3701" s="64" t="s">
        <v>9742</v>
      </c>
      <c r="J3701" s="66"/>
      <c r="K3701" s="66"/>
      <c r="L3701" s="68"/>
      <c r="M3701" s="63" t="str">
        <f>HYPERLINK("http://nsgreg.nga.mil/genc/view?v=871576&amp;end_month=12&amp;end_day=31&amp;end_year=2016","Correlation")</f>
        <v>Correlation</v>
      </c>
    </row>
    <row r="3702" spans="1:13" x14ac:dyDescent="0.2">
      <c r="A3702" s="113"/>
      <c r="B3702" s="58" t="s">
        <v>9743</v>
      </c>
      <c r="C3702" s="58" t="s">
        <v>1816</v>
      </c>
      <c r="D3702" s="58" t="s">
        <v>9744</v>
      </c>
      <c r="E3702" s="60" t="b">
        <v>1</v>
      </c>
      <c r="F3702" s="80" t="s">
        <v>1194</v>
      </c>
      <c r="G3702" s="58" t="s">
        <v>9743</v>
      </c>
      <c r="H3702" s="58" t="s">
        <v>1816</v>
      </c>
      <c r="I3702" s="64" t="s">
        <v>9744</v>
      </c>
      <c r="J3702" s="66"/>
      <c r="K3702" s="66"/>
      <c r="L3702" s="68"/>
      <c r="M3702" s="63" t="str">
        <f>HYPERLINK("http://nsgreg.nga.mil/genc/view?v=871577&amp;end_month=12&amp;end_day=31&amp;end_year=2016","Correlation")</f>
        <v>Correlation</v>
      </c>
    </row>
    <row r="3703" spans="1:13" x14ac:dyDescent="0.2">
      <c r="A3703" s="113"/>
      <c r="B3703" s="58" t="s">
        <v>9745</v>
      </c>
      <c r="C3703" s="58" t="s">
        <v>1816</v>
      </c>
      <c r="D3703" s="58" t="s">
        <v>9746</v>
      </c>
      <c r="E3703" s="60" t="b">
        <v>1</v>
      </c>
      <c r="F3703" s="80" t="s">
        <v>1194</v>
      </c>
      <c r="G3703" s="58" t="s">
        <v>9745</v>
      </c>
      <c r="H3703" s="58" t="s">
        <v>1816</v>
      </c>
      <c r="I3703" s="64" t="s">
        <v>9746</v>
      </c>
      <c r="J3703" s="66"/>
      <c r="K3703" s="66"/>
      <c r="L3703" s="68"/>
      <c r="M3703" s="63" t="str">
        <f>HYPERLINK("http://nsgreg.nga.mil/genc/view?v=871578&amp;end_month=12&amp;end_day=31&amp;end_year=2016","Correlation")</f>
        <v>Correlation</v>
      </c>
    </row>
    <row r="3704" spans="1:13" x14ac:dyDescent="0.2">
      <c r="A3704" s="113"/>
      <c r="B3704" s="58" t="s">
        <v>9747</v>
      </c>
      <c r="C3704" s="58" t="s">
        <v>1816</v>
      </c>
      <c r="D3704" s="58" t="s">
        <v>9748</v>
      </c>
      <c r="E3704" s="60" t="b">
        <v>1</v>
      </c>
      <c r="F3704" s="80" t="s">
        <v>1194</v>
      </c>
      <c r="G3704" s="58" t="s">
        <v>9747</v>
      </c>
      <c r="H3704" s="58" t="s">
        <v>1816</v>
      </c>
      <c r="I3704" s="64" t="s">
        <v>9748</v>
      </c>
      <c r="J3704" s="66"/>
      <c r="K3704" s="66"/>
      <c r="L3704" s="68"/>
      <c r="M3704" s="63" t="str">
        <f>HYPERLINK("http://nsgreg.nga.mil/genc/view?v=871579&amp;end_month=12&amp;end_day=31&amp;end_year=2016","Correlation")</f>
        <v>Correlation</v>
      </c>
    </row>
    <row r="3705" spans="1:13" x14ac:dyDescent="0.2">
      <c r="A3705" s="113"/>
      <c r="B3705" s="58" t="s">
        <v>9749</v>
      </c>
      <c r="C3705" s="58" t="s">
        <v>1816</v>
      </c>
      <c r="D3705" s="58" t="s">
        <v>9750</v>
      </c>
      <c r="E3705" s="60" t="b">
        <v>1</v>
      </c>
      <c r="F3705" s="80" t="s">
        <v>1194</v>
      </c>
      <c r="G3705" s="58" t="s">
        <v>9749</v>
      </c>
      <c r="H3705" s="58" t="s">
        <v>1816</v>
      </c>
      <c r="I3705" s="64" t="s">
        <v>9750</v>
      </c>
      <c r="J3705" s="66"/>
      <c r="K3705" s="66"/>
      <c r="L3705" s="68"/>
      <c r="M3705" s="63" t="str">
        <f>HYPERLINK("http://nsgreg.nga.mil/genc/view?v=871673&amp;end_month=12&amp;end_day=31&amp;end_year=2016","Correlation")</f>
        <v>Correlation</v>
      </c>
    </row>
    <row r="3706" spans="1:13" x14ac:dyDescent="0.2">
      <c r="A3706" s="113"/>
      <c r="B3706" s="58" t="s">
        <v>9751</v>
      </c>
      <c r="C3706" s="58" t="s">
        <v>1816</v>
      </c>
      <c r="D3706" s="58" t="s">
        <v>9752</v>
      </c>
      <c r="E3706" s="60" t="b">
        <v>1</v>
      </c>
      <c r="F3706" s="80" t="s">
        <v>1194</v>
      </c>
      <c r="G3706" s="58" t="s">
        <v>9751</v>
      </c>
      <c r="H3706" s="58" t="s">
        <v>1816</v>
      </c>
      <c r="I3706" s="64" t="s">
        <v>9752</v>
      </c>
      <c r="J3706" s="66"/>
      <c r="K3706" s="66"/>
      <c r="L3706" s="68"/>
      <c r="M3706" s="63" t="str">
        <f>HYPERLINK("http://nsgreg.nga.mil/genc/view?v=871580&amp;end_month=12&amp;end_day=31&amp;end_year=2016","Correlation")</f>
        <v>Correlation</v>
      </c>
    </row>
    <row r="3707" spans="1:13" x14ac:dyDescent="0.2">
      <c r="A3707" s="113"/>
      <c r="B3707" s="58" t="s">
        <v>9753</v>
      </c>
      <c r="C3707" s="58" t="s">
        <v>1816</v>
      </c>
      <c r="D3707" s="58" t="s">
        <v>9754</v>
      </c>
      <c r="E3707" s="60" t="b">
        <v>1</v>
      </c>
      <c r="F3707" s="80" t="s">
        <v>1194</v>
      </c>
      <c r="G3707" s="58" t="s">
        <v>9753</v>
      </c>
      <c r="H3707" s="58" t="s">
        <v>1816</v>
      </c>
      <c r="I3707" s="64" t="s">
        <v>9754</v>
      </c>
      <c r="J3707" s="66"/>
      <c r="K3707" s="66"/>
      <c r="L3707" s="68"/>
      <c r="M3707" s="63" t="str">
        <f>HYPERLINK("http://nsgreg.nga.mil/genc/view?v=871716&amp;end_month=12&amp;end_day=31&amp;end_year=2016","Correlation")</f>
        <v>Correlation</v>
      </c>
    </row>
    <row r="3708" spans="1:13" x14ac:dyDescent="0.2">
      <c r="A3708" s="113"/>
      <c r="B3708" s="58" t="s">
        <v>9755</v>
      </c>
      <c r="C3708" s="58" t="s">
        <v>1816</v>
      </c>
      <c r="D3708" s="58" t="s">
        <v>9756</v>
      </c>
      <c r="E3708" s="60" t="b">
        <v>1</v>
      </c>
      <c r="F3708" s="80" t="s">
        <v>1194</v>
      </c>
      <c r="G3708" s="58" t="s">
        <v>9755</v>
      </c>
      <c r="H3708" s="58" t="s">
        <v>1816</v>
      </c>
      <c r="I3708" s="64" t="s">
        <v>9756</v>
      </c>
      <c r="J3708" s="66"/>
      <c r="K3708" s="66"/>
      <c r="L3708" s="68"/>
      <c r="M3708" s="63" t="str">
        <f>HYPERLINK("http://nsgreg.nga.mil/genc/view?v=871674&amp;end_month=12&amp;end_day=31&amp;end_year=2016","Correlation")</f>
        <v>Correlation</v>
      </c>
    </row>
    <row r="3709" spans="1:13" x14ac:dyDescent="0.2">
      <c r="A3709" s="113"/>
      <c r="B3709" s="58" t="s">
        <v>9757</v>
      </c>
      <c r="C3709" s="58" t="s">
        <v>1816</v>
      </c>
      <c r="D3709" s="58" t="s">
        <v>9758</v>
      </c>
      <c r="E3709" s="60" t="b">
        <v>1</v>
      </c>
      <c r="F3709" s="80" t="s">
        <v>1194</v>
      </c>
      <c r="G3709" s="58" t="s">
        <v>9757</v>
      </c>
      <c r="H3709" s="58" t="s">
        <v>1816</v>
      </c>
      <c r="I3709" s="64" t="s">
        <v>9758</v>
      </c>
      <c r="J3709" s="66"/>
      <c r="K3709" s="66"/>
      <c r="L3709" s="68"/>
      <c r="M3709" s="63" t="str">
        <f>HYPERLINK("http://nsgreg.nga.mil/genc/view?v=871581&amp;end_month=12&amp;end_day=31&amp;end_year=2016","Correlation")</f>
        <v>Correlation</v>
      </c>
    </row>
    <row r="3710" spans="1:13" x14ac:dyDescent="0.2">
      <c r="A3710" s="113"/>
      <c r="B3710" s="58" t="s">
        <v>9759</v>
      </c>
      <c r="C3710" s="58" t="s">
        <v>1816</v>
      </c>
      <c r="D3710" s="58" t="s">
        <v>9760</v>
      </c>
      <c r="E3710" s="60" t="b">
        <v>1</v>
      </c>
      <c r="F3710" s="80" t="s">
        <v>1194</v>
      </c>
      <c r="G3710" s="58" t="s">
        <v>9759</v>
      </c>
      <c r="H3710" s="58" t="s">
        <v>1816</v>
      </c>
      <c r="I3710" s="64" t="s">
        <v>9760</v>
      </c>
      <c r="J3710" s="66"/>
      <c r="K3710" s="66"/>
      <c r="L3710" s="68"/>
      <c r="M3710" s="63" t="str">
        <f>HYPERLINK("http://nsgreg.nga.mil/genc/view?v=871703&amp;end_month=12&amp;end_day=31&amp;end_year=2016","Correlation")</f>
        <v>Correlation</v>
      </c>
    </row>
    <row r="3711" spans="1:13" x14ac:dyDescent="0.2">
      <c r="A3711" s="113"/>
      <c r="B3711" s="58" t="s">
        <v>9761</v>
      </c>
      <c r="C3711" s="58" t="s">
        <v>1816</v>
      </c>
      <c r="D3711" s="58" t="s">
        <v>9762</v>
      </c>
      <c r="E3711" s="60" t="b">
        <v>1</v>
      </c>
      <c r="F3711" s="80" t="s">
        <v>1194</v>
      </c>
      <c r="G3711" s="58" t="s">
        <v>9761</v>
      </c>
      <c r="H3711" s="58" t="s">
        <v>1816</v>
      </c>
      <c r="I3711" s="64" t="s">
        <v>9762</v>
      </c>
      <c r="J3711" s="66"/>
      <c r="K3711" s="66"/>
      <c r="L3711" s="68"/>
      <c r="M3711" s="63" t="str">
        <f>HYPERLINK("http://nsgreg.nga.mil/genc/view?v=871582&amp;end_month=12&amp;end_day=31&amp;end_year=2016","Correlation")</f>
        <v>Correlation</v>
      </c>
    </row>
    <row r="3712" spans="1:13" x14ac:dyDescent="0.2">
      <c r="A3712" s="113"/>
      <c r="B3712" s="58" t="s">
        <v>9763</v>
      </c>
      <c r="C3712" s="58" t="s">
        <v>1816</v>
      </c>
      <c r="D3712" s="58" t="s">
        <v>9764</v>
      </c>
      <c r="E3712" s="60" t="b">
        <v>1</v>
      </c>
      <c r="F3712" s="80" t="s">
        <v>1194</v>
      </c>
      <c r="G3712" s="58" t="s">
        <v>9763</v>
      </c>
      <c r="H3712" s="58" t="s">
        <v>1816</v>
      </c>
      <c r="I3712" s="64" t="s">
        <v>9764</v>
      </c>
      <c r="J3712" s="66"/>
      <c r="K3712" s="66"/>
      <c r="L3712" s="68"/>
      <c r="M3712" s="63" t="str">
        <f>HYPERLINK("http://nsgreg.nga.mil/genc/view?v=871583&amp;end_month=12&amp;end_day=31&amp;end_year=2016","Correlation")</f>
        <v>Correlation</v>
      </c>
    </row>
    <row r="3713" spans="1:13" x14ac:dyDescent="0.2">
      <c r="A3713" s="113"/>
      <c r="B3713" s="58" t="s">
        <v>9765</v>
      </c>
      <c r="C3713" s="58" t="s">
        <v>1816</v>
      </c>
      <c r="D3713" s="58" t="s">
        <v>9766</v>
      </c>
      <c r="E3713" s="60" t="b">
        <v>1</v>
      </c>
      <c r="F3713" s="80" t="s">
        <v>1194</v>
      </c>
      <c r="G3713" s="58" t="s">
        <v>9765</v>
      </c>
      <c r="H3713" s="58" t="s">
        <v>1816</v>
      </c>
      <c r="I3713" s="64" t="s">
        <v>9766</v>
      </c>
      <c r="J3713" s="66"/>
      <c r="K3713" s="66"/>
      <c r="L3713" s="68"/>
      <c r="M3713" s="63" t="str">
        <f>HYPERLINK("http://nsgreg.nga.mil/genc/view?v=871584&amp;end_month=12&amp;end_day=31&amp;end_year=2016","Correlation")</f>
        <v>Correlation</v>
      </c>
    </row>
    <row r="3714" spans="1:13" x14ac:dyDescent="0.2">
      <c r="A3714" s="113"/>
      <c r="B3714" s="58" t="s">
        <v>9767</v>
      </c>
      <c r="C3714" s="58" t="s">
        <v>1816</v>
      </c>
      <c r="D3714" s="58" t="s">
        <v>9768</v>
      </c>
      <c r="E3714" s="60" t="b">
        <v>1</v>
      </c>
      <c r="F3714" s="80" t="s">
        <v>1194</v>
      </c>
      <c r="G3714" s="58" t="s">
        <v>9767</v>
      </c>
      <c r="H3714" s="58" t="s">
        <v>9684</v>
      </c>
      <c r="I3714" s="64" t="s">
        <v>9768</v>
      </c>
      <c r="J3714" s="66"/>
      <c r="K3714" s="66"/>
      <c r="L3714" s="68"/>
      <c r="M3714" s="63" t="str">
        <f>HYPERLINK("http://nsgreg.nga.mil/genc/view?v=871585&amp;end_month=12&amp;end_day=31&amp;end_year=2016","Correlation")</f>
        <v>Correlation</v>
      </c>
    </row>
    <row r="3715" spans="1:13" x14ac:dyDescent="0.2">
      <c r="A3715" s="113"/>
      <c r="B3715" s="58" t="s">
        <v>9769</v>
      </c>
      <c r="C3715" s="58" t="s">
        <v>1816</v>
      </c>
      <c r="D3715" s="58" t="s">
        <v>9770</v>
      </c>
      <c r="E3715" s="60" t="b">
        <v>1</v>
      </c>
      <c r="F3715" s="80" t="s">
        <v>1194</v>
      </c>
      <c r="G3715" s="58" t="s">
        <v>9769</v>
      </c>
      <c r="H3715" s="58" t="s">
        <v>1816</v>
      </c>
      <c r="I3715" s="64" t="s">
        <v>9770</v>
      </c>
      <c r="J3715" s="66"/>
      <c r="K3715" s="66"/>
      <c r="L3715" s="68"/>
      <c r="M3715" s="63" t="str">
        <f>HYPERLINK("http://nsgreg.nga.mil/genc/view?v=871586&amp;end_month=12&amp;end_day=31&amp;end_year=2016","Correlation")</f>
        <v>Correlation</v>
      </c>
    </row>
    <row r="3716" spans="1:13" x14ac:dyDescent="0.2">
      <c r="A3716" s="113"/>
      <c r="B3716" s="58" t="s">
        <v>9771</v>
      </c>
      <c r="C3716" s="58" t="s">
        <v>1816</v>
      </c>
      <c r="D3716" s="58" t="s">
        <v>9772</v>
      </c>
      <c r="E3716" s="60" t="b">
        <v>1</v>
      </c>
      <c r="F3716" s="80" t="s">
        <v>1194</v>
      </c>
      <c r="G3716" s="58" t="s">
        <v>9771</v>
      </c>
      <c r="H3716" s="58" t="s">
        <v>1816</v>
      </c>
      <c r="I3716" s="64" t="s">
        <v>9772</v>
      </c>
      <c r="J3716" s="66"/>
      <c r="K3716" s="66"/>
      <c r="L3716" s="68"/>
      <c r="M3716" s="63" t="str">
        <f>HYPERLINK("http://nsgreg.nga.mil/genc/view?v=871587&amp;end_month=12&amp;end_day=31&amp;end_year=2016","Correlation")</f>
        <v>Correlation</v>
      </c>
    </row>
    <row r="3717" spans="1:13" x14ac:dyDescent="0.2">
      <c r="A3717" s="113"/>
      <c r="B3717" s="58" t="s">
        <v>9773</v>
      </c>
      <c r="C3717" s="58" t="s">
        <v>1816</v>
      </c>
      <c r="D3717" s="58" t="s">
        <v>9774</v>
      </c>
      <c r="E3717" s="60" t="b">
        <v>1</v>
      </c>
      <c r="F3717" s="80" t="s">
        <v>1194</v>
      </c>
      <c r="G3717" s="58" t="s">
        <v>9773</v>
      </c>
      <c r="H3717" s="58" t="s">
        <v>1816</v>
      </c>
      <c r="I3717" s="64" t="s">
        <v>9774</v>
      </c>
      <c r="J3717" s="66"/>
      <c r="K3717" s="66"/>
      <c r="L3717" s="68"/>
      <c r="M3717" s="63" t="str">
        <f>HYPERLINK("http://nsgreg.nga.mil/genc/view?v=871588&amp;end_month=12&amp;end_day=31&amp;end_year=2016","Correlation")</f>
        <v>Correlation</v>
      </c>
    </row>
    <row r="3718" spans="1:13" x14ac:dyDescent="0.2">
      <c r="A3718" s="113"/>
      <c r="B3718" s="58" t="s">
        <v>9775</v>
      </c>
      <c r="C3718" s="58" t="s">
        <v>1816</v>
      </c>
      <c r="D3718" s="58" t="s">
        <v>9776</v>
      </c>
      <c r="E3718" s="60" t="b">
        <v>1</v>
      </c>
      <c r="F3718" s="80" t="s">
        <v>1194</v>
      </c>
      <c r="G3718" s="58" t="s">
        <v>9775</v>
      </c>
      <c r="H3718" s="58" t="s">
        <v>9684</v>
      </c>
      <c r="I3718" s="64" t="s">
        <v>9776</v>
      </c>
      <c r="J3718" s="66"/>
      <c r="K3718" s="66"/>
      <c r="L3718" s="68"/>
      <c r="M3718" s="63" t="str">
        <f>HYPERLINK("http://nsgreg.nga.mil/genc/view?v=871589&amp;end_month=12&amp;end_day=31&amp;end_year=2016","Correlation")</f>
        <v>Correlation</v>
      </c>
    </row>
    <row r="3719" spans="1:13" x14ac:dyDescent="0.2">
      <c r="A3719" s="113"/>
      <c r="B3719" s="58" t="s">
        <v>9777</v>
      </c>
      <c r="C3719" s="58" t="s">
        <v>1816</v>
      </c>
      <c r="D3719" s="58" t="s">
        <v>9778</v>
      </c>
      <c r="E3719" s="60" t="b">
        <v>1</v>
      </c>
      <c r="F3719" s="80" t="s">
        <v>1194</v>
      </c>
      <c r="G3719" s="58" t="s">
        <v>9777</v>
      </c>
      <c r="H3719" s="58" t="s">
        <v>9684</v>
      </c>
      <c r="I3719" s="64" t="s">
        <v>9778</v>
      </c>
      <c r="J3719" s="66"/>
      <c r="K3719" s="66"/>
      <c r="L3719" s="68"/>
      <c r="M3719" s="63" t="str">
        <f>HYPERLINK("http://nsgreg.nga.mil/genc/view?v=871590&amp;end_month=12&amp;end_day=31&amp;end_year=2016","Correlation")</f>
        <v>Correlation</v>
      </c>
    </row>
    <row r="3720" spans="1:13" x14ac:dyDescent="0.2">
      <c r="A3720" s="113"/>
      <c r="B3720" s="58" t="s">
        <v>9779</v>
      </c>
      <c r="C3720" s="58" t="s">
        <v>1816</v>
      </c>
      <c r="D3720" s="58" t="s">
        <v>9780</v>
      </c>
      <c r="E3720" s="60" t="b">
        <v>1</v>
      </c>
      <c r="F3720" s="80" t="s">
        <v>1194</v>
      </c>
      <c r="G3720" s="58" t="s">
        <v>9779</v>
      </c>
      <c r="H3720" s="58" t="s">
        <v>1816</v>
      </c>
      <c r="I3720" s="64" t="s">
        <v>9780</v>
      </c>
      <c r="J3720" s="66"/>
      <c r="K3720" s="66"/>
      <c r="L3720" s="68"/>
      <c r="M3720" s="63" t="str">
        <f>HYPERLINK("http://nsgreg.nga.mil/genc/view?v=871591&amp;end_month=12&amp;end_day=31&amp;end_year=2016","Correlation")</f>
        <v>Correlation</v>
      </c>
    </row>
    <row r="3721" spans="1:13" x14ac:dyDescent="0.2">
      <c r="A3721" s="113"/>
      <c r="B3721" s="58" t="s">
        <v>9781</v>
      </c>
      <c r="C3721" s="58" t="s">
        <v>1816</v>
      </c>
      <c r="D3721" s="58" t="s">
        <v>9782</v>
      </c>
      <c r="E3721" s="60" t="b">
        <v>1</v>
      </c>
      <c r="F3721" s="80" t="s">
        <v>1194</v>
      </c>
      <c r="G3721" s="58" t="s">
        <v>9781</v>
      </c>
      <c r="H3721" s="58" t="s">
        <v>1816</v>
      </c>
      <c r="I3721" s="64" t="s">
        <v>9782</v>
      </c>
      <c r="J3721" s="66"/>
      <c r="K3721" s="66"/>
      <c r="L3721" s="68"/>
      <c r="M3721" s="63" t="str">
        <f>HYPERLINK("http://nsgreg.nga.mil/genc/view?v=871675&amp;end_month=12&amp;end_day=31&amp;end_year=2016","Correlation")</f>
        <v>Correlation</v>
      </c>
    </row>
    <row r="3722" spans="1:13" x14ac:dyDescent="0.2">
      <c r="A3722" s="113"/>
      <c r="B3722" s="58" t="s">
        <v>9783</v>
      </c>
      <c r="C3722" s="58" t="s">
        <v>1816</v>
      </c>
      <c r="D3722" s="58" t="s">
        <v>9784</v>
      </c>
      <c r="E3722" s="60" t="b">
        <v>1</v>
      </c>
      <c r="F3722" s="80" t="s">
        <v>1194</v>
      </c>
      <c r="G3722" s="58" t="s">
        <v>9783</v>
      </c>
      <c r="H3722" s="58" t="s">
        <v>1816</v>
      </c>
      <c r="I3722" s="64" t="s">
        <v>9784</v>
      </c>
      <c r="J3722" s="66"/>
      <c r="K3722" s="66"/>
      <c r="L3722" s="68"/>
      <c r="M3722" s="63" t="str">
        <f>HYPERLINK("http://nsgreg.nga.mil/genc/view?v=871592&amp;end_month=12&amp;end_day=31&amp;end_year=2016","Correlation")</f>
        <v>Correlation</v>
      </c>
    </row>
    <row r="3723" spans="1:13" x14ac:dyDescent="0.2">
      <c r="A3723" s="113"/>
      <c r="B3723" s="58" t="s">
        <v>9785</v>
      </c>
      <c r="C3723" s="58" t="s">
        <v>1816</v>
      </c>
      <c r="D3723" s="58" t="s">
        <v>9786</v>
      </c>
      <c r="E3723" s="60" t="b">
        <v>1</v>
      </c>
      <c r="F3723" s="80" t="s">
        <v>1194</v>
      </c>
      <c r="G3723" s="58" t="s">
        <v>9785</v>
      </c>
      <c r="H3723" s="58" t="s">
        <v>1816</v>
      </c>
      <c r="I3723" s="64" t="s">
        <v>9786</v>
      </c>
      <c r="J3723" s="66"/>
      <c r="K3723" s="66"/>
      <c r="L3723" s="68"/>
      <c r="M3723" s="63" t="str">
        <f>HYPERLINK("http://nsgreg.nga.mil/genc/view?v=871593&amp;end_month=12&amp;end_day=31&amp;end_year=2016","Correlation")</f>
        <v>Correlation</v>
      </c>
    </row>
    <row r="3724" spans="1:13" x14ac:dyDescent="0.2">
      <c r="A3724" s="113"/>
      <c r="B3724" s="58" t="s">
        <v>9787</v>
      </c>
      <c r="C3724" s="58" t="s">
        <v>1816</v>
      </c>
      <c r="D3724" s="58" t="s">
        <v>9788</v>
      </c>
      <c r="E3724" s="60" t="b">
        <v>1</v>
      </c>
      <c r="F3724" s="80" t="s">
        <v>1194</v>
      </c>
      <c r="G3724" s="58" t="s">
        <v>9787</v>
      </c>
      <c r="H3724" s="58" t="s">
        <v>1816</v>
      </c>
      <c r="I3724" s="64" t="s">
        <v>9788</v>
      </c>
      <c r="J3724" s="66"/>
      <c r="K3724" s="66"/>
      <c r="L3724" s="68"/>
      <c r="M3724" s="63" t="str">
        <f>HYPERLINK("http://nsgreg.nga.mil/genc/view?v=871594&amp;end_month=12&amp;end_day=31&amp;end_year=2016","Correlation")</f>
        <v>Correlation</v>
      </c>
    </row>
    <row r="3725" spans="1:13" x14ac:dyDescent="0.2">
      <c r="A3725" s="113"/>
      <c r="B3725" s="58" t="s">
        <v>9789</v>
      </c>
      <c r="C3725" s="58" t="s">
        <v>1816</v>
      </c>
      <c r="D3725" s="58" t="s">
        <v>9790</v>
      </c>
      <c r="E3725" s="60" t="b">
        <v>1</v>
      </c>
      <c r="F3725" s="80" t="s">
        <v>1194</v>
      </c>
      <c r="G3725" s="58" t="s">
        <v>9789</v>
      </c>
      <c r="H3725" s="58" t="s">
        <v>1816</v>
      </c>
      <c r="I3725" s="64" t="s">
        <v>9790</v>
      </c>
      <c r="J3725" s="66"/>
      <c r="K3725" s="66"/>
      <c r="L3725" s="68"/>
      <c r="M3725" s="63" t="str">
        <f>HYPERLINK("http://nsgreg.nga.mil/genc/view?v=871595&amp;end_month=12&amp;end_day=31&amp;end_year=2016","Correlation")</f>
        <v>Correlation</v>
      </c>
    </row>
    <row r="3726" spans="1:13" x14ac:dyDescent="0.2">
      <c r="A3726" s="113"/>
      <c r="B3726" s="58" t="s">
        <v>9791</v>
      </c>
      <c r="C3726" s="58" t="s">
        <v>1816</v>
      </c>
      <c r="D3726" s="58" t="s">
        <v>9792</v>
      </c>
      <c r="E3726" s="60" t="b">
        <v>1</v>
      </c>
      <c r="F3726" s="80" t="s">
        <v>1194</v>
      </c>
      <c r="G3726" s="58" t="s">
        <v>9791</v>
      </c>
      <c r="H3726" s="58" t="s">
        <v>1816</v>
      </c>
      <c r="I3726" s="64" t="s">
        <v>9792</v>
      </c>
      <c r="J3726" s="66"/>
      <c r="K3726" s="66"/>
      <c r="L3726" s="68"/>
      <c r="M3726" s="63" t="str">
        <f>HYPERLINK("http://nsgreg.nga.mil/genc/view?v=871596&amp;end_month=12&amp;end_day=31&amp;end_year=2016","Correlation")</f>
        <v>Correlation</v>
      </c>
    </row>
    <row r="3727" spans="1:13" x14ac:dyDescent="0.2">
      <c r="A3727" s="113"/>
      <c r="B3727" s="58" t="s">
        <v>9793</v>
      </c>
      <c r="C3727" s="58" t="s">
        <v>1816</v>
      </c>
      <c r="D3727" s="58" t="s">
        <v>9794</v>
      </c>
      <c r="E3727" s="60" t="b">
        <v>1</v>
      </c>
      <c r="F3727" s="80" t="s">
        <v>1194</v>
      </c>
      <c r="G3727" s="58" t="s">
        <v>9793</v>
      </c>
      <c r="H3727" s="58" t="s">
        <v>1816</v>
      </c>
      <c r="I3727" s="64" t="s">
        <v>9794</v>
      </c>
      <c r="J3727" s="66"/>
      <c r="K3727" s="66"/>
      <c r="L3727" s="68"/>
      <c r="M3727" s="63" t="str">
        <f>HYPERLINK("http://nsgreg.nga.mil/genc/view?v=871597&amp;end_month=12&amp;end_day=31&amp;end_year=2016","Correlation")</f>
        <v>Correlation</v>
      </c>
    </row>
    <row r="3728" spans="1:13" x14ac:dyDescent="0.2">
      <c r="A3728" s="113"/>
      <c r="B3728" s="58" t="s">
        <v>9795</v>
      </c>
      <c r="C3728" s="58" t="s">
        <v>1816</v>
      </c>
      <c r="D3728" s="58" t="s">
        <v>9796</v>
      </c>
      <c r="E3728" s="60" t="b">
        <v>1</v>
      </c>
      <c r="F3728" s="80" t="s">
        <v>1194</v>
      </c>
      <c r="G3728" s="58" t="s">
        <v>9795</v>
      </c>
      <c r="H3728" s="58" t="s">
        <v>1816</v>
      </c>
      <c r="I3728" s="64" t="s">
        <v>9796</v>
      </c>
      <c r="J3728" s="66"/>
      <c r="K3728" s="66"/>
      <c r="L3728" s="68"/>
      <c r="M3728" s="63" t="str">
        <f>HYPERLINK("http://nsgreg.nga.mil/genc/view?v=871676&amp;end_month=12&amp;end_day=31&amp;end_year=2016","Correlation")</f>
        <v>Correlation</v>
      </c>
    </row>
    <row r="3729" spans="1:13" x14ac:dyDescent="0.2">
      <c r="A3729" s="113"/>
      <c r="B3729" s="58" t="s">
        <v>9797</v>
      </c>
      <c r="C3729" s="58" t="s">
        <v>1816</v>
      </c>
      <c r="D3729" s="58" t="s">
        <v>9798</v>
      </c>
      <c r="E3729" s="60" t="b">
        <v>1</v>
      </c>
      <c r="F3729" s="80" t="s">
        <v>1194</v>
      </c>
      <c r="G3729" s="58" t="s">
        <v>9797</v>
      </c>
      <c r="H3729" s="58" t="s">
        <v>1816</v>
      </c>
      <c r="I3729" s="64" t="s">
        <v>9798</v>
      </c>
      <c r="J3729" s="66"/>
      <c r="K3729" s="66"/>
      <c r="L3729" s="68"/>
      <c r="M3729" s="63" t="str">
        <f>HYPERLINK("http://nsgreg.nga.mil/genc/view?v=871598&amp;end_month=12&amp;end_day=31&amp;end_year=2016","Correlation")</f>
        <v>Correlation</v>
      </c>
    </row>
    <row r="3730" spans="1:13" x14ac:dyDescent="0.2">
      <c r="A3730" s="113"/>
      <c r="B3730" s="58" t="s">
        <v>9799</v>
      </c>
      <c r="C3730" s="58" t="s">
        <v>1816</v>
      </c>
      <c r="D3730" s="58" t="s">
        <v>9800</v>
      </c>
      <c r="E3730" s="60" t="b">
        <v>1</v>
      </c>
      <c r="F3730" s="80" t="s">
        <v>1194</v>
      </c>
      <c r="G3730" s="58" t="s">
        <v>9799</v>
      </c>
      <c r="H3730" s="58" t="s">
        <v>1816</v>
      </c>
      <c r="I3730" s="64" t="s">
        <v>9800</v>
      </c>
      <c r="J3730" s="66"/>
      <c r="K3730" s="66"/>
      <c r="L3730" s="68"/>
      <c r="M3730" s="63" t="str">
        <f>HYPERLINK("http://nsgreg.nga.mil/genc/view?v=871704&amp;end_month=12&amp;end_day=31&amp;end_year=2016","Correlation")</f>
        <v>Correlation</v>
      </c>
    </row>
    <row r="3731" spans="1:13" x14ac:dyDescent="0.2">
      <c r="A3731" s="113"/>
      <c r="B3731" s="58" t="s">
        <v>9801</v>
      </c>
      <c r="C3731" s="58" t="s">
        <v>1816</v>
      </c>
      <c r="D3731" s="58" t="s">
        <v>9802</v>
      </c>
      <c r="E3731" s="60" t="b">
        <v>1</v>
      </c>
      <c r="F3731" s="80" t="s">
        <v>1194</v>
      </c>
      <c r="G3731" s="58" t="s">
        <v>9801</v>
      </c>
      <c r="H3731" s="58" t="s">
        <v>1816</v>
      </c>
      <c r="I3731" s="64" t="s">
        <v>9802</v>
      </c>
      <c r="J3731" s="66"/>
      <c r="K3731" s="66"/>
      <c r="L3731" s="68"/>
      <c r="M3731" s="63" t="str">
        <f>HYPERLINK("http://nsgreg.nga.mil/genc/view?v=871677&amp;end_month=12&amp;end_day=31&amp;end_year=2016","Correlation")</f>
        <v>Correlation</v>
      </c>
    </row>
    <row r="3732" spans="1:13" x14ac:dyDescent="0.2">
      <c r="A3732" s="113"/>
      <c r="B3732" s="58" t="s">
        <v>9803</v>
      </c>
      <c r="C3732" s="58" t="s">
        <v>1816</v>
      </c>
      <c r="D3732" s="58" t="s">
        <v>9804</v>
      </c>
      <c r="E3732" s="60" t="b">
        <v>1</v>
      </c>
      <c r="F3732" s="80" t="s">
        <v>1194</v>
      </c>
      <c r="G3732" s="58" t="s">
        <v>9803</v>
      </c>
      <c r="H3732" s="58" t="s">
        <v>1816</v>
      </c>
      <c r="I3732" s="64" t="s">
        <v>9804</v>
      </c>
      <c r="J3732" s="66"/>
      <c r="K3732" s="66"/>
      <c r="L3732" s="68"/>
      <c r="M3732" s="63" t="str">
        <f>HYPERLINK("http://nsgreg.nga.mil/genc/view?v=871599&amp;end_month=12&amp;end_day=31&amp;end_year=2016","Correlation")</f>
        <v>Correlation</v>
      </c>
    </row>
    <row r="3733" spans="1:13" x14ac:dyDescent="0.2">
      <c r="A3733" s="113"/>
      <c r="B3733" s="58" t="s">
        <v>9805</v>
      </c>
      <c r="C3733" s="58" t="s">
        <v>1816</v>
      </c>
      <c r="D3733" s="58" t="s">
        <v>9806</v>
      </c>
      <c r="E3733" s="60" t="b">
        <v>1</v>
      </c>
      <c r="F3733" s="80" t="s">
        <v>1194</v>
      </c>
      <c r="G3733" s="58" t="s">
        <v>9805</v>
      </c>
      <c r="H3733" s="58" t="s">
        <v>1816</v>
      </c>
      <c r="I3733" s="64" t="s">
        <v>9806</v>
      </c>
      <c r="J3733" s="66"/>
      <c r="K3733" s="66"/>
      <c r="L3733" s="68"/>
      <c r="M3733" s="63" t="str">
        <f>HYPERLINK("http://nsgreg.nga.mil/genc/view?v=871678&amp;end_month=12&amp;end_day=31&amp;end_year=2016","Correlation")</f>
        <v>Correlation</v>
      </c>
    </row>
    <row r="3734" spans="1:13" x14ac:dyDescent="0.2">
      <c r="A3734" s="113"/>
      <c r="B3734" s="58" t="s">
        <v>9807</v>
      </c>
      <c r="C3734" s="58" t="s">
        <v>1816</v>
      </c>
      <c r="D3734" s="58" t="s">
        <v>9808</v>
      </c>
      <c r="E3734" s="60" t="b">
        <v>1</v>
      </c>
      <c r="F3734" s="80" t="s">
        <v>1194</v>
      </c>
      <c r="G3734" s="58" t="s">
        <v>9807</v>
      </c>
      <c r="H3734" s="58" t="s">
        <v>1816</v>
      </c>
      <c r="I3734" s="64" t="s">
        <v>9808</v>
      </c>
      <c r="J3734" s="66"/>
      <c r="K3734" s="66"/>
      <c r="L3734" s="68"/>
      <c r="M3734" s="63" t="str">
        <f>HYPERLINK("http://nsgreg.nga.mil/genc/view?v=871600&amp;end_month=12&amp;end_day=31&amp;end_year=2016","Correlation")</f>
        <v>Correlation</v>
      </c>
    </row>
    <row r="3735" spans="1:13" x14ac:dyDescent="0.2">
      <c r="A3735" s="113"/>
      <c r="B3735" s="58" t="s">
        <v>9809</v>
      </c>
      <c r="C3735" s="58" t="s">
        <v>1816</v>
      </c>
      <c r="D3735" s="58" t="s">
        <v>9810</v>
      </c>
      <c r="E3735" s="60" t="b">
        <v>1</v>
      </c>
      <c r="F3735" s="80" t="s">
        <v>1194</v>
      </c>
      <c r="G3735" s="58" t="s">
        <v>9809</v>
      </c>
      <c r="H3735" s="58" t="s">
        <v>1816</v>
      </c>
      <c r="I3735" s="64" t="s">
        <v>9810</v>
      </c>
      <c r="J3735" s="66"/>
      <c r="K3735" s="66"/>
      <c r="L3735" s="68"/>
      <c r="M3735" s="63" t="str">
        <f>HYPERLINK("http://nsgreg.nga.mil/genc/view?v=871679&amp;end_month=12&amp;end_day=31&amp;end_year=2016","Correlation")</f>
        <v>Correlation</v>
      </c>
    </row>
    <row r="3736" spans="1:13" x14ac:dyDescent="0.2">
      <c r="A3736" s="113"/>
      <c r="B3736" s="58" t="s">
        <v>9811</v>
      </c>
      <c r="C3736" s="58" t="s">
        <v>1816</v>
      </c>
      <c r="D3736" s="58" t="s">
        <v>9812</v>
      </c>
      <c r="E3736" s="60" t="b">
        <v>1</v>
      </c>
      <c r="F3736" s="80" t="s">
        <v>1194</v>
      </c>
      <c r="G3736" s="58" t="s">
        <v>9811</v>
      </c>
      <c r="H3736" s="58" t="s">
        <v>9684</v>
      </c>
      <c r="I3736" s="64" t="s">
        <v>9812</v>
      </c>
      <c r="J3736" s="66"/>
      <c r="K3736" s="66"/>
      <c r="L3736" s="68"/>
      <c r="M3736" s="63" t="str">
        <f>HYPERLINK("http://nsgreg.nga.mil/genc/view?v=871601&amp;end_month=12&amp;end_day=31&amp;end_year=2016","Correlation")</f>
        <v>Correlation</v>
      </c>
    </row>
    <row r="3737" spans="1:13" x14ac:dyDescent="0.2">
      <c r="A3737" s="113"/>
      <c r="B3737" s="58" t="s">
        <v>9813</v>
      </c>
      <c r="C3737" s="58" t="s">
        <v>1816</v>
      </c>
      <c r="D3737" s="58" t="s">
        <v>9814</v>
      </c>
      <c r="E3737" s="60" t="b">
        <v>1</v>
      </c>
      <c r="F3737" s="80" t="s">
        <v>1194</v>
      </c>
      <c r="G3737" s="58" t="s">
        <v>9813</v>
      </c>
      <c r="H3737" s="58" t="s">
        <v>1816</v>
      </c>
      <c r="I3737" s="64" t="s">
        <v>9814</v>
      </c>
      <c r="J3737" s="66"/>
      <c r="K3737" s="66"/>
      <c r="L3737" s="68"/>
      <c r="M3737" s="63" t="str">
        <f>HYPERLINK("http://nsgreg.nga.mil/genc/view?v=871602&amp;end_month=12&amp;end_day=31&amp;end_year=2016","Correlation")</f>
        <v>Correlation</v>
      </c>
    </row>
    <row r="3738" spans="1:13" x14ac:dyDescent="0.2">
      <c r="A3738" s="113"/>
      <c r="B3738" s="58" t="s">
        <v>9815</v>
      </c>
      <c r="C3738" s="58" t="s">
        <v>1816</v>
      </c>
      <c r="D3738" s="58" t="s">
        <v>9816</v>
      </c>
      <c r="E3738" s="60" t="b">
        <v>1</v>
      </c>
      <c r="F3738" s="80" t="s">
        <v>1194</v>
      </c>
      <c r="G3738" s="58" t="s">
        <v>9815</v>
      </c>
      <c r="H3738" s="58" t="s">
        <v>1816</v>
      </c>
      <c r="I3738" s="64" t="s">
        <v>9816</v>
      </c>
      <c r="J3738" s="66"/>
      <c r="K3738" s="66"/>
      <c r="L3738" s="68"/>
      <c r="M3738" s="63" t="str">
        <f>HYPERLINK("http://nsgreg.nga.mil/genc/view?v=871603&amp;end_month=12&amp;end_day=31&amp;end_year=2016","Correlation")</f>
        <v>Correlation</v>
      </c>
    </row>
    <row r="3739" spans="1:13" x14ac:dyDescent="0.2">
      <c r="A3739" s="113"/>
      <c r="B3739" s="58" t="s">
        <v>9817</v>
      </c>
      <c r="C3739" s="58" t="s">
        <v>1816</v>
      </c>
      <c r="D3739" s="58" t="s">
        <v>9818</v>
      </c>
      <c r="E3739" s="60" t="b">
        <v>1</v>
      </c>
      <c r="F3739" s="80" t="s">
        <v>1194</v>
      </c>
      <c r="G3739" s="58" t="s">
        <v>9817</v>
      </c>
      <c r="H3739" s="58" t="s">
        <v>1816</v>
      </c>
      <c r="I3739" s="64" t="s">
        <v>9818</v>
      </c>
      <c r="J3739" s="66"/>
      <c r="K3739" s="66"/>
      <c r="L3739" s="68"/>
      <c r="M3739" s="63" t="str">
        <f>HYPERLINK("http://nsgreg.nga.mil/genc/view?v=871604&amp;end_month=12&amp;end_day=31&amp;end_year=2016","Correlation")</f>
        <v>Correlation</v>
      </c>
    </row>
    <row r="3740" spans="1:13" x14ac:dyDescent="0.2">
      <c r="A3740" s="113"/>
      <c r="B3740" s="58" t="s">
        <v>9819</v>
      </c>
      <c r="C3740" s="58" t="s">
        <v>1816</v>
      </c>
      <c r="D3740" s="58" t="s">
        <v>9820</v>
      </c>
      <c r="E3740" s="60" t="b">
        <v>1</v>
      </c>
      <c r="F3740" s="80" t="s">
        <v>1194</v>
      </c>
      <c r="G3740" s="58" t="s">
        <v>9819</v>
      </c>
      <c r="H3740" s="58" t="s">
        <v>1816</v>
      </c>
      <c r="I3740" s="64" t="s">
        <v>9820</v>
      </c>
      <c r="J3740" s="66"/>
      <c r="K3740" s="66"/>
      <c r="L3740" s="68"/>
      <c r="M3740" s="63" t="str">
        <f>HYPERLINK("http://nsgreg.nga.mil/genc/view?v=871605&amp;end_month=12&amp;end_day=31&amp;end_year=2016","Correlation")</f>
        <v>Correlation</v>
      </c>
    </row>
    <row r="3741" spans="1:13" x14ac:dyDescent="0.2">
      <c r="A3741" s="113"/>
      <c r="B3741" s="58" t="s">
        <v>9821</v>
      </c>
      <c r="C3741" s="58" t="s">
        <v>1816</v>
      </c>
      <c r="D3741" s="58" t="s">
        <v>9822</v>
      </c>
      <c r="E3741" s="60" t="b">
        <v>1</v>
      </c>
      <c r="F3741" s="80" t="s">
        <v>1194</v>
      </c>
      <c r="G3741" s="58" t="s">
        <v>9821</v>
      </c>
      <c r="H3741" s="58" t="s">
        <v>1816</v>
      </c>
      <c r="I3741" s="64" t="s">
        <v>9822</v>
      </c>
      <c r="J3741" s="66"/>
      <c r="K3741" s="66"/>
      <c r="L3741" s="68"/>
      <c r="M3741" s="63" t="str">
        <f>HYPERLINK("http://nsgreg.nga.mil/genc/view?v=871606&amp;end_month=12&amp;end_day=31&amp;end_year=2016","Correlation")</f>
        <v>Correlation</v>
      </c>
    </row>
    <row r="3742" spans="1:13" x14ac:dyDescent="0.2">
      <c r="A3742" s="113"/>
      <c r="B3742" s="58" t="s">
        <v>9823</v>
      </c>
      <c r="C3742" s="58" t="s">
        <v>1816</v>
      </c>
      <c r="D3742" s="58" t="s">
        <v>9824</v>
      </c>
      <c r="E3742" s="60" t="b">
        <v>1</v>
      </c>
      <c r="F3742" s="80" t="s">
        <v>1194</v>
      </c>
      <c r="G3742" s="58" t="s">
        <v>9823</v>
      </c>
      <c r="H3742" s="58" t="s">
        <v>1816</v>
      </c>
      <c r="I3742" s="64" t="s">
        <v>9824</v>
      </c>
      <c r="J3742" s="66"/>
      <c r="K3742" s="66"/>
      <c r="L3742" s="68"/>
      <c r="M3742" s="63" t="str">
        <f>HYPERLINK("http://nsgreg.nga.mil/genc/view?v=871607&amp;end_month=12&amp;end_day=31&amp;end_year=2016","Correlation")</f>
        <v>Correlation</v>
      </c>
    </row>
    <row r="3743" spans="1:13" x14ac:dyDescent="0.2">
      <c r="A3743" s="113"/>
      <c r="B3743" s="58" t="s">
        <v>9825</v>
      </c>
      <c r="C3743" s="58" t="s">
        <v>1816</v>
      </c>
      <c r="D3743" s="58" t="s">
        <v>9826</v>
      </c>
      <c r="E3743" s="60" t="b">
        <v>1</v>
      </c>
      <c r="F3743" s="80" t="s">
        <v>1194</v>
      </c>
      <c r="G3743" s="58" t="s">
        <v>9825</v>
      </c>
      <c r="H3743" s="58" t="s">
        <v>1816</v>
      </c>
      <c r="I3743" s="64" t="s">
        <v>9826</v>
      </c>
      <c r="J3743" s="66"/>
      <c r="K3743" s="66"/>
      <c r="L3743" s="68"/>
      <c r="M3743" s="63" t="str">
        <f>HYPERLINK("http://nsgreg.nga.mil/genc/view?v=871608&amp;end_month=12&amp;end_day=31&amp;end_year=2016","Correlation")</f>
        <v>Correlation</v>
      </c>
    </row>
    <row r="3744" spans="1:13" x14ac:dyDescent="0.2">
      <c r="A3744" s="113"/>
      <c r="B3744" s="58" t="s">
        <v>9827</v>
      </c>
      <c r="C3744" s="58" t="s">
        <v>1816</v>
      </c>
      <c r="D3744" s="58" t="s">
        <v>9828</v>
      </c>
      <c r="E3744" s="60" t="b">
        <v>1</v>
      </c>
      <c r="F3744" s="80" t="s">
        <v>1194</v>
      </c>
      <c r="G3744" s="58" t="s">
        <v>9827</v>
      </c>
      <c r="H3744" s="58" t="s">
        <v>1816</v>
      </c>
      <c r="I3744" s="64" t="s">
        <v>9828</v>
      </c>
      <c r="J3744" s="66"/>
      <c r="K3744" s="66"/>
      <c r="L3744" s="68"/>
      <c r="M3744" s="63" t="str">
        <f>HYPERLINK("http://nsgreg.nga.mil/genc/view?v=871680&amp;end_month=12&amp;end_day=31&amp;end_year=2016","Correlation")</f>
        <v>Correlation</v>
      </c>
    </row>
    <row r="3745" spans="1:13" x14ac:dyDescent="0.2">
      <c r="A3745" s="113"/>
      <c r="B3745" s="58" t="s">
        <v>9829</v>
      </c>
      <c r="C3745" s="58" t="s">
        <v>1816</v>
      </c>
      <c r="D3745" s="58" t="s">
        <v>9830</v>
      </c>
      <c r="E3745" s="60" t="b">
        <v>1</v>
      </c>
      <c r="F3745" s="80" t="s">
        <v>1194</v>
      </c>
      <c r="G3745" s="58" t="s">
        <v>9829</v>
      </c>
      <c r="H3745" s="58" t="s">
        <v>1816</v>
      </c>
      <c r="I3745" s="64" t="s">
        <v>9830</v>
      </c>
      <c r="J3745" s="66"/>
      <c r="K3745" s="66"/>
      <c r="L3745" s="68"/>
      <c r="M3745" s="63" t="str">
        <f>HYPERLINK("http://nsgreg.nga.mil/genc/view?v=871713&amp;end_month=12&amp;end_day=31&amp;end_year=2016","Correlation")</f>
        <v>Correlation</v>
      </c>
    </row>
    <row r="3746" spans="1:13" x14ac:dyDescent="0.2">
      <c r="A3746" s="113"/>
      <c r="B3746" s="58" t="s">
        <v>9831</v>
      </c>
      <c r="C3746" s="58" t="s">
        <v>1816</v>
      </c>
      <c r="D3746" s="58" t="s">
        <v>9832</v>
      </c>
      <c r="E3746" s="60" t="b">
        <v>1</v>
      </c>
      <c r="F3746" s="80" t="s">
        <v>1194</v>
      </c>
      <c r="G3746" s="58" t="s">
        <v>9831</v>
      </c>
      <c r="H3746" s="58" t="s">
        <v>1816</v>
      </c>
      <c r="I3746" s="64" t="s">
        <v>9832</v>
      </c>
      <c r="J3746" s="66"/>
      <c r="K3746" s="66"/>
      <c r="L3746" s="68"/>
      <c r="M3746" s="63" t="str">
        <f>HYPERLINK("http://nsgreg.nga.mil/genc/view?v=871705&amp;end_month=12&amp;end_day=31&amp;end_year=2016","Correlation")</f>
        <v>Correlation</v>
      </c>
    </row>
    <row r="3747" spans="1:13" x14ac:dyDescent="0.2">
      <c r="A3747" s="113"/>
      <c r="B3747" s="58" t="s">
        <v>9833</v>
      </c>
      <c r="C3747" s="58" t="s">
        <v>1816</v>
      </c>
      <c r="D3747" s="58" t="s">
        <v>9834</v>
      </c>
      <c r="E3747" s="60" t="b">
        <v>1</v>
      </c>
      <c r="F3747" s="80" t="s">
        <v>1194</v>
      </c>
      <c r="G3747" s="58" t="s">
        <v>9833</v>
      </c>
      <c r="H3747" s="58" t="s">
        <v>1816</v>
      </c>
      <c r="I3747" s="64" t="s">
        <v>9834</v>
      </c>
      <c r="J3747" s="66"/>
      <c r="K3747" s="66"/>
      <c r="L3747" s="68"/>
      <c r="M3747" s="63" t="str">
        <f>HYPERLINK("http://nsgreg.nga.mil/genc/view?v=871609&amp;end_month=12&amp;end_day=31&amp;end_year=2016","Correlation")</f>
        <v>Correlation</v>
      </c>
    </row>
    <row r="3748" spans="1:13" x14ac:dyDescent="0.2">
      <c r="A3748" s="113"/>
      <c r="B3748" s="58" t="s">
        <v>9835</v>
      </c>
      <c r="C3748" s="58" t="s">
        <v>1816</v>
      </c>
      <c r="D3748" s="58" t="s">
        <v>9836</v>
      </c>
      <c r="E3748" s="60" t="b">
        <v>1</v>
      </c>
      <c r="F3748" s="80" t="s">
        <v>1194</v>
      </c>
      <c r="G3748" s="58" t="s">
        <v>9835</v>
      </c>
      <c r="H3748" s="58" t="s">
        <v>1816</v>
      </c>
      <c r="I3748" s="64" t="s">
        <v>9836</v>
      </c>
      <c r="J3748" s="66"/>
      <c r="K3748" s="66"/>
      <c r="L3748" s="68"/>
      <c r="M3748" s="63" t="str">
        <f>HYPERLINK("http://nsgreg.nga.mil/genc/view?v=871681&amp;end_month=12&amp;end_day=31&amp;end_year=2016","Correlation")</f>
        <v>Correlation</v>
      </c>
    </row>
    <row r="3749" spans="1:13" x14ac:dyDescent="0.2">
      <c r="A3749" s="113"/>
      <c r="B3749" s="58" t="s">
        <v>9837</v>
      </c>
      <c r="C3749" s="58" t="s">
        <v>1816</v>
      </c>
      <c r="D3749" s="58" t="s">
        <v>9838</v>
      </c>
      <c r="E3749" s="60" t="b">
        <v>1</v>
      </c>
      <c r="F3749" s="80" t="s">
        <v>1194</v>
      </c>
      <c r="G3749" s="58" t="s">
        <v>9837</v>
      </c>
      <c r="H3749" s="58" t="s">
        <v>1816</v>
      </c>
      <c r="I3749" s="64" t="s">
        <v>9838</v>
      </c>
      <c r="J3749" s="66"/>
      <c r="K3749" s="66"/>
      <c r="L3749" s="68"/>
      <c r="M3749" s="63" t="str">
        <f>HYPERLINK("http://nsgreg.nga.mil/genc/view?v=871611&amp;end_month=12&amp;end_day=31&amp;end_year=2016","Correlation")</f>
        <v>Correlation</v>
      </c>
    </row>
    <row r="3750" spans="1:13" x14ac:dyDescent="0.2">
      <c r="A3750" s="113"/>
      <c r="B3750" s="58" t="s">
        <v>9839</v>
      </c>
      <c r="C3750" s="58" t="s">
        <v>1816</v>
      </c>
      <c r="D3750" s="58" t="s">
        <v>9840</v>
      </c>
      <c r="E3750" s="60" t="b">
        <v>1</v>
      </c>
      <c r="F3750" s="80" t="s">
        <v>1194</v>
      </c>
      <c r="G3750" s="58" t="s">
        <v>9839</v>
      </c>
      <c r="H3750" s="58" t="s">
        <v>1816</v>
      </c>
      <c r="I3750" s="64" t="s">
        <v>9840</v>
      </c>
      <c r="J3750" s="66"/>
      <c r="K3750" s="66"/>
      <c r="L3750" s="68"/>
      <c r="M3750" s="63" t="str">
        <f>HYPERLINK("http://nsgreg.nga.mil/genc/view?v=871610&amp;end_month=12&amp;end_day=31&amp;end_year=2016","Correlation")</f>
        <v>Correlation</v>
      </c>
    </row>
    <row r="3751" spans="1:13" x14ac:dyDescent="0.2">
      <c r="A3751" s="113"/>
      <c r="B3751" s="58" t="s">
        <v>9841</v>
      </c>
      <c r="C3751" s="58" t="s">
        <v>1816</v>
      </c>
      <c r="D3751" s="58" t="s">
        <v>9842</v>
      </c>
      <c r="E3751" s="60" t="b">
        <v>1</v>
      </c>
      <c r="F3751" s="80" t="s">
        <v>1194</v>
      </c>
      <c r="G3751" s="58" t="s">
        <v>9841</v>
      </c>
      <c r="H3751" s="58" t="s">
        <v>1816</v>
      </c>
      <c r="I3751" s="64" t="s">
        <v>9842</v>
      </c>
      <c r="J3751" s="66"/>
      <c r="K3751" s="66"/>
      <c r="L3751" s="68"/>
      <c r="M3751" s="63" t="str">
        <f>HYPERLINK("http://nsgreg.nga.mil/genc/view?v=871612&amp;end_month=12&amp;end_day=31&amp;end_year=2016","Correlation")</f>
        <v>Correlation</v>
      </c>
    </row>
    <row r="3752" spans="1:13" x14ac:dyDescent="0.2">
      <c r="A3752" s="113"/>
      <c r="B3752" s="58" t="s">
        <v>9843</v>
      </c>
      <c r="C3752" s="58" t="s">
        <v>1816</v>
      </c>
      <c r="D3752" s="58" t="s">
        <v>9844</v>
      </c>
      <c r="E3752" s="60" t="b">
        <v>1</v>
      </c>
      <c r="F3752" s="80" t="s">
        <v>1194</v>
      </c>
      <c r="G3752" s="58" t="s">
        <v>9843</v>
      </c>
      <c r="H3752" s="58" t="s">
        <v>1816</v>
      </c>
      <c r="I3752" s="64" t="s">
        <v>9844</v>
      </c>
      <c r="J3752" s="66"/>
      <c r="K3752" s="66"/>
      <c r="L3752" s="68"/>
      <c r="M3752" s="63" t="str">
        <f>HYPERLINK("http://nsgreg.nga.mil/genc/view?v=871613&amp;end_month=12&amp;end_day=31&amp;end_year=2016","Correlation")</f>
        <v>Correlation</v>
      </c>
    </row>
    <row r="3753" spans="1:13" x14ac:dyDescent="0.2">
      <c r="A3753" s="113"/>
      <c r="B3753" s="58" t="s">
        <v>9845</v>
      </c>
      <c r="C3753" s="58" t="s">
        <v>1816</v>
      </c>
      <c r="D3753" s="58" t="s">
        <v>9846</v>
      </c>
      <c r="E3753" s="60" t="b">
        <v>1</v>
      </c>
      <c r="F3753" s="80" t="s">
        <v>1194</v>
      </c>
      <c r="G3753" s="58" t="s">
        <v>9845</v>
      </c>
      <c r="H3753" s="58" t="s">
        <v>1816</v>
      </c>
      <c r="I3753" s="64" t="s">
        <v>9846</v>
      </c>
      <c r="J3753" s="66"/>
      <c r="K3753" s="66"/>
      <c r="L3753" s="68"/>
      <c r="M3753" s="63" t="str">
        <f>HYPERLINK("http://nsgreg.nga.mil/genc/view?v=871538&amp;end_month=12&amp;end_day=31&amp;end_year=2016","Correlation")</f>
        <v>Correlation</v>
      </c>
    </row>
    <row r="3754" spans="1:13" x14ac:dyDescent="0.2">
      <c r="A3754" s="113"/>
      <c r="B3754" s="58" t="s">
        <v>9847</v>
      </c>
      <c r="C3754" s="58" t="s">
        <v>1816</v>
      </c>
      <c r="D3754" s="58" t="s">
        <v>9848</v>
      </c>
      <c r="E3754" s="60" t="b">
        <v>1</v>
      </c>
      <c r="F3754" s="80" t="s">
        <v>1194</v>
      </c>
      <c r="G3754" s="58" t="s">
        <v>9847</v>
      </c>
      <c r="H3754" s="58" t="s">
        <v>1816</v>
      </c>
      <c r="I3754" s="64" t="s">
        <v>9848</v>
      </c>
      <c r="J3754" s="66"/>
      <c r="K3754" s="66"/>
      <c r="L3754" s="68"/>
      <c r="M3754" s="63" t="str">
        <f>HYPERLINK("http://nsgreg.nga.mil/genc/view?v=871682&amp;end_month=12&amp;end_day=31&amp;end_year=2016","Correlation")</f>
        <v>Correlation</v>
      </c>
    </row>
    <row r="3755" spans="1:13" x14ac:dyDescent="0.2">
      <c r="A3755" s="113"/>
      <c r="B3755" s="58" t="s">
        <v>9849</v>
      </c>
      <c r="C3755" s="58" t="s">
        <v>1816</v>
      </c>
      <c r="D3755" s="58" t="s">
        <v>9850</v>
      </c>
      <c r="E3755" s="60" t="b">
        <v>1</v>
      </c>
      <c r="F3755" s="80" t="s">
        <v>1194</v>
      </c>
      <c r="G3755" s="58" t="s">
        <v>9849</v>
      </c>
      <c r="H3755" s="58" t="s">
        <v>1816</v>
      </c>
      <c r="I3755" s="64" t="s">
        <v>9850</v>
      </c>
      <c r="J3755" s="66"/>
      <c r="K3755" s="66"/>
      <c r="L3755" s="68"/>
      <c r="M3755" s="63" t="str">
        <f>HYPERLINK("http://nsgreg.nga.mil/genc/view?v=871614&amp;end_month=12&amp;end_day=31&amp;end_year=2016","Correlation")</f>
        <v>Correlation</v>
      </c>
    </row>
    <row r="3756" spans="1:13" x14ac:dyDescent="0.2">
      <c r="A3756" s="113"/>
      <c r="B3756" s="58" t="s">
        <v>9851</v>
      </c>
      <c r="C3756" s="58" t="s">
        <v>1816</v>
      </c>
      <c r="D3756" s="58" t="s">
        <v>9852</v>
      </c>
      <c r="E3756" s="60" t="b">
        <v>1</v>
      </c>
      <c r="F3756" s="80" t="s">
        <v>1194</v>
      </c>
      <c r="G3756" s="58" t="s">
        <v>9851</v>
      </c>
      <c r="H3756" s="58" t="s">
        <v>1816</v>
      </c>
      <c r="I3756" s="64" t="s">
        <v>9852</v>
      </c>
      <c r="J3756" s="66"/>
      <c r="K3756" s="66"/>
      <c r="L3756" s="68"/>
      <c r="M3756" s="63" t="str">
        <f>HYPERLINK("http://nsgreg.nga.mil/genc/view?v=871687&amp;end_month=12&amp;end_day=31&amp;end_year=2016","Correlation")</f>
        <v>Correlation</v>
      </c>
    </row>
    <row r="3757" spans="1:13" x14ac:dyDescent="0.2">
      <c r="A3757" s="113"/>
      <c r="B3757" s="58" t="s">
        <v>9853</v>
      </c>
      <c r="C3757" s="58" t="s">
        <v>1816</v>
      </c>
      <c r="D3757" s="58" t="s">
        <v>9854</v>
      </c>
      <c r="E3757" s="60" t="b">
        <v>1</v>
      </c>
      <c r="F3757" s="80" t="s">
        <v>1194</v>
      </c>
      <c r="G3757" s="58" t="s">
        <v>9853</v>
      </c>
      <c r="H3757" s="58" t="s">
        <v>1816</v>
      </c>
      <c r="I3757" s="64" t="s">
        <v>9854</v>
      </c>
      <c r="J3757" s="66"/>
      <c r="K3757" s="66"/>
      <c r="L3757" s="68"/>
      <c r="M3757" s="63" t="str">
        <f>HYPERLINK("http://nsgreg.nga.mil/genc/view?v=871622&amp;end_month=12&amp;end_day=31&amp;end_year=2016","Correlation")</f>
        <v>Correlation</v>
      </c>
    </row>
    <row r="3758" spans="1:13" x14ac:dyDescent="0.2">
      <c r="A3758" s="113"/>
      <c r="B3758" s="58" t="s">
        <v>9855</v>
      </c>
      <c r="C3758" s="58" t="s">
        <v>1816</v>
      </c>
      <c r="D3758" s="58" t="s">
        <v>9856</v>
      </c>
      <c r="E3758" s="60" t="b">
        <v>1</v>
      </c>
      <c r="F3758" s="80" t="s">
        <v>1194</v>
      </c>
      <c r="G3758" s="58" t="s">
        <v>9855</v>
      </c>
      <c r="H3758" s="58" t="s">
        <v>1816</v>
      </c>
      <c r="I3758" s="64" t="s">
        <v>9856</v>
      </c>
      <c r="J3758" s="66"/>
      <c r="K3758" s="66"/>
      <c r="L3758" s="68"/>
      <c r="M3758" s="63" t="str">
        <f>HYPERLINK("http://nsgreg.nga.mil/genc/view?v=871623&amp;end_month=12&amp;end_day=31&amp;end_year=2016","Correlation")</f>
        <v>Correlation</v>
      </c>
    </row>
    <row r="3759" spans="1:13" x14ac:dyDescent="0.2">
      <c r="A3759" s="113"/>
      <c r="B3759" s="58" t="s">
        <v>9857</v>
      </c>
      <c r="C3759" s="58" t="s">
        <v>1816</v>
      </c>
      <c r="D3759" s="58" t="s">
        <v>9858</v>
      </c>
      <c r="E3759" s="60" t="b">
        <v>1</v>
      </c>
      <c r="F3759" s="80" t="s">
        <v>1194</v>
      </c>
      <c r="G3759" s="58" t="s">
        <v>9857</v>
      </c>
      <c r="H3759" s="58" t="s">
        <v>1816</v>
      </c>
      <c r="I3759" s="64" t="s">
        <v>9858</v>
      </c>
      <c r="J3759" s="66"/>
      <c r="K3759" s="66"/>
      <c r="L3759" s="68"/>
      <c r="M3759" s="63" t="str">
        <f>HYPERLINK("http://nsgreg.nga.mil/genc/view?v=871624&amp;end_month=12&amp;end_day=31&amp;end_year=2016","Correlation")</f>
        <v>Correlation</v>
      </c>
    </row>
    <row r="3760" spans="1:13" x14ac:dyDescent="0.2">
      <c r="A3760" s="113"/>
      <c r="B3760" s="58" t="s">
        <v>9859</v>
      </c>
      <c r="C3760" s="58" t="s">
        <v>1816</v>
      </c>
      <c r="D3760" s="58" t="s">
        <v>9860</v>
      </c>
      <c r="E3760" s="60" t="b">
        <v>1</v>
      </c>
      <c r="F3760" s="80" t="s">
        <v>1194</v>
      </c>
      <c r="G3760" s="58" t="s">
        <v>9859</v>
      </c>
      <c r="H3760" s="58" t="s">
        <v>1816</v>
      </c>
      <c r="I3760" s="64" t="s">
        <v>9860</v>
      </c>
      <c r="J3760" s="66"/>
      <c r="K3760" s="66"/>
      <c r="L3760" s="68"/>
      <c r="M3760" s="63" t="str">
        <f>HYPERLINK("http://nsgreg.nga.mil/genc/view?v=871625&amp;end_month=12&amp;end_day=31&amp;end_year=2016","Correlation")</f>
        <v>Correlation</v>
      </c>
    </row>
    <row r="3761" spans="1:13" x14ac:dyDescent="0.2">
      <c r="A3761" s="113"/>
      <c r="B3761" s="58" t="s">
        <v>9861</v>
      </c>
      <c r="C3761" s="58" t="s">
        <v>1816</v>
      </c>
      <c r="D3761" s="58" t="s">
        <v>9862</v>
      </c>
      <c r="E3761" s="60" t="b">
        <v>1</v>
      </c>
      <c r="F3761" s="80" t="s">
        <v>1194</v>
      </c>
      <c r="G3761" s="58" t="s">
        <v>9861</v>
      </c>
      <c r="H3761" s="58" t="s">
        <v>1816</v>
      </c>
      <c r="I3761" s="64" t="s">
        <v>9862</v>
      </c>
      <c r="J3761" s="66"/>
      <c r="K3761" s="66"/>
      <c r="L3761" s="68"/>
      <c r="M3761" s="63" t="str">
        <f>HYPERLINK("http://nsgreg.nga.mil/genc/view?v=871715&amp;end_month=12&amp;end_day=31&amp;end_year=2016","Correlation")</f>
        <v>Correlation</v>
      </c>
    </row>
    <row r="3762" spans="1:13" x14ac:dyDescent="0.2">
      <c r="A3762" s="113"/>
      <c r="B3762" s="58" t="s">
        <v>9863</v>
      </c>
      <c r="C3762" s="58" t="s">
        <v>1816</v>
      </c>
      <c r="D3762" s="58" t="s">
        <v>9864</v>
      </c>
      <c r="E3762" s="60" t="b">
        <v>1</v>
      </c>
      <c r="F3762" s="80" t="s">
        <v>1194</v>
      </c>
      <c r="G3762" s="58" t="s">
        <v>9863</v>
      </c>
      <c r="H3762" s="58" t="s">
        <v>1816</v>
      </c>
      <c r="I3762" s="64" t="s">
        <v>9864</v>
      </c>
      <c r="J3762" s="66"/>
      <c r="K3762" s="66"/>
      <c r="L3762" s="68"/>
      <c r="M3762" s="63" t="str">
        <f>HYPERLINK("http://nsgreg.nga.mil/genc/view?v=871615&amp;end_month=12&amp;end_day=31&amp;end_year=2016","Correlation")</f>
        <v>Correlation</v>
      </c>
    </row>
    <row r="3763" spans="1:13" x14ac:dyDescent="0.2">
      <c r="A3763" s="113"/>
      <c r="B3763" s="58" t="s">
        <v>9865</v>
      </c>
      <c r="C3763" s="58" t="s">
        <v>1816</v>
      </c>
      <c r="D3763" s="58" t="s">
        <v>9866</v>
      </c>
      <c r="E3763" s="60" t="b">
        <v>1</v>
      </c>
      <c r="F3763" s="80" t="s">
        <v>1194</v>
      </c>
      <c r="G3763" s="58" t="s">
        <v>9865</v>
      </c>
      <c r="H3763" s="58" t="s">
        <v>1816</v>
      </c>
      <c r="I3763" s="64" t="s">
        <v>9866</v>
      </c>
      <c r="J3763" s="66"/>
      <c r="K3763" s="66"/>
      <c r="L3763" s="68"/>
      <c r="M3763" s="63" t="str">
        <f>HYPERLINK("http://nsgreg.nga.mil/genc/view?v=871616&amp;end_month=12&amp;end_day=31&amp;end_year=2016","Correlation")</f>
        <v>Correlation</v>
      </c>
    </row>
    <row r="3764" spans="1:13" x14ac:dyDescent="0.2">
      <c r="A3764" s="113"/>
      <c r="B3764" s="58" t="s">
        <v>9867</v>
      </c>
      <c r="C3764" s="58" t="s">
        <v>1816</v>
      </c>
      <c r="D3764" s="58" t="s">
        <v>9868</v>
      </c>
      <c r="E3764" s="60" t="b">
        <v>1</v>
      </c>
      <c r="F3764" s="80" t="s">
        <v>1194</v>
      </c>
      <c r="G3764" s="58" t="s">
        <v>9867</v>
      </c>
      <c r="H3764" s="58" t="s">
        <v>1816</v>
      </c>
      <c r="I3764" s="64" t="s">
        <v>9868</v>
      </c>
      <c r="J3764" s="66"/>
      <c r="K3764" s="66"/>
      <c r="L3764" s="68"/>
      <c r="M3764" s="63" t="str">
        <f>HYPERLINK("http://nsgreg.nga.mil/genc/view?v=871626&amp;end_month=12&amp;end_day=31&amp;end_year=2016","Correlation")</f>
        <v>Correlation</v>
      </c>
    </row>
    <row r="3765" spans="1:13" x14ac:dyDescent="0.2">
      <c r="A3765" s="113"/>
      <c r="B3765" s="58" t="s">
        <v>9869</v>
      </c>
      <c r="C3765" s="58" t="s">
        <v>1816</v>
      </c>
      <c r="D3765" s="58" t="s">
        <v>9870</v>
      </c>
      <c r="E3765" s="60" t="b">
        <v>1</v>
      </c>
      <c r="F3765" s="80" t="s">
        <v>1194</v>
      </c>
      <c r="G3765" s="58" t="s">
        <v>9869</v>
      </c>
      <c r="H3765" s="58" t="s">
        <v>1816</v>
      </c>
      <c r="I3765" s="64" t="s">
        <v>9870</v>
      </c>
      <c r="J3765" s="66"/>
      <c r="K3765" s="66"/>
      <c r="L3765" s="68"/>
      <c r="M3765" s="63" t="str">
        <f>HYPERLINK("http://nsgreg.nga.mil/genc/view?v=871627&amp;end_month=12&amp;end_day=31&amp;end_year=2016","Correlation")</f>
        <v>Correlation</v>
      </c>
    </row>
    <row r="3766" spans="1:13" x14ac:dyDescent="0.2">
      <c r="A3766" s="113"/>
      <c r="B3766" s="58" t="s">
        <v>9871</v>
      </c>
      <c r="C3766" s="58" t="s">
        <v>1816</v>
      </c>
      <c r="D3766" s="58" t="s">
        <v>9872</v>
      </c>
      <c r="E3766" s="60" t="b">
        <v>1</v>
      </c>
      <c r="F3766" s="80" t="s">
        <v>1194</v>
      </c>
      <c r="G3766" s="58" t="s">
        <v>9871</v>
      </c>
      <c r="H3766" s="58" t="s">
        <v>1816</v>
      </c>
      <c r="I3766" s="64" t="s">
        <v>9872</v>
      </c>
      <c r="J3766" s="66"/>
      <c r="K3766" s="66"/>
      <c r="L3766" s="68"/>
      <c r="M3766" s="63" t="str">
        <f>HYPERLINK("http://nsgreg.nga.mil/genc/view?v=871628&amp;end_month=12&amp;end_day=31&amp;end_year=2016","Correlation")</f>
        <v>Correlation</v>
      </c>
    </row>
    <row r="3767" spans="1:13" x14ac:dyDescent="0.2">
      <c r="A3767" s="113"/>
      <c r="B3767" s="58" t="s">
        <v>9873</v>
      </c>
      <c r="C3767" s="58" t="s">
        <v>1816</v>
      </c>
      <c r="D3767" s="58" t="s">
        <v>9874</v>
      </c>
      <c r="E3767" s="60" t="b">
        <v>1</v>
      </c>
      <c r="F3767" s="80" t="s">
        <v>1194</v>
      </c>
      <c r="G3767" s="58" t="s">
        <v>9873</v>
      </c>
      <c r="H3767" s="58" t="s">
        <v>9684</v>
      </c>
      <c r="I3767" s="64" t="s">
        <v>9874</v>
      </c>
      <c r="J3767" s="66"/>
      <c r="K3767" s="66"/>
      <c r="L3767" s="68"/>
      <c r="M3767" s="63" t="str">
        <f>HYPERLINK("http://nsgreg.nga.mil/genc/view?v=871617&amp;end_month=12&amp;end_day=31&amp;end_year=2016","Correlation")</f>
        <v>Correlation</v>
      </c>
    </row>
    <row r="3768" spans="1:13" x14ac:dyDescent="0.2">
      <c r="A3768" s="113"/>
      <c r="B3768" s="58" t="s">
        <v>9875</v>
      </c>
      <c r="C3768" s="58" t="s">
        <v>1816</v>
      </c>
      <c r="D3768" s="58" t="s">
        <v>9876</v>
      </c>
      <c r="E3768" s="60" t="b">
        <v>1</v>
      </c>
      <c r="F3768" s="80" t="s">
        <v>1194</v>
      </c>
      <c r="G3768" s="58" t="s">
        <v>9875</v>
      </c>
      <c r="H3768" s="58" t="s">
        <v>1816</v>
      </c>
      <c r="I3768" s="64" t="s">
        <v>9876</v>
      </c>
      <c r="J3768" s="66"/>
      <c r="K3768" s="66"/>
      <c r="L3768" s="68"/>
      <c r="M3768" s="63" t="str">
        <f>HYPERLINK("http://nsgreg.nga.mil/genc/view?v=871618&amp;end_month=12&amp;end_day=31&amp;end_year=2016","Correlation")</f>
        <v>Correlation</v>
      </c>
    </row>
    <row r="3769" spans="1:13" x14ac:dyDescent="0.2">
      <c r="A3769" s="113"/>
      <c r="B3769" s="58" t="s">
        <v>9877</v>
      </c>
      <c r="C3769" s="58" t="s">
        <v>1816</v>
      </c>
      <c r="D3769" s="58" t="s">
        <v>9878</v>
      </c>
      <c r="E3769" s="60" t="b">
        <v>1</v>
      </c>
      <c r="F3769" s="80" t="s">
        <v>1194</v>
      </c>
      <c r="G3769" s="58" t="s">
        <v>9877</v>
      </c>
      <c r="H3769" s="58" t="s">
        <v>1816</v>
      </c>
      <c r="I3769" s="64" t="s">
        <v>9878</v>
      </c>
      <c r="J3769" s="66"/>
      <c r="K3769" s="66"/>
      <c r="L3769" s="68"/>
      <c r="M3769" s="63" t="str">
        <f>HYPERLINK("http://nsgreg.nga.mil/genc/view?v=871619&amp;end_month=12&amp;end_day=31&amp;end_year=2016","Correlation")</f>
        <v>Correlation</v>
      </c>
    </row>
    <row r="3770" spans="1:13" x14ac:dyDescent="0.2">
      <c r="A3770" s="113"/>
      <c r="B3770" s="58" t="s">
        <v>9879</v>
      </c>
      <c r="C3770" s="58" t="s">
        <v>1816</v>
      </c>
      <c r="D3770" s="58" t="s">
        <v>9880</v>
      </c>
      <c r="E3770" s="60" t="b">
        <v>1</v>
      </c>
      <c r="F3770" s="80" t="s">
        <v>1194</v>
      </c>
      <c r="G3770" s="58" t="s">
        <v>9879</v>
      </c>
      <c r="H3770" s="58" t="s">
        <v>1816</v>
      </c>
      <c r="I3770" s="64" t="s">
        <v>9880</v>
      </c>
      <c r="J3770" s="66"/>
      <c r="K3770" s="66"/>
      <c r="L3770" s="68"/>
      <c r="M3770" s="63" t="str">
        <f>HYPERLINK("http://nsgreg.nga.mil/genc/view?v=871629&amp;end_month=12&amp;end_day=31&amp;end_year=2016","Correlation")</f>
        <v>Correlation</v>
      </c>
    </row>
    <row r="3771" spans="1:13" x14ac:dyDescent="0.2">
      <c r="A3771" s="113"/>
      <c r="B3771" s="58" t="s">
        <v>9881</v>
      </c>
      <c r="C3771" s="58" t="s">
        <v>1816</v>
      </c>
      <c r="D3771" s="58" t="s">
        <v>9882</v>
      </c>
      <c r="E3771" s="60" t="b">
        <v>1</v>
      </c>
      <c r="F3771" s="80" t="s">
        <v>1194</v>
      </c>
      <c r="G3771" s="58" t="s">
        <v>9881</v>
      </c>
      <c r="H3771" s="58" t="s">
        <v>1816</v>
      </c>
      <c r="I3771" s="64" t="s">
        <v>9882</v>
      </c>
      <c r="J3771" s="66"/>
      <c r="K3771" s="66"/>
      <c r="L3771" s="68"/>
      <c r="M3771" s="63" t="str">
        <f>HYPERLINK("http://nsgreg.nga.mil/genc/view?v=871710&amp;end_month=12&amp;end_day=31&amp;end_year=2016","Correlation")</f>
        <v>Correlation</v>
      </c>
    </row>
    <row r="3772" spans="1:13" x14ac:dyDescent="0.2">
      <c r="A3772" s="113"/>
      <c r="B3772" s="58" t="s">
        <v>9883</v>
      </c>
      <c r="C3772" s="58" t="s">
        <v>1816</v>
      </c>
      <c r="D3772" s="58" t="s">
        <v>9884</v>
      </c>
      <c r="E3772" s="60" t="b">
        <v>1</v>
      </c>
      <c r="F3772" s="80" t="s">
        <v>1194</v>
      </c>
      <c r="G3772" s="58" t="s">
        <v>9883</v>
      </c>
      <c r="H3772" s="58" t="s">
        <v>1816</v>
      </c>
      <c r="I3772" s="64" t="s">
        <v>9884</v>
      </c>
      <c r="J3772" s="66"/>
      <c r="K3772" s="66"/>
      <c r="L3772" s="68"/>
      <c r="M3772" s="63" t="str">
        <f>HYPERLINK("http://nsgreg.nga.mil/genc/view?v=871630&amp;end_month=12&amp;end_day=31&amp;end_year=2016","Correlation")</f>
        <v>Correlation</v>
      </c>
    </row>
    <row r="3773" spans="1:13" x14ac:dyDescent="0.2">
      <c r="A3773" s="113"/>
      <c r="B3773" s="58" t="s">
        <v>9885</v>
      </c>
      <c r="C3773" s="58" t="s">
        <v>1816</v>
      </c>
      <c r="D3773" s="58" t="s">
        <v>9886</v>
      </c>
      <c r="E3773" s="60" t="b">
        <v>1</v>
      </c>
      <c r="F3773" s="80" t="s">
        <v>1194</v>
      </c>
      <c r="G3773" s="58" t="s">
        <v>9885</v>
      </c>
      <c r="H3773" s="58" t="s">
        <v>1816</v>
      </c>
      <c r="I3773" s="64" t="s">
        <v>9886</v>
      </c>
      <c r="J3773" s="66"/>
      <c r="K3773" s="66"/>
      <c r="L3773" s="68"/>
      <c r="M3773" s="63" t="str">
        <f>HYPERLINK("http://nsgreg.nga.mil/genc/view?v=871698&amp;end_month=12&amp;end_day=31&amp;end_year=2016","Correlation")</f>
        <v>Correlation</v>
      </c>
    </row>
    <row r="3774" spans="1:13" x14ac:dyDescent="0.2">
      <c r="A3774" s="113"/>
      <c r="B3774" s="58" t="s">
        <v>9887</v>
      </c>
      <c r="C3774" s="58" t="s">
        <v>1816</v>
      </c>
      <c r="D3774" s="58" t="s">
        <v>9888</v>
      </c>
      <c r="E3774" s="60" t="b">
        <v>1</v>
      </c>
      <c r="F3774" s="80" t="s">
        <v>1194</v>
      </c>
      <c r="G3774" s="58" t="s">
        <v>9887</v>
      </c>
      <c r="H3774" s="58" t="s">
        <v>1816</v>
      </c>
      <c r="I3774" s="64" t="s">
        <v>9888</v>
      </c>
      <c r="J3774" s="66"/>
      <c r="K3774" s="66"/>
      <c r="L3774" s="68"/>
      <c r="M3774" s="63" t="str">
        <f>HYPERLINK("http://nsgreg.nga.mil/genc/view?v=871683&amp;end_month=12&amp;end_day=31&amp;end_year=2016","Correlation")</f>
        <v>Correlation</v>
      </c>
    </row>
    <row r="3775" spans="1:13" x14ac:dyDescent="0.2">
      <c r="A3775" s="113"/>
      <c r="B3775" s="58" t="s">
        <v>9889</v>
      </c>
      <c r="C3775" s="58" t="s">
        <v>1816</v>
      </c>
      <c r="D3775" s="58" t="s">
        <v>9890</v>
      </c>
      <c r="E3775" s="60" t="b">
        <v>1</v>
      </c>
      <c r="F3775" s="80" t="s">
        <v>1194</v>
      </c>
      <c r="G3775" s="58" t="s">
        <v>9889</v>
      </c>
      <c r="H3775" s="58" t="s">
        <v>1816</v>
      </c>
      <c r="I3775" s="64" t="s">
        <v>9890</v>
      </c>
      <c r="J3775" s="66"/>
      <c r="K3775" s="66"/>
      <c r="L3775" s="68"/>
      <c r="M3775" s="63" t="str">
        <f>HYPERLINK("http://nsgreg.nga.mil/genc/view?v=871684&amp;end_month=12&amp;end_day=31&amp;end_year=2016","Correlation")</f>
        <v>Correlation</v>
      </c>
    </row>
    <row r="3776" spans="1:13" x14ac:dyDescent="0.2">
      <c r="A3776" s="113"/>
      <c r="B3776" s="58" t="s">
        <v>9891</v>
      </c>
      <c r="C3776" s="58" t="s">
        <v>1816</v>
      </c>
      <c r="D3776" s="58" t="s">
        <v>9892</v>
      </c>
      <c r="E3776" s="60" t="b">
        <v>1</v>
      </c>
      <c r="F3776" s="80" t="s">
        <v>1194</v>
      </c>
      <c r="G3776" s="58" t="s">
        <v>9891</v>
      </c>
      <c r="H3776" s="58" t="s">
        <v>1816</v>
      </c>
      <c r="I3776" s="64" t="s">
        <v>9892</v>
      </c>
      <c r="J3776" s="66"/>
      <c r="K3776" s="66"/>
      <c r="L3776" s="68"/>
      <c r="M3776" s="63" t="str">
        <f>HYPERLINK("http://nsgreg.nga.mil/genc/view?v=871631&amp;end_month=12&amp;end_day=31&amp;end_year=2016","Correlation")</f>
        <v>Correlation</v>
      </c>
    </row>
    <row r="3777" spans="1:13" x14ac:dyDescent="0.2">
      <c r="A3777" s="113"/>
      <c r="B3777" s="58" t="s">
        <v>9893</v>
      </c>
      <c r="C3777" s="58" t="s">
        <v>1816</v>
      </c>
      <c r="D3777" s="58" t="s">
        <v>9894</v>
      </c>
      <c r="E3777" s="60" t="b">
        <v>1</v>
      </c>
      <c r="F3777" s="80" t="s">
        <v>1194</v>
      </c>
      <c r="G3777" s="58" t="s">
        <v>9893</v>
      </c>
      <c r="H3777" s="58" t="s">
        <v>1816</v>
      </c>
      <c r="I3777" s="64" t="s">
        <v>9894</v>
      </c>
      <c r="J3777" s="66"/>
      <c r="K3777" s="66"/>
      <c r="L3777" s="68"/>
      <c r="M3777" s="63" t="str">
        <f>HYPERLINK("http://nsgreg.nga.mil/genc/view?v=871706&amp;end_month=12&amp;end_day=31&amp;end_year=2016","Correlation")</f>
        <v>Correlation</v>
      </c>
    </row>
    <row r="3778" spans="1:13" x14ac:dyDescent="0.2">
      <c r="A3778" s="113"/>
      <c r="B3778" s="58" t="s">
        <v>9895</v>
      </c>
      <c r="C3778" s="58" t="s">
        <v>1816</v>
      </c>
      <c r="D3778" s="58" t="s">
        <v>9896</v>
      </c>
      <c r="E3778" s="60" t="b">
        <v>1</v>
      </c>
      <c r="F3778" s="80" t="s">
        <v>1194</v>
      </c>
      <c r="G3778" s="58" t="s">
        <v>9895</v>
      </c>
      <c r="H3778" s="58" t="s">
        <v>1816</v>
      </c>
      <c r="I3778" s="64" t="s">
        <v>9896</v>
      </c>
      <c r="J3778" s="66"/>
      <c r="K3778" s="66"/>
      <c r="L3778" s="68"/>
      <c r="M3778" s="63" t="str">
        <f>HYPERLINK("http://nsgreg.nga.mil/genc/view?v=871620&amp;end_month=12&amp;end_day=31&amp;end_year=2016","Correlation")</f>
        <v>Correlation</v>
      </c>
    </row>
    <row r="3779" spans="1:13" x14ac:dyDescent="0.2">
      <c r="A3779" s="113"/>
      <c r="B3779" s="58" t="s">
        <v>9897</v>
      </c>
      <c r="C3779" s="58" t="s">
        <v>1816</v>
      </c>
      <c r="D3779" s="58" t="s">
        <v>9898</v>
      </c>
      <c r="E3779" s="60" t="b">
        <v>1</v>
      </c>
      <c r="F3779" s="80" t="s">
        <v>1194</v>
      </c>
      <c r="G3779" s="58" t="s">
        <v>9897</v>
      </c>
      <c r="H3779" s="58" t="s">
        <v>1816</v>
      </c>
      <c r="I3779" s="64" t="s">
        <v>9898</v>
      </c>
      <c r="J3779" s="66"/>
      <c r="K3779" s="66"/>
      <c r="L3779" s="68"/>
      <c r="M3779" s="63" t="str">
        <f>HYPERLINK("http://nsgreg.nga.mil/genc/view?v=871632&amp;end_month=12&amp;end_day=31&amp;end_year=2016","Correlation")</f>
        <v>Correlation</v>
      </c>
    </row>
    <row r="3780" spans="1:13" x14ac:dyDescent="0.2">
      <c r="A3780" s="113"/>
      <c r="B3780" s="58" t="s">
        <v>9899</v>
      </c>
      <c r="C3780" s="58" t="s">
        <v>1816</v>
      </c>
      <c r="D3780" s="58" t="s">
        <v>9900</v>
      </c>
      <c r="E3780" s="60" t="b">
        <v>1</v>
      </c>
      <c r="F3780" s="80" t="s">
        <v>1194</v>
      </c>
      <c r="G3780" s="58" t="s">
        <v>9899</v>
      </c>
      <c r="H3780" s="58" t="s">
        <v>1816</v>
      </c>
      <c r="I3780" s="64" t="s">
        <v>9900</v>
      </c>
      <c r="J3780" s="66"/>
      <c r="K3780" s="66"/>
      <c r="L3780" s="68"/>
      <c r="M3780" s="63" t="str">
        <f>HYPERLINK("http://nsgreg.nga.mil/genc/view?v=871707&amp;end_month=12&amp;end_day=31&amp;end_year=2016","Correlation")</f>
        <v>Correlation</v>
      </c>
    </row>
    <row r="3781" spans="1:13" x14ac:dyDescent="0.2">
      <c r="A3781" s="113"/>
      <c r="B3781" s="58" t="s">
        <v>9901</v>
      </c>
      <c r="C3781" s="58" t="s">
        <v>1816</v>
      </c>
      <c r="D3781" s="58" t="s">
        <v>9902</v>
      </c>
      <c r="E3781" s="60" t="b">
        <v>1</v>
      </c>
      <c r="F3781" s="80" t="s">
        <v>1194</v>
      </c>
      <c r="G3781" s="58" t="s">
        <v>9901</v>
      </c>
      <c r="H3781" s="58" t="s">
        <v>1816</v>
      </c>
      <c r="I3781" s="64" t="s">
        <v>9902</v>
      </c>
      <c r="J3781" s="66"/>
      <c r="K3781" s="66"/>
      <c r="L3781" s="68"/>
      <c r="M3781" s="63" t="str">
        <f>HYPERLINK("http://nsgreg.nga.mil/genc/view?v=871685&amp;end_month=12&amp;end_day=31&amp;end_year=2016","Correlation")</f>
        <v>Correlation</v>
      </c>
    </row>
    <row r="3782" spans="1:13" x14ac:dyDescent="0.2">
      <c r="A3782" s="113"/>
      <c r="B3782" s="58" t="s">
        <v>9903</v>
      </c>
      <c r="C3782" s="58" t="s">
        <v>1816</v>
      </c>
      <c r="D3782" s="58" t="s">
        <v>9904</v>
      </c>
      <c r="E3782" s="60" t="b">
        <v>1</v>
      </c>
      <c r="F3782" s="80" t="s">
        <v>1194</v>
      </c>
      <c r="G3782" s="58" t="s">
        <v>9903</v>
      </c>
      <c r="H3782" s="58" t="s">
        <v>1816</v>
      </c>
      <c r="I3782" s="64" t="s">
        <v>9904</v>
      </c>
      <c r="J3782" s="66"/>
      <c r="K3782" s="66"/>
      <c r="L3782" s="68"/>
      <c r="M3782" s="63" t="str">
        <f>HYPERLINK("http://nsgreg.nga.mil/genc/view?v=871708&amp;end_month=12&amp;end_day=31&amp;end_year=2016","Correlation")</f>
        <v>Correlation</v>
      </c>
    </row>
    <row r="3783" spans="1:13" x14ac:dyDescent="0.2">
      <c r="A3783" s="113"/>
      <c r="B3783" s="58" t="s">
        <v>9905</v>
      </c>
      <c r="C3783" s="58" t="s">
        <v>1816</v>
      </c>
      <c r="D3783" s="58" t="s">
        <v>9906</v>
      </c>
      <c r="E3783" s="60" t="b">
        <v>1</v>
      </c>
      <c r="F3783" s="80" t="s">
        <v>1194</v>
      </c>
      <c r="G3783" s="58" t="s">
        <v>9905</v>
      </c>
      <c r="H3783" s="58" t="s">
        <v>1816</v>
      </c>
      <c r="I3783" s="64" t="s">
        <v>9906</v>
      </c>
      <c r="J3783" s="66"/>
      <c r="K3783" s="66"/>
      <c r="L3783" s="68"/>
      <c r="M3783" s="63" t="str">
        <f>HYPERLINK("http://nsgreg.nga.mil/genc/view?v=871686&amp;end_month=12&amp;end_day=31&amp;end_year=2016","Correlation")</f>
        <v>Correlation</v>
      </c>
    </row>
    <row r="3784" spans="1:13" x14ac:dyDescent="0.2">
      <c r="A3784" s="113"/>
      <c r="B3784" s="58" t="s">
        <v>9909</v>
      </c>
      <c r="C3784" s="58" t="s">
        <v>1816</v>
      </c>
      <c r="D3784" s="58" t="s">
        <v>9908</v>
      </c>
      <c r="E3784" s="60" t="b">
        <v>1</v>
      </c>
      <c r="F3784" s="80" t="s">
        <v>1194</v>
      </c>
      <c r="G3784" s="58" t="s">
        <v>9907</v>
      </c>
      <c r="H3784" s="58" t="s">
        <v>1816</v>
      </c>
      <c r="I3784" s="64" t="s">
        <v>9908</v>
      </c>
      <c r="J3784" s="66"/>
      <c r="K3784" s="66"/>
      <c r="L3784" s="68"/>
      <c r="M3784" s="63" t="str">
        <f>HYPERLINK("http://nsgreg.nga.mil/genc/view?v=871621&amp;end_month=12&amp;end_day=31&amp;end_year=2016","Correlation")</f>
        <v>Correlation</v>
      </c>
    </row>
    <row r="3785" spans="1:13" x14ac:dyDescent="0.2">
      <c r="A3785" s="113"/>
      <c r="B3785" s="58" t="s">
        <v>9910</v>
      </c>
      <c r="C3785" s="58" t="s">
        <v>1816</v>
      </c>
      <c r="D3785" s="58" t="s">
        <v>9911</v>
      </c>
      <c r="E3785" s="60" t="b">
        <v>1</v>
      </c>
      <c r="F3785" s="80" t="s">
        <v>1194</v>
      </c>
      <c r="G3785" s="58" t="s">
        <v>9910</v>
      </c>
      <c r="H3785" s="58" t="s">
        <v>1816</v>
      </c>
      <c r="I3785" s="64" t="s">
        <v>9911</v>
      </c>
      <c r="J3785" s="66"/>
      <c r="K3785" s="66"/>
      <c r="L3785" s="68"/>
      <c r="M3785" s="63" t="str">
        <f>HYPERLINK("http://nsgreg.nga.mil/genc/view?v=871714&amp;end_month=12&amp;end_day=31&amp;end_year=2016","Correlation")</f>
        <v>Correlation</v>
      </c>
    </row>
    <row r="3786" spans="1:13" x14ac:dyDescent="0.2">
      <c r="A3786" s="113"/>
      <c r="B3786" s="58" t="s">
        <v>9912</v>
      </c>
      <c r="C3786" s="58" t="s">
        <v>1816</v>
      </c>
      <c r="D3786" s="58" t="s">
        <v>9913</v>
      </c>
      <c r="E3786" s="60" t="b">
        <v>1</v>
      </c>
      <c r="F3786" s="80" t="s">
        <v>1194</v>
      </c>
      <c r="G3786" s="58" t="s">
        <v>9912</v>
      </c>
      <c r="H3786" s="58" t="s">
        <v>1816</v>
      </c>
      <c r="I3786" s="64" t="s">
        <v>9913</v>
      </c>
      <c r="J3786" s="66"/>
      <c r="K3786" s="66"/>
      <c r="L3786" s="68"/>
      <c r="M3786" s="63" t="str">
        <f>HYPERLINK("http://nsgreg.nga.mil/genc/view?v=871709&amp;end_month=12&amp;end_day=31&amp;end_year=2016","Correlation")</f>
        <v>Correlation</v>
      </c>
    </row>
    <row r="3787" spans="1:13" x14ac:dyDescent="0.2">
      <c r="A3787" s="113"/>
      <c r="B3787" s="58" t="s">
        <v>9914</v>
      </c>
      <c r="C3787" s="58" t="s">
        <v>1816</v>
      </c>
      <c r="D3787" s="58" t="s">
        <v>9915</v>
      </c>
      <c r="E3787" s="60" t="b">
        <v>1</v>
      </c>
      <c r="F3787" s="80" t="s">
        <v>1194</v>
      </c>
      <c r="G3787" s="58" t="s">
        <v>9914</v>
      </c>
      <c r="H3787" s="58" t="s">
        <v>1816</v>
      </c>
      <c r="I3787" s="64" t="s">
        <v>9915</v>
      </c>
      <c r="J3787" s="66"/>
      <c r="K3787" s="66"/>
      <c r="L3787" s="68"/>
      <c r="M3787" s="63" t="str">
        <f>HYPERLINK("http://nsgreg.nga.mil/genc/view?v=871688&amp;end_month=12&amp;end_day=31&amp;end_year=2016","Correlation")</f>
        <v>Correlation</v>
      </c>
    </row>
    <row r="3788" spans="1:13" x14ac:dyDescent="0.2">
      <c r="A3788" s="113"/>
      <c r="B3788" s="58" t="s">
        <v>9916</v>
      </c>
      <c r="C3788" s="58" t="s">
        <v>1816</v>
      </c>
      <c r="D3788" s="58" t="s">
        <v>9917</v>
      </c>
      <c r="E3788" s="60" t="b">
        <v>1</v>
      </c>
      <c r="F3788" s="80" t="s">
        <v>1194</v>
      </c>
      <c r="G3788" s="58" t="s">
        <v>9916</v>
      </c>
      <c r="H3788" s="58" t="s">
        <v>1816</v>
      </c>
      <c r="I3788" s="64" t="s">
        <v>9917</v>
      </c>
      <c r="J3788" s="66"/>
      <c r="K3788" s="66"/>
      <c r="L3788" s="68"/>
      <c r="M3788" s="63" t="str">
        <f>HYPERLINK("http://nsgreg.nga.mil/genc/view?v=871515&amp;end_month=12&amp;end_day=31&amp;end_year=2016","Correlation")</f>
        <v>Correlation</v>
      </c>
    </row>
    <row r="3789" spans="1:13" x14ac:dyDescent="0.2">
      <c r="A3789" s="113"/>
      <c r="B3789" s="58" t="s">
        <v>9918</v>
      </c>
      <c r="C3789" s="58" t="s">
        <v>1816</v>
      </c>
      <c r="D3789" s="58" t="s">
        <v>9919</v>
      </c>
      <c r="E3789" s="60" t="b">
        <v>1</v>
      </c>
      <c r="F3789" s="80" t="s">
        <v>1194</v>
      </c>
      <c r="G3789" s="58" t="s">
        <v>9918</v>
      </c>
      <c r="H3789" s="58" t="s">
        <v>1816</v>
      </c>
      <c r="I3789" s="64" t="s">
        <v>9919</v>
      </c>
      <c r="J3789" s="66"/>
      <c r="K3789" s="66"/>
      <c r="L3789" s="68"/>
      <c r="M3789" s="63" t="str">
        <f>HYPERLINK("http://nsgreg.nga.mil/genc/view?v=871633&amp;end_month=12&amp;end_day=31&amp;end_year=2016","Correlation")</f>
        <v>Correlation</v>
      </c>
    </row>
    <row r="3790" spans="1:13" x14ac:dyDescent="0.2">
      <c r="A3790" s="113"/>
      <c r="B3790" s="58" t="s">
        <v>9920</v>
      </c>
      <c r="C3790" s="58" t="s">
        <v>1816</v>
      </c>
      <c r="D3790" s="58" t="s">
        <v>9921</v>
      </c>
      <c r="E3790" s="60" t="b">
        <v>1</v>
      </c>
      <c r="F3790" s="80" t="s">
        <v>1194</v>
      </c>
      <c r="G3790" s="58" t="s">
        <v>9920</v>
      </c>
      <c r="H3790" s="58" t="s">
        <v>1816</v>
      </c>
      <c r="I3790" s="64" t="s">
        <v>9921</v>
      </c>
      <c r="J3790" s="66"/>
      <c r="K3790" s="66"/>
      <c r="L3790" s="68"/>
      <c r="M3790" s="63" t="str">
        <f>HYPERLINK("http://nsgreg.nga.mil/genc/view?v=871634&amp;end_month=12&amp;end_day=31&amp;end_year=2016","Correlation")</f>
        <v>Correlation</v>
      </c>
    </row>
    <row r="3791" spans="1:13" x14ac:dyDescent="0.2">
      <c r="A3791" s="113"/>
      <c r="B3791" s="58" t="s">
        <v>9922</v>
      </c>
      <c r="C3791" s="58" t="s">
        <v>1816</v>
      </c>
      <c r="D3791" s="58" t="s">
        <v>9923</v>
      </c>
      <c r="E3791" s="60" t="b">
        <v>1</v>
      </c>
      <c r="F3791" s="80" t="s">
        <v>1194</v>
      </c>
      <c r="G3791" s="58" t="s">
        <v>9922</v>
      </c>
      <c r="H3791" s="58" t="s">
        <v>1816</v>
      </c>
      <c r="I3791" s="64" t="s">
        <v>9923</v>
      </c>
      <c r="J3791" s="66"/>
      <c r="K3791" s="66"/>
      <c r="L3791" s="68"/>
      <c r="M3791" s="63" t="str">
        <f>HYPERLINK("http://nsgreg.nga.mil/genc/view?v=871635&amp;end_month=12&amp;end_day=31&amp;end_year=2016","Correlation")</f>
        <v>Correlation</v>
      </c>
    </row>
    <row r="3792" spans="1:13" x14ac:dyDescent="0.2">
      <c r="A3792" s="113"/>
      <c r="B3792" s="58" t="s">
        <v>9924</v>
      </c>
      <c r="C3792" s="58" t="s">
        <v>1816</v>
      </c>
      <c r="D3792" s="58" t="s">
        <v>9925</v>
      </c>
      <c r="E3792" s="60" t="b">
        <v>1</v>
      </c>
      <c r="F3792" s="80" t="s">
        <v>1194</v>
      </c>
      <c r="G3792" s="58" t="s">
        <v>9924</v>
      </c>
      <c r="H3792" s="58" t="s">
        <v>1816</v>
      </c>
      <c r="I3792" s="64" t="s">
        <v>9925</v>
      </c>
      <c r="J3792" s="66"/>
      <c r="K3792" s="66"/>
      <c r="L3792" s="68"/>
      <c r="M3792" s="63" t="str">
        <f>HYPERLINK("http://nsgreg.nga.mil/genc/view?v=871689&amp;end_month=12&amp;end_day=31&amp;end_year=2016","Correlation")</f>
        <v>Correlation</v>
      </c>
    </row>
    <row r="3793" spans="1:13" x14ac:dyDescent="0.2">
      <c r="A3793" s="113"/>
      <c r="B3793" s="58" t="s">
        <v>9926</v>
      </c>
      <c r="C3793" s="58" t="s">
        <v>1816</v>
      </c>
      <c r="D3793" s="58" t="s">
        <v>9927</v>
      </c>
      <c r="E3793" s="60" t="b">
        <v>1</v>
      </c>
      <c r="F3793" s="80" t="s">
        <v>1194</v>
      </c>
      <c r="G3793" s="58" t="s">
        <v>9926</v>
      </c>
      <c r="H3793" s="58" t="s">
        <v>1816</v>
      </c>
      <c r="I3793" s="64" t="s">
        <v>9927</v>
      </c>
      <c r="J3793" s="66"/>
      <c r="K3793" s="66"/>
      <c r="L3793" s="68"/>
      <c r="M3793" s="63" t="str">
        <f>HYPERLINK("http://nsgreg.nga.mil/genc/view?v=871636&amp;end_month=12&amp;end_day=31&amp;end_year=2016","Correlation")</f>
        <v>Correlation</v>
      </c>
    </row>
    <row r="3794" spans="1:13" x14ac:dyDescent="0.2">
      <c r="A3794" s="113"/>
      <c r="B3794" s="58" t="s">
        <v>9928</v>
      </c>
      <c r="C3794" s="58" t="s">
        <v>1816</v>
      </c>
      <c r="D3794" s="58" t="s">
        <v>9929</v>
      </c>
      <c r="E3794" s="60" t="b">
        <v>1</v>
      </c>
      <c r="F3794" s="80" t="s">
        <v>1194</v>
      </c>
      <c r="G3794" s="58" t="s">
        <v>9928</v>
      </c>
      <c r="H3794" s="58" t="s">
        <v>1816</v>
      </c>
      <c r="I3794" s="64" t="s">
        <v>9929</v>
      </c>
      <c r="J3794" s="66"/>
      <c r="K3794" s="66"/>
      <c r="L3794" s="68"/>
      <c r="M3794" s="63" t="str">
        <f>HYPERLINK("http://nsgreg.nga.mil/genc/view?v=871690&amp;end_month=12&amp;end_day=31&amp;end_year=2016","Correlation")</f>
        <v>Correlation</v>
      </c>
    </row>
    <row r="3795" spans="1:13" x14ac:dyDescent="0.2">
      <c r="A3795" s="113"/>
      <c r="B3795" s="58" t="s">
        <v>9930</v>
      </c>
      <c r="C3795" s="58" t="s">
        <v>1816</v>
      </c>
      <c r="D3795" s="58" t="s">
        <v>9931</v>
      </c>
      <c r="E3795" s="60" t="b">
        <v>1</v>
      </c>
      <c r="F3795" s="80" t="s">
        <v>1194</v>
      </c>
      <c r="G3795" s="58" t="s">
        <v>9930</v>
      </c>
      <c r="H3795" s="58" t="s">
        <v>1816</v>
      </c>
      <c r="I3795" s="64" t="s">
        <v>9931</v>
      </c>
      <c r="J3795" s="66"/>
      <c r="K3795" s="66"/>
      <c r="L3795" s="68"/>
      <c r="M3795" s="63" t="str">
        <f>HYPERLINK("http://nsgreg.nga.mil/genc/view?v=871637&amp;end_month=12&amp;end_day=31&amp;end_year=2016","Correlation")</f>
        <v>Correlation</v>
      </c>
    </row>
    <row r="3796" spans="1:13" x14ac:dyDescent="0.2">
      <c r="A3796" s="113"/>
      <c r="B3796" s="58" t="s">
        <v>9932</v>
      </c>
      <c r="C3796" s="58" t="s">
        <v>1816</v>
      </c>
      <c r="D3796" s="58" t="s">
        <v>9933</v>
      </c>
      <c r="E3796" s="60" t="b">
        <v>1</v>
      </c>
      <c r="F3796" s="80" t="s">
        <v>1194</v>
      </c>
      <c r="G3796" s="58" t="s">
        <v>9932</v>
      </c>
      <c r="H3796" s="58" t="s">
        <v>9684</v>
      </c>
      <c r="I3796" s="64" t="s">
        <v>9933</v>
      </c>
      <c r="J3796" s="66"/>
      <c r="K3796" s="66"/>
      <c r="L3796" s="68"/>
      <c r="M3796" s="63" t="str">
        <f>HYPERLINK("http://nsgreg.nga.mil/genc/view?v=871638&amp;end_month=12&amp;end_day=31&amp;end_year=2016","Correlation")</f>
        <v>Correlation</v>
      </c>
    </row>
    <row r="3797" spans="1:13" x14ac:dyDescent="0.2">
      <c r="A3797" s="113"/>
      <c r="B3797" s="58" t="s">
        <v>9934</v>
      </c>
      <c r="C3797" s="58" t="s">
        <v>1816</v>
      </c>
      <c r="D3797" s="58" t="s">
        <v>9935</v>
      </c>
      <c r="E3797" s="60" t="b">
        <v>1</v>
      </c>
      <c r="F3797" s="80" t="s">
        <v>1194</v>
      </c>
      <c r="G3797" s="58" t="s">
        <v>9934</v>
      </c>
      <c r="H3797" s="58" t="s">
        <v>1816</v>
      </c>
      <c r="I3797" s="64" t="s">
        <v>9935</v>
      </c>
      <c r="J3797" s="66"/>
      <c r="K3797" s="66"/>
      <c r="L3797" s="68"/>
      <c r="M3797" s="63" t="str">
        <f>HYPERLINK("http://nsgreg.nga.mil/genc/view?v=871691&amp;end_month=12&amp;end_day=31&amp;end_year=2016","Correlation")</f>
        <v>Correlation</v>
      </c>
    </row>
    <row r="3798" spans="1:13" x14ac:dyDescent="0.2">
      <c r="A3798" s="113"/>
      <c r="B3798" s="58" t="s">
        <v>9936</v>
      </c>
      <c r="C3798" s="58" t="s">
        <v>1816</v>
      </c>
      <c r="D3798" s="58" t="s">
        <v>9937</v>
      </c>
      <c r="E3798" s="60" t="b">
        <v>1</v>
      </c>
      <c r="F3798" s="80" t="s">
        <v>1194</v>
      </c>
      <c r="G3798" s="58" t="s">
        <v>9936</v>
      </c>
      <c r="H3798" s="58" t="s">
        <v>1816</v>
      </c>
      <c r="I3798" s="64" t="s">
        <v>9937</v>
      </c>
      <c r="J3798" s="66"/>
      <c r="K3798" s="66"/>
      <c r="L3798" s="68"/>
      <c r="M3798" s="63" t="str">
        <f>HYPERLINK("http://nsgreg.nga.mil/genc/view?v=871639&amp;end_month=12&amp;end_day=31&amp;end_year=2016","Correlation")</f>
        <v>Correlation</v>
      </c>
    </row>
    <row r="3799" spans="1:13" x14ac:dyDescent="0.2">
      <c r="A3799" s="113"/>
      <c r="B3799" s="58" t="s">
        <v>9938</v>
      </c>
      <c r="C3799" s="58" t="s">
        <v>1816</v>
      </c>
      <c r="D3799" s="58" t="s">
        <v>9939</v>
      </c>
      <c r="E3799" s="60" t="b">
        <v>1</v>
      </c>
      <c r="F3799" s="80" t="s">
        <v>1194</v>
      </c>
      <c r="G3799" s="58" t="s">
        <v>9938</v>
      </c>
      <c r="H3799" s="58" t="s">
        <v>1816</v>
      </c>
      <c r="I3799" s="64" t="s">
        <v>9939</v>
      </c>
      <c r="J3799" s="66"/>
      <c r="K3799" s="66"/>
      <c r="L3799" s="68"/>
      <c r="M3799" s="63" t="str">
        <f>HYPERLINK("http://nsgreg.nga.mil/genc/view?v=871692&amp;end_month=12&amp;end_day=31&amp;end_year=2016","Correlation")</f>
        <v>Correlation</v>
      </c>
    </row>
    <row r="3800" spans="1:13" x14ac:dyDescent="0.2">
      <c r="A3800" s="113"/>
      <c r="B3800" s="58" t="s">
        <v>9940</v>
      </c>
      <c r="C3800" s="58" t="s">
        <v>1816</v>
      </c>
      <c r="D3800" s="58" t="s">
        <v>9941</v>
      </c>
      <c r="E3800" s="60" t="b">
        <v>1</v>
      </c>
      <c r="F3800" s="80" t="s">
        <v>1194</v>
      </c>
      <c r="G3800" s="58" t="s">
        <v>9940</v>
      </c>
      <c r="H3800" s="58" t="s">
        <v>1816</v>
      </c>
      <c r="I3800" s="64" t="s">
        <v>9941</v>
      </c>
      <c r="J3800" s="66"/>
      <c r="K3800" s="66"/>
      <c r="L3800" s="68"/>
      <c r="M3800" s="63" t="str">
        <f>HYPERLINK("http://nsgreg.nga.mil/genc/view?v=871640&amp;end_month=12&amp;end_day=31&amp;end_year=2016","Correlation")</f>
        <v>Correlation</v>
      </c>
    </row>
    <row r="3801" spans="1:13" x14ac:dyDescent="0.2">
      <c r="A3801" s="113"/>
      <c r="B3801" s="58" t="s">
        <v>9942</v>
      </c>
      <c r="C3801" s="58" t="s">
        <v>1816</v>
      </c>
      <c r="D3801" s="58" t="s">
        <v>9943</v>
      </c>
      <c r="E3801" s="60" t="b">
        <v>1</v>
      </c>
      <c r="F3801" s="80" t="s">
        <v>1194</v>
      </c>
      <c r="G3801" s="58" t="s">
        <v>9942</v>
      </c>
      <c r="H3801" s="58" t="s">
        <v>1816</v>
      </c>
      <c r="I3801" s="64" t="s">
        <v>9943</v>
      </c>
      <c r="J3801" s="66"/>
      <c r="K3801" s="66"/>
      <c r="L3801" s="68"/>
      <c r="M3801" s="63" t="str">
        <f>HYPERLINK("http://nsgreg.nga.mil/genc/view?v=871641&amp;end_month=12&amp;end_day=31&amp;end_year=2016","Correlation")</f>
        <v>Correlation</v>
      </c>
    </row>
    <row r="3802" spans="1:13" x14ac:dyDescent="0.2">
      <c r="A3802" s="113"/>
      <c r="B3802" s="58" t="s">
        <v>9944</v>
      </c>
      <c r="C3802" s="58" t="s">
        <v>1816</v>
      </c>
      <c r="D3802" s="58" t="s">
        <v>9945</v>
      </c>
      <c r="E3802" s="60" t="b">
        <v>1</v>
      </c>
      <c r="F3802" s="80" t="s">
        <v>1194</v>
      </c>
      <c r="G3802" s="58" t="s">
        <v>9944</v>
      </c>
      <c r="H3802" s="58" t="s">
        <v>1816</v>
      </c>
      <c r="I3802" s="64" t="s">
        <v>9945</v>
      </c>
      <c r="J3802" s="66"/>
      <c r="K3802" s="66"/>
      <c r="L3802" s="68"/>
      <c r="M3802" s="63" t="str">
        <f>HYPERLINK("http://nsgreg.nga.mil/genc/view?v=871642&amp;end_month=12&amp;end_day=31&amp;end_year=2016","Correlation")</f>
        <v>Correlation</v>
      </c>
    </row>
    <row r="3803" spans="1:13" x14ac:dyDescent="0.2">
      <c r="A3803" s="113"/>
      <c r="B3803" s="58" t="s">
        <v>9946</v>
      </c>
      <c r="C3803" s="58" t="s">
        <v>1816</v>
      </c>
      <c r="D3803" s="58" t="s">
        <v>9947</v>
      </c>
      <c r="E3803" s="60" t="b">
        <v>1</v>
      </c>
      <c r="F3803" s="80" t="s">
        <v>1194</v>
      </c>
      <c r="G3803" s="58" t="s">
        <v>9946</v>
      </c>
      <c r="H3803" s="58" t="s">
        <v>1816</v>
      </c>
      <c r="I3803" s="64" t="s">
        <v>9947</v>
      </c>
      <c r="J3803" s="66"/>
      <c r="K3803" s="66"/>
      <c r="L3803" s="68"/>
      <c r="M3803" s="63" t="str">
        <f>HYPERLINK("http://nsgreg.nga.mil/genc/view?v=871643&amp;end_month=12&amp;end_day=31&amp;end_year=2016","Correlation")</f>
        <v>Correlation</v>
      </c>
    </row>
    <row r="3804" spans="1:13" x14ac:dyDescent="0.2">
      <c r="A3804" s="113"/>
      <c r="B3804" s="58" t="s">
        <v>9948</v>
      </c>
      <c r="C3804" s="58" t="s">
        <v>1816</v>
      </c>
      <c r="D3804" s="58" t="s">
        <v>9949</v>
      </c>
      <c r="E3804" s="60" t="b">
        <v>1</v>
      </c>
      <c r="F3804" s="80" t="s">
        <v>1194</v>
      </c>
      <c r="G3804" s="58" t="s">
        <v>9948</v>
      </c>
      <c r="H3804" s="58" t="s">
        <v>1816</v>
      </c>
      <c r="I3804" s="64" t="s">
        <v>9949</v>
      </c>
      <c r="J3804" s="66"/>
      <c r="K3804" s="66"/>
      <c r="L3804" s="68"/>
      <c r="M3804" s="63" t="str">
        <f>HYPERLINK("http://nsgreg.nga.mil/genc/view?v=871644&amp;end_month=12&amp;end_day=31&amp;end_year=2016","Correlation")</f>
        <v>Correlation</v>
      </c>
    </row>
    <row r="3805" spans="1:13" x14ac:dyDescent="0.2">
      <c r="A3805" s="113"/>
      <c r="B3805" s="58" t="s">
        <v>9950</v>
      </c>
      <c r="C3805" s="58" t="s">
        <v>1816</v>
      </c>
      <c r="D3805" s="58" t="s">
        <v>9951</v>
      </c>
      <c r="E3805" s="60" t="b">
        <v>1</v>
      </c>
      <c r="F3805" s="80" t="s">
        <v>1194</v>
      </c>
      <c r="G3805" s="58" t="s">
        <v>9950</v>
      </c>
      <c r="H3805" s="58" t="s">
        <v>1816</v>
      </c>
      <c r="I3805" s="64" t="s">
        <v>9951</v>
      </c>
      <c r="J3805" s="66"/>
      <c r="K3805" s="66"/>
      <c r="L3805" s="68"/>
      <c r="M3805" s="63" t="str">
        <f>HYPERLINK("http://nsgreg.nga.mil/genc/view?v=871693&amp;end_month=12&amp;end_day=31&amp;end_year=2016","Correlation")</f>
        <v>Correlation</v>
      </c>
    </row>
    <row r="3806" spans="1:13" x14ac:dyDescent="0.2">
      <c r="A3806" s="113"/>
      <c r="B3806" s="58" t="s">
        <v>9952</v>
      </c>
      <c r="C3806" s="58" t="s">
        <v>1816</v>
      </c>
      <c r="D3806" s="58" t="s">
        <v>9953</v>
      </c>
      <c r="E3806" s="60" t="b">
        <v>1</v>
      </c>
      <c r="F3806" s="80" t="s">
        <v>1194</v>
      </c>
      <c r="G3806" s="58" t="s">
        <v>9952</v>
      </c>
      <c r="H3806" s="58" t="s">
        <v>1816</v>
      </c>
      <c r="I3806" s="64" t="s">
        <v>9953</v>
      </c>
      <c r="J3806" s="66"/>
      <c r="K3806" s="66"/>
      <c r="L3806" s="68"/>
      <c r="M3806" s="63" t="str">
        <f>HYPERLINK("http://nsgreg.nga.mil/genc/view?v=871645&amp;end_month=12&amp;end_day=31&amp;end_year=2016","Correlation")</f>
        <v>Correlation</v>
      </c>
    </row>
    <row r="3807" spans="1:13" x14ac:dyDescent="0.2">
      <c r="A3807" s="113"/>
      <c r="B3807" s="58" t="s">
        <v>9954</v>
      </c>
      <c r="C3807" s="58" t="s">
        <v>1816</v>
      </c>
      <c r="D3807" s="58" t="s">
        <v>9955</v>
      </c>
      <c r="E3807" s="60" t="b">
        <v>1</v>
      </c>
      <c r="F3807" s="80" t="s">
        <v>1194</v>
      </c>
      <c r="G3807" s="58" t="s">
        <v>9954</v>
      </c>
      <c r="H3807" s="58" t="s">
        <v>1816</v>
      </c>
      <c r="I3807" s="64" t="s">
        <v>9955</v>
      </c>
      <c r="J3807" s="66"/>
      <c r="K3807" s="66"/>
      <c r="L3807" s="68"/>
      <c r="M3807" s="63" t="str">
        <f>HYPERLINK("http://nsgreg.nga.mil/genc/view?v=871646&amp;end_month=12&amp;end_day=31&amp;end_year=2016","Correlation")</f>
        <v>Correlation</v>
      </c>
    </row>
    <row r="3808" spans="1:13" x14ac:dyDescent="0.2">
      <c r="A3808" s="113"/>
      <c r="B3808" s="58" t="s">
        <v>9956</v>
      </c>
      <c r="C3808" s="58" t="s">
        <v>1816</v>
      </c>
      <c r="D3808" s="58" t="s">
        <v>9957</v>
      </c>
      <c r="E3808" s="60" t="b">
        <v>1</v>
      </c>
      <c r="F3808" s="80" t="s">
        <v>1194</v>
      </c>
      <c r="G3808" s="58" t="s">
        <v>9956</v>
      </c>
      <c r="H3808" s="58" t="s">
        <v>1816</v>
      </c>
      <c r="I3808" s="64" t="s">
        <v>9957</v>
      </c>
      <c r="J3808" s="66"/>
      <c r="K3808" s="66"/>
      <c r="L3808" s="68"/>
      <c r="M3808" s="63" t="str">
        <f>HYPERLINK("http://nsgreg.nga.mil/genc/view?v=871647&amp;end_month=12&amp;end_day=31&amp;end_year=2016","Correlation")</f>
        <v>Correlation</v>
      </c>
    </row>
    <row r="3809" spans="1:13" x14ac:dyDescent="0.2">
      <c r="A3809" s="113"/>
      <c r="B3809" s="58" t="s">
        <v>9958</v>
      </c>
      <c r="C3809" s="58" t="s">
        <v>1816</v>
      </c>
      <c r="D3809" s="58" t="s">
        <v>9959</v>
      </c>
      <c r="E3809" s="60" t="b">
        <v>1</v>
      </c>
      <c r="F3809" s="80" t="s">
        <v>1194</v>
      </c>
      <c r="G3809" s="58" t="s">
        <v>9958</v>
      </c>
      <c r="H3809" s="58" t="s">
        <v>1816</v>
      </c>
      <c r="I3809" s="64" t="s">
        <v>9959</v>
      </c>
      <c r="J3809" s="66"/>
      <c r="K3809" s="66"/>
      <c r="L3809" s="68"/>
      <c r="M3809" s="63" t="str">
        <f>HYPERLINK("http://nsgreg.nga.mil/genc/view?v=871694&amp;end_month=12&amp;end_day=31&amp;end_year=2016","Correlation")</f>
        <v>Correlation</v>
      </c>
    </row>
    <row r="3810" spans="1:13" x14ac:dyDescent="0.2">
      <c r="A3810" s="113"/>
      <c r="B3810" s="58" t="s">
        <v>9960</v>
      </c>
      <c r="C3810" s="58" t="s">
        <v>1816</v>
      </c>
      <c r="D3810" s="58" t="s">
        <v>9961</v>
      </c>
      <c r="E3810" s="60" t="b">
        <v>1</v>
      </c>
      <c r="F3810" s="80" t="s">
        <v>1194</v>
      </c>
      <c r="G3810" s="58" t="s">
        <v>9960</v>
      </c>
      <c r="H3810" s="58" t="s">
        <v>1816</v>
      </c>
      <c r="I3810" s="64" t="s">
        <v>9961</v>
      </c>
      <c r="J3810" s="66"/>
      <c r="K3810" s="66"/>
      <c r="L3810" s="68"/>
      <c r="M3810" s="63" t="str">
        <f>HYPERLINK("http://nsgreg.nga.mil/genc/view?v=871648&amp;end_month=12&amp;end_day=31&amp;end_year=2016","Correlation")</f>
        <v>Correlation</v>
      </c>
    </row>
    <row r="3811" spans="1:13" x14ac:dyDescent="0.2">
      <c r="A3811" s="113"/>
      <c r="B3811" s="58" t="s">
        <v>9962</v>
      </c>
      <c r="C3811" s="58" t="s">
        <v>1816</v>
      </c>
      <c r="D3811" s="58" t="s">
        <v>9963</v>
      </c>
      <c r="E3811" s="60" t="b">
        <v>1</v>
      </c>
      <c r="F3811" s="80" t="s">
        <v>1194</v>
      </c>
      <c r="G3811" s="58" t="s">
        <v>9962</v>
      </c>
      <c r="H3811" s="58" t="s">
        <v>1816</v>
      </c>
      <c r="I3811" s="64" t="s">
        <v>9963</v>
      </c>
      <c r="J3811" s="66"/>
      <c r="K3811" s="66"/>
      <c r="L3811" s="68"/>
      <c r="M3811" s="63" t="str">
        <f>HYPERLINK("http://nsgreg.nga.mil/genc/view?v=871650&amp;end_month=12&amp;end_day=31&amp;end_year=2016","Correlation")</f>
        <v>Correlation</v>
      </c>
    </row>
    <row r="3812" spans="1:13" x14ac:dyDescent="0.2">
      <c r="A3812" s="113"/>
      <c r="B3812" s="58" t="s">
        <v>9964</v>
      </c>
      <c r="C3812" s="58" t="s">
        <v>1816</v>
      </c>
      <c r="D3812" s="58" t="s">
        <v>9965</v>
      </c>
      <c r="E3812" s="60" t="b">
        <v>1</v>
      </c>
      <c r="F3812" s="80" t="s">
        <v>1194</v>
      </c>
      <c r="G3812" s="58" t="s">
        <v>9964</v>
      </c>
      <c r="H3812" s="58" t="s">
        <v>1816</v>
      </c>
      <c r="I3812" s="64" t="s">
        <v>9965</v>
      </c>
      <c r="J3812" s="66"/>
      <c r="K3812" s="66"/>
      <c r="L3812" s="68"/>
      <c r="M3812" s="63" t="str">
        <f>HYPERLINK("http://nsgreg.nga.mil/genc/view?v=871695&amp;end_month=12&amp;end_day=31&amp;end_year=2016","Correlation")</f>
        <v>Correlation</v>
      </c>
    </row>
    <row r="3813" spans="1:13" x14ac:dyDescent="0.2">
      <c r="A3813" s="113"/>
      <c r="B3813" s="58" t="s">
        <v>9966</v>
      </c>
      <c r="C3813" s="58" t="s">
        <v>1816</v>
      </c>
      <c r="D3813" s="58" t="s">
        <v>9967</v>
      </c>
      <c r="E3813" s="60" t="b">
        <v>1</v>
      </c>
      <c r="F3813" s="80" t="s">
        <v>1194</v>
      </c>
      <c r="G3813" s="58" t="s">
        <v>9966</v>
      </c>
      <c r="H3813" s="58" t="s">
        <v>1816</v>
      </c>
      <c r="I3813" s="64" t="s">
        <v>9967</v>
      </c>
      <c r="J3813" s="66"/>
      <c r="K3813" s="66"/>
      <c r="L3813" s="68"/>
      <c r="M3813" s="63" t="str">
        <f>HYPERLINK("http://nsgreg.nga.mil/genc/view?v=871651&amp;end_month=12&amp;end_day=31&amp;end_year=2016","Correlation")</f>
        <v>Correlation</v>
      </c>
    </row>
    <row r="3814" spans="1:13" x14ac:dyDescent="0.2">
      <c r="A3814" s="113"/>
      <c r="B3814" s="58" t="s">
        <v>9968</v>
      </c>
      <c r="C3814" s="58" t="s">
        <v>1816</v>
      </c>
      <c r="D3814" s="58" t="s">
        <v>9969</v>
      </c>
      <c r="E3814" s="60" t="b">
        <v>1</v>
      </c>
      <c r="F3814" s="80" t="s">
        <v>1194</v>
      </c>
      <c r="G3814" s="58" t="s">
        <v>9968</v>
      </c>
      <c r="H3814" s="58" t="s">
        <v>1816</v>
      </c>
      <c r="I3814" s="64" t="s">
        <v>9969</v>
      </c>
      <c r="J3814" s="66"/>
      <c r="K3814" s="66"/>
      <c r="L3814" s="68"/>
      <c r="M3814" s="63" t="str">
        <f>HYPERLINK("http://nsgreg.nga.mil/genc/view?v=871696&amp;end_month=12&amp;end_day=31&amp;end_year=2016","Correlation")</f>
        <v>Correlation</v>
      </c>
    </row>
    <row r="3815" spans="1:13" x14ac:dyDescent="0.2">
      <c r="A3815" s="113"/>
      <c r="B3815" s="58" t="s">
        <v>9970</v>
      </c>
      <c r="C3815" s="58" t="s">
        <v>1816</v>
      </c>
      <c r="D3815" s="58" t="s">
        <v>9971</v>
      </c>
      <c r="E3815" s="60" t="b">
        <v>1</v>
      </c>
      <c r="F3815" s="80" t="s">
        <v>1194</v>
      </c>
      <c r="G3815" s="58" t="s">
        <v>9970</v>
      </c>
      <c r="H3815" s="58" t="s">
        <v>1816</v>
      </c>
      <c r="I3815" s="64" t="s">
        <v>9971</v>
      </c>
      <c r="J3815" s="66"/>
      <c r="K3815" s="66"/>
      <c r="L3815" s="68"/>
      <c r="M3815" s="63" t="str">
        <f>HYPERLINK("http://nsgreg.nga.mil/genc/view?v=871649&amp;end_month=12&amp;end_day=31&amp;end_year=2016","Correlation")</f>
        <v>Correlation</v>
      </c>
    </row>
    <row r="3816" spans="1:13" x14ac:dyDescent="0.2">
      <c r="A3816" s="114"/>
      <c r="B3816" s="71" t="s">
        <v>9972</v>
      </c>
      <c r="C3816" s="71" t="s">
        <v>1816</v>
      </c>
      <c r="D3816" s="71" t="s">
        <v>9973</v>
      </c>
      <c r="E3816" s="73" t="b">
        <v>1</v>
      </c>
      <c r="F3816" s="81" t="s">
        <v>1194</v>
      </c>
      <c r="G3816" s="71" t="s">
        <v>9972</v>
      </c>
      <c r="H3816" s="71" t="s">
        <v>1816</v>
      </c>
      <c r="I3816" s="74" t="s">
        <v>9973</v>
      </c>
      <c r="J3816" s="76"/>
      <c r="K3816" s="76"/>
      <c r="L3816" s="82"/>
      <c r="M3816" s="77" t="str">
        <f>HYPERLINK("http://nsgreg.nga.mil/genc/view?v=871697&amp;end_month=12&amp;end_day=31&amp;end_year=2016","Correlation")</f>
        <v>Correlation</v>
      </c>
    </row>
    <row r="3817" spans="1:13" x14ac:dyDescent="0.2">
      <c r="A3817" s="112" t="s">
        <v>1198</v>
      </c>
      <c r="B3817" s="50" t="s">
        <v>9980</v>
      </c>
      <c r="C3817" s="50" t="s">
        <v>7895</v>
      </c>
      <c r="D3817" s="50" t="s">
        <v>9979</v>
      </c>
      <c r="E3817" s="52" t="b">
        <v>1</v>
      </c>
      <c r="F3817" s="78" t="s">
        <v>1198</v>
      </c>
      <c r="G3817" s="50" t="s">
        <v>9978</v>
      </c>
      <c r="H3817" s="50" t="s">
        <v>1681</v>
      </c>
      <c r="I3817" s="53" t="s">
        <v>9979</v>
      </c>
      <c r="J3817" s="55"/>
      <c r="K3817" s="55"/>
      <c r="L3817" s="79"/>
      <c r="M3817" s="56" t="str">
        <f>HYPERLINK("http://nsgreg.nga.mil/genc/view?v=871426&amp;end_month=12&amp;end_day=31&amp;end_year=2016","Correlation")</f>
        <v>Correlation</v>
      </c>
    </row>
    <row r="3818" spans="1:13" x14ac:dyDescent="0.2">
      <c r="A3818" s="113"/>
      <c r="B3818" s="58" t="s">
        <v>2411</v>
      </c>
      <c r="C3818" s="58" t="s">
        <v>1413</v>
      </c>
      <c r="D3818" s="58" t="s">
        <v>9974</v>
      </c>
      <c r="E3818" s="60" t="b">
        <v>1</v>
      </c>
      <c r="F3818" s="80" t="s">
        <v>1198</v>
      </c>
      <c r="G3818" s="58" t="s">
        <v>2411</v>
      </c>
      <c r="H3818" s="58" t="s">
        <v>1413</v>
      </c>
      <c r="I3818" s="64" t="s">
        <v>9974</v>
      </c>
      <c r="J3818" s="66"/>
      <c r="K3818" s="66"/>
      <c r="L3818" s="68"/>
      <c r="M3818" s="63" t="str">
        <f>HYPERLINK("http://nsgreg.nga.mil/genc/view?v=871424&amp;end_month=12&amp;end_day=31&amp;end_year=2016","Correlation")</f>
        <v>Correlation</v>
      </c>
    </row>
    <row r="3819" spans="1:13" x14ac:dyDescent="0.2">
      <c r="A3819" s="113"/>
      <c r="B3819" s="58" t="s">
        <v>8967</v>
      </c>
      <c r="C3819" s="58" t="s">
        <v>1413</v>
      </c>
      <c r="D3819" s="58" t="s">
        <v>9975</v>
      </c>
      <c r="E3819" s="60" t="b">
        <v>1</v>
      </c>
      <c r="F3819" s="80" t="s">
        <v>1198</v>
      </c>
      <c r="G3819" s="58" t="s">
        <v>8967</v>
      </c>
      <c r="H3819" s="58" t="s">
        <v>1413</v>
      </c>
      <c r="I3819" s="64" t="s">
        <v>9975</v>
      </c>
      <c r="J3819" s="66"/>
      <c r="K3819" s="66"/>
      <c r="L3819" s="68"/>
      <c r="M3819" s="63" t="str">
        <f>HYPERLINK("http://nsgreg.nga.mil/genc/view?v=871425&amp;end_month=12&amp;end_day=31&amp;end_year=2016","Correlation")</f>
        <v>Correlation</v>
      </c>
    </row>
    <row r="3820" spans="1:13" x14ac:dyDescent="0.2">
      <c r="A3820" s="113"/>
      <c r="B3820" s="58" t="s">
        <v>9976</v>
      </c>
      <c r="C3820" s="58" t="s">
        <v>1413</v>
      </c>
      <c r="D3820" s="58" t="s">
        <v>9977</v>
      </c>
      <c r="E3820" s="60" t="b">
        <v>1</v>
      </c>
      <c r="F3820" s="80" t="s">
        <v>1198</v>
      </c>
      <c r="G3820" s="58" t="s">
        <v>9976</v>
      </c>
      <c r="H3820" s="58" t="s">
        <v>1413</v>
      </c>
      <c r="I3820" s="64" t="s">
        <v>9977</v>
      </c>
      <c r="J3820" s="66"/>
      <c r="K3820" s="66"/>
      <c r="L3820" s="68"/>
      <c r="M3820" s="63" t="str">
        <f>HYPERLINK("http://nsgreg.nga.mil/genc/view?v=871427&amp;end_month=12&amp;end_day=31&amp;end_year=2016","Correlation")</f>
        <v>Correlation</v>
      </c>
    </row>
    <row r="3821" spans="1:13" x14ac:dyDescent="0.2">
      <c r="A3821" s="113"/>
      <c r="B3821" s="58" t="s">
        <v>9981</v>
      </c>
      <c r="C3821" s="58" t="s">
        <v>1413</v>
      </c>
      <c r="D3821" s="58" t="s">
        <v>9982</v>
      </c>
      <c r="E3821" s="60" t="b">
        <v>1</v>
      </c>
      <c r="F3821" s="80" t="s">
        <v>1198</v>
      </c>
      <c r="G3821" s="58" t="s">
        <v>9981</v>
      </c>
      <c r="H3821" s="58" t="s">
        <v>1413</v>
      </c>
      <c r="I3821" s="64" t="s">
        <v>9982</v>
      </c>
      <c r="J3821" s="66"/>
      <c r="K3821" s="66"/>
      <c r="L3821" s="68"/>
      <c r="M3821" s="63" t="str">
        <f>HYPERLINK("http://nsgreg.nga.mil/genc/view?v=871428&amp;end_month=12&amp;end_day=31&amp;end_year=2016","Correlation")</f>
        <v>Correlation</v>
      </c>
    </row>
    <row r="3822" spans="1:13" x14ac:dyDescent="0.2">
      <c r="A3822" s="113"/>
      <c r="B3822" s="58" t="s">
        <v>9985</v>
      </c>
      <c r="C3822" s="58" t="s">
        <v>1413</v>
      </c>
      <c r="D3822" s="58" t="s">
        <v>9984</v>
      </c>
      <c r="E3822" s="60" t="b">
        <v>1</v>
      </c>
      <c r="F3822" s="80" t="s">
        <v>1198</v>
      </c>
      <c r="G3822" s="58" t="s">
        <v>9983</v>
      </c>
      <c r="H3822" s="58" t="s">
        <v>1413</v>
      </c>
      <c r="I3822" s="64" t="s">
        <v>9984</v>
      </c>
      <c r="J3822" s="66"/>
      <c r="K3822" s="66"/>
      <c r="L3822" s="68"/>
      <c r="M3822" s="63" t="str">
        <f>HYPERLINK("http://nsgreg.nga.mil/genc/view?v=871429&amp;end_month=12&amp;end_day=31&amp;end_year=2016","Correlation")</f>
        <v>Correlation</v>
      </c>
    </row>
    <row r="3823" spans="1:13" x14ac:dyDescent="0.2">
      <c r="A3823" s="113"/>
      <c r="B3823" s="58" t="s">
        <v>9986</v>
      </c>
      <c r="C3823" s="58" t="s">
        <v>1413</v>
      </c>
      <c r="D3823" s="58" t="s">
        <v>9987</v>
      </c>
      <c r="E3823" s="60" t="b">
        <v>1</v>
      </c>
      <c r="F3823" s="80" t="s">
        <v>1198</v>
      </c>
      <c r="G3823" s="58" t="s">
        <v>9986</v>
      </c>
      <c r="H3823" s="58" t="s">
        <v>1413</v>
      </c>
      <c r="I3823" s="64" t="s">
        <v>9987</v>
      </c>
      <c r="J3823" s="66"/>
      <c r="K3823" s="66"/>
      <c r="L3823" s="68"/>
      <c r="M3823" s="63" t="str">
        <f>HYPERLINK("http://nsgreg.nga.mil/genc/view?v=871430&amp;end_month=12&amp;end_day=31&amp;end_year=2016","Correlation")</f>
        <v>Correlation</v>
      </c>
    </row>
    <row r="3824" spans="1:13" x14ac:dyDescent="0.2">
      <c r="A3824" s="113"/>
      <c r="B3824" s="58" t="s">
        <v>9988</v>
      </c>
      <c r="C3824" s="58" t="s">
        <v>1413</v>
      </c>
      <c r="D3824" s="58" t="s">
        <v>9989</v>
      </c>
      <c r="E3824" s="60" t="b">
        <v>1</v>
      </c>
      <c r="F3824" s="80" t="s">
        <v>1198</v>
      </c>
      <c r="G3824" s="58" t="s">
        <v>9988</v>
      </c>
      <c r="H3824" s="58" t="s">
        <v>1413</v>
      </c>
      <c r="I3824" s="64" t="s">
        <v>9989</v>
      </c>
      <c r="J3824" s="66"/>
      <c r="K3824" s="66"/>
      <c r="L3824" s="68"/>
      <c r="M3824" s="63" t="str">
        <f>HYPERLINK("http://nsgreg.nga.mil/genc/view?v=871431&amp;end_month=12&amp;end_day=31&amp;end_year=2016","Correlation")</f>
        <v>Correlation</v>
      </c>
    </row>
    <row r="3825" spans="1:13" x14ac:dyDescent="0.2">
      <c r="A3825" s="113"/>
      <c r="B3825" s="58" t="s">
        <v>9990</v>
      </c>
      <c r="C3825" s="58" t="s">
        <v>1413</v>
      </c>
      <c r="D3825" s="58" t="s">
        <v>9991</v>
      </c>
      <c r="E3825" s="60" t="b">
        <v>1</v>
      </c>
      <c r="F3825" s="80" t="s">
        <v>1198</v>
      </c>
      <c r="G3825" s="58" t="s">
        <v>9990</v>
      </c>
      <c r="H3825" s="58" t="s">
        <v>1413</v>
      </c>
      <c r="I3825" s="64" t="s">
        <v>9991</v>
      </c>
      <c r="J3825" s="66"/>
      <c r="K3825" s="66"/>
      <c r="L3825" s="68"/>
      <c r="M3825" s="63" t="str">
        <f>HYPERLINK("http://nsgreg.nga.mil/genc/view?v=871432&amp;end_month=12&amp;end_day=31&amp;end_year=2016","Correlation")</f>
        <v>Correlation</v>
      </c>
    </row>
    <row r="3826" spans="1:13" x14ac:dyDescent="0.2">
      <c r="A3826" s="114"/>
      <c r="B3826" s="71" t="s">
        <v>4083</v>
      </c>
      <c r="C3826" s="71" t="s">
        <v>1413</v>
      </c>
      <c r="D3826" s="71" t="s">
        <v>9992</v>
      </c>
      <c r="E3826" s="73" t="b">
        <v>1</v>
      </c>
      <c r="F3826" s="81" t="s">
        <v>1198</v>
      </c>
      <c r="G3826" s="71" t="s">
        <v>4083</v>
      </c>
      <c r="H3826" s="71" t="s">
        <v>1413</v>
      </c>
      <c r="I3826" s="74" t="s">
        <v>9992</v>
      </c>
      <c r="J3826" s="76"/>
      <c r="K3826" s="76"/>
      <c r="L3826" s="82"/>
      <c r="M3826" s="77" t="str">
        <f>HYPERLINK("http://nsgreg.nga.mil/genc/view?v=871433&amp;end_month=12&amp;end_day=31&amp;end_year=2016","Correlation")</f>
        <v>Correlation</v>
      </c>
    </row>
    <row r="3827" spans="1:13" x14ac:dyDescent="0.2">
      <c r="A3827" s="112" t="s">
        <v>1202</v>
      </c>
      <c r="B3827" s="50" t="s">
        <v>9993</v>
      </c>
      <c r="C3827" s="50" t="s">
        <v>1728</v>
      </c>
      <c r="D3827" s="50" t="s">
        <v>9994</v>
      </c>
      <c r="E3827" s="52" t="b">
        <v>1</v>
      </c>
      <c r="F3827" s="78" t="s">
        <v>1202</v>
      </c>
      <c r="G3827" s="50" t="s">
        <v>9993</v>
      </c>
      <c r="H3827" s="50" t="s">
        <v>1728</v>
      </c>
      <c r="I3827" s="53" t="s">
        <v>9994</v>
      </c>
      <c r="J3827" s="55"/>
      <c r="K3827" s="55"/>
      <c r="L3827" s="79"/>
      <c r="M3827" s="56" t="str">
        <f>HYPERLINK("http://nsgreg.nga.mil/genc/view?v=871753&amp;end_month=12&amp;end_day=31&amp;end_year=2016","Correlation")</f>
        <v>Correlation</v>
      </c>
    </row>
    <row r="3828" spans="1:13" x14ac:dyDescent="0.2">
      <c r="A3828" s="113"/>
      <c r="B3828" s="58" t="s">
        <v>9995</v>
      </c>
      <c r="C3828" s="58" t="s">
        <v>1728</v>
      </c>
      <c r="D3828" s="58" t="s">
        <v>9996</v>
      </c>
      <c r="E3828" s="60" t="b">
        <v>1</v>
      </c>
      <c r="F3828" s="80" t="s">
        <v>1202</v>
      </c>
      <c r="G3828" s="58" t="s">
        <v>9995</v>
      </c>
      <c r="H3828" s="58" t="s">
        <v>1728</v>
      </c>
      <c r="I3828" s="64" t="s">
        <v>9996</v>
      </c>
      <c r="J3828" s="66"/>
      <c r="K3828" s="66"/>
      <c r="L3828" s="68"/>
      <c r="M3828" s="63" t="str">
        <f>HYPERLINK("http://nsgreg.nga.mil/genc/view?v=871754&amp;end_month=12&amp;end_day=31&amp;end_year=2016","Correlation")</f>
        <v>Correlation</v>
      </c>
    </row>
    <row r="3829" spans="1:13" x14ac:dyDescent="0.2">
      <c r="A3829" s="113"/>
      <c r="B3829" s="58" t="s">
        <v>9997</v>
      </c>
      <c r="C3829" s="58" t="s">
        <v>1728</v>
      </c>
      <c r="D3829" s="58" t="s">
        <v>9998</v>
      </c>
      <c r="E3829" s="60" t="b">
        <v>1</v>
      </c>
      <c r="F3829" s="80" t="s">
        <v>1202</v>
      </c>
      <c r="G3829" s="58" t="s">
        <v>9997</v>
      </c>
      <c r="H3829" s="58" t="s">
        <v>1728</v>
      </c>
      <c r="I3829" s="64" t="s">
        <v>9998</v>
      </c>
      <c r="J3829" s="66"/>
      <c r="K3829" s="66"/>
      <c r="L3829" s="68"/>
      <c r="M3829" s="63" t="str">
        <f>HYPERLINK("http://nsgreg.nga.mil/genc/view?v=871755&amp;end_month=12&amp;end_day=31&amp;end_year=2016","Correlation")</f>
        <v>Correlation</v>
      </c>
    </row>
    <row r="3830" spans="1:13" x14ac:dyDescent="0.2">
      <c r="A3830" s="113"/>
      <c r="B3830" s="58" t="s">
        <v>5229</v>
      </c>
      <c r="C3830" s="58" t="s">
        <v>1728</v>
      </c>
      <c r="D3830" s="58" t="s">
        <v>9999</v>
      </c>
      <c r="E3830" s="60" t="b">
        <v>1</v>
      </c>
      <c r="F3830" s="80" t="s">
        <v>1202</v>
      </c>
      <c r="G3830" s="58" t="s">
        <v>5229</v>
      </c>
      <c r="H3830" s="58" t="s">
        <v>1728</v>
      </c>
      <c r="I3830" s="64" t="s">
        <v>9999</v>
      </c>
      <c r="J3830" s="66"/>
      <c r="K3830" s="66"/>
      <c r="L3830" s="68"/>
      <c r="M3830" s="63" t="str">
        <f>HYPERLINK("http://nsgreg.nga.mil/genc/view?v=871756&amp;end_month=12&amp;end_day=31&amp;end_year=2016","Correlation")</f>
        <v>Correlation</v>
      </c>
    </row>
    <row r="3831" spans="1:13" x14ac:dyDescent="0.2">
      <c r="A3831" s="113"/>
      <c r="B3831" s="58" t="s">
        <v>10000</v>
      </c>
      <c r="C3831" s="58" t="s">
        <v>1728</v>
      </c>
      <c r="D3831" s="58" t="s">
        <v>10001</v>
      </c>
      <c r="E3831" s="60" t="b">
        <v>1</v>
      </c>
      <c r="F3831" s="80" t="s">
        <v>1202</v>
      </c>
      <c r="G3831" s="58" t="s">
        <v>10000</v>
      </c>
      <c r="H3831" s="58" t="s">
        <v>1728</v>
      </c>
      <c r="I3831" s="64" t="s">
        <v>10001</v>
      </c>
      <c r="J3831" s="66"/>
      <c r="K3831" s="66"/>
      <c r="L3831" s="68"/>
      <c r="M3831" s="63" t="str">
        <f>HYPERLINK("http://nsgreg.nga.mil/genc/view?v=871757&amp;end_month=12&amp;end_day=31&amp;end_year=2016","Correlation")</f>
        <v>Correlation</v>
      </c>
    </row>
    <row r="3832" spans="1:13" x14ac:dyDescent="0.2">
      <c r="A3832" s="113"/>
      <c r="B3832" s="58" t="s">
        <v>10002</v>
      </c>
      <c r="C3832" s="58" t="s">
        <v>1728</v>
      </c>
      <c r="D3832" s="58" t="s">
        <v>10003</v>
      </c>
      <c r="E3832" s="60" t="b">
        <v>1</v>
      </c>
      <c r="F3832" s="80" t="s">
        <v>1202</v>
      </c>
      <c r="G3832" s="58" t="s">
        <v>10002</v>
      </c>
      <c r="H3832" s="58" t="s">
        <v>1728</v>
      </c>
      <c r="I3832" s="64" t="s">
        <v>10003</v>
      </c>
      <c r="J3832" s="66"/>
      <c r="K3832" s="66"/>
      <c r="L3832" s="68"/>
      <c r="M3832" s="63" t="str">
        <f>HYPERLINK("http://nsgreg.nga.mil/genc/view?v=871758&amp;end_month=12&amp;end_day=31&amp;end_year=2016","Correlation")</f>
        <v>Correlation</v>
      </c>
    </row>
    <row r="3833" spans="1:13" x14ac:dyDescent="0.2">
      <c r="A3833" s="113"/>
      <c r="B3833" s="58" t="s">
        <v>10004</v>
      </c>
      <c r="C3833" s="58" t="s">
        <v>1728</v>
      </c>
      <c r="D3833" s="58" t="s">
        <v>10005</v>
      </c>
      <c r="E3833" s="60" t="b">
        <v>1</v>
      </c>
      <c r="F3833" s="80" t="s">
        <v>1202</v>
      </c>
      <c r="G3833" s="58" t="s">
        <v>10004</v>
      </c>
      <c r="H3833" s="58" t="s">
        <v>1728</v>
      </c>
      <c r="I3833" s="64" t="s">
        <v>10005</v>
      </c>
      <c r="J3833" s="66"/>
      <c r="K3833" s="66"/>
      <c r="L3833" s="68"/>
      <c r="M3833" s="63" t="str">
        <f>HYPERLINK("http://nsgreg.nga.mil/genc/view?v=871759&amp;end_month=12&amp;end_day=31&amp;end_year=2016","Correlation")</f>
        <v>Correlation</v>
      </c>
    </row>
    <row r="3834" spans="1:13" x14ac:dyDescent="0.2">
      <c r="A3834" s="113"/>
      <c r="B3834" s="58" t="s">
        <v>10006</v>
      </c>
      <c r="C3834" s="58" t="s">
        <v>1728</v>
      </c>
      <c r="D3834" s="58" t="s">
        <v>10007</v>
      </c>
      <c r="E3834" s="60" t="b">
        <v>1</v>
      </c>
      <c r="F3834" s="80" t="s">
        <v>1202</v>
      </c>
      <c r="G3834" s="58" t="s">
        <v>10006</v>
      </c>
      <c r="H3834" s="58" t="s">
        <v>1728</v>
      </c>
      <c r="I3834" s="64" t="s">
        <v>10007</v>
      </c>
      <c r="J3834" s="66"/>
      <c r="K3834" s="66"/>
      <c r="L3834" s="68"/>
      <c r="M3834" s="63" t="str">
        <f>HYPERLINK("http://nsgreg.nga.mil/genc/view?v=871760&amp;end_month=12&amp;end_day=31&amp;end_year=2016","Correlation")</f>
        <v>Correlation</v>
      </c>
    </row>
    <row r="3835" spans="1:13" x14ac:dyDescent="0.2">
      <c r="A3835" s="113"/>
      <c r="B3835" s="58" t="s">
        <v>10008</v>
      </c>
      <c r="C3835" s="58" t="s">
        <v>1728</v>
      </c>
      <c r="D3835" s="58" t="s">
        <v>10009</v>
      </c>
      <c r="E3835" s="60" t="b">
        <v>1</v>
      </c>
      <c r="F3835" s="80" t="s">
        <v>1202</v>
      </c>
      <c r="G3835" s="58" t="s">
        <v>10008</v>
      </c>
      <c r="H3835" s="58" t="s">
        <v>1728</v>
      </c>
      <c r="I3835" s="64" t="s">
        <v>10009</v>
      </c>
      <c r="J3835" s="66"/>
      <c r="K3835" s="66"/>
      <c r="L3835" s="68"/>
      <c r="M3835" s="63" t="str">
        <f>HYPERLINK("http://nsgreg.nga.mil/genc/view?v=871761&amp;end_month=12&amp;end_day=31&amp;end_year=2016","Correlation")</f>
        <v>Correlation</v>
      </c>
    </row>
    <row r="3836" spans="1:13" x14ac:dyDescent="0.2">
      <c r="A3836" s="113"/>
      <c r="B3836" s="58" t="s">
        <v>10010</v>
      </c>
      <c r="C3836" s="58" t="s">
        <v>1728</v>
      </c>
      <c r="D3836" s="58" t="s">
        <v>10011</v>
      </c>
      <c r="E3836" s="60" t="b">
        <v>1</v>
      </c>
      <c r="F3836" s="80" t="s">
        <v>1202</v>
      </c>
      <c r="G3836" s="58" t="s">
        <v>10010</v>
      </c>
      <c r="H3836" s="58" t="s">
        <v>1728</v>
      </c>
      <c r="I3836" s="64" t="s">
        <v>10011</v>
      </c>
      <c r="J3836" s="66"/>
      <c r="K3836" s="66"/>
      <c r="L3836" s="68"/>
      <c r="M3836" s="63" t="str">
        <f>HYPERLINK("http://nsgreg.nga.mil/genc/view?v=871762&amp;end_month=12&amp;end_day=31&amp;end_year=2016","Correlation")</f>
        <v>Correlation</v>
      </c>
    </row>
    <row r="3837" spans="1:13" x14ac:dyDescent="0.2">
      <c r="A3837" s="113"/>
      <c r="B3837" s="58" t="s">
        <v>10012</v>
      </c>
      <c r="C3837" s="58" t="s">
        <v>1728</v>
      </c>
      <c r="D3837" s="58" t="s">
        <v>10013</v>
      </c>
      <c r="E3837" s="60" t="b">
        <v>1</v>
      </c>
      <c r="F3837" s="80" t="s">
        <v>1202</v>
      </c>
      <c r="G3837" s="58" t="s">
        <v>10012</v>
      </c>
      <c r="H3837" s="58" t="s">
        <v>1728</v>
      </c>
      <c r="I3837" s="64" t="s">
        <v>10013</v>
      </c>
      <c r="J3837" s="66"/>
      <c r="K3837" s="66"/>
      <c r="L3837" s="68"/>
      <c r="M3837" s="63" t="str">
        <f>HYPERLINK("http://nsgreg.nga.mil/genc/view?v=871763&amp;end_month=12&amp;end_day=31&amp;end_year=2016","Correlation")</f>
        <v>Correlation</v>
      </c>
    </row>
    <row r="3838" spans="1:13" x14ac:dyDescent="0.2">
      <c r="A3838" s="113"/>
      <c r="B3838" s="58" t="s">
        <v>10014</v>
      </c>
      <c r="C3838" s="58" t="s">
        <v>1728</v>
      </c>
      <c r="D3838" s="58" t="s">
        <v>10015</v>
      </c>
      <c r="E3838" s="60" t="b">
        <v>1</v>
      </c>
      <c r="F3838" s="80" t="s">
        <v>1202</v>
      </c>
      <c r="G3838" s="58" t="s">
        <v>10014</v>
      </c>
      <c r="H3838" s="58" t="s">
        <v>1728</v>
      </c>
      <c r="I3838" s="64" t="s">
        <v>10015</v>
      </c>
      <c r="J3838" s="66"/>
      <c r="K3838" s="66"/>
      <c r="L3838" s="68"/>
      <c r="M3838" s="63" t="str">
        <f>HYPERLINK("http://nsgreg.nga.mil/genc/view?v=871764&amp;end_month=12&amp;end_day=31&amp;end_year=2016","Correlation")</f>
        <v>Correlation</v>
      </c>
    </row>
    <row r="3839" spans="1:13" x14ac:dyDescent="0.2">
      <c r="A3839" s="113"/>
      <c r="B3839" s="58" t="s">
        <v>10016</v>
      </c>
      <c r="C3839" s="58" t="s">
        <v>1728</v>
      </c>
      <c r="D3839" s="58" t="s">
        <v>10017</v>
      </c>
      <c r="E3839" s="60" t="b">
        <v>1</v>
      </c>
      <c r="F3839" s="80" t="s">
        <v>1202</v>
      </c>
      <c r="G3839" s="58" t="s">
        <v>10016</v>
      </c>
      <c r="H3839" s="58" t="s">
        <v>1728</v>
      </c>
      <c r="I3839" s="64" t="s">
        <v>10017</v>
      </c>
      <c r="J3839" s="66"/>
      <c r="K3839" s="66"/>
      <c r="L3839" s="68"/>
      <c r="M3839" s="63" t="str">
        <f>HYPERLINK("http://nsgreg.nga.mil/genc/view?v=871765&amp;end_month=12&amp;end_day=31&amp;end_year=2016","Correlation")</f>
        <v>Correlation</v>
      </c>
    </row>
    <row r="3840" spans="1:13" x14ac:dyDescent="0.2">
      <c r="A3840" s="113"/>
      <c r="B3840" s="58" t="s">
        <v>10018</v>
      </c>
      <c r="C3840" s="58" t="s">
        <v>1728</v>
      </c>
      <c r="D3840" s="58" t="s">
        <v>10019</v>
      </c>
      <c r="E3840" s="60" t="b">
        <v>1</v>
      </c>
      <c r="F3840" s="80" t="s">
        <v>1202</v>
      </c>
      <c r="G3840" s="58" t="s">
        <v>10018</v>
      </c>
      <c r="H3840" s="58" t="s">
        <v>1728</v>
      </c>
      <c r="I3840" s="64" t="s">
        <v>10019</v>
      </c>
      <c r="J3840" s="66"/>
      <c r="K3840" s="66"/>
      <c r="L3840" s="68"/>
      <c r="M3840" s="63" t="str">
        <f>HYPERLINK("http://nsgreg.nga.mil/genc/view?v=871766&amp;end_month=12&amp;end_day=31&amp;end_year=2016","Correlation")</f>
        <v>Correlation</v>
      </c>
    </row>
    <row r="3841" spans="1:13" x14ac:dyDescent="0.2">
      <c r="A3841" s="113"/>
      <c r="B3841" s="58" t="s">
        <v>10020</v>
      </c>
      <c r="C3841" s="58" t="s">
        <v>1728</v>
      </c>
      <c r="D3841" s="58" t="s">
        <v>10021</v>
      </c>
      <c r="E3841" s="60" t="b">
        <v>1</v>
      </c>
      <c r="F3841" s="80" t="s">
        <v>1202</v>
      </c>
      <c r="G3841" s="58" t="s">
        <v>10020</v>
      </c>
      <c r="H3841" s="58" t="s">
        <v>1728</v>
      </c>
      <c r="I3841" s="64" t="s">
        <v>10021</v>
      </c>
      <c r="J3841" s="66"/>
      <c r="K3841" s="66"/>
      <c r="L3841" s="68"/>
      <c r="M3841" s="63" t="str">
        <f>HYPERLINK("http://nsgreg.nga.mil/genc/view?v=871767&amp;end_month=12&amp;end_day=31&amp;end_year=2016","Correlation")</f>
        <v>Correlation</v>
      </c>
    </row>
    <row r="3842" spans="1:13" x14ac:dyDescent="0.2">
      <c r="A3842" s="113"/>
      <c r="B3842" s="58" t="s">
        <v>10022</v>
      </c>
      <c r="C3842" s="58" t="s">
        <v>1728</v>
      </c>
      <c r="D3842" s="58" t="s">
        <v>10023</v>
      </c>
      <c r="E3842" s="60" t="b">
        <v>1</v>
      </c>
      <c r="F3842" s="80" t="s">
        <v>1202</v>
      </c>
      <c r="G3842" s="58" t="s">
        <v>10022</v>
      </c>
      <c r="H3842" s="58" t="s">
        <v>1728</v>
      </c>
      <c r="I3842" s="64" t="s">
        <v>10023</v>
      </c>
      <c r="J3842" s="66"/>
      <c r="K3842" s="66"/>
      <c r="L3842" s="68"/>
      <c r="M3842" s="63" t="str">
        <f>HYPERLINK("http://nsgreg.nga.mil/genc/view?v=871768&amp;end_month=12&amp;end_day=31&amp;end_year=2016","Correlation")</f>
        <v>Correlation</v>
      </c>
    </row>
    <row r="3843" spans="1:13" x14ac:dyDescent="0.2">
      <c r="A3843" s="113"/>
      <c r="B3843" s="58" t="s">
        <v>10024</v>
      </c>
      <c r="C3843" s="58" t="s">
        <v>1728</v>
      </c>
      <c r="D3843" s="58" t="s">
        <v>10025</v>
      </c>
      <c r="E3843" s="60" t="b">
        <v>1</v>
      </c>
      <c r="F3843" s="80" t="s">
        <v>1202</v>
      </c>
      <c r="G3843" s="58" t="s">
        <v>10024</v>
      </c>
      <c r="H3843" s="58" t="s">
        <v>1728</v>
      </c>
      <c r="I3843" s="64" t="s">
        <v>10025</v>
      </c>
      <c r="J3843" s="66"/>
      <c r="K3843" s="66"/>
      <c r="L3843" s="68"/>
      <c r="M3843" s="63" t="str">
        <f>HYPERLINK("http://nsgreg.nga.mil/genc/view?v=871769&amp;end_month=12&amp;end_day=31&amp;end_year=2016","Correlation")</f>
        <v>Correlation</v>
      </c>
    </row>
    <row r="3844" spans="1:13" x14ac:dyDescent="0.2">
      <c r="A3844" s="114"/>
      <c r="B3844" s="71" t="s">
        <v>10026</v>
      </c>
      <c r="C3844" s="71" t="s">
        <v>1728</v>
      </c>
      <c r="D3844" s="71" t="s">
        <v>10027</v>
      </c>
      <c r="E3844" s="73" t="b">
        <v>1</v>
      </c>
      <c r="F3844" s="81" t="s">
        <v>1202</v>
      </c>
      <c r="G3844" s="71" t="s">
        <v>10026</v>
      </c>
      <c r="H3844" s="71" t="s">
        <v>1728</v>
      </c>
      <c r="I3844" s="74" t="s">
        <v>10027</v>
      </c>
      <c r="J3844" s="76"/>
      <c r="K3844" s="76"/>
      <c r="L3844" s="82"/>
      <c r="M3844" s="77" t="str">
        <f>HYPERLINK("http://nsgreg.nga.mil/genc/view?v=871770&amp;end_month=12&amp;end_day=31&amp;end_year=2016","Correlation")</f>
        <v>Correlation</v>
      </c>
    </row>
    <row r="3845" spans="1:13" x14ac:dyDescent="0.2">
      <c r="A3845" s="112" t="s">
        <v>1206</v>
      </c>
      <c r="B3845" s="50" t="s">
        <v>10028</v>
      </c>
      <c r="C3845" s="50" t="s">
        <v>1413</v>
      </c>
      <c r="D3845" s="50" t="s">
        <v>10029</v>
      </c>
      <c r="E3845" s="52" t="b">
        <v>1</v>
      </c>
      <c r="F3845" s="78" t="s">
        <v>1206</v>
      </c>
      <c r="G3845" s="50" t="s">
        <v>10028</v>
      </c>
      <c r="H3845" s="50" t="s">
        <v>1413</v>
      </c>
      <c r="I3845" s="53" t="s">
        <v>10029</v>
      </c>
      <c r="J3845" s="55"/>
      <c r="K3845" s="55"/>
      <c r="L3845" s="79"/>
      <c r="M3845" s="56" t="str">
        <f>HYPERLINK("http://nsgreg.nga.mil/genc/view?v=872526&amp;end_month=12&amp;end_day=31&amp;end_year=2016","Correlation")</f>
        <v>Correlation</v>
      </c>
    </row>
    <row r="3846" spans="1:13" x14ac:dyDescent="0.2">
      <c r="A3846" s="113"/>
      <c r="B3846" s="58" t="s">
        <v>10030</v>
      </c>
      <c r="C3846" s="58" t="s">
        <v>1413</v>
      </c>
      <c r="D3846" s="58" t="s">
        <v>10031</v>
      </c>
      <c r="E3846" s="60" t="b">
        <v>1</v>
      </c>
      <c r="F3846" s="80" t="s">
        <v>1206</v>
      </c>
      <c r="G3846" s="58" t="s">
        <v>10030</v>
      </c>
      <c r="H3846" s="58" t="s">
        <v>1413</v>
      </c>
      <c r="I3846" s="64" t="s">
        <v>10031</v>
      </c>
      <c r="J3846" s="66"/>
      <c r="K3846" s="66"/>
      <c r="L3846" s="68"/>
      <c r="M3846" s="63" t="str">
        <f>HYPERLINK("http://nsgreg.nga.mil/genc/view?v=872527&amp;end_month=12&amp;end_day=31&amp;end_year=2016","Correlation")</f>
        <v>Correlation</v>
      </c>
    </row>
    <row r="3847" spans="1:13" x14ac:dyDescent="0.2">
      <c r="A3847" s="113"/>
      <c r="B3847" s="58" t="s">
        <v>10032</v>
      </c>
      <c r="C3847" s="58" t="s">
        <v>1413</v>
      </c>
      <c r="D3847" s="58" t="s">
        <v>10033</v>
      </c>
      <c r="E3847" s="60" t="b">
        <v>1</v>
      </c>
      <c r="F3847" s="80" t="s">
        <v>1206</v>
      </c>
      <c r="G3847" s="58" t="s">
        <v>10032</v>
      </c>
      <c r="H3847" s="58" t="s">
        <v>1413</v>
      </c>
      <c r="I3847" s="64" t="s">
        <v>10033</v>
      </c>
      <c r="J3847" s="66"/>
      <c r="K3847" s="66"/>
      <c r="L3847" s="68"/>
      <c r="M3847" s="63" t="str">
        <f>HYPERLINK("http://nsgreg.nga.mil/genc/view?v=872528&amp;end_month=12&amp;end_day=31&amp;end_year=2016","Correlation")</f>
        <v>Correlation</v>
      </c>
    </row>
    <row r="3848" spans="1:13" x14ac:dyDescent="0.2">
      <c r="A3848" s="113"/>
      <c r="B3848" s="58" t="s">
        <v>10036</v>
      </c>
      <c r="C3848" s="58" t="s">
        <v>1413</v>
      </c>
      <c r="D3848" s="58" t="s">
        <v>10035</v>
      </c>
      <c r="E3848" s="60" t="b">
        <v>1</v>
      </c>
      <c r="F3848" s="80" t="s">
        <v>1206</v>
      </c>
      <c r="G3848" s="58" t="s">
        <v>10034</v>
      </c>
      <c r="H3848" s="58" t="s">
        <v>1413</v>
      </c>
      <c r="I3848" s="64" t="s">
        <v>10035</v>
      </c>
      <c r="J3848" s="66"/>
      <c r="K3848" s="66"/>
      <c r="L3848" s="68"/>
      <c r="M3848" s="63" t="str">
        <f>HYPERLINK("http://nsgreg.nga.mil/genc/view?v=872532&amp;end_month=12&amp;end_day=31&amp;end_year=2016","Correlation")</f>
        <v>Correlation</v>
      </c>
    </row>
    <row r="3849" spans="1:13" x14ac:dyDescent="0.2">
      <c r="A3849" s="113"/>
      <c r="B3849" s="58" t="s">
        <v>10037</v>
      </c>
      <c r="C3849" s="58" t="s">
        <v>1413</v>
      </c>
      <c r="D3849" s="58" t="s">
        <v>10038</v>
      </c>
      <c r="E3849" s="60" t="b">
        <v>1</v>
      </c>
      <c r="F3849" s="80" t="s">
        <v>1206</v>
      </c>
      <c r="G3849" s="58" t="s">
        <v>10037</v>
      </c>
      <c r="H3849" s="58" t="s">
        <v>1413</v>
      </c>
      <c r="I3849" s="64" t="s">
        <v>10038</v>
      </c>
      <c r="J3849" s="66"/>
      <c r="K3849" s="66"/>
      <c r="L3849" s="68"/>
      <c r="M3849" s="63" t="str">
        <f>HYPERLINK("http://nsgreg.nga.mil/genc/view?v=872529&amp;end_month=12&amp;end_day=31&amp;end_year=2016","Correlation")</f>
        <v>Correlation</v>
      </c>
    </row>
    <row r="3850" spans="1:13" x14ac:dyDescent="0.2">
      <c r="A3850" s="113"/>
      <c r="B3850" s="58" t="s">
        <v>10039</v>
      </c>
      <c r="C3850" s="58" t="s">
        <v>1413</v>
      </c>
      <c r="D3850" s="58" t="s">
        <v>10040</v>
      </c>
      <c r="E3850" s="60" t="b">
        <v>1</v>
      </c>
      <c r="F3850" s="80" t="s">
        <v>1206</v>
      </c>
      <c r="G3850" s="58" t="s">
        <v>10039</v>
      </c>
      <c r="H3850" s="58" t="s">
        <v>1413</v>
      </c>
      <c r="I3850" s="64" t="s">
        <v>10040</v>
      </c>
      <c r="J3850" s="66"/>
      <c r="K3850" s="66"/>
      <c r="L3850" s="68"/>
      <c r="M3850" s="63" t="str">
        <f>HYPERLINK("http://nsgreg.nga.mil/genc/view?v=872530&amp;end_month=12&amp;end_day=31&amp;end_year=2016","Correlation")</f>
        <v>Correlation</v>
      </c>
    </row>
    <row r="3851" spans="1:13" x14ac:dyDescent="0.2">
      <c r="A3851" s="113"/>
      <c r="B3851" s="58" t="s">
        <v>10041</v>
      </c>
      <c r="C3851" s="58" t="s">
        <v>1413</v>
      </c>
      <c r="D3851" s="58" t="s">
        <v>10042</v>
      </c>
      <c r="E3851" s="60" t="b">
        <v>1</v>
      </c>
      <c r="F3851" s="80" t="s">
        <v>1206</v>
      </c>
      <c r="G3851" s="58" t="s">
        <v>10041</v>
      </c>
      <c r="H3851" s="58" t="s">
        <v>1413</v>
      </c>
      <c r="I3851" s="64" t="s">
        <v>10042</v>
      </c>
      <c r="J3851" s="66"/>
      <c r="K3851" s="66"/>
      <c r="L3851" s="68"/>
      <c r="M3851" s="63" t="str">
        <f>HYPERLINK("http://nsgreg.nga.mil/genc/view?v=872531&amp;end_month=12&amp;end_day=31&amp;end_year=2016","Correlation")</f>
        <v>Correlation</v>
      </c>
    </row>
    <row r="3852" spans="1:13" x14ac:dyDescent="0.2">
      <c r="A3852" s="113"/>
      <c r="B3852" s="58" t="s">
        <v>2887</v>
      </c>
      <c r="C3852" s="58" t="s">
        <v>1413</v>
      </c>
      <c r="D3852" s="58" t="s">
        <v>10043</v>
      </c>
      <c r="E3852" s="60" t="b">
        <v>1</v>
      </c>
      <c r="F3852" s="80" t="s">
        <v>1206</v>
      </c>
      <c r="G3852" s="58" t="s">
        <v>2434</v>
      </c>
      <c r="H3852" s="58" t="s">
        <v>1413</v>
      </c>
      <c r="I3852" s="64" t="s">
        <v>10043</v>
      </c>
      <c r="J3852" s="66"/>
      <c r="K3852" s="66"/>
      <c r="L3852" s="68"/>
      <c r="M3852" s="63" t="str">
        <f>HYPERLINK("http://nsgreg.nga.mil/genc/view?v=872533&amp;end_month=12&amp;end_day=31&amp;end_year=2016","Correlation")</f>
        <v>Correlation</v>
      </c>
    </row>
    <row r="3853" spans="1:13" x14ac:dyDescent="0.2">
      <c r="A3853" s="114"/>
      <c r="B3853" s="71" t="s">
        <v>10044</v>
      </c>
      <c r="C3853" s="71" t="s">
        <v>1413</v>
      </c>
      <c r="D3853" s="71" t="s">
        <v>10045</v>
      </c>
      <c r="E3853" s="73" t="b">
        <v>1</v>
      </c>
      <c r="F3853" s="81" t="s">
        <v>1206</v>
      </c>
      <c r="G3853" s="71" t="s">
        <v>10044</v>
      </c>
      <c r="H3853" s="71" t="s">
        <v>1413</v>
      </c>
      <c r="I3853" s="74" t="s">
        <v>10045</v>
      </c>
      <c r="J3853" s="76"/>
      <c r="K3853" s="76"/>
      <c r="L3853" s="82"/>
      <c r="M3853" s="77" t="str">
        <f>HYPERLINK("http://nsgreg.nga.mil/genc/view?v=872534&amp;end_month=12&amp;end_day=31&amp;end_year=2016","Correlation")</f>
        <v>Correlation</v>
      </c>
    </row>
    <row r="3854" spans="1:13" x14ac:dyDescent="0.2">
      <c r="A3854" s="112" t="s">
        <v>1215</v>
      </c>
      <c r="B3854" s="50" t="s">
        <v>10046</v>
      </c>
      <c r="C3854" s="50" t="s">
        <v>1763</v>
      </c>
      <c r="D3854" s="50" t="s">
        <v>10047</v>
      </c>
      <c r="E3854" s="52" t="b">
        <v>1</v>
      </c>
      <c r="F3854" s="78" t="s">
        <v>1215</v>
      </c>
      <c r="G3854" s="50" t="s">
        <v>10046</v>
      </c>
      <c r="H3854" s="50" t="s">
        <v>1763</v>
      </c>
      <c r="I3854" s="53" t="s">
        <v>10047</v>
      </c>
      <c r="J3854" s="55"/>
      <c r="K3854" s="55"/>
      <c r="L3854" s="79"/>
      <c r="M3854" s="56" t="str">
        <f>HYPERLINK("http://nsgreg.nga.mil/genc/view?v=871783&amp;end_month=12&amp;end_day=31&amp;end_year=2016","Correlation")</f>
        <v>Correlation</v>
      </c>
    </row>
    <row r="3855" spans="1:13" x14ac:dyDescent="0.2">
      <c r="A3855" s="113"/>
      <c r="B3855" s="58" t="s">
        <v>10048</v>
      </c>
      <c r="C3855" s="58" t="s">
        <v>1763</v>
      </c>
      <c r="D3855" s="58" t="s">
        <v>10049</v>
      </c>
      <c r="E3855" s="60" t="b">
        <v>1</v>
      </c>
      <c r="F3855" s="80" t="s">
        <v>1215</v>
      </c>
      <c r="G3855" s="58" t="s">
        <v>10048</v>
      </c>
      <c r="H3855" s="58" t="s">
        <v>1763</v>
      </c>
      <c r="I3855" s="64" t="s">
        <v>10049</v>
      </c>
      <c r="J3855" s="66"/>
      <c r="K3855" s="66"/>
      <c r="L3855" s="68"/>
      <c r="M3855" s="63" t="str">
        <f>HYPERLINK("http://nsgreg.nga.mil/genc/view?v=871784&amp;end_month=12&amp;end_day=31&amp;end_year=2016","Correlation")</f>
        <v>Correlation</v>
      </c>
    </row>
    <row r="3856" spans="1:13" x14ac:dyDescent="0.2">
      <c r="A3856" s="113"/>
      <c r="B3856" s="58" t="s">
        <v>10050</v>
      </c>
      <c r="C3856" s="58" t="s">
        <v>1763</v>
      </c>
      <c r="D3856" s="58" t="s">
        <v>10051</v>
      </c>
      <c r="E3856" s="60" t="b">
        <v>1</v>
      </c>
      <c r="F3856" s="80" t="s">
        <v>1215</v>
      </c>
      <c r="G3856" s="58" t="s">
        <v>10050</v>
      </c>
      <c r="H3856" s="58" t="s">
        <v>1763</v>
      </c>
      <c r="I3856" s="64" t="s">
        <v>10051</v>
      </c>
      <c r="J3856" s="66"/>
      <c r="K3856" s="66"/>
      <c r="L3856" s="68"/>
      <c r="M3856" s="63" t="str">
        <f>HYPERLINK("http://nsgreg.nga.mil/genc/view?v=871786&amp;end_month=12&amp;end_day=31&amp;end_year=2016","Correlation")</f>
        <v>Correlation</v>
      </c>
    </row>
    <row r="3857" spans="1:13" x14ac:dyDescent="0.2">
      <c r="A3857" s="113"/>
      <c r="B3857" s="58" t="s">
        <v>10052</v>
      </c>
      <c r="C3857" s="58" t="s">
        <v>1763</v>
      </c>
      <c r="D3857" s="58" t="s">
        <v>10053</v>
      </c>
      <c r="E3857" s="60" t="b">
        <v>1</v>
      </c>
      <c r="F3857" s="80" t="s">
        <v>1215</v>
      </c>
      <c r="G3857" s="58" t="s">
        <v>10052</v>
      </c>
      <c r="H3857" s="58" t="s">
        <v>1763</v>
      </c>
      <c r="I3857" s="64" t="s">
        <v>10053</v>
      </c>
      <c r="J3857" s="66"/>
      <c r="K3857" s="66"/>
      <c r="L3857" s="68"/>
      <c r="M3857" s="63" t="str">
        <f>HYPERLINK("http://nsgreg.nga.mil/genc/view?v=871787&amp;end_month=12&amp;end_day=31&amp;end_year=2016","Correlation")</f>
        <v>Correlation</v>
      </c>
    </row>
    <row r="3858" spans="1:13" x14ac:dyDescent="0.2">
      <c r="A3858" s="113"/>
      <c r="B3858" s="58" t="s">
        <v>10054</v>
      </c>
      <c r="C3858" s="58" t="s">
        <v>1763</v>
      </c>
      <c r="D3858" s="58" t="s">
        <v>10055</v>
      </c>
      <c r="E3858" s="60" t="b">
        <v>1</v>
      </c>
      <c r="F3858" s="80" t="s">
        <v>1215</v>
      </c>
      <c r="G3858" s="58" t="s">
        <v>10054</v>
      </c>
      <c r="H3858" s="58" t="s">
        <v>1763</v>
      </c>
      <c r="I3858" s="64" t="s">
        <v>10055</v>
      </c>
      <c r="J3858" s="66"/>
      <c r="K3858" s="66"/>
      <c r="L3858" s="68"/>
      <c r="M3858" s="63" t="str">
        <f>HYPERLINK("http://nsgreg.nga.mil/genc/view?v=871781&amp;end_month=12&amp;end_day=31&amp;end_year=2016","Correlation")</f>
        <v>Correlation</v>
      </c>
    </row>
    <row r="3859" spans="1:13" x14ac:dyDescent="0.2">
      <c r="A3859" s="113"/>
      <c r="B3859" s="58" t="s">
        <v>10056</v>
      </c>
      <c r="C3859" s="58" t="s">
        <v>1763</v>
      </c>
      <c r="D3859" s="58" t="s">
        <v>10057</v>
      </c>
      <c r="E3859" s="60" t="b">
        <v>1</v>
      </c>
      <c r="F3859" s="80" t="s">
        <v>1215</v>
      </c>
      <c r="G3859" s="58" t="s">
        <v>10056</v>
      </c>
      <c r="H3859" s="58" t="s">
        <v>1763</v>
      </c>
      <c r="I3859" s="64" t="s">
        <v>10057</v>
      </c>
      <c r="J3859" s="66"/>
      <c r="K3859" s="66"/>
      <c r="L3859" s="68"/>
      <c r="M3859" s="63" t="str">
        <f>HYPERLINK("http://nsgreg.nga.mil/genc/view?v=871789&amp;end_month=12&amp;end_day=31&amp;end_year=2016","Correlation")</f>
        <v>Correlation</v>
      </c>
    </row>
    <row r="3860" spans="1:13" x14ac:dyDescent="0.2">
      <c r="A3860" s="113"/>
      <c r="B3860" s="58" t="s">
        <v>10058</v>
      </c>
      <c r="C3860" s="58" t="s">
        <v>1763</v>
      </c>
      <c r="D3860" s="58" t="s">
        <v>10059</v>
      </c>
      <c r="E3860" s="60" t="b">
        <v>1</v>
      </c>
      <c r="F3860" s="80" t="s">
        <v>1215</v>
      </c>
      <c r="G3860" s="58" t="s">
        <v>10058</v>
      </c>
      <c r="H3860" s="58" t="s">
        <v>1763</v>
      </c>
      <c r="I3860" s="64" t="s">
        <v>10059</v>
      </c>
      <c r="J3860" s="66"/>
      <c r="K3860" s="66"/>
      <c r="L3860" s="68"/>
      <c r="M3860" s="63" t="str">
        <f>HYPERLINK("http://nsgreg.nga.mil/genc/view?v=871788&amp;end_month=12&amp;end_day=31&amp;end_year=2016","Correlation")</f>
        <v>Correlation</v>
      </c>
    </row>
    <row r="3861" spans="1:13" x14ac:dyDescent="0.2">
      <c r="A3861" s="113"/>
      <c r="B3861" s="58" t="s">
        <v>10060</v>
      </c>
      <c r="C3861" s="58" t="s">
        <v>1763</v>
      </c>
      <c r="D3861" s="58" t="s">
        <v>10061</v>
      </c>
      <c r="E3861" s="60" t="b">
        <v>1</v>
      </c>
      <c r="F3861" s="80" t="s">
        <v>1215</v>
      </c>
      <c r="G3861" s="58" t="s">
        <v>10060</v>
      </c>
      <c r="H3861" s="58" t="s">
        <v>1763</v>
      </c>
      <c r="I3861" s="64" t="s">
        <v>10061</v>
      </c>
      <c r="J3861" s="66"/>
      <c r="K3861" s="66"/>
      <c r="L3861" s="68"/>
      <c r="M3861" s="63" t="str">
        <f>HYPERLINK("http://nsgreg.nga.mil/genc/view?v=871790&amp;end_month=12&amp;end_day=31&amp;end_year=2016","Correlation")</f>
        <v>Correlation</v>
      </c>
    </row>
    <row r="3862" spans="1:13" x14ac:dyDescent="0.2">
      <c r="A3862" s="113"/>
      <c r="B3862" s="58" t="s">
        <v>10062</v>
      </c>
      <c r="C3862" s="58" t="s">
        <v>1763</v>
      </c>
      <c r="D3862" s="58" t="s">
        <v>10063</v>
      </c>
      <c r="E3862" s="60" t="b">
        <v>1</v>
      </c>
      <c r="F3862" s="80" t="s">
        <v>1215</v>
      </c>
      <c r="G3862" s="58" t="s">
        <v>10062</v>
      </c>
      <c r="H3862" s="58" t="s">
        <v>1763</v>
      </c>
      <c r="I3862" s="64" t="s">
        <v>10063</v>
      </c>
      <c r="J3862" s="66"/>
      <c r="K3862" s="66"/>
      <c r="L3862" s="68"/>
      <c r="M3862" s="63" t="str">
        <f>HYPERLINK("http://nsgreg.nga.mil/genc/view?v=871782&amp;end_month=12&amp;end_day=31&amp;end_year=2016","Correlation")</f>
        <v>Correlation</v>
      </c>
    </row>
    <row r="3863" spans="1:13" x14ac:dyDescent="0.2">
      <c r="A3863" s="114"/>
      <c r="B3863" s="71" t="s">
        <v>10064</v>
      </c>
      <c r="C3863" s="71" t="s">
        <v>1763</v>
      </c>
      <c r="D3863" s="71" t="s">
        <v>10065</v>
      </c>
      <c r="E3863" s="73" t="b">
        <v>1</v>
      </c>
      <c r="F3863" s="81" t="s">
        <v>1215</v>
      </c>
      <c r="G3863" s="71" t="s">
        <v>10064</v>
      </c>
      <c r="H3863" s="71" t="s">
        <v>1763</v>
      </c>
      <c r="I3863" s="74" t="s">
        <v>10065</v>
      </c>
      <c r="J3863" s="76"/>
      <c r="K3863" s="76"/>
      <c r="L3863" s="82"/>
      <c r="M3863" s="77" t="str">
        <f>HYPERLINK("http://nsgreg.nga.mil/genc/view?v=871785&amp;end_month=12&amp;end_day=31&amp;end_year=2016","Correlation")</f>
        <v>Correlation</v>
      </c>
    </row>
    <row r="3864" spans="1:13" x14ac:dyDescent="0.2">
      <c r="A3864" s="112" t="s">
        <v>1219</v>
      </c>
      <c r="B3864" s="50" t="s">
        <v>10066</v>
      </c>
      <c r="C3864" s="50" t="s">
        <v>1413</v>
      </c>
      <c r="D3864" s="50" t="s">
        <v>10067</v>
      </c>
      <c r="E3864" s="52" t="b">
        <v>1</v>
      </c>
      <c r="F3864" s="78" t="s">
        <v>1219</v>
      </c>
      <c r="G3864" s="50" t="s">
        <v>10066</v>
      </c>
      <c r="H3864" s="50" t="s">
        <v>1413</v>
      </c>
      <c r="I3864" s="53" t="s">
        <v>10067</v>
      </c>
      <c r="J3864" s="55"/>
      <c r="K3864" s="55"/>
      <c r="L3864" s="79"/>
      <c r="M3864" s="56" t="str">
        <f>HYPERLINK("http://nsgreg.nga.mil/genc/view?v=868725&amp;end_month=12&amp;end_day=31&amp;end_year=2016","Correlation")</f>
        <v>Correlation</v>
      </c>
    </row>
    <row r="3865" spans="1:13" x14ac:dyDescent="0.2">
      <c r="A3865" s="113"/>
      <c r="B3865" s="58" t="s">
        <v>10068</v>
      </c>
      <c r="C3865" s="58" t="s">
        <v>1413</v>
      </c>
      <c r="D3865" s="58" t="s">
        <v>10069</v>
      </c>
      <c r="E3865" s="60" t="b">
        <v>1</v>
      </c>
      <c r="F3865" s="80" t="s">
        <v>1219</v>
      </c>
      <c r="G3865" s="58" t="s">
        <v>10068</v>
      </c>
      <c r="H3865" s="58" t="s">
        <v>1413</v>
      </c>
      <c r="I3865" s="64" t="s">
        <v>10069</v>
      </c>
      <c r="J3865" s="66"/>
      <c r="K3865" s="66"/>
      <c r="L3865" s="68"/>
      <c r="M3865" s="63" t="str">
        <f>HYPERLINK("http://nsgreg.nga.mil/genc/view?v=868780&amp;end_month=12&amp;end_day=31&amp;end_year=2016","Correlation")</f>
        <v>Correlation</v>
      </c>
    </row>
    <row r="3866" spans="1:13" x14ac:dyDescent="0.2">
      <c r="A3866" s="113"/>
      <c r="B3866" s="58" t="s">
        <v>10070</v>
      </c>
      <c r="C3866" s="58" t="s">
        <v>1413</v>
      </c>
      <c r="D3866" s="58" t="s">
        <v>10071</v>
      </c>
      <c r="E3866" s="60" t="b">
        <v>1</v>
      </c>
      <c r="F3866" s="80" t="s">
        <v>1219</v>
      </c>
      <c r="G3866" s="58" t="s">
        <v>10070</v>
      </c>
      <c r="H3866" s="58" t="s">
        <v>1413</v>
      </c>
      <c r="I3866" s="64" t="s">
        <v>10071</v>
      </c>
      <c r="J3866" s="66"/>
      <c r="K3866" s="66"/>
      <c r="L3866" s="68"/>
      <c r="M3866" s="63" t="str">
        <f>HYPERLINK("http://nsgreg.nga.mil/genc/view?v=868715&amp;end_month=12&amp;end_day=31&amp;end_year=2016","Correlation")</f>
        <v>Correlation</v>
      </c>
    </row>
    <row r="3867" spans="1:13" x14ac:dyDescent="0.2">
      <c r="A3867" s="113"/>
      <c r="B3867" s="58" t="s">
        <v>10072</v>
      </c>
      <c r="C3867" s="58" t="s">
        <v>1413</v>
      </c>
      <c r="D3867" s="58" t="s">
        <v>10073</v>
      </c>
      <c r="E3867" s="60" t="b">
        <v>1</v>
      </c>
      <c r="F3867" s="80" t="s">
        <v>1219</v>
      </c>
      <c r="G3867" s="58" t="s">
        <v>10072</v>
      </c>
      <c r="H3867" s="58" t="s">
        <v>1413</v>
      </c>
      <c r="I3867" s="64" t="s">
        <v>10073</v>
      </c>
      <c r="J3867" s="66"/>
      <c r="K3867" s="66"/>
      <c r="L3867" s="68"/>
      <c r="M3867" s="63" t="str">
        <f>HYPERLINK("http://nsgreg.nga.mil/genc/view?v=868714&amp;end_month=12&amp;end_day=31&amp;end_year=2016","Correlation")</f>
        <v>Correlation</v>
      </c>
    </row>
    <row r="3868" spans="1:13" x14ac:dyDescent="0.2">
      <c r="A3868" s="113"/>
      <c r="B3868" s="58" t="s">
        <v>10074</v>
      </c>
      <c r="C3868" s="58" t="s">
        <v>1413</v>
      </c>
      <c r="D3868" s="58" t="s">
        <v>10075</v>
      </c>
      <c r="E3868" s="60" t="b">
        <v>1</v>
      </c>
      <c r="F3868" s="80" t="s">
        <v>1219</v>
      </c>
      <c r="G3868" s="58" t="s">
        <v>10074</v>
      </c>
      <c r="H3868" s="58" t="s">
        <v>1413</v>
      </c>
      <c r="I3868" s="64" t="s">
        <v>10075</v>
      </c>
      <c r="J3868" s="66"/>
      <c r="K3868" s="66"/>
      <c r="L3868" s="68"/>
      <c r="M3868" s="63" t="str">
        <f>HYPERLINK("http://nsgreg.nga.mil/genc/view?v=868716&amp;end_month=12&amp;end_day=31&amp;end_year=2016","Correlation")</f>
        <v>Correlation</v>
      </c>
    </row>
    <row r="3869" spans="1:13" x14ac:dyDescent="0.2">
      <c r="A3869" s="113"/>
      <c r="B3869" s="58" t="s">
        <v>10079</v>
      </c>
      <c r="C3869" s="58" t="s">
        <v>10077</v>
      </c>
      <c r="D3869" s="58" t="s">
        <v>10078</v>
      </c>
      <c r="E3869" s="60" t="b">
        <v>1</v>
      </c>
      <c r="F3869" s="80" t="s">
        <v>1219</v>
      </c>
      <c r="G3869" s="58" t="s">
        <v>10076</v>
      </c>
      <c r="H3869" s="58" t="s">
        <v>10077</v>
      </c>
      <c r="I3869" s="64" t="s">
        <v>10078</v>
      </c>
      <c r="J3869" s="66"/>
      <c r="K3869" s="66"/>
      <c r="L3869" s="68"/>
      <c r="M3869" s="63" t="str">
        <f>HYPERLINK("http://nsgreg.nga.mil/genc/view?v=868717&amp;end_month=12&amp;end_day=31&amp;end_year=2016","Correlation")</f>
        <v>Correlation</v>
      </c>
    </row>
    <row r="3870" spans="1:13" x14ac:dyDescent="0.2">
      <c r="A3870" s="113"/>
      <c r="B3870" s="58" t="s">
        <v>10082</v>
      </c>
      <c r="C3870" s="58" t="s">
        <v>10077</v>
      </c>
      <c r="D3870" s="58" t="s">
        <v>10081</v>
      </c>
      <c r="E3870" s="60" t="b">
        <v>1</v>
      </c>
      <c r="F3870" s="80" t="s">
        <v>1219</v>
      </c>
      <c r="G3870" s="58" t="s">
        <v>10080</v>
      </c>
      <c r="H3870" s="58" t="s">
        <v>10077</v>
      </c>
      <c r="I3870" s="64" t="s">
        <v>10081</v>
      </c>
      <c r="J3870" s="66"/>
      <c r="K3870" s="66"/>
      <c r="L3870" s="68"/>
      <c r="M3870" s="63" t="str">
        <f>HYPERLINK("http://nsgreg.nga.mil/genc/view?v=868718&amp;end_month=12&amp;end_day=31&amp;end_year=2016","Correlation")</f>
        <v>Correlation</v>
      </c>
    </row>
    <row r="3871" spans="1:13" x14ac:dyDescent="0.2">
      <c r="A3871" s="113"/>
      <c r="B3871" s="58" t="s">
        <v>10083</v>
      </c>
      <c r="C3871" s="58" t="s">
        <v>1413</v>
      </c>
      <c r="D3871" s="58" t="s">
        <v>10086</v>
      </c>
      <c r="E3871" s="60" t="b">
        <v>1</v>
      </c>
      <c r="F3871" s="80" t="s">
        <v>1219</v>
      </c>
      <c r="G3871" s="58" t="s">
        <v>10083</v>
      </c>
      <c r="H3871" s="58" t="s">
        <v>1413</v>
      </c>
      <c r="I3871" s="64" t="s">
        <v>10086</v>
      </c>
      <c r="J3871" s="66"/>
      <c r="K3871" s="66"/>
      <c r="L3871" s="68"/>
      <c r="M3871" s="63" t="str">
        <f>HYPERLINK("http://nsgreg.nga.mil/genc/view?v=868760&amp;end_month=12&amp;end_day=31&amp;end_year=2016","Correlation")</f>
        <v>Correlation</v>
      </c>
    </row>
    <row r="3872" spans="1:13" x14ac:dyDescent="0.2">
      <c r="A3872" s="113"/>
      <c r="B3872" s="58" t="s">
        <v>10085</v>
      </c>
      <c r="C3872" s="58" t="s">
        <v>10077</v>
      </c>
      <c r="D3872" s="58" t="s">
        <v>10084</v>
      </c>
      <c r="E3872" s="60" t="b">
        <v>1</v>
      </c>
      <c r="F3872" s="80" t="s">
        <v>1219</v>
      </c>
      <c r="G3872" s="58" t="s">
        <v>10083</v>
      </c>
      <c r="H3872" s="58" t="s">
        <v>10077</v>
      </c>
      <c r="I3872" s="64" t="s">
        <v>10084</v>
      </c>
      <c r="J3872" s="66"/>
      <c r="K3872" s="66"/>
      <c r="L3872" s="68"/>
      <c r="M3872" s="63" t="str">
        <f>HYPERLINK("http://nsgreg.nga.mil/genc/view?v=868719&amp;end_month=12&amp;end_day=31&amp;end_year=2016","Correlation")</f>
        <v>Correlation</v>
      </c>
    </row>
    <row r="3873" spans="1:13" x14ac:dyDescent="0.2">
      <c r="A3873" s="113"/>
      <c r="B3873" s="58" t="s">
        <v>10087</v>
      </c>
      <c r="C3873" s="58" t="s">
        <v>1413</v>
      </c>
      <c r="D3873" s="58" t="s">
        <v>10088</v>
      </c>
      <c r="E3873" s="60" t="b">
        <v>1</v>
      </c>
      <c r="F3873" s="80" t="s">
        <v>1219</v>
      </c>
      <c r="G3873" s="58" t="s">
        <v>10087</v>
      </c>
      <c r="H3873" s="58" t="s">
        <v>1413</v>
      </c>
      <c r="I3873" s="64" t="s">
        <v>10088</v>
      </c>
      <c r="J3873" s="66"/>
      <c r="K3873" s="66"/>
      <c r="L3873" s="68"/>
      <c r="M3873" s="63" t="str">
        <f>HYPERLINK("http://nsgreg.nga.mil/genc/view?v=868720&amp;end_month=12&amp;end_day=31&amp;end_year=2016","Correlation")</f>
        <v>Correlation</v>
      </c>
    </row>
    <row r="3874" spans="1:13" x14ac:dyDescent="0.2">
      <c r="A3874" s="113"/>
      <c r="B3874" s="58" t="s">
        <v>10089</v>
      </c>
      <c r="C3874" s="58" t="s">
        <v>1413</v>
      </c>
      <c r="D3874" s="58" t="s">
        <v>10090</v>
      </c>
      <c r="E3874" s="60" t="b">
        <v>1</v>
      </c>
      <c r="F3874" s="80" t="s">
        <v>1219</v>
      </c>
      <c r="G3874" s="58" t="s">
        <v>10089</v>
      </c>
      <c r="H3874" s="58" t="s">
        <v>1413</v>
      </c>
      <c r="I3874" s="64" t="s">
        <v>10090</v>
      </c>
      <c r="J3874" s="66"/>
      <c r="K3874" s="66"/>
      <c r="L3874" s="68"/>
      <c r="M3874" s="63" t="str">
        <f>HYPERLINK("http://nsgreg.nga.mil/genc/view?v=868722&amp;end_month=12&amp;end_day=31&amp;end_year=2016","Correlation")</f>
        <v>Correlation</v>
      </c>
    </row>
    <row r="3875" spans="1:13" x14ac:dyDescent="0.2">
      <c r="A3875" s="113"/>
      <c r="B3875" s="58" t="s">
        <v>10093</v>
      </c>
      <c r="C3875" s="58" t="s">
        <v>1413</v>
      </c>
      <c r="D3875" s="58" t="s">
        <v>10092</v>
      </c>
      <c r="E3875" s="60" t="b">
        <v>1</v>
      </c>
      <c r="F3875" s="80" t="s">
        <v>1219</v>
      </c>
      <c r="G3875" s="58" t="s">
        <v>10091</v>
      </c>
      <c r="H3875" s="58" t="s">
        <v>1413</v>
      </c>
      <c r="I3875" s="64" t="s">
        <v>10092</v>
      </c>
      <c r="J3875" s="66"/>
      <c r="K3875" s="66"/>
      <c r="L3875" s="68"/>
      <c r="M3875" s="63" t="str">
        <f>HYPERLINK("http://nsgreg.nga.mil/genc/view?v=868763&amp;end_month=12&amp;end_day=31&amp;end_year=2016","Correlation")</f>
        <v>Correlation</v>
      </c>
    </row>
    <row r="3876" spans="1:13" x14ac:dyDescent="0.2">
      <c r="A3876" s="113"/>
      <c r="B3876" s="58" t="s">
        <v>10097</v>
      </c>
      <c r="C3876" s="58" t="s">
        <v>1413</v>
      </c>
      <c r="D3876" s="58" t="s">
        <v>10098</v>
      </c>
      <c r="E3876" s="60" t="b">
        <v>1</v>
      </c>
      <c r="F3876" s="80" t="s">
        <v>1219</v>
      </c>
      <c r="G3876" s="58" t="s">
        <v>10097</v>
      </c>
      <c r="H3876" s="58" t="s">
        <v>1413</v>
      </c>
      <c r="I3876" s="64" t="s">
        <v>10098</v>
      </c>
      <c r="J3876" s="66"/>
      <c r="K3876" s="66"/>
      <c r="L3876" s="68"/>
      <c r="M3876" s="63" t="str">
        <f>HYPERLINK("http://nsgreg.nga.mil/genc/view?v=868721&amp;end_month=12&amp;end_day=31&amp;end_year=2016","Correlation")</f>
        <v>Correlation</v>
      </c>
    </row>
    <row r="3877" spans="1:13" x14ac:dyDescent="0.2">
      <c r="A3877" s="113"/>
      <c r="B3877" s="58" t="s">
        <v>10208</v>
      </c>
      <c r="C3877" s="58" t="s">
        <v>1413</v>
      </c>
      <c r="D3877" s="58" t="s">
        <v>10207</v>
      </c>
      <c r="E3877" s="60" t="b">
        <v>1</v>
      </c>
      <c r="F3877" s="80" t="s">
        <v>1219</v>
      </c>
      <c r="G3877" s="58" t="s">
        <v>10206</v>
      </c>
      <c r="H3877" s="58" t="s">
        <v>1413</v>
      </c>
      <c r="I3877" s="64" t="s">
        <v>10207</v>
      </c>
      <c r="J3877" s="66"/>
      <c r="K3877" s="66"/>
      <c r="L3877" s="68"/>
      <c r="M3877" s="63" t="str">
        <f>HYPERLINK("http://nsgreg.nga.mil/genc/view?v=868723&amp;end_month=12&amp;end_day=31&amp;end_year=2016","Correlation")</f>
        <v>Correlation</v>
      </c>
    </row>
    <row r="3878" spans="1:13" x14ac:dyDescent="0.2">
      <c r="A3878" s="113"/>
      <c r="B3878" s="58" t="s">
        <v>10102</v>
      </c>
      <c r="C3878" s="58" t="s">
        <v>1413</v>
      </c>
      <c r="D3878" s="58" t="s">
        <v>10103</v>
      </c>
      <c r="E3878" s="60" t="b">
        <v>1</v>
      </c>
      <c r="F3878" s="80" t="s">
        <v>1219</v>
      </c>
      <c r="G3878" s="58" t="s">
        <v>10102</v>
      </c>
      <c r="H3878" s="58" t="s">
        <v>1413</v>
      </c>
      <c r="I3878" s="64" t="s">
        <v>10103</v>
      </c>
      <c r="J3878" s="66"/>
      <c r="K3878" s="66"/>
      <c r="L3878" s="68"/>
      <c r="M3878" s="63" t="str">
        <f>HYPERLINK("http://nsgreg.nga.mil/genc/view?v=868724&amp;end_month=12&amp;end_day=31&amp;end_year=2016","Correlation")</f>
        <v>Correlation</v>
      </c>
    </row>
    <row r="3879" spans="1:13" x14ac:dyDescent="0.2">
      <c r="A3879" s="113"/>
      <c r="B3879" s="58" t="s">
        <v>10104</v>
      </c>
      <c r="C3879" s="58" t="s">
        <v>1413</v>
      </c>
      <c r="D3879" s="58" t="s">
        <v>10105</v>
      </c>
      <c r="E3879" s="60" t="b">
        <v>1</v>
      </c>
      <c r="F3879" s="80" t="s">
        <v>1219</v>
      </c>
      <c r="G3879" s="58" t="s">
        <v>10104</v>
      </c>
      <c r="H3879" s="58" t="s">
        <v>1413</v>
      </c>
      <c r="I3879" s="64" t="s">
        <v>10105</v>
      </c>
      <c r="J3879" s="66"/>
      <c r="K3879" s="66"/>
      <c r="L3879" s="68"/>
      <c r="M3879" s="63" t="str">
        <f>HYPERLINK("http://nsgreg.nga.mil/genc/view?v=868728&amp;end_month=12&amp;end_day=31&amp;end_year=2016","Correlation")</f>
        <v>Correlation</v>
      </c>
    </row>
    <row r="3880" spans="1:13" x14ac:dyDescent="0.2">
      <c r="A3880" s="113"/>
      <c r="B3880" s="58" t="s">
        <v>10106</v>
      </c>
      <c r="C3880" s="58" t="s">
        <v>1413</v>
      </c>
      <c r="D3880" s="58" t="s">
        <v>10107</v>
      </c>
      <c r="E3880" s="60" t="b">
        <v>1</v>
      </c>
      <c r="F3880" s="80" t="s">
        <v>1219</v>
      </c>
      <c r="G3880" s="58" t="s">
        <v>10106</v>
      </c>
      <c r="H3880" s="58" t="s">
        <v>1413</v>
      </c>
      <c r="I3880" s="64" t="s">
        <v>10107</v>
      </c>
      <c r="J3880" s="66"/>
      <c r="K3880" s="66"/>
      <c r="L3880" s="68"/>
      <c r="M3880" s="63" t="str">
        <f>HYPERLINK("http://nsgreg.nga.mil/genc/view?v=868726&amp;end_month=12&amp;end_day=31&amp;end_year=2016","Correlation")</f>
        <v>Correlation</v>
      </c>
    </row>
    <row r="3881" spans="1:13" x14ac:dyDescent="0.2">
      <c r="A3881" s="113"/>
      <c r="B3881" s="58" t="s">
        <v>10110</v>
      </c>
      <c r="C3881" s="58" t="s">
        <v>10077</v>
      </c>
      <c r="D3881" s="58" t="s">
        <v>10109</v>
      </c>
      <c r="E3881" s="60" t="b">
        <v>1</v>
      </c>
      <c r="F3881" s="80" t="s">
        <v>1219</v>
      </c>
      <c r="G3881" s="58" t="s">
        <v>10108</v>
      </c>
      <c r="H3881" s="58" t="s">
        <v>10077</v>
      </c>
      <c r="I3881" s="64" t="s">
        <v>10109</v>
      </c>
      <c r="J3881" s="66"/>
      <c r="K3881" s="66"/>
      <c r="L3881" s="68"/>
      <c r="M3881" s="63" t="str">
        <f>HYPERLINK("http://nsgreg.nga.mil/genc/view?v=868732&amp;end_month=12&amp;end_day=31&amp;end_year=2016","Correlation")</f>
        <v>Correlation</v>
      </c>
    </row>
    <row r="3882" spans="1:13" x14ac:dyDescent="0.2">
      <c r="A3882" s="113"/>
      <c r="B3882" s="58" t="s">
        <v>10111</v>
      </c>
      <c r="C3882" s="58" t="s">
        <v>10077</v>
      </c>
      <c r="D3882" s="58" t="s">
        <v>10112</v>
      </c>
      <c r="E3882" s="60" t="b">
        <v>1</v>
      </c>
      <c r="F3882" s="80" t="s">
        <v>1219</v>
      </c>
      <c r="G3882" s="58" t="s">
        <v>10111</v>
      </c>
      <c r="H3882" s="58" t="s">
        <v>10077</v>
      </c>
      <c r="I3882" s="64" t="s">
        <v>10112</v>
      </c>
      <c r="J3882" s="66"/>
      <c r="K3882" s="66"/>
      <c r="L3882" s="68"/>
      <c r="M3882" s="63" t="str">
        <f>HYPERLINK("http://nsgreg.nga.mil/genc/view?v=868727&amp;end_month=12&amp;end_day=31&amp;end_year=2016","Correlation")</f>
        <v>Correlation</v>
      </c>
    </row>
    <row r="3883" spans="1:13" x14ac:dyDescent="0.2">
      <c r="A3883" s="113"/>
      <c r="B3883" s="58" t="s">
        <v>10111</v>
      </c>
      <c r="C3883" s="58" t="s">
        <v>1413</v>
      </c>
      <c r="D3883" s="58" t="s">
        <v>10113</v>
      </c>
      <c r="E3883" s="60" t="b">
        <v>1</v>
      </c>
      <c r="F3883" s="80" t="s">
        <v>1219</v>
      </c>
      <c r="G3883" s="58" t="s">
        <v>10111</v>
      </c>
      <c r="H3883" s="58" t="s">
        <v>1413</v>
      </c>
      <c r="I3883" s="64" t="s">
        <v>10113</v>
      </c>
      <c r="J3883" s="66"/>
      <c r="K3883" s="66"/>
      <c r="L3883" s="68"/>
      <c r="M3883" s="63" t="str">
        <f>HYPERLINK("http://nsgreg.nga.mil/genc/view?v=868767&amp;end_month=12&amp;end_day=31&amp;end_year=2016","Correlation")</f>
        <v>Correlation</v>
      </c>
    </row>
    <row r="3884" spans="1:13" x14ac:dyDescent="0.2">
      <c r="A3884" s="113"/>
      <c r="B3884" s="58" t="s">
        <v>10114</v>
      </c>
      <c r="C3884" s="58" t="s">
        <v>1413</v>
      </c>
      <c r="D3884" s="58" t="s">
        <v>10115</v>
      </c>
      <c r="E3884" s="60" t="b">
        <v>1</v>
      </c>
      <c r="F3884" s="80" t="s">
        <v>1219</v>
      </c>
      <c r="G3884" s="58" t="s">
        <v>10114</v>
      </c>
      <c r="H3884" s="58" t="s">
        <v>1413</v>
      </c>
      <c r="I3884" s="64" t="s">
        <v>10115</v>
      </c>
      <c r="J3884" s="66"/>
      <c r="K3884" s="66"/>
      <c r="L3884" s="68"/>
      <c r="M3884" s="63" t="str">
        <f>HYPERLINK("http://nsgreg.nga.mil/genc/view?v=868735&amp;end_month=12&amp;end_day=31&amp;end_year=2016","Correlation")</f>
        <v>Correlation</v>
      </c>
    </row>
    <row r="3885" spans="1:13" x14ac:dyDescent="0.2">
      <c r="A3885" s="113"/>
      <c r="B3885" s="58" t="s">
        <v>10118</v>
      </c>
      <c r="C3885" s="58" t="s">
        <v>10077</v>
      </c>
      <c r="D3885" s="58" t="s">
        <v>10117</v>
      </c>
      <c r="E3885" s="60" t="b">
        <v>1</v>
      </c>
      <c r="F3885" s="80" t="s">
        <v>1219</v>
      </c>
      <c r="G3885" s="58" t="s">
        <v>10116</v>
      </c>
      <c r="H3885" s="58" t="s">
        <v>10077</v>
      </c>
      <c r="I3885" s="64" t="s">
        <v>10117</v>
      </c>
      <c r="J3885" s="66"/>
      <c r="K3885" s="66"/>
      <c r="L3885" s="68"/>
      <c r="M3885" s="63" t="str">
        <f>HYPERLINK("http://nsgreg.nga.mil/genc/view?v=868731&amp;end_month=12&amp;end_day=31&amp;end_year=2016","Correlation")</f>
        <v>Correlation</v>
      </c>
    </row>
    <row r="3886" spans="1:13" x14ac:dyDescent="0.2">
      <c r="A3886" s="113"/>
      <c r="B3886" s="58" t="s">
        <v>10121</v>
      </c>
      <c r="C3886" s="58" t="s">
        <v>10077</v>
      </c>
      <c r="D3886" s="58" t="s">
        <v>10120</v>
      </c>
      <c r="E3886" s="60" t="b">
        <v>1</v>
      </c>
      <c r="F3886" s="80" t="s">
        <v>1219</v>
      </c>
      <c r="G3886" s="58" t="s">
        <v>10119</v>
      </c>
      <c r="H3886" s="58" t="s">
        <v>10077</v>
      </c>
      <c r="I3886" s="64" t="s">
        <v>10120</v>
      </c>
      <c r="J3886" s="66"/>
      <c r="K3886" s="66"/>
      <c r="L3886" s="68"/>
      <c r="M3886" s="63" t="str">
        <f>HYPERLINK("http://nsgreg.nga.mil/genc/view?v=868730&amp;end_month=12&amp;end_day=31&amp;end_year=2016","Correlation")</f>
        <v>Correlation</v>
      </c>
    </row>
    <row r="3887" spans="1:13" x14ac:dyDescent="0.2">
      <c r="A3887" s="113"/>
      <c r="B3887" s="58" t="s">
        <v>10124</v>
      </c>
      <c r="C3887" s="58" t="s">
        <v>10077</v>
      </c>
      <c r="D3887" s="58" t="s">
        <v>10123</v>
      </c>
      <c r="E3887" s="60" t="b">
        <v>1</v>
      </c>
      <c r="F3887" s="80" t="s">
        <v>1219</v>
      </c>
      <c r="G3887" s="58" t="s">
        <v>10122</v>
      </c>
      <c r="H3887" s="58" t="s">
        <v>10077</v>
      </c>
      <c r="I3887" s="64" t="s">
        <v>10123</v>
      </c>
      <c r="J3887" s="66"/>
      <c r="K3887" s="66"/>
      <c r="L3887" s="68"/>
      <c r="M3887" s="63" t="str">
        <f>HYPERLINK("http://nsgreg.nga.mil/genc/view?v=868736&amp;end_month=12&amp;end_day=31&amp;end_year=2016","Correlation")</f>
        <v>Correlation</v>
      </c>
    </row>
    <row r="3888" spans="1:13" x14ac:dyDescent="0.2">
      <c r="A3888" s="113"/>
      <c r="B3888" s="58" t="s">
        <v>10125</v>
      </c>
      <c r="C3888" s="58" t="s">
        <v>10127</v>
      </c>
      <c r="D3888" s="58" t="s">
        <v>10126</v>
      </c>
      <c r="E3888" s="60" t="b">
        <v>1</v>
      </c>
      <c r="F3888" s="80" t="s">
        <v>1219</v>
      </c>
      <c r="G3888" s="58" t="s">
        <v>10125</v>
      </c>
      <c r="H3888" s="58" t="s">
        <v>1678</v>
      </c>
      <c r="I3888" s="64" t="s">
        <v>10126</v>
      </c>
      <c r="J3888" s="66"/>
      <c r="K3888" s="66"/>
      <c r="L3888" s="68"/>
      <c r="M3888" s="63" t="str">
        <f>HYPERLINK("http://nsgreg.nga.mil/genc/view?v=868729&amp;end_month=12&amp;end_day=31&amp;end_year=2016","Correlation")</f>
        <v>Correlation</v>
      </c>
    </row>
    <row r="3889" spans="1:13" x14ac:dyDescent="0.2">
      <c r="A3889" s="113"/>
      <c r="B3889" s="58" t="s">
        <v>10128</v>
      </c>
      <c r="C3889" s="58" t="s">
        <v>1413</v>
      </c>
      <c r="D3889" s="58" t="s">
        <v>10129</v>
      </c>
      <c r="E3889" s="60" t="b">
        <v>1</v>
      </c>
      <c r="F3889" s="80" t="s">
        <v>1219</v>
      </c>
      <c r="G3889" s="58" t="s">
        <v>10128</v>
      </c>
      <c r="H3889" s="58" t="s">
        <v>1413</v>
      </c>
      <c r="I3889" s="64" t="s">
        <v>10129</v>
      </c>
      <c r="J3889" s="66"/>
      <c r="K3889" s="66"/>
      <c r="L3889" s="68"/>
      <c r="M3889" s="63" t="str">
        <f>HYPERLINK("http://nsgreg.nga.mil/genc/view?v=868734&amp;end_month=12&amp;end_day=31&amp;end_year=2016","Correlation")</f>
        <v>Correlation</v>
      </c>
    </row>
    <row r="3890" spans="1:13" x14ac:dyDescent="0.2">
      <c r="A3890" s="113"/>
      <c r="B3890" s="58" t="s">
        <v>1688</v>
      </c>
      <c r="C3890" s="58" t="s">
        <v>1413</v>
      </c>
      <c r="D3890" s="58" t="s">
        <v>10130</v>
      </c>
      <c r="E3890" s="60" t="b">
        <v>1</v>
      </c>
      <c r="F3890" s="80" t="s">
        <v>1219</v>
      </c>
      <c r="G3890" s="58" t="s">
        <v>1688</v>
      </c>
      <c r="H3890" s="58" t="s">
        <v>1413</v>
      </c>
      <c r="I3890" s="64" t="s">
        <v>10130</v>
      </c>
      <c r="J3890" s="66"/>
      <c r="K3890" s="66"/>
      <c r="L3890" s="68"/>
      <c r="M3890" s="63" t="str">
        <f>HYPERLINK("http://nsgreg.nga.mil/genc/view?v=868733&amp;end_month=12&amp;end_day=31&amp;end_year=2016","Correlation")</f>
        <v>Correlation</v>
      </c>
    </row>
    <row r="3891" spans="1:13" x14ac:dyDescent="0.2">
      <c r="A3891" s="113"/>
      <c r="B3891" s="58" t="s">
        <v>10131</v>
      </c>
      <c r="C3891" s="58" t="s">
        <v>1413</v>
      </c>
      <c r="D3891" s="58" t="s">
        <v>10132</v>
      </c>
      <c r="E3891" s="60" t="b">
        <v>1</v>
      </c>
      <c r="F3891" s="80" t="s">
        <v>1219</v>
      </c>
      <c r="G3891" s="58" t="s">
        <v>10131</v>
      </c>
      <c r="H3891" s="58" t="s">
        <v>1413</v>
      </c>
      <c r="I3891" s="64" t="s">
        <v>10132</v>
      </c>
      <c r="J3891" s="66"/>
      <c r="K3891" s="66"/>
      <c r="L3891" s="68"/>
      <c r="M3891" s="63" t="str">
        <f>HYPERLINK("http://nsgreg.nga.mil/genc/view?v=868737&amp;end_month=12&amp;end_day=31&amp;end_year=2016","Correlation")</f>
        <v>Correlation</v>
      </c>
    </row>
    <row r="3892" spans="1:13" x14ac:dyDescent="0.2">
      <c r="A3892" s="113"/>
      <c r="B3892" s="58" t="s">
        <v>10133</v>
      </c>
      <c r="C3892" s="58" t="s">
        <v>10077</v>
      </c>
      <c r="D3892" s="58" t="s">
        <v>10134</v>
      </c>
      <c r="E3892" s="60" t="b">
        <v>1</v>
      </c>
      <c r="F3892" s="80" t="s">
        <v>1219</v>
      </c>
      <c r="G3892" s="58" t="s">
        <v>10133</v>
      </c>
      <c r="H3892" s="58" t="s">
        <v>10077</v>
      </c>
      <c r="I3892" s="64" t="s">
        <v>10134</v>
      </c>
      <c r="J3892" s="66"/>
      <c r="K3892" s="66"/>
      <c r="L3892" s="68"/>
      <c r="M3892" s="63" t="str">
        <f>HYPERLINK("http://nsgreg.nga.mil/genc/view?v=868738&amp;end_month=12&amp;end_day=31&amp;end_year=2016","Correlation")</f>
        <v>Correlation</v>
      </c>
    </row>
    <row r="3893" spans="1:13" x14ac:dyDescent="0.2">
      <c r="A3893" s="113"/>
      <c r="B3893" s="58" t="s">
        <v>10135</v>
      </c>
      <c r="C3893" s="58" t="s">
        <v>10077</v>
      </c>
      <c r="D3893" s="58" t="s">
        <v>10136</v>
      </c>
      <c r="E3893" s="60" t="b">
        <v>1</v>
      </c>
      <c r="F3893" s="80" t="s">
        <v>1219</v>
      </c>
      <c r="G3893" s="58" t="s">
        <v>10135</v>
      </c>
      <c r="H3893" s="58" t="s">
        <v>10077</v>
      </c>
      <c r="I3893" s="64" t="s">
        <v>10136</v>
      </c>
      <c r="J3893" s="66"/>
      <c r="K3893" s="66"/>
      <c r="L3893" s="68"/>
      <c r="M3893" s="63" t="str">
        <f>HYPERLINK("http://nsgreg.nga.mil/genc/view?v=868739&amp;end_month=12&amp;end_day=31&amp;end_year=2016","Correlation")</f>
        <v>Correlation</v>
      </c>
    </row>
    <row r="3894" spans="1:13" x14ac:dyDescent="0.2">
      <c r="A3894" s="113"/>
      <c r="B3894" s="58" t="s">
        <v>10145</v>
      </c>
      <c r="C3894" s="58" t="s">
        <v>1413</v>
      </c>
      <c r="D3894" s="58" t="s">
        <v>10144</v>
      </c>
      <c r="E3894" s="60" t="b">
        <v>1</v>
      </c>
      <c r="F3894" s="80" t="s">
        <v>1219</v>
      </c>
      <c r="G3894" s="58" t="s">
        <v>10143</v>
      </c>
      <c r="H3894" s="58" t="s">
        <v>1413</v>
      </c>
      <c r="I3894" s="64" t="s">
        <v>10144</v>
      </c>
      <c r="J3894" s="66"/>
      <c r="K3894" s="66"/>
      <c r="L3894" s="68"/>
      <c r="M3894" s="63" t="str">
        <f>HYPERLINK("http://nsgreg.nga.mil/genc/view?v=868772&amp;end_month=12&amp;end_day=31&amp;end_year=2016","Correlation")</f>
        <v>Correlation</v>
      </c>
    </row>
    <row r="3895" spans="1:13" x14ac:dyDescent="0.2">
      <c r="A3895" s="113"/>
      <c r="B3895" s="58" t="s">
        <v>10139</v>
      </c>
      <c r="C3895" s="58" t="s">
        <v>1413</v>
      </c>
      <c r="D3895" s="58" t="s">
        <v>10138</v>
      </c>
      <c r="E3895" s="60" t="b">
        <v>1</v>
      </c>
      <c r="F3895" s="80" t="s">
        <v>1219</v>
      </c>
      <c r="G3895" s="58" t="s">
        <v>10137</v>
      </c>
      <c r="H3895" s="58" t="s">
        <v>1413</v>
      </c>
      <c r="I3895" s="64" t="s">
        <v>10138</v>
      </c>
      <c r="J3895" s="66"/>
      <c r="K3895" s="66"/>
      <c r="L3895" s="68"/>
      <c r="M3895" s="63" t="str">
        <f>HYPERLINK("http://nsgreg.nga.mil/genc/view?v=868741&amp;end_month=12&amp;end_day=31&amp;end_year=2016","Correlation")</f>
        <v>Correlation</v>
      </c>
    </row>
    <row r="3896" spans="1:13" x14ac:dyDescent="0.2">
      <c r="A3896" s="113"/>
      <c r="B3896" s="58" t="s">
        <v>7829</v>
      </c>
      <c r="C3896" s="58" t="s">
        <v>1413</v>
      </c>
      <c r="D3896" s="58" t="s">
        <v>10140</v>
      </c>
      <c r="E3896" s="60" t="b">
        <v>1</v>
      </c>
      <c r="F3896" s="80" t="s">
        <v>1219</v>
      </c>
      <c r="G3896" s="58" t="s">
        <v>7829</v>
      </c>
      <c r="H3896" s="58" t="s">
        <v>1413</v>
      </c>
      <c r="I3896" s="64" t="s">
        <v>10140</v>
      </c>
      <c r="J3896" s="66"/>
      <c r="K3896" s="66"/>
      <c r="L3896" s="68"/>
      <c r="M3896" s="63" t="str">
        <f>HYPERLINK("http://nsgreg.nga.mil/genc/view?v=868742&amp;end_month=12&amp;end_day=31&amp;end_year=2016","Correlation")</f>
        <v>Correlation</v>
      </c>
    </row>
    <row r="3897" spans="1:13" x14ac:dyDescent="0.2">
      <c r="A3897" s="113"/>
      <c r="B3897" s="58" t="s">
        <v>10141</v>
      </c>
      <c r="C3897" s="58" t="s">
        <v>1413</v>
      </c>
      <c r="D3897" s="58" t="s">
        <v>10142</v>
      </c>
      <c r="E3897" s="60" t="b">
        <v>1</v>
      </c>
      <c r="F3897" s="80" t="s">
        <v>1219</v>
      </c>
      <c r="G3897" s="58" t="s">
        <v>10141</v>
      </c>
      <c r="H3897" s="58" t="s">
        <v>1413</v>
      </c>
      <c r="I3897" s="64" t="s">
        <v>10142</v>
      </c>
      <c r="J3897" s="66"/>
      <c r="K3897" s="66"/>
      <c r="L3897" s="68"/>
      <c r="M3897" s="63" t="str">
        <f>HYPERLINK("http://nsgreg.nga.mil/genc/view?v=868743&amp;end_month=12&amp;end_day=31&amp;end_year=2016","Correlation")</f>
        <v>Correlation</v>
      </c>
    </row>
    <row r="3898" spans="1:13" x14ac:dyDescent="0.2">
      <c r="A3898" s="113"/>
      <c r="B3898" s="58" t="s">
        <v>10146</v>
      </c>
      <c r="C3898" s="58" t="s">
        <v>1413</v>
      </c>
      <c r="D3898" s="58" t="s">
        <v>10147</v>
      </c>
      <c r="E3898" s="60" t="b">
        <v>1</v>
      </c>
      <c r="F3898" s="80" t="s">
        <v>1219</v>
      </c>
      <c r="G3898" s="58" t="s">
        <v>10146</v>
      </c>
      <c r="H3898" s="58" t="s">
        <v>1413</v>
      </c>
      <c r="I3898" s="64" t="s">
        <v>10147</v>
      </c>
      <c r="J3898" s="66"/>
      <c r="K3898" s="66"/>
      <c r="L3898" s="68"/>
      <c r="M3898" s="63" t="str">
        <f>HYPERLINK("http://nsgreg.nga.mil/genc/view?v=868744&amp;end_month=12&amp;end_day=31&amp;end_year=2016","Correlation")</f>
        <v>Correlation</v>
      </c>
    </row>
    <row r="3899" spans="1:13" x14ac:dyDescent="0.2">
      <c r="A3899" s="113"/>
      <c r="B3899" s="58" t="s">
        <v>10148</v>
      </c>
      <c r="C3899" s="58" t="s">
        <v>1413</v>
      </c>
      <c r="D3899" s="58" t="s">
        <v>10149</v>
      </c>
      <c r="E3899" s="60" t="b">
        <v>1</v>
      </c>
      <c r="F3899" s="80" t="s">
        <v>1219</v>
      </c>
      <c r="G3899" s="58" t="s">
        <v>10148</v>
      </c>
      <c r="H3899" s="58" t="s">
        <v>1413</v>
      </c>
      <c r="I3899" s="64" t="s">
        <v>10149</v>
      </c>
      <c r="J3899" s="66"/>
      <c r="K3899" s="66"/>
      <c r="L3899" s="68"/>
      <c r="M3899" s="63" t="str">
        <f>HYPERLINK("http://nsgreg.nga.mil/genc/view?v=868745&amp;end_month=12&amp;end_day=31&amp;end_year=2016","Correlation")</f>
        <v>Correlation</v>
      </c>
    </row>
    <row r="3900" spans="1:13" x14ac:dyDescent="0.2">
      <c r="A3900" s="113"/>
      <c r="B3900" s="58" t="s">
        <v>10096</v>
      </c>
      <c r="C3900" s="58" t="s">
        <v>10077</v>
      </c>
      <c r="D3900" s="58" t="s">
        <v>10095</v>
      </c>
      <c r="E3900" s="60" t="b">
        <v>1</v>
      </c>
      <c r="F3900" s="80" t="s">
        <v>1219</v>
      </c>
      <c r="G3900" s="58" t="s">
        <v>10094</v>
      </c>
      <c r="H3900" s="58" t="s">
        <v>10077</v>
      </c>
      <c r="I3900" s="64" t="s">
        <v>10095</v>
      </c>
      <c r="J3900" s="66"/>
      <c r="K3900" s="66"/>
      <c r="L3900" s="68"/>
      <c r="M3900" s="63" t="str">
        <f>HYPERLINK("http://nsgreg.nga.mil/genc/view?v=868746&amp;end_month=12&amp;end_day=31&amp;end_year=2016","Correlation")</f>
        <v>Correlation</v>
      </c>
    </row>
    <row r="3901" spans="1:13" x14ac:dyDescent="0.2">
      <c r="A3901" s="113"/>
      <c r="B3901" s="58" t="s">
        <v>10150</v>
      </c>
      <c r="C3901" s="58" t="s">
        <v>1413</v>
      </c>
      <c r="D3901" s="58" t="s">
        <v>10151</v>
      </c>
      <c r="E3901" s="60" t="b">
        <v>1</v>
      </c>
      <c r="F3901" s="80" t="s">
        <v>1219</v>
      </c>
      <c r="G3901" s="58" t="s">
        <v>10150</v>
      </c>
      <c r="H3901" s="58" t="s">
        <v>1413</v>
      </c>
      <c r="I3901" s="64" t="s">
        <v>10151</v>
      </c>
      <c r="J3901" s="66"/>
      <c r="K3901" s="66"/>
      <c r="L3901" s="68"/>
      <c r="M3901" s="63" t="str">
        <f>HYPERLINK("http://nsgreg.nga.mil/genc/view?v=868747&amp;end_month=12&amp;end_day=31&amp;end_year=2016","Correlation")</f>
        <v>Correlation</v>
      </c>
    </row>
    <row r="3902" spans="1:13" x14ac:dyDescent="0.2">
      <c r="A3902" s="113"/>
      <c r="B3902" s="58" t="s">
        <v>1700</v>
      </c>
      <c r="C3902" s="58" t="s">
        <v>10077</v>
      </c>
      <c r="D3902" s="58" t="s">
        <v>10152</v>
      </c>
      <c r="E3902" s="60" t="b">
        <v>1</v>
      </c>
      <c r="F3902" s="80" t="s">
        <v>1219</v>
      </c>
      <c r="G3902" s="58" t="s">
        <v>1700</v>
      </c>
      <c r="H3902" s="58" t="s">
        <v>10077</v>
      </c>
      <c r="I3902" s="64" t="s">
        <v>10152</v>
      </c>
      <c r="J3902" s="66"/>
      <c r="K3902" s="66"/>
      <c r="L3902" s="68"/>
      <c r="M3902" s="63" t="str">
        <f>HYPERLINK("http://nsgreg.nga.mil/genc/view?v=868766&amp;end_month=12&amp;end_day=31&amp;end_year=2016","Correlation")</f>
        <v>Correlation</v>
      </c>
    </row>
    <row r="3903" spans="1:13" x14ac:dyDescent="0.2">
      <c r="A3903" s="113"/>
      <c r="B3903" s="58" t="s">
        <v>1700</v>
      </c>
      <c r="C3903" s="58" t="s">
        <v>1413</v>
      </c>
      <c r="D3903" s="58" t="s">
        <v>10153</v>
      </c>
      <c r="E3903" s="60" t="b">
        <v>1</v>
      </c>
      <c r="F3903" s="80" t="s">
        <v>1219</v>
      </c>
      <c r="G3903" s="58" t="s">
        <v>1700</v>
      </c>
      <c r="H3903" s="58" t="s">
        <v>1413</v>
      </c>
      <c r="I3903" s="64" t="s">
        <v>10153</v>
      </c>
      <c r="J3903" s="66"/>
      <c r="K3903" s="66"/>
      <c r="L3903" s="68"/>
      <c r="M3903" s="63" t="str">
        <f>HYPERLINK("http://nsgreg.nga.mil/genc/view?v=868750&amp;end_month=12&amp;end_day=31&amp;end_year=2016","Correlation")</f>
        <v>Correlation</v>
      </c>
    </row>
    <row r="3904" spans="1:13" x14ac:dyDescent="0.2">
      <c r="A3904" s="113"/>
      <c r="B3904" s="58" t="s">
        <v>10154</v>
      </c>
      <c r="C3904" s="58" t="s">
        <v>1413</v>
      </c>
      <c r="D3904" s="58" t="s">
        <v>10155</v>
      </c>
      <c r="E3904" s="60" t="b">
        <v>1</v>
      </c>
      <c r="F3904" s="80" t="s">
        <v>1219</v>
      </c>
      <c r="G3904" s="58" t="s">
        <v>10154</v>
      </c>
      <c r="H3904" s="58" t="s">
        <v>1413</v>
      </c>
      <c r="I3904" s="64" t="s">
        <v>10155</v>
      </c>
      <c r="J3904" s="66"/>
      <c r="K3904" s="66"/>
      <c r="L3904" s="68"/>
      <c r="M3904" s="63" t="str">
        <f>HYPERLINK("http://nsgreg.nga.mil/genc/view?v=868740&amp;end_month=12&amp;end_day=31&amp;end_year=2016","Correlation")</f>
        <v>Correlation</v>
      </c>
    </row>
    <row r="3905" spans="1:13" x14ac:dyDescent="0.2">
      <c r="A3905" s="113"/>
      <c r="B3905" s="58" t="s">
        <v>7833</v>
      </c>
      <c r="C3905" s="58" t="s">
        <v>1413</v>
      </c>
      <c r="D3905" s="58" t="s">
        <v>10156</v>
      </c>
      <c r="E3905" s="60" t="b">
        <v>1</v>
      </c>
      <c r="F3905" s="80" t="s">
        <v>1219</v>
      </c>
      <c r="G3905" s="58" t="s">
        <v>7833</v>
      </c>
      <c r="H3905" s="58" t="s">
        <v>1413</v>
      </c>
      <c r="I3905" s="64" t="s">
        <v>10156</v>
      </c>
      <c r="J3905" s="66"/>
      <c r="K3905" s="66"/>
      <c r="L3905" s="68"/>
      <c r="M3905" s="63" t="str">
        <f>HYPERLINK("http://nsgreg.nga.mil/genc/view?v=868749&amp;end_month=12&amp;end_day=31&amp;end_year=2016","Correlation")</f>
        <v>Correlation</v>
      </c>
    </row>
    <row r="3906" spans="1:13" x14ac:dyDescent="0.2">
      <c r="A3906" s="113"/>
      <c r="B3906" s="58" t="s">
        <v>10159</v>
      </c>
      <c r="C3906" s="58" t="s">
        <v>1413</v>
      </c>
      <c r="D3906" s="58" t="s">
        <v>10158</v>
      </c>
      <c r="E3906" s="60" t="b">
        <v>1</v>
      </c>
      <c r="F3906" s="80" t="s">
        <v>1219</v>
      </c>
      <c r="G3906" s="58" t="s">
        <v>10157</v>
      </c>
      <c r="H3906" s="58" t="s">
        <v>1413</v>
      </c>
      <c r="I3906" s="64" t="s">
        <v>10158</v>
      </c>
      <c r="J3906" s="66"/>
      <c r="K3906" s="66"/>
      <c r="L3906" s="68"/>
      <c r="M3906" s="63" t="str">
        <f>HYPERLINK("http://nsgreg.nga.mil/genc/view?v=868748&amp;end_month=12&amp;end_day=31&amp;end_year=2016","Correlation")</f>
        <v>Correlation</v>
      </c>
    </row>
    <row r="3907" spans="1:13" x14ac:dyDescent="0.2">
      <c r="A3907" s="113"/>
      <c r="B3907" s="58" t="s">
        <v>10160</v>
      </c>
      <c r="C3907" s="58" t="s">
        <v>1413</v>
      </c>
      <c r="D3907" s="58" t="s">
        <v>10161</v>
      </c>
      <c r="E3907" s="60" t="b">
        <v>1</v>
      </c>
      <c r="F3907" s="80" t="s">
        <v>1219</v>
      </c>
      <c r="G3907" s="58" t="s">
        <v>10160</v>
      </c>
      <c r="H3907" s="58" t="s">
        <v>1413</v>
      </c>
      <c r="I3907" s="64" t="s">
        <v>10161</v>
      </c>
      <c r="J3907" s="66"/>
      <c r="K3907" s="66"/>
      <c r="L3907" s="68"/>
      <c r="M3907" s="63" t="str">
        <f>HYPERLINK("http://nsgreg.nga.mil/genc/view?v=868751&amp;end_month=12&amp;end_day=31&amp;end_year=2016","Correlation")</f>
        <v>Correlation</v>
      </c>
    </row>
    <row r="3908" spans="1:13" x14ac:dyDescent="0.2">
      <c r="A3908" s="113"/>
      <c r="B3908" s="58" t="s">
        <v>10162</v>
      </c>
      <c r="C3908" s="58" t="s">
        <v>1413</v>
      </c>
      <c r="D3908" s="58" t="s">
        <v>10165</v>
      </c>
      <c r="E3908" s="60" t="b">
        <v>1</v>
      </c>
      <c r="F3908" s="80" t="s">
        <v>1219</v>
      </c>
      <c r="G3908" s="58" t="s">
        <v>10162</v>
      </c>
      <c r="H3908" s="58" t="s">
        <v>1413</v>
      </c>
      <c r="I3908" s="64" t="s">
        <v>10165</v>
      </c>
      <c r="J3908" s="66"/>
      <c r="K3908" s="66"/>
      <c r="L3908" s="68"/>
      <c r="M3908" s="63" t="str">
        <f>HYPERLINK("http://nsgreg.nga.mil/genc/view?v=868752&amp;end_month=12&amp;end_day=31&amp;end_year=2016","Correlation")</f>
        <v>Correlation</v>
      </c>
    </row>
    <row r="3909" spans="1:13" x14ac:dyDescent="0.2">
      <c r="A3909" s="113"/>
      <c r="B3909" s="58" t="s">
        <v>10164</v>
      </c>
      <c r="C3909" s="58" t="s">
        <v>10077</v>
      </c>
      <c r="D3909" s="58" t="s">
        <v>10163</v>
      </c>
      <c r="E3909" s="60" t="b">
        <v>1</v>
      </c>
      <c r="F3909" s="80" t="s">
        <v>1219</v>
      </c>
      <c r="G3909" s="58" t="s">
        <v>10162</v>
      </c>
      <c r="H3909" s="58" t="s">
        <v>10077</v>
      </c>
      <c r="I3909" s="64" t="s">
        <v>10163</v>
      </c>
      <c r="J3909" s="66"/>
      <c r="K3909" s="66"/>
      <c r="L3909" s="68"/>
      <c r="M3909" s="63" t="str">
        <f>HYPERLINK("http://nsgreg.nga.mil/genc/view?v=868755&amp;end_month=12&amp;end_day=31&amp;end_year=2016","Correlation")</f>
        <v>Correlation</v>
      </c>
    </row>
    <row r="3910" spans="1:13" x14ac:dyDescent="0.2">
      <c r="A3910" s="113"/>
      <c r="B3910" s="58" t="s">
        <v>10166</v>
      </c>
      <c r="C3910" s="58" t="s">
        <v>1413</v>
      </c>
      <c r="D3910" s="58" t="s">
        <v>10167</v>
      </c>
      <c r="E3910" s="60" t="b">
        <v>1</v>
      </c>
      <c r="F3910" s="80" t="s">
        <v>1219</v>
      </c>
      <c r="G3910" s="58" t="s">
        <v>10166</v>
      </c>
      <c r="H3910" s="58" t="s">
        <v>1413</v>
      </c>
      <c r="I3910" s="64" t="s">
        <v>10167</v>
      </c>
      <c r="J3910" s="66"/>
      <c r="K3910" s="66"/>
      <c r="L3910" s="68"/>
      <c r="M3910" s="63" t="str">
        <f>HYPERLINK("http://nsgreg.nga.mil/genc/view?v=868753&amp;end_month=12&amp;end_day=31&amp;end_year=2016","Correlation")</f>
        <v>Correlation</v>
      </c>
    </row>
    <row r="3911" spans="1:13" x14ac:dyDescent="0.2">
      <c r="A3911" s="113"/>
      <c r="B3911" s="58" t="s">
        <v>10168</v>
      </c>
      <c r="C3911" s="58" t="s">
        <v>10127</v>
      </c>
      <c r="D3911" s="58" t="s">
        <v>10169</v>
      </c>
      <c r="E3911" s="60" t="b">
        <v>1</v>
      </c>
      <c r="F3911" s="80" t="s">
        <v>1219</v>
      </c>
      <c r="G3911" s="58" t="s">
        <v>10168</v>
      </c>
      <c r="H3911" s="58" t="s">
        <v>1678</v>
      </c>
      <c r="I3911" s="64" t="s">
        <v>10169</v>
      </c>
      <c r="J3911" s="66"/>
      <c r="K3911" s="66"/>
      <c r="L3911" s="68"/>
      <c r="M3911" s="63" t="str">
        <f>HYPERLINK("http://nsgreg.nga.mil/genc/view?v=868756&amp;end_month=12&amp;end_day=31&amp;end_year=2016","Correlation")</f>
        <v>Correlation</v>
      </c>
    </row>
    <row r="3912" spans="1:13" x14ac:dyDescent="0.2">
      <c r="A3912" s="113"/>
      <c r="B3912" s="58" t="s">
        <v>10170</v>
      </c>
      <c r="C3912" s="58" t="s">
        <v>1413</v>
      </c>
      <c r="D3912" s="58" t="s">
        <v>10173</v>
      </c>
      <c r="E3912" s="60" t="b">
        <v>1</v>
      </c>
      <c r="F3912" s="80" t="s">
        <v>1219</v>
      </c>
      <c r="G3912" s="58" t="s">
        <v>10170</v>
      </c>
      <c r="H3912" s="58" t="s">
        <v>1413</v>
      </c>
      <c r="I3912" s="64" t="s">
        <v>10173</v>
      </c>
      <c r="J3912" s="66"/>
      <c r="K3912" s="66"/>
      <c r="L3912" s="68"/>
      <c r="M3912" s="63" t="str">
        <f>HYPERLINK("http://nsgreg.nga.mil/genc/view?v=868757&amp;end_month=12&amp;end_day=31&amp;end_year=2016","Correlation")</f>
        <v>Correlation</v>
      </c>
    </row>
    <row r="3913" spans="1:13" x14ac:dyDescent="0.2">
      <c r="A3913" s="113"/>
      <c r="B3913" s="58" t="s">
        <v>10172</v>
      </c>
      <c r="C3913" s="58" t="s">
        <v>10077</v>
      </c>
      <c r="D3913" s="58" t="s">
        <v>10171</v>
      </c>
      <c r="E3913" s="60" t="b">
        <v>1</v>
      </c>
      <c r="F3913" s="80" t="s">
        <v>1219</v>
      </c>
      <c r="G3913" s="58" t="s">
        <v>10170</v>
      </c>
      <c r="H3913" s="58" t="s">
        <v>10077</v>
      </c>
      <c r="I3913" s="64" t="s">
        <v>10171</v>
      </c>
      <c r="J3913" s="66"/>
      <c r="K3913" s="66"/>
      <c r="L3913" s="68"/>
      <c r="M3913" s="63" t="str">
        <f>HYPERLINK("http://nsgreg.nga.mil/genc/view?v=868754&amp;end_month=12&amp;end_day=31&amp;end_year=2016","Correlation")</f>
        <v>Correlation</v>
      </c>
    </row>
    <row r="3914" spans="1:13" x14ac:dyDescent="0.2">
      <c r="A3914" s="113"/>
      <c r="B3914" s="58" t="s">
        <v>10174</v>
      </c>
      <c r="C3914" s="58" t="s">
        <v>1413</v>
      </c>
      <c r="D3914" s="58" t="s">
        <v>10175</v>
      </c>
      <c r="E3914" s="60" t="b">
        <v>1</v>
      </c>
      <c r="F3914" s="80" t="s">
        <v>1219</v>
      </c>
      <c r="G3914" s="58" t="s">
        <v>10174</v>
      </c>
      <c r="H3914" s="58" t="s">
        <v>1413</v>
      </c>
      <c r="I3914" s="64" t="s">
        <v>10175</v>
      </c>
      <c r="J3914" s="66"/>
      <c r="K3914" s="66"/>
      <c r="L3914" s="68"/>
      <c r="M3914" s="63" t="str">
        <f>HYPERLINK("http://nsgreg.nga.mil/genc/view?v=868758&amp;end_month=12&amp;end_day=31&amp;end_year=2016","Correlation")</f>
        <v>Correlation</v>
      </c>
    </row>
    <row r="3915" spans="1:13" x14ac:dyDescent="0.2">
      <c r="A3915" s="113"/>
      <c r="B3915" s="58" t="s">
        <v>10178</v>
      </c>
      <c r="C3915" s="58" t="s">
        <v>10077</v>
      </c>
      <c r="D3915" s="58" t="s">
        <v>10177</v>
      </c>
      <c r="E3915" s="60" t="b">
        <v>1</v>
      </c>
      <c r="F3915" s="80" t="s">
        <v>1219</v>
      </c>
      <c r="G3915" s="58" t="s">
        <v>10176</v>
      </c>
      <c r="H3915" s="58" t="s">
        <v>10077</v>
      </c>
      <c r="I3915" s="64" t="s">
        <v>10177</v>
      </c>
      <c r="J3915" s="66"/>
      <c r="K3915" s="66"/>
      <c r="L3915" s="68"/>
      <c r="M3915" s="63" t="str">
        <f>HYPERLINK("http://nsgreg.nga.mil/genc/view?v=868759&amp;end_month=12&amp;end_day=31&amp;end_year=2016","Correlation")</f>
        <v>Correlation</v>
      </c>
    </row>
    <row r="3916" spans="1:13" x14ac:dyDescent="0.2">
      <c r="A3916" s="113"/>
      <c r="B3916" s="58" t="s">
        <v>10179</v>
      </c>
      <c r="C3916" s="58" t="s">
        <v>1413</v>
      </c>
      <c r="D3916" s="58" t="s">
        <v>10180</v>
      </c>
      <c r="E3916" s="60" t="b">
        <v>1</v>
      </c>
      <c r="F3916" s="80" t="s">
        <v>1219</v>
      </c>
      <c r="G3916" s="58" t="s">
        <v>10179</v>
      </c>
      <c r="H3916" s="58" t="s">
        <v>1413</v>
      </c>
      <c r="I3916" s="64" t="s">
        <v>10180</v>
      </c>
      <c r="J3916" s="66"/>
      <c r="K3916" s="66"/>
      <c r="L3916" s="68"/>
      <c r="M3916" s="63" t="str">
        <f>HYPERLINK("http://nsgreg.nga.mil/genc/view?v=868761&amp;end_month=12&amp;end_day=31&amp;end_year=2016","Correlation")</f>
        <v>Correlation</v>
      </c>
    </row>
    <row r="3917" spans="1:13" x14ac:dyDescent="0.2">
      <c r="A3917" s="113"/>
      <c r="B3917" s="58" t="s">
        <v>10101</v>
      </c>
      <c r="C3917" s="58" t="s">
        <v>10077</v>
      </c>
      <c r="D3917" s="58" t="s">
        <v>10100</v>
      </c>
      <c r="E3917" s="60" t="b">
        <v>1</v>
      </c>
      <c r="F3917" s="80" t="s">
        <v>1219</v>
      </c>
      <c r="G3917" s="58" t="s">
        <v>10099</v>
      </c>
      <c r="H3917" s="58" t="s">
        <v>10077</v>
      </c>
      <c r="I3917" s="64" t="s">
        <v>10100</v>
      </c>
      <c r="J3917" s="66"/>
      <c r="K3917" s="66"/>
      <c r="L3917" s="68"/>
      <c r="M3917" s="63" t="str">
        <f>HYPERLINK("http://nsgreg.nga.mil/genc/view?v=868765&amp;end_month=12&amp;end_day=31&amp;end_year=2016","Correlation")</f>
        <v>Correlation</v>
      </c>
    </row>
    <row r="3918" spans="1:13" x14ac:dyDescent="0.2">
      <c r="A3918" s="113"/>
      <c r="B3918" s="58" t="s">
        <v>10181</v>
      </c>
      <c r="C3918" s="58" t="s">
        <v>1413</v>
      </c>
      <c r="D3918" s="58" t="s">
        <v>10182</v>
      </c>
      <c r="E3918" s="60" t="b">
        <v>1</v>
      </c>
      <c r="F3918" s="80" t="s">
        <v>1219</v>
      </c>
      <c r="G3918" s="58" t="s">
        <v>10181</v>
      </c>
      <c r="H3918" s="58" t="s">
        <v>1413</v>
      </c>
      <c r="I3918" s="64" t="s">
        <v>10182</v>
      </c>
      <c r="J3918" s="66"/>
      <c r="K3918" s="66"/>
      <c r="L3918" s="68"/>
      <c r="M3918" s="63" t="str">
        <f>HYPERLINK("http://nsgreg.nga.mil/genc/view?v=868762&amp;end_month=12&amp;end_day=31&amp;end_year=2016","Correlation")</f>
        <v>Correlation</v>
      </c>
    </row>
    <row r="3919" spans="1:13" x14ac:dyDescent="0.2">
      <c r="A3919" s="113"/>
      <c r="B3919" s="58" t="s">
        <v>10183</v>
      </c>
      <c r="C3919" s="58" t="s">
        <v>1413</v>
      </c>
      <c r="D3919" s="58" t="s">
        <v>10184</v>
      </c>
      <c r="E3919" s="60" t="b">
        <v>1</v>
      </c>
      <c r="F3919" s="80" t="s">
        <v>1219</v>
      </c>
      <c r="G3919" s="58" t="s">
        <v>10183</v>
      </c>
      <c r="H3919" s="58" t="s">
        <v>1413</v>
      </c>
      <c r="I3919" s="64" t="s">
        <v>10184</v>
      </c>
      <c r="J3919" s="66"/>
      <c r="K3919" s="66"/>
      <c r="L3919" s="68"/>
      <c r="M3919" s="63" t="str">
        <f>HYPERLINK("http://nsgreg.nga.mil/genc/view?v=868764&amp;end_month=12&amp;end_day=31&amp;end_year=2016","Correlation")</f>
        <v>Correlation</v>
      </c>
    </row>
    <row r="3920" spans="1:13" x14ac:dyDescent="0.2">
      <c r="A3920" s="113"/>
      <c r="B3920" s="58" t="s">
        <v>10185</v>
      </c>
      <c r="C3920" s="58" t="s">
        <v>1413</v>
      </c>
      <c r="D3920" s="58" t="s">
        <v>10186</v>
      </c>
      <c r="E3920" s="60" t="b">
        <v>1</v>
      </c>
      <c r="F3920" s="80" t="s">
        <v>1219</v>
      </c>
      <c r="G3920" s="58" t="s">
        <v>10185</v>
      </c>
      <c r="H3920" s="58" t="s">
        <v>1413</v>
      </c>
      <c r="I3920" s="64" t="s">
        <v>10186</v>
      </c>
      <c r="J3920" s="66"/>
      <c r="K3920" s="66"/>
      <c r="L3920" s="68"/>
      <c r="M3920" s="63" t="str">
        <f>HYPERLINK("http://nsgreg.nga.mil/genc/view?v=868768&amp;end_month=12&amp;end_day=31&amp;end_year=2016","Correlation")</f>
        <v>Correlation</v>
      </c>
    </row>
    <row r="3921" spans="1:13" x14ac:dyDescent="0.2">
      <c r="A3921" s="113"/>
      <c r="B3921" s="58" t="s">
        <v>10187</v>
      </c>
      <c r="C3921" s="58" t="s">
        <v>1413</v>
      </c>
      <c r="D3921" s="58" t="s">
        <v>10188</v>
      </c>
      <c r="E3921" s="60" t="b">
        <v>1</v>
      </c>
      <c r="F3921" s="80" t="s">
        <v>1219</v>
      </c>
      <c r="G3921" s="58" t="s">
        <v>10187</v>
      </c>
      <c r="H3921" s="58" t="s">
        <v>1413</v>
      </c>
      <c r="I3921" s="64" t="s">
        <v>10188</v>
      </c>
      <c r="J3921" s="66"/>
      <c r="K3921" s="66"/>
      <c r="L3921" s="68"/>
      <c r="M3921" s="63" t="str">
        <f>HYPERLINK("http://nsgreg.nga.mil/genc/view?v=868775&amp;end_month=12&amp;end_day=31&amp;end_year=2016","Correlation")</f>
        <v>Correlation</v>
      </c>
    </row>
    <row r="3922" spans="1:13" x14ac:dyDescent="0.2">
      <c r="A3922" s="113"/>
      <c r="B3922" s="58" t="s">
        <v>10189</v>
      </c>
      <c r="C3922" s="58" t="s">
        <v>1413</v>
      </c>
      <c r="D3922" s="58" t="s">
        <v>10190</v>
      </c>
      <c r="E3922" s="60" t="b">
        <v>1</v>
      </c>
      <c r="F3922" s="80" t="s">
        <v>1219</v>
      </c>
      <c r="G3922" s="58" t="s">
        <v>10189</v>
      </c>
      <c r="H3922" s="58" t="s">
        <v>1413</v>
      </c>
      <c r="I3922" s="64" t="s">
        <v>10190</v>
      </c>
      <c r="J3922" s="66"/>
      <c r="K3922" s="66"/>
      <c r="L3922" s="68"/>
      <c r="M3922" s="63" t="str">
        <f>HYPERLINK("http://nsgreg.nga.mil/genc/view?v=868770&amp;end_month=12&amp;end_day=31&amp;end_year=2016","Correlation")</f>
        <v>Correlation</v>
      </c>
    </row>
    <row r="3923" spans="1:13" x14ac:dyDescent="0.2">
      <c r="A3923" s="113"/>
      <c r="B3923" s="58" t="s">
        <v>10191</v>
      </c>
      <c r="C3923" s="58" t="s">
        <v>1413</v>
      </c>
      <c r="D3923" s="58" t="s">
        <v>10192</v>
      </c>
      <c r="E3923" s="60" t="b">
        <v>1</v>
      </c>
      <c r="F3923" s="80" t="s">
        <v>1219</v>
      </c>
      <c r="G3923" s="58" t="s">
        <v>10191</v>
      </c>
      <c r="H3923" s="58" t="s">
        <v>1413</v>
      </c>
      <c r="I3923" s="64" t="s">
        <v>10192</v>
      </c>
      <c r="J3923" s="66"/>
      <c r="K3923" s="66"/>
      <c r="L3923" s="68"/>
      <c r="M3923" s="63" t="str">
        <f>HYPERLINK("http://nsgreg.nga.mil/genc/view?v=868769&amp;end_month=12&amp;end_day=31&amp;end_year=2016","Correlation")</f>
        <v>Correlation</v>
      </c>
    </row>
    <row r="3924" spans="1:13" x14ac:dyDescent="0.2">
      <c r="A3924" s="113"/>
      <c r="B3924" s="58" t="s">
        <v>10193</v>
      </c>
      <c r="C3924" s="58" t="s">
        <v>1413</v>
      </c>
      <c r="D3924" s="58" t="s">
        <v>10194</v>
      </c>
      <c r="E3924" s="60" t="b">
        <v>1</v>
      </c>
      <c r="F3924" s="80" t="s">
        <v>1219</v>
      </c>
      <c r="G3924" s="58" t="s">
        <v>10193</v>
      </c>
      <c r="H3924" s="58" t="s">
        <v>1413</v>
      </c>
      <c r="I3924" s="64" t="s">
        <v>10194</v>
      </c>
      <c r="J3924" s="66"/>
      <c r="K3924" s="66"/>
      <c r="L3924" s="68"/>
      <c r="M3924" s="63" t="str">
        <f>HYPERLINK("http://nsgreg.nga.mil/genc/view?v=868771&amp;end_month=12&amp;end_day=31&amp;end_year=2016","Correlation")</f>
        <v>Correlation</v>
      </c>
    </row>
    <row r="3925" spans="1:13" x14ac:dyDescent="0.2">
      <c r="A3925" s="113"/>
      <c r="B3925" s="58" t="s">
        <v>10195</v>
      </c>
      <c r="C3925" s="58" t="s">
        <v>1413</v>
      </c>
      <c r="D3925" s="58" t="s">
        <v>10196</v>
      </c>
      <c r="E3925" s="60" t="b">
        <v>1</v>
      </c>
      <c r="F3925" s="80" t="s">
        <v>1219</v>
      </c>
      <c r="G3925" s="58" t="s">
        <v>10195</v>
      </c>
      <c r="H3925" s="58" t="s">
        <v>1413</v>
      </c>
      <c r="I3925" s="64" t="s">
        <v>10196</v>
      </c>
      <c r="J3925" s="66"/>
      <c r="K3925" s="66"/>
      <c r="L3925" s="68"/>
      <c r="M3925" s="63" t="str">
        <f>HYPERLINK("http://nsgreg.nga.mil/genc/view?v=868773&amp;end_month=12&amp;end_day=31&amp;end_year=2016","Correlation")</f>
        <v>Correlation</v>
      </c>
    </row>
    <row r="3926" spans="1:13" x14ac:dyDescent="0.2">
      <c r="A3926" s="113"/>
      <c r="B3926" s="58" t="s">
        <v>10197</v>
      </c>
      <c r="C3926" s="58" t="s">
        <v>1413</v>
      </c>
      <c r="D3926" s="58" t="s">
        <v>10198</v>
      </c>
      <c r="E3926" s="60" t="b">
        <v>1</v>
      </c>
      <c r="F3926" s="80" t="s">
        <v>1219</v>
      </c>
      <c r="G3926" s="58" t="s">
        <v>10197</v>
      </c>
      <c r="H3926" s="58" t="s">
        <v>1413</v>
      </c>
      <c r="I3926" s="64" t="s">
        <v>10198</v>
      </c>
      <c r="J3926" s="66"/>
      <c r="K3926" s="66"/>
      <c r="L3926" s="68"/>
      <c r="M3926" s="63" t="str">
        <f>HYPERLINK("http://nsgreg.nga.mil/genc/view?v=868774&amp;end_month=12&amp;end_day=31&amp;end_year=2016","Correlation")</f>
        <v>Correlation</v>
      </c>
    </row>
    <row r="3927" spans="1:13" x14ac:dyDescent="0.2">
      <c r="A3927" s="113"/>
      <c r="B3927" s="58" t="s">
        <v>2291</v>
      </c>
      <c r="C3927" s="58" t="s">
        <v>1413</v>
      </c>
      <c r="D3927" s="58" t="s">
        <v>10199</v>
      </c>
      <c r="E3927" s="60" t="b">
        <v>1</v>
      </c>
      <c r="F3927" s="80" t="s">
        <v>1219</v>
      </c>
      <c r="G3927" s="58" t="s">
        <v>2291</v>
      </c>
      <c r="H3927" s="58" t="s">
        <v>1413</v>
      </c>
      <c r="I3927" s="64" t="s">
        <v>10199</v>
      </c>
      <c r="J3927" s="66"/>
      <c r="K3927" s="66"/>
      <c r="L3927" s="68"/>
      <c r="M3927" s="63" t="str">
        <f>HYPERLINK("http://nsgreg.nga.mil/genc/view?v=868776&amp;end_month=12&amp;end_day=31&amp;end_year=2016","Correlation")</f>
        <v>Correlation</v>
      </c>
    </row>
    <row r="3928" spans="1:13" x14ac:dyDescent="0.2">
      <c r="A3928" s="113"/>
      <c r="B3928" s="58" t="s">
        <v>10200</v>
      </c>
      <c r="C3928" s="58" t="s">
        <v>1413</v>
      </c>
      <c r="D3928" s="58" t="s">
        <v>10203</v>
      </c>
      <c r="E3928" s="60" t="b">
        <v>1</v>
      </c>
      <c r="F3928" s="80" t="s">
        <v>1219</v>
      </c>
      <c r="G3928" s="58" t="s">
        <v>10200</v>
      </c>
      <c r="H3928" s="58" t="s">
        <v>1413</v>
      </c>
      <c r="I3928" s="64" t="s">
        <v>10203</v>
      </c>
      <c r="J3928" s="66"/>
      <c r="K3928" s="66"/>
      <c r="L3928" s="68"/>
      <c r="M3928" s="63" t="str">
        <f>HYPERLINK("http://nsgreg.nga.mil/genc/view?v=868777&amp;end_month=12&amp;end_day=31&amp;end_year=2016","Correlation")</f>
        <v>Correlation</v>
      </c>
    </row>
    <row r="3929" spans="1:13" x14ac:dyDescent="0.2">
      <c r="A3929" s="113"/>
      <c r="B3929" s="58" t="s">
        <v>10202</v>
      </c>
      <c r="C3929" s="58" t="s">
        <v>10077</v>
      </c>
      <c r="D3929" s="58" t="s">
        <v>10201</v>
      </c>
      <c r="E3929" s="60" t="b">
        <v>1</v>
      </c>
      <c r="F3929" s="80" t="s">
        <v>1219</v>
      </c>
      <c r="G3929" s="58" t="s">
        <v>10200</v>
      </c>
      <c r="H3929" s="58" t="s">
        <v>10077</v>
      </c>
      <c r="I3929" s="64" t="s">
        <v>10201</v>
      </c>
      <c r="J3929" s="66"/>
      <c r="K3929" s="66"/>
      <c r="L3929" s="68"/>
      <c r="M3929" s="63" t="str">
        <f>HYPERLINK("http://nsgreg.nga.mil/genc/view?v=868779&amp;end_month=12&amp;end_day=31&amp;end_year=2016","Correlation")</f>
        <v>Correlation</v>
      </c>
    </row>
    <row r="3930" spans="1:13" x14ac:dyDescent="0.2">
      <c r="A3930" s="113"/>
      <c r="B3930" s="58" t="s">
        <v>10204</v>
      </c>
      <c r="C3930" s="58" t="s">
        <v>1413</v>
      </c>
      <c r="D3930" s="58" t="s">
        <v>10205</v>
      </c>
      <c r="E3930" s="60" t="b">
        <v>1</v>
      </c>
      <c r="F3930" s="80" t="s">
        <v>1219</v>
      </c>
      <c r="G3930" s="58" t="s">
        <v>10204</v>
      </c>
      <c r="H3930" s="58" t="s">
        <v>1413</v>
      </c>
      <c r="I3930" s="64" t="s">
        <v>10205</v>
      </c>
      <c r="J3930" s="66"/>
      <c r="K3930" s="66"/>
      <c r="L3930" s="68"/>
      <c r="M3930" s="63" t="str">
        <f>HYPERLINK("http://nsgreg.nga.mil/genc/view?v=868778&amp;end_month=12&amp;end_day=31&amp;end_year=2016","Correlation")</f>
        <v>Correlation</v>
      </c>
    </row>
    <row r="3931" spans="1:13" x14ac:dyDescent="0.2">
      <c r="A3931" s="113"/>
      <c r="B3931" s="58" t="s">
        <v>10209</v>
      </c>
      <c r="C3931" s="58" t="s">
        <v>1413</v>
      </c>
      <c r="D3931" s="58" t="s">
        <v>10210</v>
      </c>
      <c r="E3931" s="60" t="b">
        <v>1</v>
      </c>
      <c r="F3931" s="80" t="s">
        <v>1219</v>
      </c>
      <c r="G3931" s="58" t="s">
        <v>10209</v>
      </c>
      <c r="H3931" s="58" t="s">
        <v>1413</v>
      </c>
      <c r="I3931" s="64" t="s">
        <v>10210</v>
      </c>
      <c r="J3931" s="66"/>
      <c r="K3931" s="66"/>
      <c r="L3931" s="68"/>
      <c r="M3931" s="63" t="str">
        <f>HYPERLINK("http://nsgreg.nga.mil/genc/view?v=868782&amp;end_month=12&amp;end_day=31&amp;end_year=2016","Correlation")</f>
        <v>Correlation</v>
      </c>
    </row>
    <row r="3932" spans="1:13" x14ac:dyDescent="0.2">
      <c r="A3932" s="114"/>
      <c r="B3932" s="71" t="s">
        <v>10211</v>
      </c>
      <c r="C3932" s="71" t="s">
        <v>1413</v>
      </c>
      <c r="D3932" s="71" t="s">
        <v>10212</v>
      </c>
      <c r="E3932" s="73" t="b">
        <v>1</v>
      </c>
      <c r="F3932" s="81" t="s">
        <v>1219</v>
      </c>
      <c r="G3932" s="71" t="s">
        <v>10211</v>
      </c>
      <c r="H3932" s="71" t="s">
        <v>1413</v>
      </c>
      <c r="I3932" s="74" t="s">
        <v>10212</v>
      </c>
      <c r="J3932" s="76"/>
      <c r="K3932" s="76"/>
      <c r="L3932" s="82"/>
      <c r="M3932" s="77" t="str">
        <f>HYPERLINK("http://nsgreg.nga.mil/genc/view?v=868781&amp;end_month=12&amp;end_day=31&amp;end_year=2016","Correlation")</f>
        <v>Correlation</v>
      </c>
    </row>
    <row r="3933" spans="1:13" x14ac:dyDescent="0.2">
      <c r="A3933" s="112" t="s">
        <v>1227</v>
      </c>
      <c r="B3933" s="50" t="s">
        <v>10213</v>
      </c>
      <c r="C3933" s="50" t="s">
        <v>1796</v>
      </c>
      <c r="D3933" s="50" t="s">
        <v>10214</v>
      </c>
      <c r="E3933" s="52" t="b">
        <v>1</v>
      </c>
      <c r="F3933" s="78" t="s">
        <v>1227</v>
      </c>
      <c r="G3933" s="50" t="s">
        <v>10213</v>
      </c>
      <c r="H3933" s="50" t="s">
        <v>1796</v>
      </c>
      <c r="I3933" s="53" t="s">
        <v>10214</v>
      </c>
      <c r="J3933" s="55"/>
      <c r="K3933" s="55"/>
      <c r="L3933" s="79"/>
      <c r="M3933" s="56" t="str">
        <f>HYPERLINK("http://nsgreg.nga.mil/genc/view?v=870029&amp;end_month=12&amp;end_day=31&amp;end_year=2016","Correlation")</f>
        <v>Correlation</v>
      </c>
    </row>
    <row r="3934" spans="1:13" x14ac:dyDescent="0.2">
      <c r="A3934" s="113"/>
      <c r="B3934" s="58" t="s">
        <v>10215</v>
      </c>
      <c r="C3934" s="58" t="s">
        <v>1796</v>
      </c>
      <c r="D3934" s="58" t="s">
        <v>10216</v>
      </c>
      <c r="E3934" s="60" t="b">
        <v>1</v>
      </c>
      <c r="F3934" s="80" t="s">
        <v>1227</v>
      </c>
      <c r="G3934" s="58" t="s">
        <v>10215</v>
      </c>
      <c r="H3934" s="58" t="s">
        <v>1796</v>
      </c>
      <c r="I3934" s="64" t="s">
        <v>10216</v>
      </c>
      <c r="J3934" s="66"/>
      <c r="K3934" s="66"/>
      <c r="L3934" s="68"/>
      <c r="M3934" s="63" t="str">
        <f>HYPERLINK("http://nsgreg.nga.mil/genc/view?v=870035&amp;end_month=12&amp;end_day=31&amp;end_year=2016","Correlation")</f>
        <v>Correlation</v>
      </c>
    </row>
    <row r="3935" spans="1:13" x14ac:dyDescent="0.2">
      <c r="A3935" s="113"/>
      <c r="B3935" s="58" t="s">
        <v>10217</v>
      </c>
      <c r="C3935" s="58" t="s">
        <v>1796</v>
      </c>
      <c r="D3935" s="58" t="s">
        <v>10218</v>
      </c>
      <c r="E3935" s="60" t="b">
        <v>1</v>
      </c>
      <c r="F3935" s="80" t="s">
        <v>1227</v>
      </c>
      <c r="G3935" s="58" t="s">
        <v>10217</v>
      </c>
      <c r="H3935" s="58" t="s">
        <v>1796</v>
      </c>
      <c r="I3935" s="64" t="s">
        <v>10218</v>
      </c>
      <c r="J3935" s="66"/>
      <c r="K3935" s="66"/>
      <c r="L3935" s="68"/>
      <c r="M3935" s="63" t="str">
        <f>HYPERLINK("http://nsgreg.nga.mil/genc/view?v=870038&amp;end_month=12&amp;end_day=31&amp;end_year=2016","Correlation")</f>
        <v>Correlation</v>
      </c>
    </row>
    <row r="3936" spans="1:13" x14ac:dyDescent="0.2">
      <c r="A3936" s="113"/>
      <c r="B3936" s="58" t="s">
        <v>10219</v>
      </c>
      <c r="C3936" s="58" t="s">
        <v>1796</v>
      </c>
      <c r="D3936" s="58" t="s">
        <v>10220</v>
      </c>
      <c r="E3936" s="60" t="b">
        <v>1</v>
      </c>
      <c r="F3936" s="80" t="s">
        <v>1227</v>
      </c>
      <c r="G3936" s="58" t="s">
        <v>10219</v>
      </c>
      <c r="H3936" s="58" t="s">
        <v>1796</v>
      </c>
      <c r="I3936" s="64" t="s">
        <v>10220</v>
      </c>
      <c r="J3936" s="66"/>
      <c r="K3936" s="66"/>
      <c r="L3936" s="68"/>
      <c r="M3936" s="63" t="str">
        <f>HYPERLINK("http://nsgreg.nga.mil/genc/view?v=870028&amp;end_month=12&amp;end_day=31&amp;end_year=2016","Correlation")</f>
        <v>Correlation</v>
      </c>
    </row>
    <row r="3937" spans="1:13" x14ac:dyDescent="0.2">
      <c r="A3937" s="113"/>
      <c r="B3937" s="58" t="s">
        <v>10222</v>
      </c>
      <c r="C3937" s="58" t="s">
        <v>1413</v>
      </c>
      <c r="D3937" s="58" t="s">
        <v>10221</v>
      </c>
      <c r="E3937" s="60" t="b">
        <v>1</v>
      </c>
      <c r="F3937" s="80" t="s">
        <v>1227</v>
      </c>
      <c r="G3937" s="58" t="s">
        <v>2411</v>
      </c>
      <c r="H3937" s="58" t="s">
        <v>1413</v>
      </c>
      <c r="I3937" s="64" t="s">
        <v>10221</v>
      </c>
      <c r="J3937" s="66"/>
      <c r="K3937" s="66"/>
      <c r="L3937" s="68"/>
      <c r="M3937" s="63" t="str">
        <f>HYPERLINK("http://nsgreg.nga.mil/genc/view?v=870013&amp;end_month=12&amp;end_day=31&amp;end_year=2016","Correlation")</f>
        <v>Correlation</v>
      </c>
    </row>
    <row r="3938" spans="1:13" x14ac:dyDescent="0.2">
      <c r="A3938" s="113"/>
      <c r="B3938" s="58" t="s">
        <v>10223</v>
      </c>
      <c r="C3938" s="58" t="s">
        <v>1796</v>
      </c>
      <c r="D3938" s="58" t="s">
        <v>10224</v>
      </c>
      <c r="E3938" s="60" t="b">
        <v>1</v>
      </c>
      <c r="F3938" s="80" t="s">
        <v>1227</v>
      </c>
      <c r="G3938" s="58" t="s">
        <v>10223</v>
      </c>
      <c r="H3938" s="58" t="s">
        <v>1796</v>
      </c>
      <c r="I3938" s="64" t="s">
        <v>10224</v>
      </c>
      <c r="J3938" s="66"/>
      <c r="K3938" s="66"/>
      <c r="L3938" s="68"/>
      <c r="M3938" s="63" t="str">
        <f>HYPERLINK("http://nsgreg.nga.mil/genc/view?v=870010&amp;end_month=12&amp;end_day=31&amp;end_year=2016","Correlation")</f>
        <v>Correlation</v>
      </c>
    </row>
    <row r="3939" spans="1:13" x14ac:dyDescent="0.2">
      <c r="A3939" s="113"/>
      <c r="B3939" s="58" t="s">
        <v>8906</v>
      </c>
      <c r="C3939" s="58" t="s">
        <v>1413</v>
      </c>
      <c r="D3939" s="58" t="s">
        <v>10225</v>
      </c>
      <c r="E3939" s="60" t="b">
        <v>1</v>
      </c>
      <c r="F3939" s="80" t="s">
        <v>1227</v>
      </c>
      <c r="G3939" s="58" t="s">
        <v>4055</v>
      </c>
      <c r="H3939" s="58" t="s">
        <v>1413</v>
      </c>
      <c r="I3939" s="64" t="s">
        <v>10225</v>
      </c>
      <c r="J3939" s="66"/>
      <c r="K3939" s="66"/>
      <c r="L3939" s="68"/>
      <c r="M3939" s="63" t="str">
        <f>HYPERLINK("http://nsgreg.nga.mil/genc/view?v=870027&amp;end_month=12&amp;end_day=31&amp;end_year=2016","Correlation")</f>
        <v>Correlation</v>
      </c>
    </row>
    <row r="3940" spans="1:13" x14ac:dyDescent="0.2">
      <c r="A3940" s="113"/>
      <c r="B3940" s="58" t="s">
        <v>10226</v>
      </c>
      <c r="C3940" s="58" t="s">
        <v>1796</v>
      </c>
      <c r="D3940" s="58" t="s">
        <v>10227</v>
      </c>
      <c r="E3940" s="60" t="b">
        <v>1</v>
      </c>
      <c r="F3940" s="80" t="s">
        <v>1227</v>
      </c>
      <c r="G3940" s="58" t="s">
        <v>10226</v>
      </c>
      <c r="H3940" s="58" t="s">
        <v>1796</v>
      </c>
      <c r="I3940" s="64" t="s">
        <v>10227</v>
      </c>
      <c r="J3940" s="66"/>
      <c r="K3940" s="66"/>
      <c r="L3940" s="68"/>
      <c r="M3940" s="63" t="str">
        <f>HYPERLINK("http://nsgreg.nga.mil/genc/view?v=870018&amp;end_month=12&amp;end_day=31&amp;end_year=2016","Correlation")</f>
        <v>Correlation</v>
      </c>
    </row>
    <row r="3941" spans="1:13" x14ac:dyDescent="0.2">
      <c r="A3941" s="113"/>
      <c r="B3941" s="58" t="s">
        <v>10228</v>
      </c>
      <c r="C3941" s="58" t="s">
        <v>1796</v>
      </c>
      <c r="D3941" s="58" t="s">
        <v>10229</v>
      </c>
      <c r="E3941" s="60" t="b">
        <v>1</v>
      </c>
      <c r="F3941" s="80" t="s">
        <v>1227</v>
      </c>
      <c r="G3941" s="58" t="s">
        <v>10228</v>
      </c>
      <c r="H3941" s="58" t="s">
        <v>1796</v>
      </c>
      <c r="I3941" s="64" t="s">
        <v>10229</v>
      </c>
      <c r="J3941" s="66"/>
      <c r="K3941" s="66"/>
      <c r="L3941" s="68"/>
      <c r="M3941" s="63" t="str">
        <f>HYPERLINK("http://nsgreg.nga.mil/genc/view?v=870011&amp;end_month=12&amp;end_day=31&amp;end_year=2016","Correlation")</f>
        <v>Correlation</v>
      </c>
    </row>
    <row r="3942" spans="1:13" x14ac:dyDescent="0.2">
      <c r="A3942" s="113"/>
      <c r="B3942" s="58" t="s">
        <v>10230</v>
      </c>
      <c r="C3942" s="58" t="s">
        <v>1796</v>
      </c>
      <c r="D3942" s="58" t="s">
        <v>10231</v>
      </c>
      <c r="E3942" s="60" t="b">
        <v>1</v>
      </c>
      <c r="F3942" s="80" t="s">
        <v>1227</v>
      </c>
      <c r="G3942" s="58" t="s">
        <v>10230</v>
      </c>
      <c r="H3942" s="58" t="s">
        <v>1796</v>
      </c>
      <c r="I3942" s="64" t="s">
        <v>10231</v>
      </c>
      <c r="J3942" s="66"/>
      <c r="K3942" s="66"/>
      <c r="L3942" s="68"/>
      <c r="M3942" s="63" t="str">
        <f>HYPERLINK("http://nsgreg.nga.mil/genc/view?v=870020&amp;end_month=12&amp;end_day=31&amp;end_year=2016","Correlation")</f>
        <v>Correlation</v>
      </c>
    </row>
    <row r="3943" spans="1:13" x14ac:dyDescent="0.2">
      <c r="A3943" s="113"/>
      <c r="B3943" s="58" t="s">
        <v>10232</v>
      </c>
      <c r="C3943" s="58" t="s">
        <v>1796</v>
      </c>
      <c r="D3943" s="58" t="s">
        <v>10233</v>
      </c>
      <c r="E3943" s="60" t="b">
        <v>1</v>
      </c>
      <c r="F3943" s="80" t="s">
        <v>1227</v>
      </c>
      <c r="G3943" s="58" t="s">
        <v>10232</v>
      </c>
      <c r="H3943" s="58" t="s">
        <v>1796</v>
      </c>
      <c r="I3943" s="64" t="s">
        <v>10233</v>
      </c>
      <c r="J3943" s="66"/>
      <c r="K3943" s="66"/>
      <c r="L3943" s="68"/>
      <c r="M3943" s="63" t="str">
        <f>HYPERLINK("http://nsgreg.nga.mil/genc/view?v=870022&amp;end_month=12&amp;end_day=31&amp;end_year=2016","Correlation")</f>
        <v>Correlation</v>
      </c>
    </row>
    <row r="3944" spans="1:13" x14ac:dyDescent="0.2">
      <c r="A3944" s="113"/>
      <c r="B3944" s="58" t="s">
        <v>10234</v>
      </c>
      <c r="C3944" s="58" t="s">
        <v>1796</v>
      </c>
      <c r="D3944" s="58" t="s">
        <v>10235</v>
      </c>
      <c r="E3944" s="60" t="b">
        <v>1</v>
      </c>
      <c r="F3944" s="80" t="s">
        <v>1227</v>
      </c>
      <c r="G3944" s="58" t="s">
        <v>10234</v>
      </c>
      <c r="H3944" s="58" t="s">
        <v>1796</v>
      </c>
      <c r="I3944" s="64" t="s">
        <v>10235</v>
      </c>
      <c r="J3944" s="66"/>
      <c r="K3944" s="66"/>
      <c r="L3944" s="68"/>
      <c r="M3944" s="63" t="str">
        <f>HYPERLINK("http://nsgreg.nga.mil/genc/view?v=870012&amp;end_month=12&amp;end_day=31&amp;end_year=2016","Correlation")</f>
        <v>Correlation</v>
      </c>
    </row>
    <row r="3945" spans="1:13" x14ac:dyDescent="0.2">
      <c r="A3945" s="113"/>
      <c r="B3945" s="58" t="s">
        <v>10236</v>
      </c>
      <c r="C3945" s="58" t="s">
        <v>1796</v>
      </c>
      <c r="D3945" s="58" t="s">
        <v>10237</v>
      </c>
      <c r="E3945" s="60" t="b">
        <v>1</v>
      </c>
      <c r="F3945" s="80" t="s">
        <v>1227</v>
      </c>
      <c r="G3945" s="58" t="s">
        <v>10236</v>
      </c>
      <c r="H3945" s="58" t="s">
        <v>1796</v>
      </c>
      <c r="I3945" s="64" t="s">
        <v>10237</v>
      </c>
      <c r="J3945" s="66"/>
      <c r="K3945" s="66"/>
      <c r="L3945" s="68"/>
      <c r="M3945" s="63" t="str">
        <f>HYPERLINK("http://nsgreg.nga.mil/genc/view?v=870014&amp;end_month=12&amp;end_day=31&amp;end_year=2016","Correlation")</f>
        <v>Correlation</v>
      </c>
    </row>
    <row r="3946" spans="1:13" x14ac:dyDescent="0.2">
      <c r="A3946" s="113"/>
      <c r="B3946" s="58" t="s">
        <v>10238</v>
      </c>
      <c r="C3946" s="58" t="s">
        <v>1796</v>
      </c>
      <c r="D3946" s="58" t="s">
        <v>10239</v>
      </c>
      <c r="E3946" s="60" t="b">
        <v>1</v>
      </c>
      <c r="F3946" s="80" t="s">
        <v>1227</v>
      </c>
      <c r="G3946" s="58" t="s">
        <v>10238</v>
      </c>
      <c r="H3946" s="58" t="s">
        <v>1796</v>
      </c>
      <c r="I3946" s="64" t="s">
        <v>10239</v>
      </c>
      <c r="J3946" s="66"/>
      <c r="K3946" s="66"/>
      <c r="L3946" s="68"/>
      <c r="M3946" s="63" t="str">
        <f>HYPERLINK("http://nsgreg.nga.mil/genc/view?v=870042&amp;end_month=12&amp;end_day=31&amp;end_year=2016","Correlation")</f>
        <v>Correlation</v>
      </c>
    </row>
    <row r="3947" spans="1:13" x14ac:dyDescent="0.2">
      <c r="A3947" s="113"/>
      <c r="B3947" s="58" t="s">
        <v>10240</v>
      </c>
      <c r="C3947" s="58" t="s">
        <v>1796</v>
      </c>
      <c r="D3947" s="58" t="s">
        <v>10241</v>
      </c>
      <c r="E3947" s="60" t="b">
        <v>1</v>
      </c>
      <c r="F3947" s="80" t="s">
        <v>1227</v>
      </c>
      <c r="G3947" s="58" t="s">
        <v>10240</v>
      </c>
      <c r="H3947" s="58" t="s">
        <v>1796</v>
      </c>
      <c r="I3947" s="64" t="s">
        <v>10241</v>
      </c>
      <c r="J3947" s="66"/>
      <c r="K3947" s="66"/>
      <c r="L3947" s="68"/>
      <c r="M3947" s="63" t="str">
        <f>HYPERLINK("http://nsgreg.nga.mil/genc/view?v=870023&amp;end_month=12&amp;end_day=31&amp;end_year=2016","Correlation")</f>
        <v>Correlation</v>
      </c>
    </row>
    <row r="3948" spans="1:13" x14ac:dyDescent="0.2">
      <c r="A3948" s="113"/>
      <c r="B3948" s="58" t="s">
        <v>10242</v>
      </c>
      <c r="C3948" s="58" t="s">
        <v>1796</v>
      </c>
      <c r="D3948" s="58" t="s">
        <v>10243</v>
      </c>
      <c r="E3948" s="60" t="b">
        <v>1</v>
      </c>
      <c r="F3948" s="80" t="s">
        <v>1227</v>
      </c>
      <c r="G3948" s="58" t="s">
        <v>10242</v>
      </c>
      <c r="H3948" s="58" t="s">
        <v>1796</v>
      </c>
      <c r="I3948" s="64" t="s">
        <v>10243</v>
      </c>
      <c r="J3948" s="66"/>
      <c r="K3948" s="66"/>
      <c r="L3948" s="68"/>
      <c r="M3948" s="63" t="str">
        <f>HYPERLINK("http://nsgreg.nga.mil/genc/view?v=870032&amp;end_month=12&amp;end_day=31&amp;end_year=2016","Correlation")</f>
        <v>Correlation</v>
      </c>
    </row>
    <row r="3949" spans="1:13" x14ac:dyDescent="0.2">
      <c r="A3949" s="113"/>
      <c r="B3949" s="58" t="s">
        <v>10244</v>
      </c>
      <c r="C3949" s="58" t="s">
        <v>1796</v>
      </c>
      <c r="D3949" s="58" t="s">
        <v>10245</v>
      </c>
      <c r="E3949" s="60" t="b">
        <v>1</v>
      </c>
      <c r="F3949" s="80" t="s">
        <v>1227</v>
      </c>
      <c r="G3949" s="58" t="s">
        <v>10244</v>
      </c>
      <c r="H3949" s="58" t="s">
        <v>1796</v>
      </c>
      <c r="I3949" s="64" t="s">
        <v>10245</v>
      </c>
      <c r="J3949" s="66"/>
      <c r="K3949" s="66"/>
      <c r="L3949" s="68"/>
      <c r="M3949" s="63" t="str">
        <f>HYPERLINK("http://nsgreg.nga.mil/genc/view?v=870024&amp;end_month=12&amp;end_day=31&amp;end_year=2016","Correlation")</f>
        <v>Correlation</v>
      </c>
    </row>
    <row r="3950" spans="1:13" x14ac:dyDescent="0.2">
      <c r="A3950" s="113"/>
      <c r="B3950" s="58" t="s">
        <v>10246</v>
      </c>
      <c r="C3950" s="58" t="s">
        <v>1796</v>
      </c>
      <c r="D3950" s="58" t="s">
        <v>10247</v>
      </c>
      <c r="E3950" s="60" t="b">
        <v>1</v>
      </c>
      <c r="F3950" s="80" t="s">
        <v>1227</v>
      </c>
      <c r="G3950" s="58" t="s">
        <v>10246</v>
      </c>
      <c r="H3950" s="58" t="s">
        <v>1796</v>
      </c>
      <c r="I3950" s="64" t="s">
        <v>10247</v>
      </c>
      <c r="J3950" s="66"/>
      <c r="K3950" s="66"/>
      <c r="L3950" s="68"/>
      <c r="M3950" s="63" t="str">
        <f>HYPERLINK("http://nsgreg.nga.mil/genc/view?v=870015&amp;end_month=12&amp;end_day=31&amp;end_year=2016","Correlation")</f>
        <v>Correlation</v>
      </c>
    </row>
    <row r="3951" spans="1:13" x14ac:dyDescent="0.2">
      <c r="A3951" s="113"/>
      <c r="B3951" s="58" t="s">
        <v>10248</v>
      </c>
      <c r="C3951" s="58" t="s">
        <v>1796</v>
      </c>
      <c r="D3951" s="58" t="s">
        <v>10249</v>
      </c>
      <c r="E3951" s="60" t="b">
        <v>1</v>
      </c>
      <c r="F3951" s="80" t="s">
        <v>1227</v>
      </c>
      <c r="G3951" s="58" t="s">
        <v>10248</v>
      </c>
      <c r="H3951" s="58" t="s">
        <v>1796</v>
      </c>
      <c r="I3951" s="64" t="s">
        <v>10249</v>
      </c>
      <c r="J3951" s="66"/>
      <c r="K3951" s="66"/>
      <c r="L3951" s="68"/>
      <c r="M3951" s="63" t="str">
        <f>HYPERLINK("http://nsgreg.nga.mil/genc/view?v=870019&amp;end_month=12&amp;end_day=31&amp;end_year=2016","Correlation")</f>
        <v>Correlation</v>
      </c>
    </row>
    <row r="3952" spans="1:13" x14ac:dyDescent="0.2">
      <c r="A3952" s="113"/>
      <c r="B3952" s="58" t="s">
        <v>10250</v>
      </c>
      <c r="C3952" s="58" t="s">
        <v>1796</v>
      </c>
      <c r="D3952" s="58" t="s">
        <v>10251</v>
      </c>
      <c r="E3952" s="60" t="b">
        <v>1</v>
      </c>
      <c r="F3952" s="80" t="s">
        <v>1227</v>
      </c>
      <c r="G3952" s="58" t="s">
        <v>10250</v>
      </c>
      <c r="H3952" s="58" t="s">
        <v>1796</v>
      </c>
      <c r="I3952" s="64" t="s">
        <v>10251</v>
      </c>
      <c r="J3952" s="66"/>
      <c r="K3952" s="66"/>
      <c r="L3952" s="68"/>
      <c r="M3952" s="63" t="str">
        <f>HYPERLINK("http://nsgreg.nga.mil/genc/view?v=870039&amp;end_month=12&amp;end_day=31&amp;end_year=2016","Correlation")</f>
        <v>Correlation</v>
      </c>
    </row>
    <row r="3953" spans="1:13" x14ac:dyDescent="0.2">
      <c r="A3953" s="113"/>
      <c r="B3953" s="58" t="s">
        <v>10252</v>
      </c>
      <c r="C3953" s="58" t="s">
        <v>1796</v>
      </c>
      <c r="D3953" s="58" t="s">
        <v>10253</v>
      </c>
      <c r="E3953" s="60" t="b">
        <v>1</v>
      </c>
      <c r="F3953" s="80" t="s">
        <v>1227</v>
      </c>
      <c r="G3953" s="58" t="s">
        <v>10252</v>
      </c>
      <c r="H3953" s="58" t="s">
        <v>1796</v>
      </c>
      <c r="I3953" s="64" t="s">
        <v>10253</v>
      </c>
      <c r="J3953" s="66"/>
      <c r="K3953" s="66"/>
      <c r="L3953" s="68"/>
      <c r="M3953" s="63" t="str">
        <f>HYPERLINK("http://nsgreg.nga.mil/genc/view?v=870026&amp;end_month=12&amp;end_day=31&amp;end_year=2016","Correlation")</f>
        <v>Correlation</v>
      </c>
    </row>
    <row r="3954" spans="1:13" x14ac:dyDescent="0.2">
      <c r="A3954" s="113"/>
      <c r="B3954" s="58" t="s">
        <v>10255</v>
      </c>
      <c r="C3954" s="58" t="s">
        <v>1413</v>
      </c>
      <c r="D3954" s="58" t="s">
        <v>10254</v>
      </c>
      <c r="E3954" s="60" t="b">
        <v>1</v>
      </c>
      <c r="F3954" s="80" t="s">
        <v>1227</v>
      </c>
      <c r="G3954" s="58" t="s">
        <v>6995</v>
      </c>
      <c r="H3954" s="58" t="s">
        <v>1413</v>
      </c>
      <c r="I3954" s="64" t="s">
        <v>10254</v>
      </c>
      <c r="J3954" s="66"/>
      <c r="K3954" s="66"/>
      <c r="L3954" s="68"/>
      <c r="M3954" s="63" t="str">
        <f>HYPERLINK("http://nsgreg.nga.mil/genc/view?v=870021&amp;end_month=12&amp;end_day=31&amp;end_year=2016","Correlation")</f>
        <v>Correlation</v>
      </c>
    </row>
    <row r="3955" spans="1:13" x14ac:dyDescent="0.2">
      <c r="A3955" s="113"/>
      <c r="B3955" s="58" t="s">
        <v>8911</v>
      </c>
      <c r="C3955" s="58" t="s">
        <v>1413</v>
      </c>
      <c r="D3955" s="58" t="s">
        <v>10256</v>
      </c>
      <c r="E3955" s="60" t="b">
        <v>1</v>
      </c>
      <c r="F3955" s="80" t="s">
        <v>1227</v>
      </c>
      <c r="G3955" s="58" t="s">
        <v>4071</v>
      </c>
      <c r="H3955" s="58" t="s">
        <v>1413</v>
      </c>
      <c r="I3955" s="64" t="s">
        <v>10256</v>
      </c>
      <c r="J3955" s="66"/>
      <c r="K3955" s="66"/>
      <c r="L3955" s="68"/>
      <c r="M3955" s="63" t="str">
        <f>HYPERLINK("http://nsgreg.nga.mil/genc/view?v=870034&amp;end_month=12&amp;end_day=31&amp;end_year=2016","Correlation")</f>
        <v>Correlation</v>
      </c>
    </row>
    <row r="3956" spans="1:13" x14ac:dyDescent="0.2">
      <c r="A3956" s="113"/>
      <c r="B3956" s="58" t="s">
        <v>10259</v>
      </c>
      <c r="C3956" s="58" t="s">
        <v>1413</v>
      </c>
      <c r="D3956" s="58" t="s">
        <v>10258</v>
      </c>
      <c r="E3956" s="60" t="b">
        <v>1</v>
      </c>
      <c r="F3956" s="80" t="s">
        <v>1227</v>
      </c>
      <c r="G3956" s="58" t="s">
        <v>10257</v>
      </c>
      <c r="H3956" s="58" t="s">
        <v>1413</v>
      </c>
      <c r="I3956" s="64" t="s">
        <v>10258</v>
      </c>
      <c r="J3956" s="66"/>
      <c r="K3956" s="66"/>
      <c r="L3956" s="68"/>
      <c r="M3956" s="63" t="str">
        <f>HYPERLINK("http://nsgreg.nga.mil/genc/view?v=870031&amp;end_month=12&amp;end_day=31&amp;end_year=2016","Correlation")</f>
        <v>Correlation</v>
      </c>
    </row>
    <row r="3957" spans="1:13" x14ac:dyDescent="0.2">
      <c r="A3957" s="113"/>
      <c r="B3957" s="58" t="s">
        <v>10260</v>
      </c>
      <c r="C3957" s="58" t="s">
        <v>1796</v>
      </c>
      <c r="D3957" s="58" t="s">
        <v>10261</v>
      </c>
      <c r="E3957" s="60" t="b">
        <v>1</v>
      </c>
      <c r="F3957" s="80" t="s">
        <v>1227</v>
      </c>
      <c r="G3957" s="58" t="s">
        <v>10260</v>
      </c>
      <c r="H3957" s="58" t="s">
        <v>1796</v>
      </c>
      <c r="I3957" s="64" t="s">
        <v>10261</v>
      </c>
      <c r="J3957" s="66"/>
      <c r="K3957" s="66"/>
      <c r="L3957" s="68"/>
      <c r="M3957" s="63" t="str">
        <f>HYPERLINK("http://nsgreg.nga.mil/genc/view?v=870016&amp;end_month=12&amp;end_day=31&amp;end_year=2016","Correlation")</f>
        <v>Correlation</v>
      </c>
    </row>
    <row r="3958" spans="1:13" x14ac:dyDescent="0.2">
      <c r="A3958" s="113"/>
      <c r="B3958" s="58" t="s">
        <v>10262</v>
      </c>
      <c r="C3958" s="58" t="s">
        <v>1796</v>
      </c>
      <c r="D3958" s="58" t="s">
        <v>10263</v>
      </c>
      <c r="E3958" s="60" t="b">
        <v>1</v>
      </c>
      <c r="F3958" s="80" t="s">
        <v>1227</v>
      </c>
      <c r="G3958" s="58" t="s">
        <v>10262</v>
      </c>
      <c r="H3958" s="58" t="s">
        <v>1796</v>
      </c>
      <c r="I3958" s="64" t="s">
        <v>10263</v>
      </c>
      <c r="J3958" s="66"/>
      <c r="K3958" s="66"/>
      <c r="L3958" s="68"/>
      <c r="M3958" s="63" t="str">
        <f>HYPERLINK("http://nsgreg.nga.mil/genc/view?v=870036&amp;end_month=12&amp;end_day=31&amp;end_year=2016","Correlation")</f>
        <v>Correlation</v>
      </c>
    </row>
    <row r="3959" spans="1:13" x14ac:dyDescent="0.2">
      <c r="A3959" s="113"/>
      <c r="B3959" s="58" t="s">
        <v>10264</v>
      </c>
      <c r="C3959" s="58" t="s">
        <v>1796</v>
      </c>
      <c r="D3959" s="58" t="s">
        <v>10265</v>
      </c>
      <c r="E3959" s="60" t="b">
        <v>1</v>
      </c>
      <c r="F3959" s="80" t="s">
        <v>1227</v>
      </c>
      <c r="G3959" s="58" t="s">
        <v>10264</v>
      </c>
      <c r="H3959" s="58" t="s">
        <v>1796</v>
      </c>
      <c r="I3959" s="64" t="s">
        <v>10265</v>
      </c>
      <c r="J3959" s="66"/>
      <c r="K3959" s="66"/>
      <c r="L3959" s="68"/>
      <c r="M3959" s="63" t="str">
        <f>HYPERLINK("http://nsgreg.nga.mil/genc/view?v=870033&amp;end_month=12&amp;end_day=31&amp;end_year=2016","Correlation")</f>
        <v>Correlation</v>
      </c>
    </row>
    <row r="3960" spans="1:13" x14ac:dyDescent="0.2">
      <c r="A3960" s="113"/>
      <c r="B3960" s="58" t="s">
        <v>10266</v>
      </c>
      <c r="C3960" s="58" t="s">
        <v>1796</v>
      </c>
      <c r="D3960" s="58" t="s">
        <v>10267</v>
      </c>
      <c r="E3960" s="60" t="b">
        <v>1</v>
      </c>
      <c r="F3960" s="80" t="s">
        <v>1227</v>
      </c>
      <c r="G3960" s="58" t="s">
        <v>10266</v>
      </c>
      <c r="H3960" s="58" t="s">
        <v>1796</v>
      </c>
      <c r="I3960" s="64" t="s">
        <v>10267</v>
      </c>
      <c r="J3960" s="66"/>
      <c r="K3960" s="66"/>
      <c r="L3960" s="68"/>
      <c r="M3960" s="63" t="str">
        <f>HYPERLINK("http://nsgreg.nga.mil/genc/view?v=870041&amp;end_month=12&amp;end_day=31&amp;end_year=2016","Correlation")</f>
        <v>Correlation</v>
      </c>
    </row>
    <row r="3961" spans="1:13" x14ac:dyDescent="0.2">
      <c r="A3961" s="113"/>
      <c r="B3961" s="58" t="s">
        <v>10270</v>
      </c>
      <c r="C3961" s="58" t="s">
        <v>1413</v>
      </c>
      <c r="D3961" s="58" t="s">
        <v>10269</v>
      </c>
      <c r="E3961" s="60" t="b">
        <v>1</v>
      </c>
      <c r="F3961" s="80" t="s">
        <v>1227</v>
      </c>
      <c r="G3961" s="58" t="s">
        <v>10268</v>
      </c>
      <c r="H3961" s="58" t="s">
        <v>1413</v>
      </c>
      <c r="I3961" s="64" t="s">
        <v>10269</v>
      </c>
      <c r="J3961" s="66"/>
      <c r="K3961" s="66"/>
      <c r="L3961" s="68"/>
      <c r="M3961" s="63" t="str">
        <f>HYPERLINK("http://nsgreg.nga.mil/genc/view?v=870040&amp;end_month=12&amp;end_day=31&amp;end_year=2016","Correlation")</f>
        <v>Correlation</v>
      </c>
    </row>
    <row r="3962" spans="1:13" x14ac:dyDescent="0.2">
      <c r="A3962" s="113"/>
      <c r="B3962" s="58" t="s">
        <v>8913</v>
      </c>
      <c r="C3962" s="58" t="s">
        <v>1413</v>
      </c>
      <c r="D3962" s="58" t="s">
        <v>10271</v>
      </c>
      <c r="E3962" s="60" t="b">
        <v>1</v>
      </c>
      <c r="F3962" s="80" t="s">
        <v>1227</v>
      </c>
      <c r="G3962" s="58" t="s">
        <v>2440</v>
      </c>
      <c r="H3962" s="58" t="s">
        <v>1413</v>
      </c>
      <c r="I3962" s="64" t="s">
        <v>10271</v>
      </c>
      <c r="J3962" s="66"/>
      <c r="K3962" s="66"/>
      <c r="L3962" s="68"/>
      <c r="M3962" s="63" t="str">
        <f>HYPERLINK("http://nsgreg.nga.mil/genc/view?v=870017&amp;end_month=12&amp;end_day=31&amp;end_year=2016","Correlation")</f>
        <v>Correlation</v>
      </c>
    </row>
    <row r="3963" spans="1:13" x14ac:dyDescent="0.2">
      <c r="A3963" s="113"/>
      <c r="B3963" s="58" t="s">
        <v>10272</v>
      </c>
      <c r="C3963" s="58" t="s">
        <v>1796</v>
      </c>
      <c r="D3963" s="58" t="s">
        <v>10273</v>
      </c>
      <c r="E3963" s="60" t="b">
        <v>1</v>
      </c>
      <c r="F3963" s="80" t="s">
        <v>1227</v>
      </c>
      <c r="G3963" s="58" t="s">
        <v>10272</v>
      </c>
      <c r="H3963" s="58" t="s">
        <v>1796</v>
      </c>
      <c r="I3963" s="64" t="s">
        <v>10273</v>
      </c>
      <c r="J3963" s="66"/>
      <c r="K3963" s="66"/>
      <c r="L3963" s="68"/>
      <c r="M3963" s="63" t="str">
        <f>HYPERLINK("http://nsgreg.nga.mil/genc/view?v=870030&amp;end_month=12&amp;end_day=31&amp;end_year=2016","Correlation")</f>
        <v>Correlation</v>
      </c>
    </row>
    <row r="3964" spans="1:13" x14ac:dyDescent="0.2">
      <c r="A3964" s="113"/>
      <c r="B3964" s="58" t="s">
        <v>10276</v>
      </c>
      <c r="C3964" s="58" t="s">
        <v>1413</v>
      </c>
      <c r="D3964" s="58" t="s">
        <v>10275</v>
      </c>
      <c r="E3964" s="60" t="b">
        <v>1</v>
      </c>
      <c r="F3964" s="80" t="s">
        <v>1227</v>
      </c>
      <c r="G3964" s="58" t="s">
        <v>10274</v>
      </c>
      <c r="H3964" s="58" t="s">
        <v>1413</v>
      </c>
      <c r="I3964" s="64" t="s">
        <v>10275</v>
      </c>
      <c r="J3964" s="66"/>
      <c r="K3964" s="66"/>
      <c r="L3964" s="68"/>
      <c r="M3964" s="63" t="str">
        <f>HYPERLINK("http://nsgreg.nga.mil/genc/view?v=870037&amp;end_month=12&amp;end_day=31&amp;end_year=2016","Correlation")</f>
        <v>Correlation</v>
      </c>
    </row>
    <row r="3965" spans="1:13" x14ac:dyDescent="0.2">
      <c r="A3965" s="113"/>
      <c r="B3965" s="58" t="s">
        <v>10277</v>
      </c>
      <c r="C3965" s="58" t="s">
        <v>1796</v>
      </c>
      <c r="D3965" s="58" t="s">
        <v>10278</v>
      </c>
      <c r="E3965" s="60" t="b">
        <v>1</v>
      </c>
      <c r="F3965" s="80" t="s">
        <v>1227</v>
      </c>
      <c r="G3965" s="58" t="s">
        <v>10277</v>
      </c>
      <c r="H3965" s="58" t="s">
        <v>1796</v>
      </c>
      <c r="I3965" s="64" t="s">
        <v>10278</v>
      </c>
      <c r="J3965" s="66"/>
      <c r="K3965" s="66"/>
      <c r="L3965" s="68"/>
      <c r="M3965" s="63" t="str">
        <f>HYPERLINK("http://nsgreg.nga.mil/genc/view?v=870025&amp;end_month=12&amp;end_day=31&amp;end_year=2016","Correlation")</f>
        <v>Correlation</v>
      </c>
    </row>
    <row r="3966" spans="1:13" x14ac:dyDescent="0.2">
      <c r="A3966" s="114"/>
      <c r="B3966" s="71" t="s">
        <v>8915</v>
      </c>
      <c r="C3966" s="71" t="s">
        <v>1413</v>
      </c>
      <c r="D3966" s="71" t="s">
        <v>10279</v>
      </c>
      <c r="E3966" s="73" t="b">
        <v>1</v>
      </c>
      <c r="F3966" s="81" t="s">
        <v>1227</v>
      </c>
      <c r="G3966" s="71" t="s">
        <v>4083</v>
      </c>
      <c r="H3966" s="71" t="s">
        <v>1413</v>
      </c>
      <c r="I3966" s="74" t="s">
        <v>10279</v>
      </c>
      <c r="J3966" s="76"/>
      <c r="K3966" s="76"/>
      <c r="L3966" s="82"/>
      <c r="M3966" s="77" t="str">
        <f>HYPERLINK("http://nsgreg.nga.mil/genc/view?v=870009&amp;end_month=12&amp;end_day=31&amp;end_year=2016","Correlation")</f>
        <v>Correlation</v>
      </c>
    </row>
    <row r="3967" spans="1:13" x14ac:dyDescent="0.2">
      <c r="A3967" s="112" t="s">
        <v>1231</v>
      </c>
      <c r="B3967" s="50" t="s">
        <v>3881</v>
      </c>
      <c r="C3967" s="50" t="s">
        <v>1763</v>
      </c>
      <c r="D3967" s="50" t="s">
        <v>10309</v>
      </c>
      <c r="E3967" s="52" t="b">
        <v>1</v>
      </c>
      <c r="F3967" s="78" t="s">
        <v>1231</v>
      </c>
      <c r="G3967" s="50" t="s">
        <v>10308</v>
      </c>
      <c r="H3967" s="50" t="s">
        <v>1763</v>
      </c>
      <c r="I3967" s="53" t="s">
        <v>10309</v>
      </c>
      <c r="J3967" s="55"/>
      <c r="K3967" s="55"/>
      <c r="L3967" s="79"/>
      <c r="M3967" s="56" t="str">
        <f>HYPERLINK("http://nsgreg.nga.mil/genc/view?v=871475&amp;end_month=12&amp;end_day=31&amp;end_year=2016","Correlation")</f>
        <v>Correlation</v>
      </c>
    </row>
    <row r="3968" spans="1:13" x14ac:dyDescent="0.2">
      <c r="A3968" s="113"/>
      <c r="B3968" s="58" t="s">
        <v>10294</v>
      </c>
      <c r="C3968" s="58" t="s">
        <v>1763</v>
      </c>
      <c r="D3968" s="58" t="s">
        <v>10293</v>
      </c>
      <c r="E3968" s="60" t="b">
        <v>1</v>
      </c>
      <c r="F3968" s="80" t="s">
        <v>1231</v>
      </c>
      <c r="G3968" s="58" t="s">
        <v>10292</v>
      </c>
      <c r="H3968" s="58" t="s">
        <v>1763</v>
      </c>
      <c r="I3968" s="64" t="s">
        <v>10293</v>
      </c>
      <c r="J3968" s="66"/>
      <c r="K3968" s="66"/>
      <c r="L3968" s="68"/>
      <c r="M3968" s="63" t="str">
        <f>HYPERLINK("http://nsgreg.nga.mil/genc/view?v=871466&amp;end_month=12&amp;end_day=31&amp;end_year=2016","Correlation")</f>
        <v>Correlation</v>
      </c>
    </row>
    <row r="3969" spans="1:13" x14ac:dyDescent="0.2">
      <c r="A3969" s="113"/>
      <c r="B3969" s="58" t="s">
        <v>10300</v>
      </c>
      <c r="C3969" s="58" t="s">
        <v>1763</v>
      </c>
      <c r="D3969" s="58" t="s">
        <v>10299</v>
      </c>
      <c r="E3969" s="60" t="b">
        <v>1</v>
      </c>
      <c r="F3969" s="80" t="s">
        <v>1231</v>
      </c>
      <c r="G3969" s="58" t="s">
        <v>10298</v>
      </c>
      <c r="H3969" s="58" t="s">
        <v>1763</v>
      </c>
      <c r="I3969" s="64" t="s">
        <v>10299</v>
      </c>
      <c r="J3969" s="66"/>
      <c r="K3969" s="66"/>
      <c r="L3969" s="68"/>
      <c r="M3969" s="63" t="str">
        <f>HYPERLINK("http://nsgreg.nga.mil/genc/view?v=871468&amp;end_month=12&amp;end_day=31&amp;end_year=2016","Correlation")</f>
        <v>Correlation</v>
      </c>
    </row>
    <row r="3970" spans="1:13" x14ac:dyDescent="0.2">
      <c r="A3970" s="113"/>
      <c r="B3970" s="58" t="s">
        <v>10291</v>
      </c>
      <c r="C3970" s="58" t="s">
        <v>1763</v>
      </c>
      <c r="D3970" s="58" t="s">
        <v>10290</v>
      </c>
      <c r="E3970" s="60" t="b">
        <v>1</v>
      </c>
      <c r="F3970" s="80" t="s">
        <v>1231</v>
      </c>
      <c r="G3970" s="58" t="s">
        <v>10289</v>
      </c>
      <c r="H3970" s="58" t="s">
        <v>1763</v>
      </c>
      <c r="I3970" s="64" t="s">
        <v>10290</v>
      </c>
      <c r="J3970" s="66"/>
      <c r="K3970" s="66"/>
      <c r="L3970" s="68"/>
      <c r="M3970" s="63" t="str">
        <f>HYPERLINK("http://nsgreg.nga.mil/genc/view?v=871464&amp;end_month=12&amp;end_day=31&amp;end_year=2016","Correlation")</f>
        <v>Correlation</v>
      </c>
    </row>
    <row r="3971" spans="1:13" x14ac:dyDescent="0.2">
      <c r="A3971" s="113"/>
      <c r="B3971" s="58" t="s">
        <v>10330</v>
      </c>
      <c r="C3971" s="58" t="s">
        <v>1763</v>
      </c>
      <c r="D3971" s="58" t="s">
        <v>10329</v>
      </c>
      <c r="E3971" s="60" t="b">
        <v>1</v>
      </c>
      <c r="F3971" s="80" t="s">
        <v>1231</v>
      </c>
      <c r="G3971" s="58" t="s">
        <v>10328</v>
      </c>
      <c r="H3971" s="58" t="s">
        <v>1763</v>
      </c>
      <c r="I3971" s="64" t="s">
        <v>10329</v>
      </c>
      <c r="J3971" s="66"/>
      <c r="K3971" s="66"/>
      <c r="L3971" s="68"/>
      <c r="M3971" s="63" t="str">
        <f>HYPERLINK("http://nsgreg.nga.mil/genc/view?v=871474&amp;end_month=12&amp;end_day=31&amp;end_year=2016","Correlation")</f>
        <v>Correlation</v>
      </c>
    </row>
    <row r="3972" spans="1:13" x14ac:dyDescent="0.2">
      <c r="A3972" s="113"/>
      <c r="B3972" s="58" t="s">
        <v>10282</v>
      </c>
      <c r="C3972" s="58" t="s">
        <v>1763</v>
      </c>
      <c r="D3972" s="58" t="s">
        <v>10281</v>
      </c>
      <c r="E3972" s="60" t="b">
        <v>1</v>
      </c>
      <c r="F3972" s="80" t="s">
        <v>1231</v>
      </c>
      <c r="G3972" s="58" t="s">
        <v>10280</v>
      </c>
      <c r="H3972" s="58" t="s">
        <v>1763</v>
      </c>
      <c r="I3972" s="64" t="s">
        <v>10281</v>
      </c>
      <c r="J3972" s="66"/>
      <c r="K3972" s="66"/>
      <c r="L3972" s="68"/>
      <c r="M3972" s="63" t="str">
        <f>HYPERLINK("http://nsgreg.nga.mil/genc/view?v=871471&amp;end_month=12&amp;end_day=31&amp;end_year=2016","Correlation")</f>
        <v>Correlation</v>
      </c>
    </row>
    <row r="3973" spans="1:13" x14ac:dyDescent="0.2">
      <c r="A3973" s="113"/>
      <c r="B3973" s="58" t="s">
        <v>2036</v>
      </c>
      <c r="C3973" s="58" t="s">
        <v>1763</v>
      </c>
      <c r="D3973" s="58" t="s">
        <v>10304</v>
      </c>
      <c r="E3973" s="60" t="b">
        <v>1</v>
      </c>
      <c r="F3973" s="80" t="s">
        <v>1231</v>
      </c>
      <c r="G3973" s="58" t="s">
        <v>4071</v>
      </c>
      <c r="H3973" s="58" t="s">
        <v>1763</v>
      </c>
      <c r="I3973" s="64" t="s">
        <v>10304</v>
      </c>
      <c r="J3973" s="66"/>
      <c r="K3973" s="66"/>
      <c r="L3973" s="68"/>
      <c r="M3973" s="63" t="str">
        <f>HYPERLINK("http://nsgreg.nga.mil/genc/view?v=871472&amp;end_month=12&amp;end_day=31&amp;end_year=2016","Correlation")</f>
        <v>Correlation</v>
      </c>
    </row>
    <row r="3974" spans="1:13" x14ac:dyDescent="0.2">
      <c r="A3974" s="113"/>
      <c r="B3974" s="58" t="s">
        <v>10327</v>
      </c>
      <c r="C3974" s="58" t="s">
        <v>1763</v>
      </c>
      <c r="D3974" s="58" t="s">
        <v>10326</v>
      </c>
      <c r="E3974" s="60" t="b">
        <v>1</v>
      </c>
      <c r="F3974" s="80" t="s">
        <v>1231</v>
      </c>
      <c r="G3974" s="58" t="s">
        <v>10325</v>
      </c>
      <c r="H3974" s="58" t="s">
        <v>1763</v>
      </c>
      <c r="I3974" s="64" t="s">
        <v>10326</v>
      </c>
      <c r="J3974" s="66"/>
      <c r="K3974" s="66"/>
      <c r="L3974" s="68"/>
      <c r="M3974" s="63" t="str">
        <f>HYPERLINK("http://nsgreg.nga.mil/genc/view?v=871463&amp;end_month=12&amp;end_day=31&amp;end_year=2016","Correlation")</f>
        <v>Correlation</v>
      </c>
    </row>
    <row r="3975" spans="1:13" x14ac:dyDescent="0.2">
      <c r="A3975" s="113"/>
      <c r="B3975" s="58" t="s">
        <v>10324</v>
      </c>
      <c r="C3975" s="58" t="s">
        <v>1763</v>
      </c>
      <c r="D3975" s="58" t="s">
        <v>10323</v>
      </c>
      <c r="E3975" s="60" t="b">
        <v>1</v>
      </c>
      <c r="F3975" s="80" t="s">
        <v>1231</v>
      </c>
      <c r="G3975" s="58" t="s">
        <v>10322</v>
      </c>
      <c r="H3975" s="58" t="s">
        <v>1763</v>
      </c>
      <c r="I3975" s="64" t="s">
        <v>10323</v>
      </c>
      <c r="J3975" s="66"/>
      <c r="K3975" s="66"/>
      <c r="L3975" s="68"/>
      <c r="M3975" s="63" t="str">
        <f>HYPERLINK("http://nsgreg.nga.mil/genc/view?v=871465&amp;end_month=12&amp;end_day=31&amp;end_year=2016","Correlation")</f>
        <v>Correlation</v>
      </c>
    </row>
    <row r="3976" spans="1:13" x14ac:dyDescent="0.2">
      <c r="A3976" s="113"/>
      <c r="B3976" s="58" t="s">
        <v>10318</v>
      </c>
      <c r="C3976" s="58" t="s">
        <v>1763</v>
      </c>
      <c r="D3976" s="58" t="s">
        <v>10317</v>
      </c>
      <c r="E3976" s="60" t="b">
        <v>1</v>
      </c>
      <c r="F3976" s="80" t="s">
        <v>1231</v>
      </c>
      <c r="G3976" s="58" t="s">
        <v>10316</v>
      </c>
      <c r="H3976" s="58" t="s">
        <v>1763</v>
      </c>
      <c r="I3976" s="64" t="s">
        <v>10317</v>
      </c>
      <c r="J3976" s="66"/>
      <c r="K3976" s="66"/>
      <c r="L3976" s="68"/>
      <c r="M3976" s="63" t="str">
        <f>HYPERLINK("http://nsgreg.nga.mil/genc/view?v=871462&amp;end_month=12&amp;end_day=31&amp;end_year=2016","Correlation")</f>
        <v>Correlation</v>
      </c>
    </row>
    <row r="3977" spans="1:13" x14ac:dyDescent="0.2">
      <c r="A3977" s="113"/>
      <c r="B3977" s="58" t="s">
        <v>10321</v>
      </c>
      <c r="C3977" s="58" t="s">
        <v>1763</v>
      </c>
      <c r="D3977" s="58" t="s">
        <v>10320</v>
      </c>
      <c r="E3977" s="60" t="b">
        <v>1</v>
      </c>
      <c r="F3977" s="80" t="s">
        <v>1231</v>
      </c>
      <c r="G3977" s="58" t="s">
        <v>10319</v>
      </c>
      <c r="H3977" s="58" t="s">
        <v>1763</v>
      </c>
      <c r="I3977" s="64" t="s">
        <v>10320</v>
      </c>
      <c r="J3977" s="66"/>
      <c r="K3977" s="66"/>
      <c r="L3977" s="68"/>
      <c r="M3977" s="63" t="str">
        <f>HYPERLINK("http://nsgreg.nga.mil/genc/view?v=871470&amp;end_month=12&amp;end_day=31&amp;end_year=2016","Correlation")</f>
        <v>Correlation</v>
      </c>
    </row>
    <row r="3978" spans="1:13" x14ac:dyDescent="0.2">
      <c r="A3978" s="113"/>
      <c r="B3978" s="58" t="s">
        <v>10297</v>
      </c>
      <c r="C3978" s="58" t="s">
        <v>1763</v>
      </c>
      <c r="D3978" s="58" t="s">
        <v>10296</v>
      </c>
      <c r="E3978" s="60" t="b">
        <v>1</v>
      </c>
      <c r="F3978" s="80" t="s">
        <v>1231</v>
      </c>
      <c r="G3978" s="58" t="s">
        <v>10295</v>
      </c>
      <c r="H3978" s="58" t="s">
        <v>1763</v>
      </c>
      <c r="I3978" s="64" t="s">
        <v>10296</v>
      </c>
      <c r="J3978" s="66"/>
      <c r="K3978" s="66"/>
      <c r="L3978" s="68"/>
      <c r="M3978" s="63" t="str">
        <f>HYPERLINK("http://nsgreg.nga.mil/genc/view?v=871467&amp;end_month=12&amp;end_day=31&amp;end_year=2016","Correlation")</f>
        <v>Correlation</v>
      </c>
    </row>
    <row r="3979" spans="1:13" x14ac:dyDescent="0.2">
      <c r="A3979" s="113"/>
      <c r="B3979" s="58" t="s">
        <v>10312</v>
      </c>
      <c r="C3979" s="58" t="s">
        <v>1763</v>
      </c>
      <c r="D3979" s="58" t="s">
        <v>10311</v>
      </c>
      <c r="E3979" s="60" t="b">
        <v>1</v>
      </c>
      <c r="F3979" s="80" t="s">
        <v>1231</v>
      </c>
      <c r="G3979" s="58" t="s">
        <v>10310</v>
      </c>
      <c r="H3979" s="58" t="s">
        <v>1763</v>
      </c>
      <c r="I3979" s="64" t="s">
        <v>10311</v>
      </c>
      <c r="J3979" s="66"/>
      <c r="K3979" s="66"/>
      <c r="L3979" s="68"/>
      <c r="M3979" s="63" t="str">
        <f>HYPERLINK("http://nsgreg.nga.mil/genc/view?v=871473&amp;end_month=12&amp;end_day=31&amp;end_year=2016","Correlation")</f>
        <v>Correlation</v>
      </c>
    </row>
    <row r="3980" spans="1:13" x14ac:dyDescent="0.2">
      <c r="A3980" s="113"/>
      <c r="B3980" s="58" t="s">
        <v>10303</v>
      </c>
      <c r="C3980" s="58" t="s">
        <v>1763</v>
      </c>
      <c r="D3980" s="58" t="s">
        <v>10302</v>
      </c>
      <c r="E3980" s="60" t="b">
        <v>1</v>
      </c>
      <c r="F3980" s="80" t="s">
        <v>1231</v>
      </c>
      <c r="G3980" s="58" t="s">
        <v>10301</v>
      </c>
      <c r="H3980" s="58" t="s">
        <v>1763</v>
      </c>
      <c r="I3980" s="64" t="s">
        <v>10302</v>
      </c>
      <c r="J3980" s="66"/>
      <c r="K3980" s="66"/>
      <c r="L3980" s="68"/>
      <c r="M3980" s="63" t="str">
        <f>HYPERLINK("http://nsgreg.nga.mil/genc/view?v=871461&amp;end_month=12&amp;end_day=31&amp;end_year=2016","Correlation")</f>
        <v>Correlation</v>
      </c>
    </row>
    <row r="3981" spans="1:13" x14ac:dyDescent="0.2">
      <c r="A3981" s="113"/>
      <c r="B3981" s="58" t="s">
        <v>10307</v>
      </c>
      <c r="C3981" s="58" t="s">
        <v>1763</v>
      </c>
      <c r="D3981" s="58" t="s">
        <v>10306</v>
      </c>
      <c r="E3981" s="60" t="b">
        <v>1</v>
      </c>
      <c r="F3981" s="80" t="s">
        <v>1231</v>
      </c>
      <c r="G3981" s="58" t="s">
        <v>10305</v>
      </c>
      <c r="H3981" s="58" t="s">
        <v>1763</v>
      </c>
      <c r="I3981" s="64" t="s">
        <v>10306</v>
      </c>
      <c r="J3981" s="66"/>
      <c r="K3981" s="66"/>
      <c r="L3981" s="68"/>
      <c r="M3981" s="63" t="str">
        <f>HYPERLINK("http://nsgreg.nga.mil/genc/view?v=871469&amp;end_month=12&amp;end_day=31&amp;end_year=2016","Correlation")</f>
        <v>Correlation</v>
      </c>
    </row>
    <row r="3982" spans="1:13" x14ac:dyDescent="0.2">
      <c r="A3982" s="113"/>
      <c r="B3982" s="58" t="s">
        <v>10288</v>
      </c>
      <c r="C3982" s="58" t="s">
        <v>1763</v>
      </c>
      <c r="D3982" s="58" t="s">
        <v>10287</v>
      </c>
      <c r="E3982" s="60" t="b">
        <v>1</v>
      </c>
      <c r="F3982" s="80" t="s">
        <v>1231</v>
      </c>
      <c r="G3982" s="58" t="s">
        <v>10286</v>
      </c>
      <c r="H3982" s="58" t="s">
        <v>1763</v>
      </c>
      <c r="I3982" s="64" t="s">
        <v>10287</v>
      </c>
      <c r="J3982" s="66"/>
      <c r="K3982" s="66"/>
      <c r="L3982" s="68"/>
      <c r="M3982" s="63" t="str">
        <f>HYPERLINK("http://nsgreg.nga.mil/genc/view?v=871460&amp;end_month=12&amp;end_day=31&amp;end_year=2016","Correlation")</f>
        <v>Correlation</v>
      </c>
    </row>
    <row r="3983" spans="1:13" x14ac:dyDescent="0.2">
      <c r="A3983" s="113"/>
      <c r="B3983" s="58" t="s">
        <v>10315</v>
      </c>
      <c r="C3983" s="58" t="s">
        <v>1763</v>
      </c>
      <c r="D3983" s="58" t="s">
        <v>10314</v>
      </c>
      <c r="E3983" s="60" t="b">
        <v>1</v>
      </c>
      <c r="F3983" s="80" t="s">
        <v>1231</v>
      </c>
      <c r="G3983" s="58" t="s">
        <v>10313</v>
      </c>
      <c r="H3983" s="58" t="s">
        <v>1763</v>
      </c>
      <c r="I3983" s="64" t="s">
        <v>10314</v>
      </c>
      <c r="J3983" s="66"/>
      <c r="K3983" s="66"/>
      <c r="L3983" s="68"/>
      <c r="M3983" s="63" t="str">
        <f>HYPERLINK("http://nsgreg.nga.mil/genc/view?v=871476&amp;end_month=12&amp;end_day=31&amp;end_year=2016","Correlation")</f>
        <v>Correlation</v>
      </c>
    </row>
    <row r="3984" spans="1:13" x14ac:dyDescent="0.2">
      <c r="A3984" s="114"/>
      <c r="B3984" s="71" t="s">
        <v>10285</v>
      </c>
      <c r="C3984" s="71" t="s">
        <v>1763</v>
      </c>
      <c r="D3984" s="71" t="s">
        <v>10284</v>
      </c>
      <c r="E3984" s="73" t="b">
        <v>1</v>
      </c>
      <c r="F3984" s="81" t="s">
        <v>1231</v>
      </c>
      <c r="G3984" s="71" t="s">
        <v>10283</v>
      </c>
      <c r="H3984" s="71" t="s">
        <v>1763</v>
      </c>
      <c r="I3984" s="74" t="s">
        <v>10284</v>
      </c>
      <c r="J3984" s="76"/>
      <c r="K3984" s="76"/>
      <c r="L3984" s="82"/>
      <c r="M3984" s="77" t="str">
        <f>HYPERLINK("http://nsgreg.nga.mil/genc/view?v=871459&amp;end_month=12&amp;end_day=31&amp;end_year=2016","Correlation")</f>
        <v>Correlation</v>
      </c>
    </row>
    <row r="3985" spans="1:13" x14ac:dyDescent="0.2">
      <c r="A3985" s="112" t="s">
        <v>1235</v>
      </c>
      <c r="B3985" s="50" t="s">
        <v>10331</v>
      </c>
      <c r="C3985" s="50" t="s">
        <v>1796</v>
      </c>
      <c r="D3985" s="50" t="s">
        <v>10332</v>
      </c>
      <c r="E3985" s="52" t="b">
        <v>1</v>
      </c>
      <c r="F3985" s="78" t="s">
        <v>1235</v>
      </c>
      <c r="G3985" s="50" t="s">
        <v>10331</v>
      </c>
      <c r="H3985" s="50" t="s">
        <v>1796</v>
      </c>
      <c r="I3985" s="53" t="s">
        <v>10332</v>
      </c>
      <c r="J3985" s="55"/>
      <c r="K3985" s="55"/>
      <c r="L3985" s="79"/>
      <c r="M3985" s="56" t="str">
        <f>HYPERLINK("http://nsgreg.nga.mil/genc/view?v=871771&amp;end_month=12&amp;end_day=31&amp;end_year=2016","Correlation")</f>
        <v>Correlation</v>
      </c>
    </row>
    <row r="3986" spans="1:13" x14ac:dyDescent="0.2">
      <c r="A3986" s="113"/>
      <c r="B3986" s="58" t="s">
        <v>10333</v>
      </c>
      <c r="C3986" s="58" t="s">
        <v>1796</v>
      </c>
      <c r="D3986" s="58" t="s">
        <v>10334</v>
      </c>
      <c r="E3986" s="60" t="b">
        <v>1</v>
      </c>
      <c r="F3986" s="80" t="s">
        <v>1235</v>
      </c>
      <c r="G3986" s="58" t="s">
        <v>10333</v>
      </c>
      <c r="H3986" s="58" t="s">
        <v>1796</v>
      </c>
      <c r="I3986" s="64" t="s">
        <v>10334</v>
      </c>
      <c r="J3986" s="66"/>
      <c r="K3986" s="66"/>
      <c r="L3986" s="68"/>
      <c r="M3986" s="63" t="str">
        <f>HYPERLINK("http://nsgreg.nga.mil/genc/view?v=871772&amp;end_month=12&amp;end_day=31&amp;end_year=2016","Correlation")</f>
        <v>Correlation</v>
      </c>
    </row>
    <row r="3987" spans="1:13" x14ac:dyDescent="0.2">
      <c r="A3987" s="113"/>
      <c r="B3987" s="58" t="s">
        <v>10335</v>
      </c>
      <c r="C3987" s="58" t="s">
        <v>1796</v>
      </c>
      <c r="D3987" s="58" t="s">
        <v>10336</v>
      </c>
      <c r="E3987" s="60" t="b">
        <v>1</v>
      </c>
      <c r="F3987" s="80" t="s">
        <v>1235</v>
      </c>
      <c r="G3987" s="58" t="s">
        <v>10335</v>
      </c>
      <c r="H3987" s="58" t="s">
        <v>1796</v>
      </c>
      <c r="I3987" s="64" t="s">
        <v>10336</v>
      </c>
      <c r="J3987" s="66"/>
      <c r="K3987" s="66"/>
      <c r="L3987" s="68"/>
      <c r="M3987" s="63" t="str">
        <f>HYPERLINK("http://nsgreg.nga.mil/genc/view?v=871773&amp;end_month=12&amp;end_day=31&amp;end_year=2016","Correlation")</f>
        <v>Correlation</v>
      </c>
    </row>
    <row r="3988" spans="1:13" x14ac:dyDescent="0.2">
      <c r="A3988" s="113"/>
      <c r="B3988" s="58" t="s">
        <v>10337</v>
      </c>
      <c r="C3988" s="58" t="s">
        <v>1796</v>
      </c>
      <c r="D3988" s="58" t="s">
        <v>10338</v>
      </c>
      <c r="E3988" s="60" t="b">
        <v>1</v>
      </c>
      <c r="F3988" s="80" t="s">
        <v>1235</v>
      </c>
      <c r="G3988" s="58" t="s">
        <v>10337</v>
      </c>
      <c r="H3988" s="58" t="s">
        <v>1796</v>
      </c>
      <c r="I3988" s="64" t="s">
        <v>10338</v>
      </c>
      <c r="J3988" s="66"/>
      <c r="K3988" s="66"/>
      <c r="L3988" s="68"/>
      <c r="M3988" s="63" t="str">
        <f>HYPERLINK("http://nsgreg.nga.mil/genc/view?v=871774&amp;end_month=12&amp;end_day=31&amp;end_year=2016","Correlation")</f>
        <v>Correlation</v>
      </c>
    </row>
    <row r="3989" spans="1:13" x14ac:dyDescent="0.2">
      <c r="A3989" s="113"/>
      <c r="B3989" s="58" t="s">
        <v>10339</v>
      </c>
      <c r="C3989" s="58" t="s">
        <v>1796</v>
      </c>
      <c r="D3989" s="58" t="s">
        <v>10340</v>
      </c>
      <c r="E3989" s="60" t="b">
        <v>1</v>
      </c>
      <c r="F3989" s="80" t="s">
        <v>1235</v>
      </c>
      <c r="G3989" s="58" t="s">
        <v>10339</v>
      </c>
      <c r="H3989" s="58" t="s">
        <v>1796</v>
      </c>
      <c r="I3989" s="64" t="s">
        <v>10340</v>
      </c>
      <c r="J3989" s="66"/>
      <c r="K3989" s="66"/>
      <c r="L3989" s="68"/>
      <c r="M3989" s="63" t="str">
        <f>HYPERLINK("http://nsgreg.nga.mil/genc/view?v=871775&amp;end_month=12&amp;end_day=31&amp;end_year=2016","Correlation")</f>
        <v>Correlation</v>
      </c>
    </row>
    <row r="3990" spans="1:13" x14ac:dyDescent="0.2">
      <c r="A3990" s="113"/>
      <c r="B3990" s="58" t="s">
        <v>10341</v>
      </c>
      <c r="C3990" s="58" t="s">
        <v>1796</v>
      </c>
      <c r="D3990" s="58" t="s">
        <v>10342</v>
      </c>
      <c r="E3990" s="60" t="b">
        <v>1</v>
      </c>
      <c r="F3990" s="80" t="s">
        <v>1235</v>
      </c>
      <c r="G3990" s="58" t="s">
        <v>10341</v>
      </c>
      <c r="H3990" s="58" t="s">
        <v>1796</v>
      </c>
      <c r="I3990" s="64" t="s">
        <v>10342</v>
      </c>
      <c r="J3990" s="66"/>
      <c r="K3990" s="66"/>
      <c r="L3990" s="68"/>
      <c r="M3990" s="63" t="str">
        <f>HYPERLINK("http://nsgreg.nga.mil/genc/view?v=871777&amp;end_month=12&amp;end_day=31&amp;end_year=2016","Correlation")</f>
        <v>Correlation</v>
      </c>
    </row>
    <row r="3991" spans="1:13" x14ac:dyDescent="0.2">
      <c r="A3991" s="113"/>
      <c r="B3991" s="58" t="s">
        <v>10343</v>
      </c>
      <c r="C3991" s="58" t="s">
        <v>1796</v>
      </c>
      <c r="D3991" s="58" t="s">
        <v>10344</v>
      </c>
      <c r="E3991" s="60" t="b">
        <v>1</v>
      </c>
      <c r="F3991" s="80" t="s">
        <v>1235</v>
      </c>
      <c r="G3991" s="58" t="s">
        <v>10343</v>
      </c>
      <c r="H3991" s="58" t="s">
        <v>1796</v>
      </c>
      <c r="I3991" s="64" t="s">
        <v>10344</v>
      </c>
      <c r="J3991" s="66"/>
      <c r="K3991" s="66"/>
      <c r="L3991" s="68"/>
      <c r="M3991" s="63" t="str">
        <f>HYPERLINK("http://nsgreg.nga.mil/genc/view?v=871776&amp;end_month=12&amp;end_day=31&amp;end_year=2016","Correlation")</f>
        <v>Correlation</v>
      </c>
    </row>
    <row r="3992" spans="1:13" x14ac:dyDescent="0.2">
      <c r="A3992" s="113"/>
      <c r="B3992" s="58" t="s">
        <v>10345</v>
      </c>
      <c r="C3992" s="58" t="s">
        <v>1796</v>
      </c>
      <c r="D3992" s="58" t="s">
        <v>10346</v>
      </c>
      <c r="E3992" s="60" t="b">
        <v>1</v>
      </c>
      <c r="F3992" s="80" t="s">
        <v>1235</v>
      </c>
      <c r="G3992" s="58" t="s">
        <v>10345</v>
      </c>
      <c r="H3992" s="58" t="s">
        <v>1796</v>
      </c>
      <c r="I3992" s="64" t="s">
        <v>10346</v>
      </c>
      <c r="J3992" s="66"/>
      <c r="K3992" s="66"/>
      <c r="L3992" s="68"/>
      <c r="M3992" s="63" t="str">
        <f>HYPERLINK("http://nsgreg.nga.mil/genc/view?v=871778&amp;end_month=12&amp;end_day=31&amp;end_year=2016","Correlation")</f>
        <v>Correlation</v>
      </c>
    </row>
    <row r="3993" spans="1:13" x14ac:dyDescent="0.2">
      <c r="A3993" s="113"/>
      <c r="B3993" s="58" t="s">
        <v>10347</v>
      </c>
      <c r="C3993" s="58" t="s">
        <v>1796</v>
      </c>
      <c r="D3993" s="58" t="s">
        <v>10348</v>
      </c>
      <c r="E3993" s="60" t="b">
        <v>1</v>
      </c>
      <c r="F3993" s="80" t="s">
        <v>1235</v>
      </c>
      <c r="G3993" s="58" t="s">
        <v>10347</v>
      </c>
      <c r="H3993" s="58" t="s">
        <v>1796</v>
      </c>
      <c r="I3993" s="64" t="s">
        <v>10348</v>
      </c>
      <c r="J3993" s="66"/>
      <c r="K3993" s="66"/>
      <c r="L3993" s="68"/>
      <c r="M3993" s="63" t="str">
        <f>HYPERLINK("http://nsgreg.nga.mil/genc/view?v=871779&amp;end_month=12&amp;end_day=31&amp;end_year=2016","Correlation")</f>
        <v>Correlation</v>
      </c>
    </row>
    <row r="3994" spans="1:13" x14ac:dyDescent="0.2">
      <c r="A3994" s="114"/>
      <c r="B3994" s="71" t="s">
        <v>10349</v>
      </c>
      <c r="C3994" s="71" t="s">
        <v>1796</v>
      </c>
      <c r="D3994" s="71" t="s">
        <v>10350</v>
      </c>
      <c r="E3994" s="73" t="b">
        <v>1</v>
      </c>
      <c r="F3994" s="81" t="s">
        <v>1235</v>
      </c>
      <c r="G3994" s="71" t="s">
        <v>10349</v>
      </c>
      <c r="H3994" s="71" t="s">
        <v>1796</v>
      </c>
      <c r="I3994" s="74" t="s">
        <v>10350</v>
      </c>
      <c r="J3994" s="76"/>
      <c r="K3994" s="76"/>
      <c r="L3994" s="82"/>
      <c r="M3994" s="77" t="str">
        <f>HYPERLINK("http://nsgreg.nga.mil/genc/view?v=871780&amp;end_month=12&amp;end_day=31&amp;end_year=2016","Correlation")</f>
        <v>Correlation</v>
      </c>
    </row>
    <row r="3995" spans="1:13" x14ac:dyDescent="0.2">
      <c r="A3995" s="112" t="s">
        <v>1245</v>
      </c>
      <c r="B3995" s="50" t="s">
        <v>10351</v>
      </c>
      <c r="C3995" s="50" t="s">
        <v>1796</v>
      </c>
      <c r="D3995" s="50" t="s">
        <v>10352</v>
      </c>
      <c r="E3995" s="52" t="b">
        <v>1</v>
      </c>
      <c r="F3995" s="78" t="s">
        <v>1245</v>
      </c>
      <c r="G3995" s="50" t="s">
        <v>10351</v>
      </c>
      <c r="H3995" s="50" t="s">
        <v>1796</v>
      </c>
      <c r="I3995" s="53" t="s">
        <v>10352</v>
      </c>
      <c r="J3995" s="55"/>
      <c r="K3995" s="55"/>
      <c r="L3995" s="79"/>
      <c r="M3995" s="56" t="str">
        <f>HYPERLINK("http://nsgreg.nga.mil/genc/view?v=871821&amp;end_month=12&amp;end_day=31&amp;end_year=2016","Correlation")</f>
        <v>Correlation</v>
      </c>
    </row>
    <row r="3996" spans="1:13" x14ac:dyDescent="0.2">
      <c r="A3996" s="113"/>
      <c r="B3996" s="58" t="s">
        <v>10353</v>
      </c>
      <c r="C3996" s="58" t="s">
        <v>1796</v>
      </c>
      <c r="D3996" s="58" t="s">
        <v>10354</v>
      </c>
      <c r="E3996" s="60" t="b">
        <v>1</v>
      </c>
      <c r="F3996" s="80" t="s">
        <v>1245</v>
      </c>
      <c r="G3996" s="58" t="s">
        <v>10353</v>
      </c>
      <c r="H3996" s="58" t="s">
        <v>1796</v>
      </c>
      <c r="I3996" s="64" t="s">
        <v>10354</v>
      </c>
      <c r="J3996" s="66"/>
      <c r="K3996" s="66"/>
      <c r="L3996" s="68"/>
      <c r="M3996" s="63" t="str">
        <f>HYPERLINK("http://nsgreg.nga.mil/genc/view?v=871822&amp;end_month=12&amp;end_day=31&amp;end_year=2016","Correlation")</f>
        <v>Correlation</v>
      </c>
    </row>
    <row r="3997" spans="1:13" x14ac:dyDescent="0.2">
      <c r="A3997" s="113"/>
      <c r="B3997" s="58" t="s">
        <v>10355</v>
      </c>
      <c r="C3997" s="58" t="s">
        <v>1796</v>
      </c>
      <c r="D3997" s="58" t="s">
        <v>10356</v>
      </c>
      <c r="E3997" s="60" t="b">
        <v>1</v>
      </c>
      <c r="F3997" s="80" t="s">
        <v>1245</v>
      </c>
      <c r="G3997" s="58" t="s">
        <v>10355</v>
      </c>
      <c r="H3997" s="58" t="s">
        <v>1796</v>
      </c>
      <c r="I3997" s="64" t="s">
        <v>10356</v>
      </c>
      <c r="J3997" s="66"/>
      <c r="K3997" s="66"/>
      <c r="L3997" s="68"/>
      <c r="M3997" s="63" t="str">
        <f>HYPERLINK("http://nsgreg.nga.mil/genc/view?v=871823&amp;end_month=12&amp;end_day=31&amp;end_year=2016","Correlation")</f>
        <v>Correlation</v>
      </c>
    </row>
    <row r="3998" spans="1:13" x14ac:dyDescent="0.2">
      <c r="A3998" s="114"/>
      <c r="B3998" s="71" t="s">
        <v>10357</v>
      </c>
      <c r="C3998" s="71" t="s">
        <v>1796</v>
      </c>
      <c r="D3998" s="71" t="s">
        <v>10358</v>
      </c>
      <c r="E3998" s="73" t="b">
        <v>1</v>
      </c>
      <c r="F3998" s="81" t="s">
        <v>1245</v>
      </c>
      <c r="G3998" s="71" t="s">
        <v>10357</v>
      </c>
      <c r="H3998" s="71" t="s">
        <v>1796</v>
      </c>
      <c r="I3998" s="74" t="s">
        <v>10358</v>
      </c>
      <c r="J3998" s="76"/>
      <c r="K3998" s="76"/>
      <c r="L3998" s="82"/>
      <c r="M3998" s="77" t="str">
        <f>HYPERLINK("http://nsgreg.nga.mil/genc/view?v=871824&amp;end_month=12&amp;end_day=31&amp;end_year=2016","Correlation")</f>
        <v>Correlation</v>
      </c>
    </row>
    <row r="3999" spans="1:13" x14ac:dyDescent="0.2">
      <c r="A3999" s="112" t="s">
        <v>1249</v>
      </c>
      <c r="B3999" s="50" t="s">
        <v>10361</v>
      </c>
      <c r="C3999" s="50" t="s">
        <v>1483</v>
      </c>
      <c r="D3999" s="50" t="s">
        <v>10360</v>
      </c>
      <c r="E3999" s="52" t="b">
        <v>1</v>
      </c>
      <c r="F3999" s="78" t="s">
        <v>1249</v>
      </c>
      <c r="G3999" s="50" t="s">
        <v>10359</v>
      </c>
      <c r="H3999" s="50" t="s">
        <v>1483</v>
      </c>
      <c r="I3999" s="53" t="s">
        <v>10360</v>
      </c>
      <c r="J3999" s="55"/>
      <c r="K3999" s="55"/>
      <c r="L3999" s="79"/>
      <c r="M3999" s="56" t="str">
        <f>HYPERLINK("http://nsgreg.nga.mil/genc/view?v=871487&amp;end_month=12&amp;end_day=31&amp;end_year=2016","Correlation")</f>
        <v>Correlation</v>
      </c>
    </row>
    <row r="4000" spans="1:13" x14ac:dyDescent="0.2">
      <c r="A4000" s="113"/>
      <c r="B4000" s="58" t="s">
        <v>10364</v>
      </c>
      <c r="C4000" s="58" t="s">
        <v>1483</v>
      </c>
      <c r="D4000" s="58" t="s">
        <v>10363</v>
      </c>
      <c r="E4000" s="60" t="b">
        <v>1</v>
      </c>
      <c r="F4000" s="80" t="s">
        <v>1249</v>
      </c>
      <c r="G4000" s="58" t="s">
        <v>10362</v>
      </c>
      <c r="H4000" s="58" t="s">
        <v>1483</v>
      </c>
      <c r="I4000" s="64" t="s">
        <v>10363</v>
      </c>
      <c r="J4000" s="66"/>
      <c r="K4000" s="66"/>
      <c r="L4000" s="68"/>
      <c r="M4000" s="63" t="str">
        <f>HYPERLINK("http://nsgreg.nga.mil/genc/view?v=871494&amp;end_month=12&amp;end_day=31&amp;end_year=2016","Correlation")</f>
        <v>Correlation</v>
      </c>
    </row>
    <row r="4001" spans="1:13" x14ac:dyDescent="0.2">
      <c r="A4001" s="113"/>
      <c r="B4001" s="58" t="s">
        <v>10367</v>
      </c>
      <c r="C4001" s="58" t="s">
        <v>1483</v>
      </c>
      <c r="D4001" s="58" t="s">
        <v>10366</v>
      </c>
      <c r="E4001" s="60" t="b">
        <v>1</v>
      </c>
      <c r="F4001" s="80" t="s">
        <v>1249</v>
      </c>
      <c r="G4001" s="58" t="s">
        <v>10365</v>
      </c>
      <c r="H4001" s="58" t="s">
        <v>1483</v>
      </c>
      <c r="I4001" s="64" t="s">
        <v>10366</v>
      </c>
      <c r="J4001" s="66"/>
      <c r="K4001" s="66"/>
      <c r="L4001" s="68"/>
      <c r="M4001" s="63" t="str">
        <f>HYPERLINK("http://nsgreg.nga.mil/genc/view?v=871495&amp;end_month=12&amp;end_day=31&amp;end_year=2016","Correlation")</f>
        <v>Correlation</v>
      </c>
    </row>
    <row r="4002" spans="1:13" x14ac:dyDescent="0.2">
      <c r="A4002" s="113"/>
      <c r="B4002" s="58" t="s">
        <v>10370</v>
      </c>
      <c r="C4002" s="58" t="s">
        <v>1483</v>
      </c>
      <c r="D4002" s="58" t="s">
        <v>10369</v>
      </c>
      <c r="E4002" s="60" t="b">
        <v>1</v>
      </c>
      <c r="F4002" s="80" t="s">
        <v>1249</v>
      </c>
      <c r="G4002" s="58" t="s">
        <v>10368</v>
      </c>
      <c r="H4002" s="58" t="s">
        <v>1483</v>
      </c>
      <c r="I4002" s="64" t="s">
        <v>10369</v>
      </c>
      <c r="J4002" s="66"/>
      <c r="K4002" s="66"/>
      <c r="L4002" s="68"/>
      <c r="M4002" s="63" t="str">
        <f>HYPERLINK("http://nsgreg.nga.mil/genc/view?v=871486&amp;end_month=12&amp;end_day=31&amp;end_year=2016","Correlation")</f>
        <v>Correlation</v>
      </c>
    </row>
    <row r="4003" spans="1:13" x14ac:dyDescent="0.2">
      <c r="A4003" s="113"/>
      <c r="B4003" s="58" t="s">
        <v>10373</v>
      </c>
      <c r="C4003" s="58" t="s">
        <v>1483</v>
      </c>
      <c r="D4003" s="58" t="s">
        <v>10372</v>
      </c>
      <c r="E4003" s="60" t="b">
        <v>1</v>
      </c>
      <c r="F4003" s="80" t="s">
        <v>1249</v>
      </c>
      <c r="G4003" s="58" t="s">
        <v>10371</v>
      </c>
      <c r="H4003" s="58" t="s">
        <v>1483</v>
      </c>
      <c r="I4003" s="64" t="s">
        <v>10372</v>
      </c>
      <c r="J4003" s="66"/>
      <c r="K4003" s="66"/>
      <c r="L4003" s="68"/>
      <c r="M4003" s="63" t="str">
        <f>HYPERLINK("http://nsgreg.nga.mil/genc/view?v=871489&amp;end_month=12&amp;end_day=31&amp;end_year=2016","Correlation")</f>
        <v>Correlation</v>
      </c>
    </row>
    <row r="4004" spans="1:13" x14ac:dyDescent="0.2">
      <c r="A4004" s="113"/>
      <c r="B4004" s="58" t="s">
        <v>10376</v>
      </c>
      <c r="C4004" s="58" t="s">
        <v>1483</v>
      </c>
      <c r="D4004" s="58" t="s">
        <v>10375</v>
      </c>
      <c r="E4004" s="60" t="b">
        <v>1</v>
      </c>
      <c r="F4004" s="80" t="s">
        <v>1249</v>
      </c>
      <c r="G4004" s="58" t="s">
        <v>10374</v>
      </c>
      <c r="H4004" s="58" t="s">
        <v>1483</v>
      </c>
      <c r="I4004" s="64" t="s">
        <v>10375</v>
      </c>
      <c r="J4004" s="66"/>
      <c r="K4004" s="66"/>
      <c r="L4004" s="68"/>
      <c r="M4004" s="63" t="str">
        <f>HYPERLINK("http://nsgreg.nga.mil/genc/view?v=871497&amp;end_month=12&amp;end_day=31&amp;end_year=2016","Correlation")</f>
        <v>Correlation</v>
      </c>
    </row>
    <row r="4005" spans="1:13" x14ac:dyDescent="0.2">
      <c r="A4005" s="113"/>
      <c r="B4005" s="58" t="s">
        <v>10379</v>
      </c>
      <c r="C4005" s="58" t="s">
        <v>1483</v>
      </c>
      <c r="D4005" s="58" t="s">
        <v>10378</v>
      </c>
      <c r="E4005" s="60" t="b">
        <v>1</v>
      </c>
      <c r="F4005" s="80" t="s">
        <v>1249</v>
      </c>
      <c r="G4005" s="58" t="s">
        <v>10377</v>
      </c>
      <c r="H4005" s="58" t="s">
        <v>1483</v>
      </c>
      <c r="I4005" s="64" t="s">
        <v>10378</v>
      </c>
      <c r="J4005" s="66"/>
      <c r="K4005" s="66"/>
      <c r="L4005" s="68"/>
      <c r="M4005" s="63" t="str">
        <f>HYPERLINK("http://nsgreg.nga.mil/genc/view?v=871483&amp;end_month=12&amp;end_day=31&amp;end_year=2016","Correlation")</f>
        <v>Correlation</v>
      </c>
    </row>
    <row r="4006" spans="1:13" x14ac:dyDescent="0.2">
      <c r="A4006" s="113"/>
      <c r="B4006" s="58" t="s">
        <v>10382</v>
      </c>
      <c r="C4006" s="58" t="s">
        <v>1483</v>
      </c>
      <c r="D4006" s="58" t="s">
        <v>10381</v>
      </c>
      <c r="E4006" s="60" t="b">
        <v>1</v>
      </c>
      <c r="F4006" s="80" t="s">
        <v>1249</v>
      </c>
      <c r="G4006" s="58" t="s">
        <v>10380</v>
      </c>
      <c r="H4006" s="58" t="s">
        <v>1483</v>
      </c>
      <c r="I4006" s="64" t="s">
        <v>10381</v>
      </c>
      <c r="J4006" s="66"/>
      <c r="K4006" s="66"/>
      <c r="L4006" s="68"/>
      <c r="M4006" s="63" t="str">
        <f>HYPERLINK("http://nsgreg.nga.mil/genc/view?v=871485&amp;end_month=12&amp;end_day=31&amp;end_year=2016","Correlation")</f>
        <v>Correlation</v>
      </c>
    </row>
    <row r="4007" spans="1:13" x14ac:dyDescent="0.2">
      <c r="A4007" s="113"/>
      <c r="B4007" s="58" t="s">
        <v>10385</v>
      </c>
      <c r="C4007" s="58" t="s">
        <v>1483</v>
      </c>
      <c r="D4007" s="58" t="s">
        <v>10384</v>
      </c>
      <c r="E4007" s="60" t="b">
        <v>1</v>
      </c>
      <c r="F4007" s="80" t="s">
        <v>1249</v>
      </c>
      <c r="G4007" s="58" t="s">
        <v>10383</v>
      </c>
      <c r="H4007" s="58" t="s">
        <v>1483</v>
      </c>
      <c r="I4007" s="64" t="s">
        <v>10384</v>
      </c>
      <c r="J4007" s="66"/>
      <c r="K4007" s="66"/>
      <c r="L4007" s="68"/>
      <c r="M4007" s="63" t="str">
        <f>HYPERLINK("http://nsgreg.nga.mil/genc/view?v=871484&amp;end_month=12&amp;end_day=31&amp;end_year=2016","Correlation")</f>
        <v>Correlation</v>
      </c>
    </row>
    <row r="4008" spans="1:13" x14ac:dyDescent="0.2">
      <c r="A4008" s="113"/>
      <c r="B4008" s="58" t="s">
        <v>10388</v>
      </c>
      <c r="C4008" s="58" t="s">
        <v>1483</v>
      </c>
      <c r="D4008" s="58" t="s">
        <v>10387</v>
      </c>
      <c r="E4008" s="60" t="b">
        <v>1</v>
      </c>
      <c r="F4008" s="80" t="s">
        <v>1249</v>
      </c>
      <c r="G4008" s="58" t="s">
        <v>10386</v>
      </c>
      <c r="H4008" s="58" t="s">
        <v>1483</v>
      </c>
      <c r="I4008" s="64" t="s">
        <v>10387</v>
      </c>
      <c r="J4008" s="66"/>
      <c r="K4008" s="66"/>
      <c r="L4008" s="68"/>
      <c r="M4008" s="63" t="str">
        <f>HYPERLINK("http://nsgreg.nga.mil/genc/view?v=871479&amp;end_month=12&amp;end_day=31&amp;end_year=2016","Correlation")</f>
        <v>Correlation</v>
      </c>
    </row>
    <row r="4009" spans="1:13" x14ac:dyDescent="0.2">
      <c r="A4009" s="113"/>
      <c r="B4009" s="58" t="s">
        <v>10391</v>
      </c>
      <c r="C4009" s="58" t="s">
        <v>1483</v>
      </c>
      <c r="D4009" s="58" t="s">
        <v>10390</v>
      </c>
      <c r="E4009" s="60" t="b">
        <v>1</v>
      </c>
      <c r="F4009" s="80" t="s">
        <v>1249</v>
      </c>
      <c r="G4009" s="58" t="s">
        <v>10389</v>
      </c>
      <c r="H4009" s="58" t="s">
        <v>1483</v>
      </c>
      <c r="I4009" s="64" t="s">
        <v>10390</v>
      </c>
      <c r="J4009" s="66"/>
      <c r="K4009" s="66"/>
      <c r="L4009" s="68"/>
      <c r="M4009" s="63" t="str">
        <f>HYPERLINK("http://nsgreg.nga.mil/genc/view?v=871492&amp;end_month=12&amp;end_day=31&amp;end_year=2016","Correlation")</f>
        <v>Correlation</v>
      </c>
    </row>
    <row r="4010" spans="1:13" x14ac:dyDescent="0.2">
      <c r="A4010" s="113"/>
      <c r="B4010" s="58" t="s">
        <v>10394</v>
      </c>
      <c r="C4010" s="58" t="s">
        <v>1483</v>
      </c>
      <c r="D4010" s="58" t="s">
        <v>10393</v>
      </c>
      <c r="E4010" s="60" t="b">
        <v>1</v>
      </c>
      <c r="F4010" s="80" t="s">
        <v>1249</v>
      </c>
      <c r="G4010" s="58" t="s">
        <v>10392</v>
      </c>
      <c r="H4010" s="58" t="s">
        <v>1483</v>
      </c>
      <c r="I4010" s="64" t="s">
        <v>10393</v>
      </c>
      <c r="J4010" s="66"/>
      <c r="K4010" s="66"/>
      <c r="L4010" s="68"/>
      <c r="M4010" s="63" t="str">
        <f>HYPERLINK("http://nsgreg.nga.mil/genc/view?v=871482&amp;end_month=12&amp;end_day=31&amp;end_year=2016","Correlation")</f>
        <v>Correlation</v>
      </c>
    </row>
    <row r="4011" spans="1:13" x14ac:dyDescent="0.2">
      <c r="A4011" s="113"/>
      <c r="B4011" s="58" t="s">
        <v>10397</v>
      </c>
      <c r="C4011" s="58" t="s">
        <v>1483</v>
      </c>
      <c r="D4011" s="58" t="s">
        <v>10396</v>
      </c>
      <c r="E4011" s="60" t="b">
        <v>1</v>
      </c>
      <c r="F4011" s="80" t="s">
        <v>1249</v>
      </c>
      <c r="G4011" s="58" t="s">
        <v>10395</v>
      </c>
      <c r="H4011" s="58" t="s">
        <v>1483</v>
      </c>
      <c r="I4011" s="64" t="s">
        <v>10396</v>
      </c>
      <c r="J4011" s="66"/>
      <c r="K4011" s="66"/>
      <c r="L4011" s="68"/>
      <c r="M4011" s="63" t="str">
        <f>HYPERLINK("http://nsgreg.nga.mil/genc/view?v=871488&amp;end_month=12&amp;end_day=31&amp;end_year=2016","Correlation")</f>
        <v>Correlation</v>
      </c>
    </row>
    <row r="4012" spans="1:13" x14ac:dyDescent="0.2">
      <c r="A4012" s="113"/>
      <c r="B4012" s="58" t="s">
        <v>10400</v>
      </c>
      <c r="C4012" s="58" t="s">
        <v>1483</v>
      </c>
      <c r="D4012" s="58" t="s">
        <v>10399</v>
      </c>
      <c r="E4012" s="60" t="b">
        <v>1</v>
      </c>
      <c r="F4012" s="80" t="s">
        <v>1249</v>
      </c>
      <c r="G4012" s="58" t="s">
        <v>10398</v>
      </c>
      <c r="H4012" s="58" t="s">
        <v>1483</v>
      </c>
      <c r="I4012" s="64" t="s">
        <v>10399</v>
      </c>
      <c r="J4012" s="66"/>
      <c r="K4012" s="66"/>
      <c r="L4012" s="68"/>
      <c r="M4012" s="63" t="str">
        <f>HYPERLINK("http://nsgreg.nga.mil/genc/view?v=871481&amp;end_month=12&amp;end_day=31&amp;end_year=2016","Correlation")</f>
        <v>Correlation</v>
      </c>
    </row>
    <row r="4013" spans="1:13" x14ac:dyDescent="0.2">
      <c r="A4013" s="113"/>
      <c r="B4013" s="58" t="s">
        <v>10403</v>
      </c>
      <c r="C4013" s="58" t="s">
        <v>1483</v>
      </c>
      <c r="D4013" s="58" t="s">
        <v>10402</v>
      </c>
      <c r="E4013" s="60" t="b">
        <v>1</v>
      </c>
      <c r="F4013" s="80" t="s">
        <v>1249</v>
      </c>
      <c r="G4013" s="58" t="s">
        <v>10401</v>
      </c>
      <c r="H4013" s="58" t="s">
        <v>1483</v>
      </c>
      <c r="I4013" s="64" t="s">
        <v>10402</v>
      </c>
      <c r="J4013" s="66"/>
      <c r="K4013" s="66"/>
      <c r="L4013" s="68"/>
      <c r="M4013" s="63" t="str">
        <f>HYPERLINK("http://nsgreg.nga.mil/genc/view?v=871477&amp;end_month=12&amp;end_day=31&amp;end_year=2016","Correlation")</f>
        <v>Correlation</v>
      </c>
    </row>
    <row r="4014" spans="1:13" x14ac:dyDescent="0.2">
      <c r="A4014" s="113"/>
      <c r="B4014" s="58" t="s">
        <v>10406</v>
      </c>
      <c r="C4014" s="58" t="s">
        <v>1483</v>
      </c>
      <c r="D4014" s="58" t="s">
        <v>10405</v>
      </c>
      <c r="E4014" s="60" t="b">
        <v>1</v>
      </c>
      <c r="F4014" s="80" t="s">
        <v>1249</v>
      </c>
      <c r="G4014" s="58" t="s">
        <v>10404</v>
      </c>
      <c r="H4014" s="58" t="s">
        <v>1483</v>
      </c>
      <c r="I4014" s="64" t="s">
        <v>10405</v>
      </c>
      <c r="J4014" s="66"/>
      <c r="K4014" s="66"/>
      <c r="L4014" s="68"/>
      <c r="M4014" s="63" t="str">
        <f>HYPERLINK("http://nsgreg.nga.mil/genc/view?v=871480&amp;end_month=12&amp;end_day=31&amp;end_year=2016","Correlation")</f>
        <v>Correlation</v>
      </c>
    </row>
    <row r="4015" spans="1:13" x14ac:dyDescent="0.2">
      <c r="A4015" s="113"/>
      <c r="B4015" s="58" t="s">
        <v>10409</v>
      </c>
      <c r="C4015" s="58" t="s">
        <v>1483</v>
      </c>
      <c r="D4015" s="58" t="s">
        <v>10408</v>
      </c>
      <c r="E4015" s="60" t="b">
        <v>1</v>
      </c>
      <c r="F4015" s="80" t="s">
        <v>1249</v>
      </c>
      <c r="G4015" s="58" t="s">
        <v>10407</v>
      </c>
      <c r="H4015" s="58" t="s">
        <v>1483</v>
      </c>
      <c r="I4015" s="64" t="s">
        <v>10408</v>
      </c>
      <c r="J4015" s="66"/>
      <c r="K4015" s="66"/>
      <c r="L4015" s="68"/>
      <c r="M4015" s="63" t="str">
        <f>HYPERLINK("http://nsgreg.nga.mil/genc/view?v=871491&amp;end_month=12&amp;end_day=31&amp;end_year=2016","Correlation")</f>
        <v>Correlation</v>
      </c>
    </row>
    <row r="4016" spans="1:13" x14ac:dyDescent="0.2">
      <c r="A4016" s="113"/>
      <c r="B4016" s="58" t="s">
        <v>10412</v>
      </c>
      <c r="C4016" s="58" t="s">
        <v>1483</v>
      </c>
      <c r="D4016" s="58" t="s">
        <v>10411</v>
      </c>
      <c r="E4016" s="60" t="b">
        <v>1</v>
      </c>
      <c r="F4016" s="80" t="s">
        <v>1249</v>
      </c>
      <c r="G4016" s="58" t="s">
        <v>10410</v>
      </c>
      <c r="H4016" s="58" t="s">
        <v>1483</v>
      </c>
      <c r="I4016" s="64" t="s">
        <v>10411</v>
      </c>
      <c r="J4016" s="66"/>
      <c r="K4016" s="66"/>
      <c r="L4016" s="68"/>
      <c r="M4016" s="63" t="str">
        <f>HYPERLINK("http://nsgreg.nga.mil/genc/view?v=871478&amp;end_month=12&amp;end_day=31&amp;end_year=2016","Correlation")</f>
        <v>Correlation</v>
      </c>
    </row>
    <row r="4017" spans="1:13" x14ac:dyDescent="0.2">
      <c r="A4017" s="113"/>
      <c r="B4017" s="58" t="s">
        <v>10415</v>
      </c>
      <c r="C4017" s="58" t="s">
        <v>1483</v>
      </c>
      <c r="D4017" s="58" t="s">
        <v>10414</v>
      </c>
      <c r="E4017" s="60" t="b">
        <v>1</v>
      </c>
      <c r="F4017" s="80" t="s">
        <v>1249</v>
      </c>
      <c r="G4017" s="58" t="s">
        <v>10413</v>
      </c>
      <c r="H4017" s="58" t="s">
        <v>1483</v>
      </c>
      <c r="I4017" s="64" t="s">
        <v>10414</v>
      </c>
      <c r="J4017" s="66"/>
      <c r="K4017" s="66"/>
      <c r="L4017" s="68"/>
      <c r="M4017" s="63" t="str">
        <f>HYPERLINK("http://nsgreg.nga.mil/genc/view?v=871496&amp;end_month=12&amp;end_day=31&amp;end_year=2016","Correlation")</f>
        <v>Correlation</v>
      </c>
    </row>
    <row r="4018" spans="1:13" x14ac:dyDescent="0.2">
      <c r="A4018" s="113"/>
      <c r="B4018" s="58" t="s">
        <v>10418</v>
      </c>
      <c r="C4018" s="58" t="s">
        <v>1483</v>
      </c>
      <c r="D4018" s="58" t="s">
        <v>10417</v>
      </c>
      <c r="E4018" s="60" t="b">
        <v>1</v>
      </c>
      <c r="F4018" s="80" t="s">
        <v>1249</v>
      </c>
      <c r="G4018" s="58" t="s">
        <v>10416</v>
      </c>
      <c r="H4018" s="58" t="s">
        <v>1483</v>
      </c>
      <c r="I4018" s="64" t="s">
        <v>10417</v>
      </c>
      <c r="J4018" s="66"/>
      <c r="K4018" s="66"/>
      <c r="L4018" s="68"/>
      <c r="M4018" s="63" t="str">
        <f>HYPERLINK("http://nsgreg.nga.mil/genc/view?v=871493&amp;end_month=12&amp;end_day=31&amp;end_year=2016","Correlation")</f>
        <v>Correlation</v>
      </c>
    </row>
    <row r="4019" spans="1:13" x14ac:dyDescent="0.2">
      <c r="A4019" s="114"/>
      <c r="B4019" s="71" t="s">
        <v>10421</v>
      </c>
      <c r="C4019" s="71" t="s">
        <v>1483</v>
      </c>
      <c r="D4019" s="71" t="s">
        <v>10420</v>
      </c>
      <c r="E4019" s="73" t="b">
        <v>1</v>
      </c>
      <c r="F4019" s="81" t="s">
        <v>1249</v>
      </c>
      <c r="G4019" s="71" t="s">
        <v>10419</v>
      </c>
      <c r="H4019" s="71" t="s">
        <v>1483</v>
      </c>
      <c r="I4019" s="74" t="s">
        <v>10420</v>
      </c>
      <c r="J4019" s="76"/>
      <c r="K4019" s="76"/>
      <c r="L4019" s="82"/>
      <c r="M4019" s="77" t="str">
        <f>HYPERLINK("http://nsgreg.nga.mil/genc/view?v=871490&amp;end_month=12&amp;end_day=31&amp;end_year=2016","Correlation")</f>
        <v>Correlation</v>
      </c>
    </row>
    <row r="4020" spans="1:13" x14ac:dyDescent="0.2">
      <c r="A4020" s="112" t="s">
        <v>1253</v>
      </c>
      <c r="B4020" s="50" t="s">
        <v>10422</v>
      </c>
      <c r="C4020" s="50" t="s">
        <v>6660</v>
      </c>
      <c r="D4020" s="50" t="s">
        <v>10423</v>
      </c>
      <c r="E4020" s="52" t="b">
        <v>1</v>
      </c>
      <c r="F4020" s="78" t="s">
        <v>1253</v>
      </c>
      <c r="G4020" s="50" t="s">
        <v>10422</v>
      </c>
      <c r="H4020" s="50" t="s">
        <v>6660</v>
      </c>
      <c r="I4020" s="53" t="s">
        <v>10423</v>
      </c>
      <c r="J4020" s="55"/>
      <c r="K4020" s="55"/>
      <c r="L4020" s="79"/>
      <c r="M4020" s="56" t="str">
        <f>HYPERLINK("http://nsgreg.nga.mil/genc/view?v=868211&amp;end_month=12&amp;end_day=31&amp;end_year=2016","Correlation")</f>
        <v>Correlation</v>
      </c>
    </row>
    <row r="4021" spans="1:13" x14ac:dyDescent="0.2">
      <c r="A4021" s="113"/>
      <c r="B4021" s="58" t="s">
        <v>10424</v>
      </c>
      <c r="C4021" s="58" t="s">
        <v>6660</v>
      </c>
      <c r="D4021" s="58" t="s">
        <v>10425</v>
      </c>
      <c r="E4021" s="60" t="b">
        <v>1</v>
      </c>
      <c r="F4021" s="80" t="s">
        <v>1253</v>
      </c>
      <c r="G4021" s="58" t="s">
        <v>10424</v>
      </c>
      <c r="H4021" s="58" t="s">
        <v>6660</v>
      </c>
      <c r="I4021" s="64" t="s">
        <v>10425</v>
      </c>
      <c r="J4021" s="66"/>
      <c r="K4021" s="66"/>
      <c r="L4021" s="68"/>
      <c r="M4021" s="63" t="str">
        <f>HYPERLINK("http://nsgreg.nga.mil/genc/view?v=868213&amp;end_month=12&amp;end_day=31&amp;end_year=2016","Correlation")</f>
        <v>Correlation</v>
      </c>
    </row>
    <row r="4022" spans="1:13" x14ac:dyDescent="0.2">
      <c r="A4022" s="113"/>
      <c r="B4022" s="58" t="s">
        <v>10426</v>
      </c>
      <c r="C4022" s="58" t="s">
        <v>6660</v>
      </c>
      <c r="D4022" s="58" t="s">
        <v>10427</v>
      </c>
      <c r="E4022" s="60" t="b">
        <v>1</v>
      </c>
      <c r="F4022" s="80" t="s">
        <v>1253</v>
      </c>
      <c r="G4022" s="58" t="s">
        <v>10426</v>
      </c>
      <c r="H4022" s="58" t="s">
        <v>6660</v>
      </c>
      <c r="I4022" s="64" t="s">
        <v>10427</v>
      </c>
      <c r="J4022" s="66"/>
      <c r="K4022" s="66"/>
      <c r="L4022" s="68"/>
      <c r="M4022" s="63" t="str">
        <f>HYPERLINK("http://nsgreg.nga.mil/genc/view?v=868212&amp;end_month=12&amp;end_day=31&amp;end_year=2016","Correlation")</f>
        <v>Correlation</v>
      </c>
    </row>
    <row r="4023" spans="1:13" x14ac:dyDescent="0.2">
      <c r="A4023" s="113"/>
      <c r="B4023" s="58" t="s">
        <v>10428</v>
      </c>
      <c r="C4023" s="58" t="s">
        <v>6660</v>
      </c>
      <c r="D4023" s="58" t="s">
        <v>10429</v>
      </c>
      <c r="E4023" s="60" t="b">
        <v>1</v>
      </c>
      <c r="F4023" s="80" t="s">
        <v>1253</v>
      </c>
      <c r="G4023" s="58" t="s">
        <v>10428</v>
      </c>
      <c r="H4023" s="58" t="s">
        <v>6660</v>
      </c>
      <c r="I4023" s="64" t="s">
        <v>10429</v>
      </c>
      <c r="J4023" s="66"/>
      <c r="K4023" s="66"/>
      <c r="L4023" s="68"/>
      <c r="M4023" s="63" t="str">
        <f>HYPERLINK("http://nsgreg.nga.mil/genc/view?v=868215&amp;end_month=12&amp;end_day=31&amp;end_year=2016","Correlation")</f>
        <v>Correlation</v>
      </c>
    </row>
    <row r="4024" spans="1:13" x14ac:dyDescent="0.2">
      <c r="A4024" s="113"/>
      <c r="B4024" s="58" t="s">
        <v>10430</v>
      </c>
      <c r="C4024" s="58" t="s">
        <v>6660</v>
      </c>
      <c r="D4024" s="58" t="s">
        <v>10431</v>
      </c>
      <c r="E4024" s="60" t="b">
        <v>1</v>
      </c>
      <c r="F4024" s="80" t="s">
        <v>1253</v>
      </c>
      <c r="G4024" s="58" t="s">
        <v>10430</v>
      </c>
      <c r="H4024" s="58" t="s">
        <v>6660</v>
      </c>
      <c r="I4024" s="64" t="s">
        <v>10431</v>
      </c>
      <c r="J4024" s="66"/>
      <c r="K4024" s="66"/>
      <c r="L4024" s="68"/>
      <c r="M4024" s="63" t="str">
        <f>HYPERLINK("http://nsgreg.nga.mil/genc/view?v=868216&amp;end_month=12&amp;end_day=31&amp;end_year=2016","Correlation")</f>
        <v>Correlation</v>
      </c>
    </row>
    <row r="4025" spans="1:13" x14ac:dyDescent="0.2">
      <c r="A4025" s="113"/>
      <c r="B4025" s="58" t="s">
        <v>10432</v>
      </c>
      <c r="C4025" s="58" t="s">
        <v>6660</v>
      </c>
      <c r="D4025" s="58" t="s">
        <v>10433</v>
      </c>
      <c r="E4025" s="60" t="b">
        <v>1</v>
      </c>
      <c r="F4025" s="80" t="s">
        <v>1253</v>
      </c>
      <c r="G4025" s="58" t="s">
        <v>10432</v>
      </c>
      <c r="H4025" s="58" t="s">
        <v>6660</v>
      </c>
      <c r="I4025" s="64" t="s">
        <v>10433</v>
      </c>
      <c r="J4025" s="66"/>
      <c r="K4025" s="66"/>
      <c r="L4025" s="68"/>
      <c r="M4025" s="63" t="str">
        <f>HYPERLINK("http://nsgreg.nga.mil/genc/view?v=868214&amp;end_month=12&amp;end_day=31&amp;end_year=2016","Correlation")</f>
        <v>Correlation</v>
      </c>
    </row>
    <row r="4026" spans="1:13" x14ac:dyDescent="0.2">
      <c r="A4026" s="113"/>
      <c r="B4026" s="58" t="s">
        <v>10434</v>
      </c>
      <c r="C4026" s="58" t="s">
        <v>6660</v>
      </c>
      <c r="D4026" s="58" t="s">
        <v>10435</v>
      </c>
      <c r="E4026" s="60" t="b">
        <v>1</v>
      </c>
      <c r="F4026" s="80" t="s">
        <v>1253</v>
      </c>
      <c r="G4026" s="58" t="s">
        <v>10434</v>
      </c>
      <c r="H4026" s="58" t="s">
        <v>6660</v>
      </c>
      <c r="I4026" s="64" t="s">
        <v>10435</v>
      </c>
      <c r="J4026" s="66"/>
      <c r="K4026" s="66"/>
      <c r="L4026" s="68"/>
      <c r="M4026" s="63" t="str">
        <f>HYPERLINK("http://nsgreg.nga.mil/genc/view?v=868217&amp;end_month=12&amp;end_day=31&amp;end_year=2016","Correlation")</f>
        <v>Correlation</v>
      </c>
    </row>
    <row r="4027" spans="1:13" x14ac:dyDescent="0.2">
      <c r="A4027" s="113"/>
      <c r="B4027" s="58" t="s">
        <v>10436</v>
      </c>
      <c r="C4027" s="58" t="s">
        <v>6660</v>
      </c>
      <c r="D4027" s="58" t="s">
        <v>10437</v>
      </c>
      <c r="E4027" s="60" t="b">
        <v>1</v>
      </c>
      <c r="F4027" s="80" t="s">
        <v>1253</v>
      </c>
      <c r="G4027" s="58" t="s">
        <v>10436</v>
      </c>
      <c r="H4027" s="58" t="s">
        <v>6660</v>
      </c>
      <c r="I4027" s="64" t="s">
        <v>10437</v>
      </c>
      <c r="J4027" s="66"/>
      <c r="K4027" s="66"/>
      <c r="L4027" s="68"/>
      <c r="M4027" s="63" t="str">
        <f>HYPERLINK("http://nsgreg.nga.mil/genc/view?v=868218&amp;end_month=12&amp;end_day=31&amp;end_year=2016","Correlation")</f>
        <v>Correlation</v>
      </c>
    </row>
    <row r="4028" spans="1:13" x14ac:dyDescent="0.2">
      <c r="A4028" s="113"/>
      <c r="B4028" s="58" t="s">
        <v>10438</v>
      </c>
      <c r="C4028" s="58" t="s">
        <v>6660</v>
      </c>
      <c r="D4028" s="58" t="s">
        <v>10439</v>
      </c>
      <c r="E4028" s="60" t="b">
        <v>1</v>
      </c>
      <c r="F4028" s="80" t="s">
        <v>1253</v>
      </c>
      <c r="G4028" s="58" t="s">
        <v>10438</v>
      </c>
      <c r="H4028" s="58" t="s">
        <v>6660</v>
      </c>
      <c r="I4028" s="64" t="s">
        <v>10439</v>
      </c>
      <c r="J4028" s="66"/>
      <c r="K4028" s="66"/>
      <c r="L4028" s="68"/>
      <c r="M4028" s="63" t="str">
        <f>HYPERLINK("http://nsgreg.nga.mil/genc/view?v=868219&amp;end_month=12&amp;end_day=31&amp;end_year=2016","Correlation")</f>
        <v>Correlation</v>
      </c>
    </row>
    <row r="4029" spans="1:13" x14ac:dyDescent="0.2">
      <c r="A4029" s="113"/>
      <c r="B4029" s="58" t="s">
        <v>10440</v>
      </c>
      <c r="C4029" s="58" t="s">
        <v>6660</v>
      </c>
      <c r="D4029" s="58" t="s">
        <v>10441</v>
      </c>
      <c r="E4029" s="60" t="b">
        <v>1</v>
      </c>
      <c r="F4029" s="80" t="s">
        <v>1253</v>
      </c>
      <c r="G4029" s="58" t="s">
        <v>10440</v>
      </c>
      <c r="H4029" s="58" t="s">
        <v>6660</v>
      </c>
      <c r="I4029" s="64" t="s">
        <v>10441</v>
      </c>
      <c r="J4029" s="66"/>
      <c r="K4029" s="66"/>
      <c r="L4029" s="68"/>
      <c r="M4029" s="63" t="str">
        <f>HYPERLINK("http://nsgreg.nga.mil/genc/view?v=868220&amp;end_month=12&amp;end_day=31&amp;end_year=2016","Correlation")</f>
        <v>Correlation</v>
      </c>
    </row>
    <row r="4030" spans="1:13" x14ac:dyDescent="0.2">
      <c r="A4030" s="113"/>
      <c r="B4030" s="58" t="s">
        <v>4249</v>
      </c>
      <c r="C4030" s="58" t="s">
        <v>6660</v>
      </c>
      <c r="D4030" s="58" t="s">
        <v>10442</v>
      </c>
      <c r="E4030" s="60" t="b">
        <v>1</v>
      </c>
      <c r="F4030" s="80" t="s">
        <v>1253</v>
      </c>
      <c r="G4030" s="58" t="s">
        <v>4249</v>
      </c>
      <c r="H4030" s="58" t="s">
        <v>6660</v>
      </c>
      <c r="I4030" s="64" t="s">
        <v>10442</v>
      </c>
      <c r="J4030" s="66"/>
      <c r="K4030" s="66"/>
      <c r="L4030" s="68"/>
      <c r="M4030" s="63" t="str">
        <f>HYPERLINK("http://nsgreg.nga.mil/genc/view?v=868221&amp;end_month=12&amp;end_day=31&amp;end_year=2016","Correlation")</f>
        <v>Correlation</v>
      </c>
    </row>
    <row r="4031" spans="1:13" x14ac:dyDescent="0.2">
      <c r="A4031" s="113"/>
      <c r="B4031" s="58" t="s">
        <v>10443</v>
      </c>
      <c r="C4031" s="58" t="s">
        <v>6660</v>
      </c>
      <c r="D4031" s="58" t="s">
        <v>10444</v>
      </c>
      <c r="E4031" s="60" t="b">
        <v>1</v>
      </c>
      <c r="F4031" s="80" t="s">
        <v>1253</v>
      </c>
      <c r="G4031" s="58" t="s">
        <v>10443</v>
      </c>
      <c r="H4031" s="58" t="s">
        <v>6660</v>
      </c>
      <c r="I4031" s="64" t="s">
        <v>10444</v>
      </c>
      <c r="J4031" s="66"/>
      <c r="K4031" s="66"/>
      <c r="L4031" s="68"/>
      <c r="M4031" s="63" t="str">
        <f>HYPERLINK("http://nsgreg.nga.mil/genc/view?v=868222&amp;end_month=12&amp;end_day=31&amp;end_year=2016","Correlation")</f>
        <v>Correlation</v>
      </c>
    </row>
    <row r="4032" spans="1:13" x14ac:dyDescent="0.2">
      <c r="A4032" s="113"/>
      <c r="B4032" s="58" t="s">
        <v>10445</v>
      </c>
      <c r="C4032" s="58" t="s">
        <v>6660</v>
      </c>
      <c r="D4032" s="58" t="s">
        <v>10446</v>
      </c>
      <c r="E4032" s="60" t="b">
        <v>1</v>
      </c>
      <c r="F4032" s="80" t="s">
        <v>1253</v>
      </c>
      <c r="G4032" s="58" t="s">
        <v>10445</v>
      </c>
      <c r="H4032" s="58" t="s">
        <v>6660</v>
      </c>
      <c r="I4032" s="64" t="s">
        <v>10446</v>
      </c>
      <c r="J4032" s="66"/>
      <c r="K4032" s="66"/>
      <c r="L4032" s="68"/>
      <c r="M4032" s="63" t="str">
        <f>HYPERLINK("http://nsgreg.nga.mil/genc/view?v=868223&amp;end_month=12&amp;end_day=31&amp;end_year=2016","Correlation")</f>
        <v>Correlation</v>
      </c>
    </row>
    <row r="4033" spans="1:13" x14ac:dyDescent="0.2">
      <c r="A4033" s="113"/>
      <c r="B4033" s="58" t="s">
        <v>10447</v>
      </c>
      <c r="C4033" s="58" t="s">
        <v>6660</v>
      </c>
      <c r="D4033" s="58" t="s">
        <v>10448</v>
      </c>
      <c r="E4033" s="60" t="b">
        <v>1</v>
      </c>
      <c r="F4033" s="80" t="s">
        <v>1253</v>
      </c>
      <c r="G4033" s="58" t="s">
        <v>10447</v>
      </c>
      <c r="H4033" s="58" t="s">
        <v>6660</v>
      </c>
      <c r="I4033" s="64" t="s">
        <v>10448</v>
      </c>
      <c r="J4033" s="66"/>
      <c r="K4033" s="66"/>
      <c r="L4033" s="68"/>
      <c r="M4033" s="63" t="str">
        <f>HYPERLINK("http://nsgreg.nga.mil/genc/view?v=868224&amp;end_month=12&amp;end_day=31&amp;end_year=2016","Correlation")</f>
        <v>Correlation</v>
      </c>
    </row>
    <row r="4034" spans="1:13" x14ac:dyDescent="0.2">
      <c r="A4034" s="113"/>
      <c r="B4034" s="58" t="s">
        <v>10449</v>
      </c>
      <c r="C4034" s="58" t="s">
        <v>6660</v>
      </c>
      <c r="D4034" s="58" t="s">
        <v>10450</v>
      </c>
      <c r="E4034" s="60" t="b">
        <v>1</v>
      </c>
      <c r="F4034" s="80" t="s">
        <v>1253</v>
      </c>
      <c r="G4034" s="58" t="s">
        <v>10449</v>
      </c>
      <c r="H4034" s="58" t="s">
        <v>6660</v>
      </c>
      <c r="I4034" s="64" t="s">
        <v>10450</v>
      </c>
      <c r="J4034" s="66"/>
      <c r="K4034" s="66"/>
      <c r="L4034" s="68"/>
      <c r="M4034" s="63" t="str">
        <f>HYPERLINK("http://nsgreg.nga.mil/genc/view?v=868225&amp;end_month=12&amp;end_day=31&amp;end_year=2016","Correlation")</f>
        <v>Correlation</v>
      </c>
    </row>
    <row r="4035" spans="1:13" x14ac:dyDescent="0.2">
      <c r="A4035" s="113"/>
      <c r="B4035" s="58" t="s">
        <v>10451</v>
      </c>
      <c r="C4035" s="58" t="s">
        <v>6660</v>
      </c>
      <c r="D4035" s="58" t="s">
        <v>10452</v>
      </c>
      <c r="E4035" s="60" t="b">
        <v>1</v>
      </c>
      <c r="F4035" s="80" t="s">
        <v>1253</v>
      </c>
      <c r="G4035" s="58" t="s">
        <v>10451</v>
      </c>
      <c r="H4035" s="58" t="s">
        <v>6660</v>
      </c>
      <c r="I4035" s="64" t="s">
        <v>10452</v>
      </c>
      <c r="J4035" s="66"/>
      <c r="K4035" s="66"/>
      <c r="L4035" s="68"/>
      <c r="M4035" s="63" t="str">
        <f>HYPERLINK("http://nsgreg.nga.mil/genc/view?v=868226&amp;end_month=12&amp;end_day=31&amp;end_year=2016","Correlation")</f>
        <v>Correlation</v>
      </c>
    </row>
    <row r="4036" spans="1:13" x14ac:dyDescent="0.2">
      <c r="A4036" s="113"/>
      <c r="B4036" s="58" t="s">
        <v>10453</v>
      </c>
      <c r="C4036" s="58" t="s">
        <v>6660</v>
      </c>
      <c r="D4036" s="58" t="s">
        <v>10454</v>
      </c>
      <c r="E4036" s="60" t="b">
        <v>1</v>
      </c>
      <c r="F4036" s="80" t="s">
        <v>1253</v>
      </c>
      <c r="G4036" s="58" t="s">
        <v>10453</v>
      </c>
      <c r="H4036" s="58" t="s">
        <v>6660</v>
      </c>
      <c r="I4036" s="64" t="s">
        <v>10454</v>
      </c>
      <c r="J4036" s="66"/>
      <c r="K4036" s="66"/>
      <c r="L4036" s="68"/>
      <c r="M4036" s="63" t="str">
        <f>HYPERLINK("http://nsgreg.nga.mil/genc/view?v=868227&amp;end_month=12&amp;end_day=31&amp;end_year=2016","Correlation")</f>
        <v>Correlation</v>
      </c>
    </row>
    <row r="4037" spans="1:13" x14ac:dyDescent="0.2">
      <c r="A4037" s="113"/>
      <c r="B4037" s="58" t="s">
        <v>10455</v>
      </c>
      <c r="C4037" s="58" t="s">
        <v>6660</v>
      </c>
      <c r="D4037" s="58" t="s">
        <v>10456</v>
      </c>
      <c r="E4037" s="60" t="b">
        <v>1</v>
      </c>
      <c r="F4037" s="80" t="s">
        <v>1253</v>
      </c>
      <c r="G4037" s="58" t="s">
        <v>10455</v>
      </c>
      <c r="H4037" s="58" t="s">
        <v>6660</v>
      </c>
      <c r="I4037" s="64" t="s">
        <v>10456</v>
      </c>
      <c r="J4037" s="66"/>
      <c r="K4037" s="66"/>
      <c r="L4037" s="68"/>
      <c r="M4037" s="63" t="str">
        <f>HYPERLINK("http://nsgreg.nga.mil/genc/view?v=868229&amp;end_month=12&amp;end_day=31&amp;end_year=2016","Correlation")</f>
        <v>Correlation</v>
      </c>
    </row>
    <row r="4038" spans="1:13" x14ac:dyDescent="0.2">
      <c r="A4038" s="113"/>
      <c r="B4038" s="58" t="s">
        <v>10457</v>
      </c>
      <c r="C4038" s="58" t="s">
        <v>6660</v>
      </c>
      <c r="D4038" s="58" t="s">
        <v>10458</v>
      </c>
      <c r="E4038" s="60" t="b">
        <v>1</v>
      </c>
      <c r="F4038" s="80" t="s">
        <v>1253</v>
      </c>
      <c r="G4038" s="58" t="s">
        <v>10457</v>
      </c>
      <c r="H4038" s="58" t="s">
        <v>6660</v>
      </c>
      <c r="I4038" s="64" t="s">
        <v>10458</v>
      </c>
      <c r="J4038" s="66"/>
      <c r="K4038" s="66"/>
      <c r="L4038" s="68"/>
      <c r="M4038" s="63" t="str">
        <f>HYPERLINK("http://nsgreg.nga.mil/genc/view?v=868228&amp;end_month=12&amp;end_day=31&amp;end_year=2016","Correlation")</f>
        <v>Correlation</v>
      </c>
    </row>
    <row r="4039" spans="1:13" x14ac:dyDescent="0.2">
      <c r="A4039" s="113"/>
      <c r="B4039" s="58" t="s">
        <v>10459</v>
      </c>
      <c r="C4039" s="58" t="s">
        <v>6660</v>
      </c>
      <c r="D4039" s="58" t="s">
        <v>10460</v>
      </c>
      <c r="E4039" s="60" t="b">
        <v>1</v>
      </c>
      <c r="F4039" s="80" t="s">
        <v>1253</v>
      </c>
      <c r="G4039" s="58" t="s">
        <v>10459</v>
      </c>
      <c r="H4039" s="58" t="s">
        <v>6660</v>
      </c>
      <c r="I4039" s="64" t="s">
        <v>10460</v>
      </c>
      <c r="J4039" s="66"/>
      <c r="K4039" s="66"/>
      <c r="L4039" s="68"/>
      <c r="M4039" s="63" t="str">
        <f>HYPERLINK("http://nsgreg.nga.mil/genc/view?v=868230&amp;end_month=12&amp;end_day=31&amp;end_year=2016","Correlation")</f>
        <v>Correlation</v>
      </c>
    </row>
    <row r="4040" spans="1:13" x14ac:dyDescent="0.2">
      <c r="A4040" s="113"/>
      <c r="B4040" s="58" t="s">
        <v>10461</v>
      </c>
      <c r="C4040" s="58" t="s">
        <v>6660</v>
      </c>
      <c r="D4040" s="58" t="s">
        <v>10462</v>
      </c>
      <c r="E4040" s="60" t="b">
        <v>1</v>
      </c>
      <c r="F4040" s="80" t="s">
        <v>1253</v>
      </c>
      <c r="G4040" s="58" t="s">
        <v>10461</v>
      </c>
      <c r="H4040" s="58" t="s">
        <v>6660</v>
      </c>
      <c r="I4040" s="64" t="s">
        <v>10462</v>
      </c>
      <c r="J4040" s="66"/>
      <c r="K4040" s="66"/>
      <c r="L4040" s="68"/>
      <c r="M4040" s="63" t="str">
        <f>HYPERLINK("http://nsgreg.nga.mil/genc/view?v=868231&amp;end_month=12&amp;end_day=31&amp;end_year=2016","Correlation")</f>
        <v>Correlation</v>
      </c>
    </row>
    <row r="4041" spans="1:13" x14ac:dyDescent="0.2">
      <c r="A4041" s="113"/>
      <c r="B4041" s="58" t="s">
        <v>10463</v>
      </c>
      <c r="C4041" s="58" t="s">
        <v>6660</v>
      </c>
      <c r="D4041" s="58" t="s">
        <v>10464</v>
      </c>
      <c r="E4041" s="60" t="b">
        <v>1</v>
      </c>
      <c r="F4041" s="80" t="s">
        <v>1253</v>
      </c>
      <c r="G4041" s="58" t="s">
        <v>10463</v>
      </c>
      <c r="H4041" s="58" t="s">
        <v>6660</v>
      </c>
      <c r="I4041" s="64" t="s">
        <v>10464</v>
      </c>
      <c r="J4041" s="66"/>
      <c r="K4041" s="66"/>
      <c r="L4041" s="68"/>
      <c r="M4041" s="63" t="str">
        <f>HYPERLINK("http://nsgreg.nga.mil/genc/view?v=868232&amp;end_month=12&amp;end_day=31&amp;end_year=2016","Correlation")</f>
        <v>Correlation</v>
      </c>
    </row>
    <row r="4042" spans="1:13" x14ac:dyDescent="0.2">
      <c r="A4042" s="113"/>
      <c r="B4042" s="58" t="s">
        <v>10465</v>
      </c>
      <c r="C4042" s="58" t="s">
        <v>6660</v>
      </c>
      <c r="D4042" s="58" t="s">
        <v>10466</v>
      </c>
      <c r="E4042" s="60" t="b">
        <v>1</v>
      </c>
      <c r="F4042" s="80" t="s">
        <v>1253</v>
      </c>
      <c r="G4042" s="58" t="s">
        <v>10465</v>
      </c>
      <c r="H4042" s="58" t="s">
        <v>6660</v>
      </c>
      <c r="I4042" s="64" t="s">
        <v>10466</v>
      </c>
      <c r="J4042" s="66"/>
      <c r="K4042" s="66"/>
      <c r="L4042" s="68"/>
      <c r="M4042" s="63" t="str">
        <f>HYPERLINK("http://nsgreg.nga.mil/genc/view?v=868234&amp;end_month=12&amp;end_day=31&amp;end_year=2016","Correlation")</f>
        <v>Correlation</v>
      </c>
    </row>
    <row r="4043" spans="1:13" x14ac:dyDescent="0.2">
      <c r="A4043" s="113"/>
      <c r="B4043" s="58" t="s">
        <v>10467</v>
      </c>
      <c r="C4043" s="58" t="s">
        <v>6660</v>
      </c>
      <c r="D4043" s="58" t="s">
        <v>10468</v>
      </c>
      <c r="E4043" s="60" t="b">
        <v>1</v>
      </c>
      <c r="F4043" s="80" t="s">
        <v>1253</v>
      </c>
      <c r="G4043" s="58" t="s">
        <v>10467</v>
      </c>
      <c r="H4043" s="58" t="s">
        <v>6660</v>
      </c>
      <c r="I4043" s="64" t="s">
        <v>10468</v>
      </c>
      <c r="J4043" s="66"/>
      <c r="K4043" s="66"/>
      <c r="L4043" s="68"/>
      <c r="M4043" s="63" t="str">
        <f>HYPERLINK("http://nsgreg.nga.mil/genc/view?v=868233&amp;end_month=12&amp;end_day=31&amp;end_year=2016","Correlation")</f>
        <v>Correlation</v>
      </c>
    </row>
    <row r="4044" spans="1:13" x14ac:dyDescent="0.2">
      <c r="A4044" s="113"/>
      <c r="B4044" s="58" t="s">
        <v>10469</v>
      </c>
      <c r="C4044" s="58" t="s">
        <v>6660</v>
      </c>
      <c r="D4044" s="58" t="s">
        <v>10470</v>
      </c>
      <c r="E4044" s="60" t="b">
        <v>1</v>
      </c>
      <c r="F4044" s="80" t="s">
        <v>1253</v>
      </c>
      <c r="G4044" s="58" t="s">
        <v>10469</v>
      </c>
      <c r="H4044" s="58" t="s">
        <v>6660</v>
      </c>
      <c r="I4044" s="64" t="s">
        <v>10470</v>
      </c>
      <c r="J4044" s="66"/>
      <c r="K4044" s="66"/>
      <c r="L4044" s="68"/>
      <c r="M4044" s="63" t="str">
        <f>HYPERLINK("http://nsgreg.nga.mil/genc/view?v=868235&amp;end_month=12&amp;end_day=31&amp;end_year=2016","Correlation")</f>
        <v>Correlation</v>
      </c>
    </row>
    <row r="4045" spans="1:13" x14ac:dyDescent="0.2">
      <c r="A4045" s="114"/>
      <c r="B4045" s="71" t="s">
        <v>10471</v>
      </c>
      <c r="C4045" s="71" t="s">
        <v>6660</v>
      </c>
      <c r="D4045" s="71" t="s">
        <v>10472</v>
      </c>
      <c r="E4045" s="73" t="b">
        <v>1</v>
      </c>
      <c r="F4045" s="81" t="s">
        <v>1253</v>
      </c>
      <c r="G4045" s="71" t="s">
        <v>10471</v>
      </c>
      <c r="H4045" s="71" t="s">
        <v>6660</v>
      </c>
      <c r="I4045" s="74" t="s">
        <v>10472</v>
      </c>
      <c r="J4045" s="76"/>
      <c r="K4045" s="76"/>
      <c r="L4045" s="82"/>
      <c r="M4045" s="77" t="str">
        <f>HYPERLINK("http://nsgreg.nga.mil/genc/view?v=868236&amp;end_month=12&amp;end_day=31&amp;end_year=2016","Correlation")</f>
        <v>Correlation</v>
      </c>
    </row>
    <row r="4046" spans="1:13" x14ac:dyDescent="0.2">
      <c r="A4046" s="112" t="s">
        <v>1261</v>
      </c>
      <c r="B4046" s="50" t="s">
        <v>10473</v>
      </c>
      <c r="C4046" s="50" t="s">
        <v>1413</v>
      </c>
      <c r="D4046" s="50" t="s">
        <v>10474</v>
      </c>
      <c r="E4046" s="52" t="b">
        <v>1</v>
      </c>
      <c r="F4046" s="78" t="s">
        <v>1257</v>
      </c>
      <c r="G4046" s="50" t="s">
        <v>10473</v>
      </c>
      <c r="H4046" s="50" t="s">
        <v>2030</v>
      </c>
      <c r="I4046" s="53" t="s">
        <v>10474</v>
      </c>
      <c r="J4046" s="55"/>
      <c r="K4046" s="55"/>
      <c r="L4046" s="79"/>
      <c r="M4046" s="56" t="str">
        <f>HYPERLINK("http://nsgreg.nga.mil/genc/view?v=871810&amp;end_month=12&amp;end_day=31&amp;end_year=2016","Correlation")</f>
        <v>Correlation</v>
      </c>
    </row>
    <row r="4047" spans="1:13" x14ac:dyDescent="0.2">
      <c r="A4047" s="113"/>
      <c r="B4047" s="58" t="s">
        <v>10475</v>
      </c>
      <c r="C4047" s="58" t="s">
        <v>1413</v>
      </c>
      <c r="D4047" s="58" t="s">
        <v>10476</v>
      </c>
      <c r="E4047" s="60" t="b">
        <v>1</v>
      </c>
      <c r="F4047" s="80" t="s">
        <v>1257</v>
      </c>
      <c r="G4047" s="58" t="s">
        <v>10475</v>
      </c>
      <c r="H4047" s="58" t="s">
        <v>2030</v>
      </c>
      <c r="I4047" s="64" t="s">
        <v>10476</v>
      </c>
      <c r="J4047" s="66"/>
      <c r="K4047" s="66"/>
      <c r="L4047" s="68"/>
      <c r="M4047" s="63" t="str">
        <f>HYPERLINK("http://nsgreg.nga.mil/genc/view?v=871815&amp;end_month=12&amp;end_day=31&amp;end_year=2016","Correlation")</f>
        <v>Correlation</v>
      </c>
    </row>
    <row r="4048" spans="1:13" x14ac:dyDescent="0.2">
      <c r="A4048" s="113"/>
      <c r="B4048" s="58" t="s">
        <v>10477</v>
      </c>
      <c r="C4048" s="58" t="s">
        <v>1413</v>
      </c>
      <c r="D4048" s="58" t="s">
        <v>10478</v>
      </c>
      <c r="E4048" s="60" t="b">
        <v>1</v>
      </c>
      <c r="F4048" s="80" t="s">
        <v>1257</v>
      </c>
      <c r="G4048" s="58" t="s">
        <v>10477</v>
      </c>
      <c r="H4048" s="58" t="s">
        <v>2030</v>
      </c>
      <c r="I4048" s="64" t="s">
        <v>10478</v>
      </c>
      <c r="J4048" s="66"/>
      <c r="K4048" s="66"/>
      <c r="L4048" s="68"/>
      <c r="M4048" s="63" t="str">
        <f>HYPERLINK("http://nsgreg.nga.mil/genc/view?v=871816&amp;end_month=12&amp;end_day=31&amp;end_year=2016","Correlation")</f>
        <v>Correlation</v>
      </c>
    </row>
    <row r="4049" spans="1:13" x14ac:dyDescent="0.2">
      <c r="A4049" s="113"/>
      <c r="B4049" s="58" t="s">
        <v>10479</v>
      </c>
      <c r="C4049" s="58" t="s">
        <v>1413</v>
      </c>
      <c r="D4049" s="58" t="s">
        <v>10480</v>
      </c>
      <c r="E4049" s="60" t="b">
        <v>1</v>
      </c>
      <c r="F4049" s="80" t="s">
        <v>1257</v>
      </c>
      <c r="G4049" s="58" t="s">
        <v>10479</v>
      </c>
      <c r="H4049" s="58" t="s">
        <v>2030</v>
      </c>
      <c r="I4049" s="64" t="s">
        <v>10480</v>
      </c>
      <c r="J4049" s="66"/>
      <c r="K4049" s="66"/>
      <c r="L4049" s="68"/>
      <c r="M4049" s="63" t="str">
        <f>HYPERLINK("http://nsgreg.nga.mil/genc/view?v=871817&amp;end_month=12&amp;end_day=31&amp;end_year=2016","Correlation")</f>
        <v>Correlation</v>
      </c>
    </row>
    <row r="4050" spans="1:13" x14ac:dyDescent="0.2">
      <c r="A4050" s="113"/>
      <c r="B4050" s="58" t="s">
        <v>10481</v>
      </c>
      <c r="C4050" s="58" t="s">
        <v>1413</v>
      </c>
      <c r="D4050" s="58" t="s">
        <v>10482</v>
      </c>
      <c r="E4050" s="60" t="b">
        <v>1</v>
      </c>
      <c r="F4050" s="80" t="s">
        <v>1257</v>
      </c>
      <c r="G4050" s="58" t="s">
        <v>10481</v>
      </c>
      <c r="H4050" s="58" t="s">
        <v>2030</v>
      </c>
      <c r="I4050" s="64" t="s">
        <v>10482</v>
      </c>
      <c r="J4050" s="66"/>
      <c r="K4050" s="66"/>
      <c r="L4050" s="68"/>
      <c r="M4050" s="63" t="str">
        <f>HYPERLINK("http://nsgreg.nga.mil/genc/view?v=871819&amp;end_month=12&amp;end_day=31&amp;end_year=2016","Correlation")</f>
        <v>Correlation</v>
      </c>
    </row>
    <row r="4051" spans="1:13" x14ac:dyDescent="0.2">
      <c r="A4051" s="113"/>
      <c r="B4051" s="58" t="s">
        <v>10483</v>
      </c>
      <c r="C4051" s="58" t="s">
        <v>1413</v>
      </c>
      <c r="D4051" s="58" t="s">
        <v>10484</v>
      </c>
      <c r="E4051" s="60" t="b">
        <v>1</v>
      </c>
      <c r="F4051" s="80" t="s">
        <v>1257</v>
      </c>
      <c r="G4051" s="58" t="s">
        <v>10483</v>
      </c>
      <c r="H4051" s="58" t="s">
        <v>2030</v>
      </c>
      <c r="I4051" s="64" t="s">
        <v>10484</v>
      </c>
      <c r="J4051" s="66"/>
      <c r="K4051" s="66"/>
      <c r="L4051" s="68"/>
      <c r="M4051" s="63" t="str">
        <f>HYPERLINK("http://nsgreg.nga.mil/genc/view?v=871808&amp;end_month=12&amp;end_day=31&amp;end_year=2016","Correlation")</f>
        <v>Correlation</v>
      </c>
    </row>
    <row r="4052" spans="1:13" x14ac:dyDescent="0.2">
      <c r="A4052" s="113"/>
      <c r="B4052" s="58" t="s">
        <v>10485</v>
      </c>
      <c r="C4052" s="58" t="s">
        <v>1413</v>
      </c>
      <c r="D4052" s="58" t="s">
        <v>10486</v>
      </c>
      <c r="E4052" s="60" t="b">
        <v>1</v>
      </c>
      <c r="F4052" s="80" t="s">
        <v>1257</v>
      </c>
      <c r="G4052" s="58" t="s">
        <v>10485</v>
      </c>
      <c r="H4052" s="58" t="s">
        <v>2030</v>
      </c>
      <c r="I4052" s="64" t="s">
        <v>10486</v>
      </c>
      <c r="J4052" s="66"/>
      <c r="K4052" s="66"/>
      <c r="L4052" s="68"/>
      <c r="M4052" s="63" t="str">
        <f>HYPERLINK("http://nsgreg.nga.mil/genc/view?v=871809&amp;end_month=12&amp;end_day=31&amp;end_year=2016","Correlation")</f>
        <v>Correlation</v>
      </c>
    </row>
    <row r="4053" spans="1:13" x14ac:dyDescent="0.2">
      <c r="A4053" s="113"/>
      <c r="B4053" s="58" t="s">
        <v>10487</v>
      </c>
      <c r="C4053" s="58" t="s">
        <v>1413</v>
      </c>
      <c r="D4053" s="58" t="s">
        <v>10488</v>
      </c>
      <c r="E4053" s="60" t="b">
        <v>1</v>
      </c>
      <c r="F4053" s="80" t="s">
        <v>1257</v>
      </c>
      <c r="G4053" s="58" t="s">
        <v>10487</v>
      </c>
      <c r="H4053" s="58" t="s">
        <v>2030</v>
      </c>
      <c r="I4053" s="64" t="s">
        <v>10488</v>
      </c>
      <c r="J4053" s="66"/>
      <c r="K4053" s="66"/>
      <c r="L4053" s="68"/>
      <c r="M4053" s="63" t="str">
        <f>HYPERLINK("http://nsgreg.nga.mil/genc/view?v=871807&amp;end_month=12&amp;end_day=31&amp;end_year=2016","Correlation")</f>
        <v>Correlation</v>
      </c>
    </row>
    <row r="4054" spans="1:13" x14ac:dyDescent="0.2">
      <c r="A4054" s="113"/>
      <c r="B4054" s="58" t="s">
        <v>10489</v>
      </c>
      <c r="C4054" s="58" t="s">
        <v>1413</v>
      </c>
      <c r="D4054" s="58" t="s">
        <v>10490</v>
      </c>
      <c r="E4054" s="60" t="b">
        <v>1</v>
      </c>
      <c r="F4054" s="80" t="s">
        <v>1257</v>
      </c>
      <c r="G4054" s="58" t="s">
        <v>10489</v>
      </c>
      <c r="H4054" s="58" t="s">
        <v>2030</v>
      </c>
      <c r="I4054" s="64" t="s">
        <v>10490</v>
      </c>
      <c r="J4054" s="66"/>
      <c r="K4054" s="66"/>
      <c r="L4054" s="68"/>
      <c r="M4054" s="63" t="str">
        <f>HYPERLINK("http://nsgreg.nga.mil/genc/view?v=871812&amp;end_month=12&amp;end_day=31&amp;end_year=2016","Correlation")</f>
        <v>Correlation</v>
      </c>
    </row>
    <row r="4055" spans="1:13" x14ac:dyDescent="0.2">
      <c r="A4055" s="113"/>
      <c r="B4055" s="58" t="s">
        <v>10491</v>
      </c>
      <c r="C4055" s="58" t="s">
        <v>1413</v>
      </c>
      <c r="D4055" s="58" t="s">
        <v>10492</v>
      </c>
      <c r="E4055" s="60" t="b">
        <v>1</v>
      </c>
      <c r="F4055" s="80" t="s">
        <v>1257</v>
      </c>
      <c r="G4055" s="58" t="s">
        <v>10491</v>
      </c>
      <c r="H4055" s="58" t="s">
        <v>2030</v>
      </c>
      <c r="I4055" s="64" t="s">
        <v>10492</v>
      </c>
      <c r="J4055" s="66"/>
      <c r="K4055" s="66"/>
      <c r="L4055" s="68"/>
      <c r="M4055" s="63" t="str">
        <f>HYPERLINK("http://nsgreg.nga.mil/genc/view?v=871813&amp;end_month=12&amp;end_day=31&amp;end_year=2016","Correlation")</f>
        <v>Correlation</v>
      </c>
    </row>
    <row r="4056" spans="1:13" x14ac:dyDescent="0.2">
      <c r="A4056" s="113"/>
      <c r="B4056" s="58" t="s">
        <v>10493</v>
      </c>
      <c r="C4056" s="58" t="s">
        <v>1413</v>
      </c>
      <c r="D4056" s="58" t="s">
        <v>10494</v>
      </c>
      <c r="E4056" s="60" t="b">
        <v>1</v>
      </c>
      <c r="F4056" s="80" t="s">
        <v>1257</v>
      </c>
      <c r="G4056" s="58" t="s">
        <v>10493</v>
      </c>
      <c r="H4056" s="58" t="s">
        <v>2030</v>
      </c>
      <c r="I4056" s="64" t="s">
        <v>10494</v>
      </c>
      <c r="J4056" s="66"/>
      <c r="K4056" s="66"/>
      <c r="L4056" s="68"/>
      <c r="M4056" s="63" t="str">
        <f>HYPERLINK("http://nsgreg.nga.mil/genc/view?v=871811&amp;end_month=12&amp;end_day=31&amp;end_year=2016","Correlation")</f>
        <v>Correlation</v>
      </c>
    </row>
    <row r="4057" spans="1:13" x14ac:dyDescent="0.2">
      <c r="A4057" s="113"/>
      <c r="B4057" s="58" t="s">
        <v>10495</v>
      </c>
      <c r="C4057" s="58" t="s">
        <v>1413</v>
      </c>
      <c r="D4057" s="58" t="s">
        <v>10496</v>
      </c>
      <c r="E4057" s="60" t="b">
        <v>1</v>
      </c>
      <c r="F4057" s="80" t="s">
        <v>1257</v>
      </c>
      <c r="G4057" s="58" t="s">
        <v>10495</v>
      </c>
      <c r="H4057" s="58" t="s">
        <v>2030</v>
      </c>
      <c r="I4057" s="64" t="s">
        <v>10496</v>
      </c>
      <c r="J4057" s="66"/>
      <c r="K4057" s="66"/>
      <c r="L4057" s="68"/>
      <c r="M4057" s="63" t="str">
        <f>HYPERLINK("http://nsgreg.nga.mil/genc/view?v=871814&amp;end_month=12&amp;end_day=31&amp;end_year=2016","Correlation")</f>
        <v>Correlation</v>
      </c>
    </row>
    <row r="4058" spans="1:13" x14ac:dyDescent="0.2">
      <c r="A4058" s="113"/>
      <c r="B4058" s="58" t="s">
        <v>10497</v>
      </c>
      <c r="C4058" s="58" t="s">
        <v>1413</v>
      </c>
      <c r="D4058" s="58" t="s">
        <v>10498</v>
      </c>
      <c r="E4058" s="60" t="b">
        <v>1</v>
      </c>
      <c r="F4058" s="80" t="s">
        <v>1257</v>
      </c>
      <c r="G4058" s="58" t="s">
        <v>10497</v>
      </c>
      <c r="H4058" s="58" t="s">
        <v>2030</v>
      </c>
      <c r="I4058" s="64" t="s">
        <v>10498</v>
      </c>
      <c r="J4058" s="66"/>
      <c r="K4058" s="66"/>
      <c r="L4058" s="68"/>
      <c r="M4058" s="63" t="str">
        <f>HYPERLINK("http://nsgreg.nga.mil/genc/view?v=871818&amp;end_month=12&amp;end_day=31&amp;end_year=2016","Correlation")</f>
        <v>Correlation</v>
      </c>
    </row>
    <row r="4059" spans="1:13" x14ac:dyDescent="0.2">
      <c r="A4059" s="114"/>
      <c r="B4059" s="71" t="s">
        <v>10499</v>
      </c>
      <c r="C4059" s="71" t="s">
        <v>1413</v>
      </c>
      <c r="D4059" s="71" t="s">
        <v>10500</v>
      </c>
      <c r="E4059" s="73" t="b">
        <v>1</v>
      </c>
      <c r="F4059" s="81" t="s">
        <v>1257</v>
      </c>
      <c r="G4059" s="71" t="s">
        <v>10499</v>
      </c>
      <c r="H4059" s="71" t="s">
        <v>2030</v>
      </c>
      <c r="I4059" s="74" t="s">
        <v>10500</v>
      </c>
      <c r="J4059" s="76"/>
      <c r="K4059" s="76"/>
      <c r="L4059" s="82"/>
      <c r="M4059" s="77" t="str">
        <f>HYPERLINK("http://nsgreg.nga.mil/genc/view?v=871820&amp;end_month=12&amp;end_day=31&amp;end_year=2016","Correlation")</f>
        <v>Correlation</v>
      </c>
    </row>
    <row r="4060" spans="1:13" x14ac:dyDescent="0.2">
      <c r="A4060" s="112" t="s">
        <v>1046</v>
      </c>
      <c r="B4060" s="50" t="s">
        <v>10501</v>
      </c>
      <c r="C4060" s="50" t="s">
        <v>1483</v>
      </c>
      <c r="D4060" s="50" t="s">
        <v>10502</v>
      </c>
      <c r="E4060" s="52" t="b">
        <v>1</v>
      </c>
      <c r="F4060" s="78" t="s">
        <v>1262</v>
      </c>
      <c r="G4060" s="50" t="s">
        <v>10501</v>
      </c>
      <c r="H4060" s="50" t="s">
        <v>1483</v>
      </c>
      <c r="I4060" s="53" t="s">
        <v>10502</v>
      </c>
      <c r="J4060" s="55"/>
      <c r="K4060" s="55"/>
      <c r="L4060" s="79"/>
      <c r="M4060" s="56" t="str">
        <f>HYPERLINK("http://nsgreg.nga.mil/genc/view?v=872088&amp;end_month=12&amp;end_day=31&amp;end_year=2016","Correlation")</f>
        <v>Correlation</v>
      </c>
    </row>
    <row r="4061" spans="1:13" x14ac:dyDescent="0.2">
      <c r="A4061" s="113"/>
      <c r="B4061" s="58" t="s">
        <v>10503</v>
      </c>
      <c r="C4061" s="58" t="s">
        <v>1681</v>
      </c>
      <c r="D4061" s="58" t="s">
        <v>10504</v>
      </c>
      <c r="E4061" s="60" t="b">
        <v>1</v>
      </c>
      <c r="F4061" s="80" t="s">
        <v>1262</v>
      </c>
      <c r="G4061" s="58" t="s">
        <v>10503</v>
      </c>
      <c r="H4061" s="58" t="s">
        <v>1681</v>
      </c>
      <c r="I4061" s="64" t="s">
        <v>10504</v>
      </c>
      <c r="J4061" s="66"/>
      <c r="K4061" s="66"/>
      <c r="L4061" s="68"/>
      <c r="M4061" s="63" t="str">
        <f>HYPERLINK("http://nsgreg.nga.mil/genc/view?v=872089&amp;end_month=12&amp;end_day=31&amp;end_year=2016","Correlation")</f>
        <v>Correlation</v>
      </c>
    </row>
    <row r="4062" spans="1:13" x14ac:dyDescent="0.2">
      <c r="A4062" s="113"/>
      <c r="B4062" s="58" t="s">
        <v>10503</v>
      </c>
      <c r="C4062" s="58" t="s">
        <v>1483</v>
      </c>
      <c r="D4062" s="58" t="s">
        <v>10505</v>
      </c>
      <c r="E4062" s="60" t="b">
        <v>1</v>
      </c>
      <c r="F4062" s="80" t="s">
        <v>1262</v>
      </c>
      <c r="G4062" s="58" t="s">
        <v>10503</v>
      </c>
      <c r="H4062" s="58" t="s">
        <v>1483</v>
      </c>
      <c r="I4062" s="64" t="s">
        <v>10505</v>
      </c>
      <c r="J4062" s="66"/>
      <c r="K4062" s="66"/>
      <c r="L4062" s="68"/>
      <c r="M4062" s="63" t="str">
        <f>HYPERLINK("http://nsgreg.nga.mil/genc/view?v=872090&amp;end_month=12&amp;end_day=31&amp;end_year=2016","Correlation")</f>
        <v>Correlation</v>
      </c>
    </row>
    <row r="4063" spans="1:13" x14ac:dyDescent="0.2">
      <c r="A4063" s="113"/>
      <c r="B4063" s="58" t="s">
        <v>10506</v>
      </c>
      <c r="C4063" s="58" t="s">
        <v>1681</v>
      </c>
      <c r="D4063" s="58" t="s">
        <v>10507</v>
      </c>
      <c r="E4063" s="60" t="b">
        <v>1</v>
      </c>
      <c r="F4063" s="80" t="s">
        <v>1262</v>
      </c>
      <c r="G4063" s="58" t="s">
        <v>10506</v>
      </c>
      <c r="H4063" s="58" t="s">
        <v>1681</v>
      </c>
      <c r="I4063" s="64" t="s">
        <v>10507</v>
      </c>
      <c r="J4063" s="66"/>
      <c r="K4063" s="66"/>
      <c r="L4063" s="68"/>
      <c r="M4063" s="63" t="str">
        <f>HYPERLINK("http://nsgreg.nga.mil/genc/view?v=872092&amp;end_month=12&amp;end_day=31&amp;end_year=2016","Correlation")</f>
        <v>Correlation</v>
      </c>
    </row>
    <row r="4064" spans="1:13" x14ac:dyDescent="0.2">
      <c r="A4064" s="113"/>
      <c r="B4064" s="58" t="s">
        <v>10506</v>
      </c>
      <c r="C4064" s="58" t="s">
        <v>1483</v>
      </c>
      <c r="D4064" s="58" t="s">
        <v>10508</v>
      </c>
      <c r="E4064" s="60" t="b">
        <v>1</v>
      </c>
      <c r="F4064" s="80" t="s">
        <v>1262</v>
      </c>
      <c r="G4064" s="58" t="s">
        <v>10506</v>
      </c>
      <c r="H4064" s="58" t="s">
        <v>1483</v>
      </c>
      <c r="I4064" s="64" t="s">
        <v>10508</v>
      </c>
      <c r="J4064" s="66"/>
      <c r="K4064" s="66"/>
      <c r="L4064" s="68"/>
      <c r="M4064" s="63" t="str">
        <f>HYPERLINK("http://nsgreg.nga.mil/genc/view?v=872091&amp;end_month=12&amp;end_day=31&amp;end_year=2016","Correlation")</f>
        <v>Correlation</v>
      </c>
    </row>
    <row r="4065" spans="1:13" x14ac:dyDescent="0.2">
      <c r="A4065" s="113"/>
      <c r="B4065" s="58" t="s">
        <v>10509</v>
      </c>
      <c r="C4065" s="58" t="s">
        <v>1483</v>
      </c>
      <c r="D4065" s="58" t="s">
        <v>10510</v>
      </c>
      <c r="E4065" s="60" t="b">
        <v>1</v>
      </c>
      <c r="F4065" s="80" t="s">
        <v>1262</v>
      </c>
      <c r="G4065" s="58" t="s">
        <v>10509</v>
      </c>
      <c r="H4065" s="58" t="s">
        <v>1483</v>
      </c>
      <c r="I4065" s="64" t="s">
        <v>10510</v>
      </c>
      <c r="J4065" s="66"/>
      <c r="K4065" s="66"/>
      <c r="L4065" s="68"/>
      <c r="M4065" s="63" t="str">
        <f>HYPERLINK("http://nsgreg.nga.mil/genc/view?v=872093&amp;end_month=12&amp;end_day=31&amp;end_year=2016","Correlation")</f>
        <v>Correlation</v>
      </c>
    </row>
    <row r="4066" spans="1:13" x14ac:dyDescent="0.2">
      <c r="A4066" s="113"/>
      <c r="B4066" s="58" t="s">
        <v>10511</v>
      </c>
      <c r="C4066" s="58" t="s">
        <v>2396</v>
      </c>
      <c r="D4066" s="58" t="s">
        <v>10512</v>
      </c>
      <c r="E4066" s="60" t="b">
        <v>1</v>
      </c>
      <c r="F4066" s="80" t="s">
        <v>1262</v>
      </c>
      <c r="G4066" s="58" t="s">
        <v>10511</v>
      </c>
      <c r="H4066" s="58" t="s">
        <v>2396</v>
      </c>
      <c r="I4066" s="64" t="s">
        <v>10512</v>
      </c>
      <c r="J4066" s="66"/>
      <c r="K4066" s="66"/>
      <c r="L4066" s="68"/>
      <c r="M4066" s="63" t="str">
        <f>HYPERLINK("http://nsgreg.nga.mil/genc/view?v=872096&amp;end_month=12&amp;end_day=31&amp;end_year=2016","Correlation")</f>
        <v>Correlation</v>
      </c>
    </row>
    <row r="4067" spans="1:13" x14ac:dyDescent="0.2">
      <c r="A4067" s="113"/>
      <c r="B4067" s="58" t="s">
        <v>10513</v>
      </c>
      <c r="C4067" s="58" t="s">
        <v>1681</v>
      </c>
      <c r="D4067" s="58" t="s">
        <v>10514</v>
      </c>
      <c r="E4067" s="60" t="b">
        <v>1</v>
      </c>
      <c r="F4067" s="80" t="s">
        <v>1262</v>
      </c>
      <c r="G4067" s="58" t="s">
        <v>10513</v>
      </c>
      <c r="H4067" s="58" t="s">
        <v>1681</v>
      </c>
      <c r="I4067" s="64" t="s">
        <v>10514</v>
      </c>
      <c r="J4067" s="66"/>
      <c r="K4067" s="66"/>
      <c r="L4067" s="68"/>
      <c r="M4067" s="63" t="str">
        <f>HYPERLINK("http://nsgreg.nga.mil/genc/view?v=872095&amp;end_month=12&amp;end_day=31&amp;end_year=2016","Correlation")</f>
        <v>Correlation</v>
      </c>
    </row>
    <row r="4068" spans="1:13" x14ac:dyDescent="0.2">
      <c r="A4068" s="113"/>
      <c r="B4068" s="58" t="s">
        <v>10515</v>
      </c>
      <c r="C4068" s="58" t="s">
        <v>1483</v>
      </c>
      <c r="D4068" s="58" t="s">
        <v>10516</v>
      </c>
      <c r="E4068" s="60" t="b">
        <v>1</v>
      </c>
      <c r="F4068" s="80" t="s">
        <v>1262</v>
      </c>
      <c r="G4068" s="58" t="s">
        <v>10515</v>
      </c>
      <c r="H4068" s="58" t="s">
        <v>1483</v>
      </c>
      <c r="I4068" s="64" t="s">
        <v>10516</v>
      </c>
      <c r="J4068" s="66"/>
      <c r="K4068" s="66"/>
      <c r="L4068" s="68"/>
      <c r="M4068" s="63" t="str">
        <f>HYPERLINK("http://nsgreg.nga.mil/genc/view?v=872097&amp;end_month=12&amp;end_day=31&amp;end_year=2016","Correlation")</f>
        <v>Correlation</v>
      </c>
    </row>
    <row r="4069" spans="1:13" x14ac:dyDescent="0.2">
      <c r="A4069" s="113"/>
      <c r="B4069" s="58" t="s">
        <v>10517</v>
      </c>
      <c r="C4069" s="58" t="s">
        <v>1483</v>
      </c>
      <c r="D4069" s="58" t="s">
        <v>10518</v>
      </c>
      <c r="E4069" s="60" t="b">
        <v>1</v>
      </c>
      <c r="F4069" s="80" t="s">
        <v>1262</v>
      </c>
      <c r="G4069" s="58" t="s">
        <v>10517</v>
      </c>
      <c r="H4069" s="58" t="s">
        <v>1483</v>
      </c>
      <c r="I4069" s="64" t="s">
        <v>10518</v>
      </c>
      <c r="J4069" s="66"/>
      <c r="K4069" s="66"/>
      <c r="L4069" s="68"/>
      <c r="M4069" s="63" t="str">
        <f>HYPERLINK("http://nsgreg.nga.mil/genc/view?v=872098&amp;end_month=12&amp;end_day=31&amp;end_year=2016","Correlation")</f>
        <v>Correlation</v>
      </c>
    </row>
    <row r="4070" spans="1:13" x14ac:dyDescent="0.2">
      <c r="A4070" s="113"/>
      <c r="B4070" s="58" t="s">
        <v>10519</v>
      </c>
      <c r="C4070" s="58" t="s">
        <v>1483</v>
      </c>
      <c r="D4070" s="58" t="s">
        <v>10520</v>
      </c>
      <c r="E4070" s="60" t="b">
        <v>1</v>
      </c>
      <c r="F4070" s="80" t="s">
        <v>1262</v>
      </c>
      <c r="G4070" s="58" t="s">
        <v>10519</v>
      </c>
      <c r="H4070" s="58" t="s">
        <v>1483</v>
      </c>
      <c r="I4070" s="64" t="s">
        <v>10520</v>
      </c>
      <c r="J4070" s="66"/>
      <c r="K4070" s="66"/>
      <c r="L4070" s="68"/>
      <c r="M4070" s="63" t="str">
        <f>HYPERLINK("http://nsgreg.nga.mil/genc/view?v=872099&amp;end_month=12&amp;end_day=31&amp;end_year=2016","Correlation")</f>
        <v>Correlation</v>
      </c>
    </row>
    <row r="4071" spans="1:13" x14ac:dyDescent="0.2">
      <c r="A4071" s="113"/>
      <c r="B4071" s="58" t="s">
        <v>10521</v>
      </c>
      <c r="C4071" s="58" t="s">
        <v>1483</v>
      </c>
      <c r="D4071" s="58" t="s">
        <v>10522</v>
      </c>
      <c r="E4071" s="60" t="b">
        <v>1</v>
      </c>
      <c r="F4071" s="80" t="s">
        <v>1262</v>
      </c>
      <c r="G4071" s="58" t="s">
        <v>10521</v>
      </c>
      <c r="H4071" s="58" t="s">
        <v>1483</v>
      </c>
      <c r="I4071" s="64" t="s">
        <v>10522</v>
      </c>
      <c r="J4071" s="66"/>
      <c r="K4071" s="66"/>
      <c r="L4071" s="68"/>
      <c r="M4071" s="63" t="str">
        <f>HYPERLINK("http://nsgreg.nga.mil/genc/view?v=872100&amp;end_month=12&amp;end_day=31&amp;end_year=2016","Correlation")</f>
        <v>Correlation</v>
      </c>
    </row>
    <row r="4072" spans="1:13" x14ac:dyDescent="0.2">
      <c r="A4072" s="113"/>
      <c r="B4072" s="58" t="s">
        <v>10523</v>
      </c>
      <c r="C4072" s="58" t="s">
        <v>2396</v>
      </c>
      <c r="D4072" s="58" t="s">
        <v>10524</v>
      </c>
      <c r="E4072" s="60" t="b">
        <v>1</v>
      </c>
      <c r="F4072" s="80" t="s">
        <v>1262</v>
      </c>
      <c r="G4072" s="58" t="s">
        <v>10523</v>
      </c>
      <c r="H4072" s="58" t="s">
        <v>2396</v>
      </c>
      <c r="I4072" s="64" t="s">
        <v>10524</v>
      </c>
      <c r="J4072" s="66"/>
      <c r="K4072" s="66"/>
      <c r="L4072" s="68"/>
      <c r="M4072" s="63" t="str">
        <f>HYPERLINK("http://nsgreg.nga.mil/genc/view?v=872101&amp;end_month=12&amp;end_day=31&amp;end_year=2016","Correlation")</f>
        <v>Correlation</v>
      </c>
    </row>
    <row r="4073" spans="1:13" x14ac:dyDescent="0.2">
      <c r="A4073" s="113"/>
      <c r="B4073" s="58" t="s">
        <v>10525</v>
      </c>
      <c r="C4073" s="58" t="s">
        <v>1483</v>
      </c>
      <c r="D4073" s="58" t="s">
        <v>10526</v>
      </c>
      <c r="E4073" s="60" t="b">
        <v>1</v>
      </c>
      <c r="F4073" s="80" t="s">
        <v>1262</v>
      </c>
      <c r="G4073" s="58" t="s">
        <v>10525</v>
      </c>
      <c r="H4073" s="58" t="s">
        <v>1483</v>
      </c>
      <c r="I4073" s="64" t="s">
        <v>10526</v>
      </c>
      <c r="J4073" s="66"/>
      <c r="K4073" s="66"/>
      <c r="L4073" s="68"/>
      <c r="M4073" s="63" t="str">
        <f>HYPERLINK("http://nsgreg.nga.mil/genc/view?v=872102&amp;end_month=12&amp;end_day=31&amp;end_year=2016","Correlation")</f>
        <v>Correlation</v>
      </c>
    </row>
    <row r="4074" spans="1:13" x14ac:dyDescent="0.2">
      <c r="A4074" s="113"/>
      <c r="B4074" s="58" t="s">
        <v>10527</v>
      </c>
      <c r="C4074" s="58" t="s">
        <v>1483</v>
      </c>
      <c r="D4074" s="58" t="s">
        <v>10528</v>
      </c>
      <c r="E4074" s="60" t="b">
        <v>1</v>
      </c>
      <c r="F4074" s="80" t="s">
        <v>1262</v>
      </c>
      <c r="G4074" s="58" t="s">
        <v>10527</v>
      </c>
      <c r="H4074" s="58" t="s">
        <v>1483</v>
      </c>
      <c r="I4074" s="64" t="s">
        <v>10528</v>
      </c>
      <c r="J4074" s="66"/>
      <c r="K4074" s="66"/>
      <c r="L4074" s="68"/>
      <c r="M4074" s="63" t="str">
        <f>HYPERLINK("http://nsgreg.nga.mil/genc/view?v=872103&amp;end_month=12&amp;end_day=31&amp;end_year=2016","Correlation")</f>
        <v>Correlation</v>
      </c>
    </row>
    <row r="4075" spans="1:13" x14ac:dyDescent="0.2">
      <c r="A4075" s="113"/>
      <c r="B4075" s="58" t="s">
        <v>10529</v>
      </c>
      <c r="C4075" s="58" t="s">
        <v>2396</v>
      </c>
      <c r="D4075" s="58" t="s">
        <v>10530</v>
      </c>
      <c r="E4075" s="60" t="b">
        <v>1</v>
      </c>
      <c r="F4075" s="80" t="s">
        <v>1262</v>
      </c>
      <c r="G4075" s="58" t="s">
        <v>10529</v>
      </c>
      <c r="H4075" s="58" t="s">
        <v>2396</v>
      </c>
      <c r="I4075" s="64" t="s">
        <v>10530</v>
      </c>
      <c r="J4075" s="66"/>
      <c r="K4075" s="66"/>
      <c r="L4075" s="68"/>
      <c r="M4075" s="63" t="str">
        <f>HYPERLINK("http://nsgreg.nga.mil/genc/view?v=872108&amp;end_month=12&amp;end_day=31&amp;end_year=2016","Correlation")</f>
        <v>Correlation</v>
      </c>
    </row>
    <row r="4076" spans="1:13" x14ac:dyDescent="0.2">
      <c r="A4076" s="113"/>
      <c r="B4076" s="58" t="s">
        <v>10531</v>
      </c>
      <c r="C4076" s="58" t="s">
        <v>2396</v>
      </c>
      <c r="D4076" s="58" t="s">
        <v>10532</v>
      </c>
      <c r="E4076" s="60" t="b">
        <v>1</v>
      </c>
      <c r="F4076" s="80" t="s">
        <v>1262</v>
      </c>
      <c r="G4076" s="58" t="s">
        <v>10531</v>
      </c>
      <c r="H4076" s="58" t="s">
        <v>2396</v>
      </c>
      <c r="I4076" s="64" t="s">
        <v>10532</v>
      </c>
      <c r="J4076" s="66"/>
      <c r="K4076" s="66"/>
      <c r="L4076" s="68"/>
      <c r="M4076" s="63" t="str">
        <f>HYPERLINK("http://nsgreg.nga.mil/genc/view?v=872105&amp;end_month=12&amp;end_day=31&amp;end_year=2016","Correlation")</f>
        <v>Correlation</v>
      </c>
    </row>
    <row r="4077" spans="1:13" x14ac:dyDescent="0.2">
      <c r="A4077" s="113"/>
      <c r="B4077" s="58" t="s">
        <v>10533</v>
      </c>
      <c r="C4077" s="58" t="s">
        <v>2396</v>
      </c>
      <c r="D4077" s="58" t="s">
        <v>10534</v>
      </c>
      <c r="E4077" s="60" t="b">
        <v>1</v>
      </c>
      <c r="F4077" s="80" t="s">
        <v>1262</v>
      </c>
      <c r="G4077" s="58" t="s">
        <v>10533</v>
      </c>
      <c r="H4077" s="58" t="s">
        <v>2396</v>
      </c>
      <c r="I4077" s="64" t="s">
        <v>10534</v>
      </c>
      <c r="J4077" s="66"/>
      <c r="K4077" s="66"/>
      <c r="L4077" s="68"/>
      <c r="M4077" s="63" t="str">
        <f>HYPERLINK("http://nsgreg.nga.mil/genc/view?v=872106&amp;end_month=12&amp;end_day=31&amp;end_year=2016","Correlation")</f>
        <v>Correlation</v>
      </c>
    </row>
    <row r="4078" spans="1:13" x14ac:dyDescent="0.2">
      <c r="A4078" s="113"/>
      <c r="B4078" s="58" t="s">
        <v>10535</v>
      </c>
      <c r="C4078" s="58" t="s">
        <v>1483</v>
      </c>
      <c r="D4078" s="58" t="s">
        <v>10536</v>
      </c>
      <c r="E4078" s="60" t="b">
        <v>1</v>
      </c>
      <c r="F4078" s="80" t="s">
        <v>1262</v>
      </c>
      <c r="G4078" s="58" t="s">
        <v>10535</v>
      </c>
      <c r="H4078" s="58" t="s">
        <v>1483</v>
      </c>
      <c r="I4078" s="64" t="s">
        <v>10536</v>
      </c>
      <c r="J4078" s="66"/>
      <c r="K4078" s="66"/>
      <c r="L4078" s="68"/>
      <c r="M4078" s="63" t="str">
        <f>HYPERLINK("http://nsgreg.nga.mil/genc/view?v=872107&amp;end_month=12&amp;end_day=31&amp;end_year=2016","Correlation")</f>
        <v>Correlation</v>
      </c>
    </row>
    <row r="4079" spans="1:13" x14ac:dyDescent="0.2">
      <c r="A4079" s="113"/>
      <c r="B4079" s="58" t="s">
        <v>10537</v>
      </c>
      <c r="C4079" s="58" t="s">
        <v>2396</v>
      </c>
      <c r="D4079" s="58" t="s">
        <v>10538</v>
      </c>
      <c r="E4079" s="60" t="b">
        <v>1</v>
      </c>
      <c r="F4079" s="80" t="s">
        <v>1262</v>
      </c>
      <c r="G4079" s="58" t="s">
        <v>10537</v>
      </c>
      <c r="H4079" s="58" t="s">
        <v>2396</v>
      </c>
      <c r="I4079" s="64" t="s">
        <v>10538</v>
      </c>
      <c r="J4079" s="66"/>
      <c r="K4079" s="66"/>
      <c r="L4079" s="68"/>
      <c r="M4079" s="63" t="str">
        <f>HYPERLINK("http://nsgreg.nga.mil/genc/view?v=872104&amp;end_month=12&amp;end_day=31&amp;end_year=2016","Correlation")</f>
        <v>Correlation</v>
      </c>
    </row>
    <row r="4080" spans="1:13" x14ac:dyDescent="0.2">
      <c r="A4080" s="113"/>
      <c r="B4080" s="58" t="s">
        <v>10539</v>
      </c>
      <c r="C4080" s="58" t="s">
        <v>1483</v>
      </c>
      <c r="D4080" s="58" t="s">
        <v>10540</v>
      </c>
      <c r="E4080" s="60" t="b">
        <v>1</v>
      </c>
      <c r="F4080" s="80" t="s">
        <v>1262</v>
      </c>
      <c r="G4080" s="58" t="s">
        <v>10539</v>
      </c>
      <c r="H4080" s="58" t="s">
        <v>1483</v>
      </c>
      <c r="I4080" s="64" t="s">
        <v>10540</v>
      </c>
      <c r="J4080" s="66"/>
      <c r="K4080" s="66"/>
      <c r="L4080" s="68"/>
      <c r="M4080" s="63" t="str">
        <f>HYPERLINK("http://nsgreg.nga.mil/genc/view?v=872094&amp;end_month=12&amp;end_day=31&amp;end_year=2016","Correlation")</f>
        <v>Correlation</v>
      </c>
    </row>
    <row r="4081" spans="1:13" x14ac:dyDescent="0.2">
      <c r="A4081" s="114"/>
      <c r="B4081" s="71" t="s">
        <v>10541</v>
      </c>
      <c r="C4081" s="71" t="s">
        <v>1483</v>
      </c>
      <c r="D4081" s="71" t="s">
        <v>10542</v>
      </c>
      <c r="E4081" s="73" t="b">
        <v>1</v>
      </c>
      <c r="F4081" s="81" t="s">
        <v>1262</v>
      </c>
      <c r="G4081" s="71" t="s">
        <v>10541</v>
      </c>
      <c r="H4081" s="71" t="s">
        <v>1483</v>
      </c>
      <c r="I4081" s="74" t="s">
        <v>10542</v>
      </c>
      <c r="J4081" s="76"/>
      <c r="K4081" s="76"/>
      <c r="L4081" s="82"/>
      <c r="M4081" s="77" t="str">
        <f>HYPERLINK("http://nsgreg.nga.mil/genc/view?v=872109&amp;end_month=12&amp;end_day=31&amp;end_year=2016","Correlation")</f>
        <v>Correlation</v>
      </c>
    </row>
    <row r="4082" spans="1:13" x14ac:dyDescent="0.2">
      <c r="A4082" s="112" t="s">
        <v>1263</v>
      </c>
      <c r="B4082" s="50" t="s">
        <v>10543</v>
      </c>
      <c r="C4082" s="50" t="s">
        <v>7895</v>
      </c>
      <c r="D4082" s="50" t="s">
        <v>10545</v>
      </c>
      <c r="E4082" s="52" t="b">
        <v>1</v>
      </c>
      <c r="F4082" s="78" t="s">
        <v>1263</v>
      </c>
      <c r="G4082" s="50" t="s">
        <v>10543</v>
      </c>
      <c r="H4082" s="50" t="s">
        <v>10544</v>
      </c>
      <c r="I4082" s="53" t="s">
        <v>10545</v>
      </c>
      <c r="J4082" s="55"/>
      <c r="K4082" s="55"/>
      <c r="L4082" s="79"/>
      <c r="M4082" s="56" t="str">
        <f>HYPERLINK("http://nsgreg.nga.mil/genc/view?v=871931&amp;end_month=12&amp;end_day=31&amp;end_year=2016","Correlation")</f>
        <v>Correlation</v>
      </c>
    </row>
    <row r="4083" spans="1:13" x14ac:dyDescent="0.2">
      <c r="A4083" s="113"/>
      <c r="B4083" s="58" t="s">
        <v>10546</v>
      </c>
      <c r="C4083" s="58" t="s">
        <v>1728</v>
      </c>
      <c r="D4083" s="58" t="s">
        <v>10547</v>
      </c>
      <c r="E4083" s="60" t="b">
        <v>1</v>
      </c>
      <c r="F4083" s="80" t="s">
        <v>1263</v>
      </c>
      <c r="G4083" s="58" t="s">
        <v>10546</v>
      </c>
      <c r="H4083" s="58" t="s">
        <v>1413</v>
      </c>
      <c r="I4083" s="64" t="s">
        <v>10547</v>
      </c>
      <c r="J4083" s="66"/>
      <c r="K4083" s="66"/>
      <c r="L4083" s="68"/>
      <c r="M4083" s="63" t="str">
        <f>HYPERLINK("http://nsgreg.nga.mil/genc/view?v=871933&amp;end_month=12&amp;end_day=31&amp;end_year=2016","Correlation")</f>
        <v>Correlation</v>
      </c>
    </row>
    <row r="4084" spans="1:13" x14ac:dyDescent="0.2">
      <c r="A4084" s="113"/>
      <c r="B4084" s="58" t="s">
        <v>10548</v>
      </c>
      <c r="C4084" s="58" t="s">
        <v>3080</v>
      </c>
      <c r="D4084" s="58" t="s">
        <v>10549</v>
      </c>
      <c r="E4084" s="60" t="b">
        <v>1</v>
      </c>
      <c r="F4084" s="80" t="s">
        <v>1263</v>
      </c>
      <c r="G4084" s="58" t="s">
        <v>10548</v>
      </c>
      <c r="H4084" s="58" t="s">
        <v>4947</v>
      </c>
      <c r="I4084" s="64" t="s">
        <v>10549</v>
      </c>
      <c r="J4084" s="66"/>
      <c r="K4084" s="66"/>
      <c r="L4084" s="68"/>
      <c r="M4084" s="63" t="str">
        <f>HYPERLINK("http://nsgreg.nga.mil/genc/view?v=871932&amp;end_month=12&amp;end_day=31&amp;end_year=2016","Correlation")</f>
        <v>Correlation</v>
      </c>
    </row>
    <row r="4085" spans="1:13" x14ac:dyDescent="0.2">
      <c r="A4085" s="113"/>
      <c r="B4085" s="58" t="s">
        <v>10550</v>
      </c>
      <c r="C4085" s="58" t="s">
        <v>10552</v>
      </c>
      <c r="D4085" s="58" t="s">
        <v>10551</v>
      </c>
      <c r="E4085" s="60" t="b">
        <v>1</v>
      </c>
      <c r="F4085" s="80" t="s">
        <v>1263</v>
      </c>
      <c r="G4085" s="58" t="s">
        <v>10550</v>
      </c>
      <c r="H4085" s="58" t="s">
        <v>9514</v>
      </c>
      <c r="I4085" s="64" t="s">
        <v>10551</v>
      </c>
      <c r="J4085" s="66"/>
      <c r="K4085" s="66"/>
      <c r="L4085" s="68"/>
      <c r="M4085" s="63" t="str">
        <f>HYPERLINK("http://nsgreg.nga.mil/genc/view?v=871934&amp;end_month=12&amp;end_day=31&amp;end_year=2016","Correlation")</f>
        <v>Correlation</v>
      </c>
    </row>
    <row r="4086" spans="1:13" x14ac:dyDescent="0.2">
      <c r="A4086" s="114"/>
      <c r="B4086" s="71" t="s">
        <v>10553</v>
      </c>
      <c r="C4086" s="71" t="s">
        <v>1728</v>
      </c>
      <c r="D4086" s="71" t="s">
        <v>10554</v>
      </c>
      <c r="E4086" s="73" t="b">
        <v>1</v>
      </c>
      <c r="F4086" s="81" t="s">
        <v>1263</v>
      </c>
      <c r="G4086" s="71" t="s">
        <v>10553</v>
      </c>
      <c r="H4086" s="71" t="s">
        <v>1413</v>
      </c>
      <c r="I4086" s="74" t="s">
        <v>10554</v>
      </c>
      <c r="J4086" s="76"/>
      <c r="K4086" s="76"/>
      <c r="L4086" s="82"/>
      <c r="M4086" s="77" t="str">
        <f>HYPERLINK("http://nsgreg.nga.mil/genc/view?v=871935&amp;end_month=12&amp;end_day=31&amp;end_year=2016","Correlation")</f>
        <v>Correlation</v>
      </c>
    </row>
    <row r="4087" spans="1:13" x14ac:dyDescent="0.2">
      <c r="A4087" s="112" t="s">
        <v>1271</v>
      </c>
      <c r="B4087" s="50" t="s">
        <v>10555</v>
      </c>
      <c r="C4087" s="50" t="s">
        <v>1728</v>
      </c>
      <c r="D4087" s="50" t="s">
        <v>10556</v>
      </c>
      <c r="E4087" s="52" t="b">
        <v>1</v>
      </c>
      <c r="F4087" s="78" t="s">
        <v>1267</v>
      </c>
      <c r="G4087" s="50" t="s">
        <v>10555</v>
      </c>
      <c r="H4087" s="50" t="s">
        <v>1728</v>
      </c>
      <c r="I4087" s="53" t="s">
        <v>10556</v>
      </c>
      <c r="J4087" s="55"/>
      <c r="K4087" s="55"/>
      <c r="L4087" s="79"/>
      <c r="M4087" s="56" t="str">
        <f>HYPERLINK("http://nsgreg.nga.mil/genc/view?v=872110&amp;end_month=12&amp;end_day=31&amp;end_year=2016","Correlation")</f>
        <v>Correlation</v>
      </c>
    </row>
    <row r="4088" spans="1:13" x14ac:dyDescent="0.2">
      <c r="A4088" s="113"/>
      <c r="B4088" s="58" t="s">
        <v>10560</v>
      </c>
      <c r="C4088" s="58" t="s">
        <v>1728</v>
      </c>
      <c r="D4088" s="58" t="s">
        <v>10561</v>
      </c>
      <c r="E4088" s="60" t="b">
        <v>1</v>
      </c>
      <c r="F4088" s="80" t="s">
        <v>1267</v>
      </c>
      <c r="G4088" s="58" t="s">
        <v>10560</v>
      </c>
      <c r="H4088" s="58" t="s">
        <v>1728</v>
      </c>
      <c r="I4088" s="64" t="s">
        <v>10561</v>
      </c>
      <c r="J4088" s="66"/>
      <c r="K4088" s="66"/>
      <c r="L4088" s="68"/>
      <c r="M4088" s="63" t="str">
        <f>HYPERLINK("http://nsgreg.nga.mil/genc/view?v=872111&amp;end_month=12&amp;end_day=31&amp;end_year=2016","Correlation")</f>
        <v>Correlation</v>
      </c>
    </row>
    <row r="4089" spans="1:13" x14ac:dyDescent="0.2">
      <c r="A4089" s="113"/>
      <c r="B4089" s="58" t="s">
        <v>10562</v>
      </c>
      <c r="C4089" s="58" t="s">
        <v>1728</v>
      </c>
      <c r="D4089" s="58" t="s">
        <v>10563</v>
      </c>
      <c r="E4089" s="60" t="b">
        <v>1</v>
      </c>
      <c r="F4089" s="80" t="s">
        <v>1267</v>
      </c>
      <c r="G4089" s="58" t="s">
        <v>10562</v>
      </c>
      <c r="H4089" s="58" t="s">
        <v>1728</v>
      </c>
      <c r="I4089" s="64" t="s">
        <v>10563</v>
      </c>
      <c r="J4089" s="66"/>
      <c r="K4089" s="66"/>
      <c r="L4089" s="68"/>
      <c r="M4089" s="63" t="str">
        <f>HYPERLINK("http://nsgreg.nga.mil/genc/view?v=872112&amp;end_month=12&amp;end_day=31&amp;end_year=2016","Correlation")</f>
        <v>Correlation</v>
      </c>
    </row>
    <row r="4090" spans="1:13" x14ac:dyDescent="0.2">
      <c r="A4090" s="113"/>
      <c r="B4090" s="58" t="s">
        <v>10564</v>
      </c>
      <c r="C4090" s="58" t="s">
        <v>1728</v>
      </c>
      <c r="D4090" s="58" t="s">
        <v>10565</v>
      </c>
      <c r="E4090" s="60" t="b">
        <v>1</v>
      </c>
      <c r="F4090" s="80" t="s">
        <v>1267</v>
      </c>
      <c r="G4090" s="58" t="s">
        <v>10564</v>
      </c>
      <c r="H4090" s="58" t="s">
        <v>1728</v>
      </c>
      <c r="I4090" s="64" t="s">
        <v>10565</v>
      </c>
      <c r="J4090" s="66"/>
      <c r="K4090" s="66"/>
      <c r="L4090" s="68"/>
      <c r="M4090" s="63" t="str">
        <f>HYPERLINK("http://nsgreg.nga.mil/genc/view?v=872136&amp;end_month=12&amp;end_day=31&amp;end_year=2016","Correlation")</f>
        <v>Correlation</v>
      </c>
    </row>
    <row r="4091" spans="1:13" x14ac:dyDescent="0.2">
      <c r="A4091" s="113"/>
      <c r="B4091" s="58" t="s">
        <v>10566</v>
      </c>
      <c r="C4091" s="58" t="s">
        <v>1728</v>
      </c>
      <c r="D4091" s="58" t="s">
        <v>10567</v>
      </c>
      <c r="E4091" s="60" t="b">
        <v>1</v>
      </c>
      <c r="F4091" s="80" t="s">
        <v>1267</v>
      </c>
      <c r="G4091" s="58" t="s">
        <v>10566</v>
      </c>
      <c r="H4091" s="58" t="s">
        <v>1728</v>
      </c>
      <c r="I4091" s="64" t="s">
        <v>10567</v>
      </c>
      <c r="J4091" s="66"/>
      <c r="K4091" s="66"/>
      <c r="L4091" s="68"/>
      <c r="M4091" s="63" t="str">
        <f>HYPERLINK("http://nsgreg.nga.mil/genc/view?v=872113&amp;end_month=12&amp;end_day=31&amp;end_year=2016","Correlation")</f>
        <v>Correlation</v>
      </c>
    </row>
    <row r="4092" spans="1:13" x14ac:dyDescent="0.2">
      <c r="A4092" s="113"/>
      <c r="B4092" s="58" t="s">
        <v>10568</v>
      </c>
      <c r="C4092" s="58" t="s">
        <v>1728</v>
      </c>
      <c r="D4092" s="58" t="s">
        <v>10569</v>
      </c>
      <c r="E4092" s="60" t="b">
        <v>1</v>
      </c>
      <c r="F4092" s="80" t="s">
        <v>1267</v>
      </c>
      <c r="G4092" s="58" t="s">
        <v>10568</v>
      </c>
      <c r="H4092" s="58" t="s">
        <v>1728</v>
      </c>
      <c r="I4092" s="64" t="s">
        <v>10569</v>
      </c>
      <c r="J4092" s="66"/>
      <c r="K4092" s="66"/>
      <c r="L4092" s="68"/>
      <c r="M4092" s="63" t="str">
        <f>HYPERLINK("http://nsgreg.nga.mil/genc/view?v=872114&amp;end_month=12&amp;end_day=31&amp;end_year=2016","Correlation")</f>
        <v>Correlation</v>
      </c>
    </row>
    <row r="4093" spans="1:13" x14ac:dyDescent="0.2">
      <c r="A4093" s="113"/>
      <c r="B4093" s="58" t="s">
        <v>10593</v>
      </c>
      <c r="C4093" s="58" t="s">
        <v>1728</v>
      </c>
      <c r="D4093" s="58" t="s">
        <v>10592</v>
      </c>
      <c r="E4093" s="60" t="b">
        <v>1</v>
      </c>
      <c r="F4093" s="80" t="s">
        <v>1267</v>
      </c>
      <c r="G4093" s="58" t="s">
        <v>10591</v>
      </c>
      <c r="H4093" s="58" t="s">
        <v>1728</v>
      </c>
      <c r="I4093" s="64" t="s">
        <v>10592</v>
      </c>
      <c r="J4093" s="66"/>
      <c r="K4093" s="66"/>
      <c r="L4093" s="68"/>
      <c r="M4093" s="63" t="str">
        <f>HYPERLINK("http://nsgreg.nga.mil/genc/view?v=872115&amp;end_month=12&amp;end_day=31&amp;end_year=2016","Correlation")</f>
        <v>Correlation</v>
      </c>
    </row>
    <row r="4094" spans="1:13" x14ac:dyDescent="0.2">
      <c r="A4094" s="113"/>
      <c r="B4094" s="58" t="s">
        <v>10616</v>
      </c>
      <c r="C4094" s="58" t="s">
        <v>1728</v>
      </c>
      <c r="D4094" s="58" t="s">
        <v>10615</v>
      </c>
      <c r="E4094" s="60" t="b">
        <v>1</v>
      </c>
      <c r="F4094" s="80" t="s">
        <v>1267</v>
      </c>
      <c r="G4094" s="58" t="s">
        <v>10614</v>
      </c>
      <c r="H4094" s="58" t="s">
        <v>1728</v>
      </c>
      <c r="I4094" s="64" t="s">
        <v>10615</v>
      </c>
      <c r="J4094" s="66"/>
      <c r="K4094" s="66"/>
      <c r="L4094" s="68"/>
      <c r="M4094" s="63" t="str">
        <f>HYPERLINK("http://nsgreg.nga.mil/genc/view?v=872116&amp;end_month=12&amp;end_day=31&amp;end_year=2016","Correlation")</f>
        <v>Correlation</v>
      </c>
    </row>
    <row r="4095" spans="1:13" x14ac:dyDescent="0.2">
      <c r="A4095" s="113"/>
      <c r="B4095" s="58" t="s">
        <v>10570</v>
      </c>
      <c r="C4095" s="58" t="s">
        <v>1728</v>
      </c>
      <c r="D4095" s="58" t="s">
        <v>10571</v>
      </c>
      <c r="E4095" s="60" t="b">
        <v>1</v>
      </c>
      <c r="F4095" s="80" t="s">
        <v>1267</v>
      </c>
      <c r="G4095" s="58" t="s">
        <v>10570</v>
      </c>
      <c r="H4095" s="58" t="s">
        <v>1728</v>
      </c>
      <c r="I4095" s="64" t="s">
        <v>10571</v>
      </c>
      <c r="J4095" s="66"/>
      <c r="K4095" s="66"/>
      <c r="L4095" s="68"/>
      <c r="M4095" s="63" t="str">
        <f>HYPERLINK("http://nsgreg.nga.mil/genc/view?v=872137&amp;end_month=12&amp;end_day=31&amp;end_year=2016","Correlation")</f>
        <v>Correlation</v>
      </c>
    </row>
    <row r="4096" spans="1:13" x14ac:dyDescent="0.2">
      <c r="A4096" s="113"/>
      <c r="B4096" s="58" t="s">
        <v>10572</v>
      </c>
      <c r="C4096" s="58" t="s">
        <v>1728</v>
      </c>
      <c r="D4096" s="58" t="s">
        <v>10573</v>
      </c>
      <c r="E4096" s="60" t="b">
        <v>1</v>
      </c>
      <c r="F4096" s="80" t="s">
        <v>1267</v>
      </c>
      <c r="G4096" s="58" t="s">
        <v>10572</v>
      </c>
      <c r="H4096" s="58" t="s">
        <v>1728</v>
      </c>
      <c r="I4096" s="64" t="s">
        <v>10573</v>
      </c>
      <c r="J4096" s="66"/>
      <c r="K4096" s="66"/>
      <c r="L4096" s="68"/>
      <c r="M4096" s="63" t="str">
        <f>HYPERLINK("http://nsgreg.nga.mil/genc/view?v=872117&amp;end_month=12&amp;end_day=31&amp;end_year=2016","Correlation")</f>
        <v>Correlation</v>
      </c>
    </row>
    <row r="4097" spans="1:13" x14ac:dyDescent="0.2">
      <c r="A4097" s="113"/>
      <c r="B4097" s="58" t="s">
        <v>10574</v>
      </c>
      <c r="C4097" s="58" t="s">
        <v>1728</v>
      </c>
      <c r="D4097" s="58" t="s">
        <v>10575</v>
      </c>
      <c r="E4097" s="60" t="b">
        <v>1</v>
      </c>
      <c r="F4097" s="80" t="s">
        <v>1267</v>
      </c>
      <c r="G4097" s="58" t="s">
        <v>10574</v>
      </c>
      <c r="H4097" s="58" t="s">
        <v>1728</v>
      </c>
      <c r="I4097" s="64" t="s">
        <v>10575</v>
      </c>
      <c r="J4097" s="66"/>
      <c r="K4097" s="66"/>
      <c r="L4097" s="68"/>
      <c r="M4097" s="63" t="str">
        <f>HYPERLINK("http://nsgreg.nga.mil/genc/view?v=872118&amp;end_month=12&amp;end_day=31&amp;end_year=2016","Correlation")</f>
        <v>Correlation</v>
      </c>
    </row>
    <row r="4098" spans="1:13" x14ac:dyDescent="0.2">
      <c r="A4098" s="113"/>
      <c r="B4098" s="58" t="s">
        <v>10596</v>
      </c>
      <c r="C4098" s="58" t="s">
        <v>1728</v>
      </c>
      <c r="D4098" s="58" t="s">
        <v>10595</v>
      </c>
      <c r="E4098" s="60" t="b">
        <v>1</v>
      </c>
      <c r="F4098" s="80" t="s">
        <v>1267</v>
      </c>
      <c r="G4098" s="58" t="s">
        <v>10594</v>
      </c>
      <c r="H4098" s="58" t="s">
        <v>1728</v>
      </c>
      <c r="I4098" s="64" t="s">
        <v>10595</v>
      </c>
      <c r="J4098" s="66"/>
      <c r="K4098" s="66"/>
      <c r="L4098" s="68"/>
      <c r="M4098" s="63" t="str">
        <f>HYPERLINK("http://nsgreg.nga.mil/genc/view?v=872119&amp;end_month=12&amp;end_day=31&amp;end_year=2016","Correlation")</f>
        <v>Correlation</v>
      </c>
    </row>
    <row r="4099" spans="1:13" x14ac:dyDescent="0.2">
      <c r="A4099" s="113"/>
      <c r="B4099" s="58" t="s">
        <v>10613</v>
      </c>
      <c r="C4099" s="58" t="s">
        <v>1728</v>
      </c>
      <c r="D4099" s="58" t="s">
        <v>10612</v>
      </c>
      <c r="E4099" s="60" t="b">
        <v>1</v>
      </c>
      <c r="F4099" s="80" t="s">
        <v>1267</v>
      </c>
      <c r="G4099" s="58" t="s">
        <v>10611</v>
      </c>
      <c r="H4099" s="58" t="s">
        <v>1728</v>
      </c>
      <c r="I4099" s="64" t="s">
        <v>10612</v>
      </c>
      <c r="J4099" s="66"/>
      <c r="K4099" s="66"/>
      <c r="L4099" s="68"/>
      <c r="M4099" s="63" t="str">
        <f>HYPERLINK("http://nsgreg.nga.mil/genc/view?v=872120&amp;end_month=12&amp;end_day=31&amp;end_year=2016","Correlation")</f>
        <v>Correlation</v>
      </c>
    </row>
    <row r="4100" spans="1:13" x14ac:dyDescent="0.2">
      <c r="A4100" s="113"/>
      <c r="B4100" s="58" t="s">
        <v>10576</v>
      </c>
      <c r="C4100" s="58" t="s">
        <v>1728</v>
      </c>
      <c r="D4100" s="58" t="s">
        <v>10577</v>
      </c>
      <c r="E4100" s="60" t="b">
        <v>1</v>
      </c>
      <c r="F4100" s="80" t="s">
        <v>1267</v>
      </c>
      <c r="G4100" s="58" t="s">
        <v>10576</v>
      </c>
      <c r="H4100" s="58" t="s">
        <v>1728</v>
      </c>
      <c r="I4100" s="64" t="s">
        <v>10577</v>
      </c>
      <c r="J4100" s="66"/>
      <c r="K4100" s="66"/>
      <c r="L4100" s="68"/>
      <c r="M4100" s="63" t="str">
        <f>HYPERLINK("http://nsgreg.nga.mil/genc/view?v=872121&amp;end_month=12&amp;end_day=31&amp;end_year=2016","Correlation")</f>
        <v>Correlation</v>
      </c>
    </row>
    <row r="4101" spans="1:13" x14ac:dyDescent="0.2">
      <c r="A4101" s="113"/>
      <c r="B4101" s="58" t="s">
        <v>10578</v>
      </c>
      <c r="C4101" s="58" t="s">
        <v>1728</v>
      </c>
      <c r="D4101" s="58" t="s">
        <v>10579</v>
      </c>
      <c r="E4101" s="60" t="b">
        <v>1</v>
      </c>
      <c r="F4101" s="80" t="s">
        <v>1267</v>
      </c>
      <c r="G4101" s="58" t="s">
        <v>10578</v>
      </c>
      <c r="H4101" s="58" t="s">
        <v>1728</v>
      </c>
      <c r="I4101" s="64" t="s">
        <v>10579</v>
      </c>
      <c r="J4101" s="66"/>
      <c r="K4101" s="66"/>
      <c r="L4101" s="68"/>
      <c r="M4101" s="63" t="str">
        <f>HYPERLINK("http://nsgreg.nga.mil/genc/view?v=872135&amp;end_month=12&amp;end_day=31&amp;end_year=2016","Correlation")</f>
        <v>Correlation</v>
      </c>
    </row>
    <row r="4102" spans="1:13" x14ac:dyDescent="0.2">
      <c r="A4102" s="113"/>
      <c r="B4102" s="58" t="s">
        <v>10580</v>
      </c>
      <c r="C4102" s="58" t="s">
        <v>1728</v>
      </c>
      <c r="D4102" s="58" t="s">
        <v>10581</v>
      </c>
      <c r="E4102" s="60" t="b">
        <v>1</v>
      </c>
      <c r="F4102" s="80" t="s">
        <v>1267</v>
      </c>
      <c r="G4102" s="58" t="s">
        <v>10580</v>
      </c>
      <c r="H4102" s="58" t="s">
        <v>1728</v>
      </c>
      <c r="I4102" s="64" t="s">
        <v>10581</v>
      </c>
      <c r="J4102" s="66"/>
      <c r="K4102" s="66"/>
      <c r="L4102" s="68"/>
      <c r="M4102" s="63" t="str">
        <f>HYPERLINK("http://nsgreg.nga.mil/genc/view?v=872122&amp;end_month=12&amp;end_day=31&amp;end_year=2016","Correlation")</f>
        <v>Correlation</v>
      </c>
    </row>
    <row r="4103" spans="1:13" x14ac:dyDescent="0.2">
      <c r="A4103" s="113"/>
      <c r="B4103" s="58" t="s">
        <v>10582</v>
      </c>
      <c r="C4103" s="58" t="s">
        <v>1728</v>
      </c>
      <c r="D4103" s="58" t="s">
        <v>10583</v>
      </c>
      <c r="E4103" s="60" t="b">
        <v>1</v>
      </c>
      <c r="F4103" s="80" t="s">
        <v>1267</v>
      </c>
      <c r="G4103" s="58" t="s">
        <v>10582</v>
      </c>
      <c r="H4103" s="58" t="s">
        <v>1728</v>
      </c>
      <c r="I4103" s="64" t="s">
        <v>10583</v>
      </c>
      <c r="J4103" s="66"/>
      <c r="K4103" s="66"/>
      <c r="L4103" s="68"/>
      <c r="M4103" s="63" t="str">
        <f>HYPERLINK("http://nsgreg.nga.mil/genc/view?v=872123&amp;end_month=12&amp;end_day=31&amp;end_year=2016","Correlation")</f>
        <v>Correlation</v>
      </c>
    </row>
    <row r="4104" spans="1:13" x14ac:dyDescent="0.2">
      <c r="A4104" s="113"/>
      <c r="B4104" s="58" t="s">
        <v>10619</v>
      </c>
      <c r="C4104" s="58" t="s">
        <v>1728</v>
      </c>
      <c r="D4104" s="58" t="s">
        <v>10618</v>
      </c>
      <c r="E4104" s="60" t="b">
        <v>1</v>
      </c>
      <c r="F4104" s="80" t="s">
        <v>1267</v>
      </c>
      <c r="G4104" s="58" t="s">
        <v>10617</v>
      </c>
      <c r="H4104" s="58" t="s">
        <v>1728</v>
      </c>
      <c r="I4104" s="64" t="s">
        <v>10618</v>
      </c>
      <c r="J4104" s="66"/>
      <c r="K4104" s="66"/>
      <c r="L4104" s="68"/>
      <c r="M4104" s="63" t="str">
        <f>HYPERLINK("http://nsgreg.nga.mil/genc/view?v=872124&amp;end_month=12&amp;end_day=31&amp;end_year=2016","Correlation")</f>
        <v>Correlation</v>
      </c>
    </row>
    <row r="4105" spans="1:13" x14ac:dyDescent="0.2">
      <c r="A4105" s="113"/>
      <c r="B4105" s="58" t="s">
        <v>10584</v>
      </c>
      <c r="C4105" s="58" t="s">
        <v>1728</v>
      </c>
      <c r="D4105" s="58" t="s">
        <v>10585</v>
      </c>
      <c r="E4105" s="60" t="b">
        <v>1</v>
      </c>
      <c r="F4105" s="80" t="s">
        <v>1267</v>
      </c>
      <c r="G4105" s="58" t="s">
        <v>10584</v>
      </c>
      <c r="H4105" s="58" t="s">
        <v>1728</v>
      </c>
      <c r="I4105" s="64" t="s">
        <v>10585</v>
      </c>
      <c r="J4105" s="66"/>
      <c r="K4105" s="66"/>
      <c r="L4105" s="68"/>
      <c r="M4105" s="63" t="str">
        <f>HYPERLINK("http://nsgreg.nga.mil/genc/view?v=872125&amp;end_month=12&amp;end_day=31&amp;end_year=2016","Correlation")</f>
        <v>Correlation</v>
      </c>
    </row>
    <row r="4106" spans="1:13" x14ac:dyDescent="0.2">
      <c r="A4106" s="113"/>
      <c r="B4106" s="58" t="s">
        <v>10586</v>
      </c>
      <c r="C4106" s="58" t="s">
        <v>1728</v>
      </c>
      <c r="D4106" s="58" t="s">
        <v>10587</v>
      </c>
      <c r="E4106" s="60" t="b">
        <v>1</v>
      </c>
      <c r="F4106" s="80" t="s">
        <v>1267</v>
      </c>
      <c r="G4106" s="58" t="s">
        <v>10586</v>
      </c>
      <c r="H4106" s="58" t="s">
        <v>1728</v>
      </c>
      <c r="I4106" s="64" t="s">
        <v>10587</v>
      </c>
      <c r="J4106" s="66"/>
      <c r="K4106" s="66"/>
      <c r="L4106" s="68"/>
      <c r="M4106" s="63" t="str">
        <f>HYPERLINK("http://nsgreg.nga.mil/genc/view?v=872126&amp;end_month=12&amp;end_day=31&amp;end_year=2016","Correlation")</f>
        <v>Correlation</v>
      </c>
    </row>
    <row r="4107" spans="1:13" x14ac:dyDescent="0.2">
      <c r="A4107" s="113"/>
      <c r="B4107" s="58" t="s">
        <v>6870</v>
      </c>
      <c r="C4107" s="58" t="s">
        <v>1728</v>
      </c>
      <c r="D4107" s="58" t="s">
        <v>10588</v>
      </c>
      <c r="E4107" s="60" t="b">
        <v>1</v>
      </c>
      <c r="F4107" s="80" t="s">
        <v>1267</v>
      </c>
      <c r="G4107" s="58" t="s">
        <v>6870</v>
      </c>
      <c r="H4107" s="58" t="s">
        <v>1728</v>
      </c>
      <c r="I4107" s="64" t="s">
        <v>10588</v>
      </c>
      <c r="J4107" s="66"/>
      <c r="K4107" s="66"/>
      <c r="L4107" s="68"/>
      <c r="M4107" s="63" t="str">
        <f>HYPERLINK("http://nsgreg.nga.mil/genc/view?v=872127&amp;end_month=12&amp;end_day=31&amp;end_year=2016","Correlation")</f>
        <v>Correlation</v>
      </c>
    </row>
    <row r="4108" spans="1:13" x14ac:dyDescent="0.2">
      <c r="A4108" s="113"/>
      <c r="B4108" s="58" t="s">
        <v>10589</v>
      </c>
      <c r="C4108" s="58" t="s">
        <v>1728</v>
      </c>
      <c r="D4108" s="58" t="s">
        <v>10590</v>
      </c>
      <c r="E4108" s="60" t="b">
        <v>1</v>
      </c>
      <c r="F4108" s="80" t="s">
        <v>1267</v>
      </c>
      <c r="G4108" s="58" t="s">
        <v>10589</v>
      </c>
      <c r="H4108" s="58" t="s">
        <v>1728</v>
      </c>
      <c r="I4108" s="64" t="s">
        <v>10590</v>
      </c>
      <c r="J4108" s="66"/>
      <c r="K4108" s="66"/>
      <c r="L4108" s="68"/>
      <c r="M4108" s="63" t="str">
        <f>HYPERLINK("http://nsgreg.nga.mil/genc/view?v=872138&amp;end_month=12&amp;end_day=31&amp;end_year=2016","Correlation")</f>
        <v>Correlation</v>
      </c>
    </row>
    <row r="4109" spans="1:13" x14ac:dyDescent="0.2">
      <c r="A4109" s="113"/>
      <c r="B4109" s="58" t="s">
        <v>10559</v>
      </c>
      <c r="C4109" s="58" t="s">
        <v>1728</v>
      </c>
      <c r="D4109" s="58" t="s">
        <v>10558</v>
      </c>
      <c r="E4109" s="60" t="b">
        <v>1</v>
      </c>
      <c r="F4109" s="80" t="s">
        <v>1267</v>
      </c>
      <c r="G4109" s="58" t="s">
        <v>10557</v>
      </c>
      <c r="H4109" s="58" t="s">
        <v>1728</v>
      </c>
      <c r="I4109" s="64" t="s">
        <v>10558</v>
      </c>
      <c r="J4109" s="66"/>
      <c r="K4109" s="66"/>
      <c r="L4109" s="68"/>
      <c r="M4109" s="63" t="str">
        <f>HYPERLINK("http://nsgreg.nga.mil/genc/view?v=872128&amp;end_month=12&amp;end_day=31&amp;end_year=2016","Correlation")</f>
        <v>Correlation</v>
      </c>
    </row>
    <row r="4110" spans="1:13" x14ac:dyDescent="0.2">
      <c r="A4110" s="113"/>
      <c r="B4110" s="58" t="s">
        <v>10597</v>
      </c>
      <c r="C4110" s="58" t="s">
        <v>1728</v>
      </c>
      <c r="D4110" s="58" t="s">
        <v>10598</v>
      </c>
      <c r="E4110" s="60" t="b">
        <v>1</v>
      </c>
      <c r="F4110" s="80" t="s">
        <v>1267</v>
      </c>
      <c r="G4110" s="58" t="s">
        <v>10597</v>
      </c>
      <c r="H4110" s="58" t="s">
        <v>1728</v>
      </c>
      <c r="I4110" s="64" t="s">
        <v>10598</v>
      </c>
      <c r="J4110" s="66"/>
      <c r="K4110" s="66"/>
      <c r="L4110" s="68"/>
      <c r="M4110" s="63" t="str">
        <f>HYPERLINK("http://nsgreg.nga.mil/genc/view?v=872129&amp;end_month=12&amp;end_day=31&amp;end_year=2016","Correlation")</f>
        <v>Correlation</v>
      </c>
    </row>
    <row r="4111" spans="1:13" x14ac:dyDescent="0.2">
      <c r="A4111" s="113"/>
      <c r="B4111" s="58" t="s">
        <v>10599</v>
      </c>
      <c r="C4111" s="58" t="s">
        <v>1728</v>
      </c>
      <c r="D4111" s="58" t="s">
        <v>10600</v>
      </c>
      <c r="E4111" s="60" t="b">
        <v>1</v>
      </c>
      <c r="F4111" s="80" t="s">
        <v>1267</v>
      </c>
      <c r="G4111" s="58" t="s">
        <v>10599</v>
      </c>
      <c r="H4111" s="58" t="s">
        <v>1728</v>
      </c>
      <c r="I4111" s="64" t="s">
        <v>10600</v>
      </c>
      <c r="J4111" s="66"/>
      <c r="K4111" s="66"/>
      <c r="L4111" s="68"/>
      <c r="M4111" s="63" t="str">
        <f>HYPERLINK("http://nsgreg.nga.mil/genc/view?v=872130&amp;end_month=12&amp;end_day=31&amp;end_year=2016","Correlation")</f>
        <v>Correlation</v>
      </c>
    </row>
    <row r="4112" spans="1:13" x14ac:dyDescent="0.2">
      <c r="A4112" s="113"/>
      <c r="B4112" s="58" t="s">
        <v>10601</v>
      </c>
      <c r="C4112" s="58" t="s">
        <v>1728</v>
      </c>
      <c r="D4112" s="58" t="s">
        <v>10602</v>
      </c>
      <c r="E4112" s="60" t="b">
        <v>1</v>
      </c>
      <c r="F4112" s="80" t="s">
        <v>1267</v>
      </c>
      <c r="G4112" s="58" t="s">
        <v>10601</v>
      </c>
      <c r="H4112" s="58" t="s">
        <v>1728</v>
      </c>
      <c r="I4112" s="64" t="s">
        <v>10602</v>
      </c>
      <c r="J4112" s="66"/>
      <c r="K4112" s="66"/>
      <c r="L4112" s="68"/>
      <c r="M4112" s="63" t="str">
        <f>HYPERLINK("http://nsgreg.nga.mil/genc/view?v=872131&amp;end_month=12&amp;end_day=31&amp;end_year=2016","Correlation")</f>
        <v>Correlation</v>
      </c>
    </row>
    <row r="4113" spans="1:13" x14ac:dyDescent="0.2">
      <c r="A4113" s="113"/>
      <c r="B4113" s="58" t="s">
        <v>10603</v>
      </c>
      <c r="C4113" s="58" t="s">
        <v>1728</v>
      </c>
      <c r="D4113" s="58" t="s">
        <v>10604</v>
      </c>
      <c r="E4113" s="60" t="b">
        <v>1</v>
      </c>
      <c r="F4113" s="80" t="s">
        <v>1267</v>
      </c>
      <c r="G4113" s="58" t="s">
        <v>10603</v>
      </c>
      <c r="H4113" s="58" t="s">
        <v>1728</v>
      </c>
      <c r="I4113" s="64" t="s">
        <v>10604</v>
      </c>
      <c r="J4113" s="66"/>
      <c r="K4113" s="66"/>
      <c r="L4113" s="68"/>
      <c r="M4113" s="63" t="str">
        <f>HYPERLINK("http://nsgreg.nga.mil/genc/view?v=872139&amp;end_month=12&amp;end_day=31&amp;end_year=2016","Correlation")</f>
        <v>Correlation</v>
      </c>
    </row>
    <row r="4114" spans="1:13" x14ac:dyDescent="0.2">
      <c r="A4114" s="113"/>
      <c r="B4114" s="58" t="s">
        <v>10605</v>
      </c>
      <c r="C4114" s="58" t="s">
        <v>1728</v>
      </c>
      <c r="D4114" s="58" t="s">
        <v>10606</v>
      </c>
      <c r="E4114" s="60" t="b">
        <v>1</v>
      </c>
      <c r="F4114" s="80" t="s">
        <v>1267</v>
      </c>
      <c r="G4114" s="58" t="s">
        <v>10605</v>
      </c>
      <c r="H4114" s="58" t="s">
        <v>1728</v>
      </c>
      <c r="I4114" s="64" t="s">
        <v>10606</v>
      </c>
      <c r="J4114" s="66"/>
      <c r="K4114" s="66"/>
      <c r="L4114" s="68"/>
      <c r="M4114" s="63" t="str">
        <f>HYPERLINK("http://nsgreg.nga.mil/genc/view?v=872132&amp;end_month=12&amp;end_day=31&amp;end_year=2016","Correlation")</f>
        <v>Correlation</v>
      </c>
    </row>
    <row r="4115" spans="1:13" x14ac:dyDescent="0.2">
      <c r="A4115" s="113"/>
      <c r="B4115" s="58" t="s">
        <v>10607</v>
      </c>
      <c r="C4115" s="58" t="s">
        <v>1728</v>
      </c>
      <c r="D4115" s="58" t="s">
        <v>10608</v>
      </c>
      <c r="E4115" s="60" t="b">
        <v>1</v>
      </c>
      <c r="F4115" s="80" t="s">
        <v>1267</v>
      </c>
      <c r="G4115" s="58" t="s">
        <v>10607</v>
      </c>
      <c r="H4115" s="58" t="s">
        <v>1728</v>
      </c>
      <c r="I4115" s="64" t="s">
        <v>10608</v>
      </c>
      <c r="J4115" s="66"/>
      <c r="K4115" s="66"/>
      <c r="L4115" s="68"/>
      <c r="M4115" s="63" t="str">
        <f>HYPERLINK("http://nsgreg.nga.mil/genc/view?v=872133&amp;end_month=12&amp;end_day=31&amp;end_year=2016","Correlation")</f>
        <v>Correlation</v>
      </c>
    </row>
    <row r="4116" spans="1:13" x14ac:dyDescent="0.2">
      <c r="A4116" s="114"/>
      <c r="B4116" s="71" t="s">
        <v>10609</v>
      </c>
      <c r="C4116" s="71" t="s">
        <v>1728</v>
      </c>
      <c r="D4116" s="71" t="s">
        <v>10610</v>
      </c>
      <c r="E4116" s="73" t="b">
        <v>1</v>
      </c>
      <c r="F4116" s="81" t="s">
        <v>1267</v>
      </c>
      <c r="G4116" s="71" t="s">
        <v>10609</v>
      </c>
      <c r="H4116" s="71" t="s">
        <v>1728</v>
      </c>
      <c r="I4116" s="74" t="s">
        <v>10610</v>
      </c>
      <c r="J4116" s="76"/>
      <c r="K4116" s="76"/>
      <c r="L4116" s="82"/>
      <c r="M4116" s="77" t="str">
        <f>HYPERLINK("http://nsgreg.nga.mil/genc/view?v=872134&amp;end_month=12&amp;end_day=31&amp;end_year=2016","Correlation")</f>
        <v>Correlation</v>
      </c>
    </row>
    <row r="4117" spans="1:13" x14ac:dyDescent="0.2">
      <c r="A4117" s="112" t="s">
        <v>1272</v>
      </c>
      <c r="B4117" s="50" t="s">
        <v>10620</v>
      </c>
      <c r="C4117" s="50" t="s">
        <v>1413</v>
      </c>
      <c r="D4117" s="50" t="s">
        <v>10621</v>
      </c>
      <c r="E4117" s="52" t="b">
        <v>1</v>
      </c>
      <c r="F4117" s="78" t="s">
        <v>1272</v>
      </c>
      <c r="G4117" s="50" t="s">
        <v>10620</v>
      </c>
      <c r="H4117" s="50" t="s">
        <v>1413</v>
      </c>
      <c r="I4117" s="53" t="s">
        <v>10621</v>
      </c>
      <c r="J4117" s="55"/>
      <c r="K4117" s="55"/>
      <c r="L4117" s="79"/>
      <c r="M4117" s="56" t="str">
        <f>HYPERLINK("http://nsgreg.nga.mil/genc/view?v=871878&amp;end_month=12&amp;end_day=31&amp;end_year=2016","Correlation")</f>
        <v>Correlation</v>
      </c>
    </row>
    <row r="4118" spans="1:13" x14ac:dyDescent="0.2">
      <c r="A4118" s="113"/>
      <c r="B4118" s="58" t="s">
        <v>10622</v>
      </c>
      <c r="C4118" s="58" t="s">
        <v>1413</v>
      </c>
      <c r="D4118" s="58" t="s">
        <v>10623</v>
      </c>
      <c r="E4118" s="60" t="b">
        <v>1</v>
      </c>
      <c r="F4118" s="80" t="s">
        <v>1272</v>
      </c>
      <c r="G4118" s="58" t="s">
        <v>10622</v>
      </c>
      <c r="H4118" s="58" t="s">
        <v>1413</v>
      </c>
      <c r="I4118" s="64" t="s">
        <v>10623</v>
      </c>
      <c r="J4118" s="66"/>
      <c r="K4118" s="66"/>
      <c r="L4118" s="68"/>
      <c r="M4118" s="63" t="str">
        <f>HYPERLINK("http://nsgreg.nga.mil/genc/view?v=871858&amp;end_month=12&amp;end_day=31&amp;end_year=2016","Correlation")</f>
        <v>Correlation</v>
      </c>
    </row>
    <row r="4119" spans="1:13" x14ac:dyDescent="0.2">
      <c r="A4119" s="113"/>
      <c r="B4119" s="58" t="s">
        <v>10624</v>
      </c>
      <c r="C4119" s="58" t="s">
        <v>1413</v>
      </c>
      <c r="D4119" s="58" t="s">
        <v>10625</v>
      </c>
      <c r="E4119" s="60" t="b">
        <v>1</v>
      </c>
      <c r="F4119" s="80" t="s">
        <v>1272</v>
      </c>
      <c r="G4119" s="58" t="s">
        <v>10624</v>
      </c>
      <c r="H4119" s="58" t="s">
        <v>1413</v>
      </c>
      <c r="I4119" s="64" t="s">
        <v>10625</v>
      </c>
      <c r="J4119" s="66"/>
      <c r="K4119" s="66"/>
      <c r="L4119" s="68"/>
      <c r="M4119" s="63" t="str">
        <f>HYPERLINK("http://nsgreg.nga.mil/genc/view?v=871879&amp;end_month=12&amp;end_day=31&amp;end_year=2016","Correlation")</f>
        <v>Correlation</v>
      </c>
    </row>
    <row r="4120" spans="1:13" x14ac:dyDescent="0.2">
      <c r="A4120" s="113"/>
      <c r="B4120" s="58" t="s">
        <v>10628</v>
      </c>
      <c r="C4120" s="58" t="s">
        <v>1413</v>
      </c>
      <c r="D4120" s="58" t="s">
        <v>10627</v>
      </c>
      <c r="E4120" s="60" t="b">
        <v>1</v>
      </c>
      <c r="F4120" s="80" t="s">
        <v>1272</v>
      </c>
      <c r="G4120" s="58" t="s">
        <v>10626</v>
      </c>
      <c r="H4120" s="58" t="s">
        <v>1413</v>
      </c>
      <c r="I4120" s="64" t="s">
        <v>10627</v>
      </c>
      <c r="J4120" s="66"/>
      <c r="K4120" s="66"/>
      <c r="L4120" s="68"/>
      <c r="M4120" s="63" t="str">
        <f>HYPERLINK("http://nsgreg.nga.mil/genc/view?v=871872&amp;end_month=12&amp;end_day=31&amp;end_year=2016","Correlation")</f>
        <v>Correlation</v>
      </c>
    </row>
    <row r="4121" spans="1:13" x14ac:dyDescent="0.2">
      <c r="A4121" s="113"/>
      <c r="B4121" s="58" t="s">
        <v>10629</v>
      </c>
      <c r="C4121" s="58" t="s">
        <v>1413</v>
      </c>
      <c r="D4121" s="58" t="s">
        <v>10630</v>
      </c>
      <c r="E4121" s="60" t="b">
        <v>1</v>
      </c>
      <c r="F4121" s="80" t="s">
        <v>1272</v>
      </c>
      <c r="G4121" s="58" t="s">
        <v>10629</v>
      </c>
      <c r="H4121" s="58" t="s">
        <v>1413</v>
      </c>
      <c r="I4121" s="64" t="s">
        <v>10630</v>
      </c>
      <c r="J4121" s="66"/>
      <c r="K4121" s="66"/>
      <c r="L4121" s="68"/>
      <c r="M4121" s="63" t="str">
        <f>HYPERLINK("http://nsgreg.nga.mil/genc/view?v=871867&amp;end_month=12&amp;end_day=31&amp;end_year=2016","Correlation")</f>
        <v>Correlation</v>
      </c>
    </row>
    <row r="4122" spans="1:13" x14ac:dyDescent="0.2">
      <c r="A4122" s="113"/>
      <c r="B4122" s="58" t="s">
        <v>10631</v>
      </c>
      <c r="C4122" s="58" t="s">
        <v>1413</v>
      </c>
      <c r="D4122" s="58" t="s">
        <v>10632</v>
      </c>
      <c r="E4122" s="60" t="b">
        <v>1</v>
      </c>
      <c r="F4122" s="80" t="s">
        <v>1272</v>
      </c>
      <c r="G4122" s="58" t="s">
        <v>10631</v>
      </c>
      <c r="H4122" s="58" t="s">
        <v>1413</v>
      </c>
      <c r="I4122" s="64" t="s">
        <v>10632</v>
      </c>
      <c r="J4122" s="66"/>
      <c r="K4122" s="66"/>
      <c r="L4122" s="68"/>
      <c r="M4122" s="63" t="str">
        <f>HYPERLINK("http://nsgreg.nga.mil/genc/view?v=871861&amp;end_month=12&amp;end_day=31&amp;end_year=2016","Correlation")</f>
        <v>Correlation</v>
      </c>
    </row>
    <row r="4123" spans="1:13" x14ac:dyDescent="0.2">
      <c r="A4123" s="113"/>
      <c r="B4123" s="58" t="s">
        <v>10633</v>
      </c>
      <c r="C4123" s="58" t="s">
        <v>1413</v>
      </c>
      <c r="D4123" s="58" t="s">
        <v>10634</v>
      </c>
      <c r="E4123" s="60" t="b">
        <v>1</v>
      </c>
      <c r="F4123" s="80" t="s">
        <v>1272</v>
      </c>
      <c r="G4123" s="58" t="s">
        <v>10633</v>
      </c>
      <c r="H4123" s="58" t="s">
        <v>1413</v>
      </c>
      <c r="I4123" s="64" t="s">
        <v>10634</v>
      </c>
      <c r="J4123" s="66"/>
      <c r="K4123" s="66"/>
      <c r="L4123" s="68"/>
      <c r="M4123" s="63" t="str">
        <f>HYPERLINK("http://nsgreg.nga.mil/genc/view?v=871877&amp;end_month=12&amp;end_day=31&amp;end_year=2016","Correlation")</f>
        <v>Correlation</v>
      </c>
    </row>
    <row r="4124" spans="1:13" x14ac:dyDescent="0.2">
      <c r="A4124" s="113"/>
      <c r="B4124" s="58" t="s">
        <v>10635</v>
      </c>
      <c r="C4124" s="58" t="s">
        <v>1413</v>
      </c>
      <c r="D4124" s="58" t="s">
        <v>10636</v>
      </c>
      <c r="E4124" s="60" t="b">
        <v>1</v>
      </c>
      <c r="F4124" s="80" t="s">
        <v>1272</v>
      </c>
      <c r="G4124" s="58" t="s">
        <v>10635</v>
      </c>
      <c r="H4124" s="58" t="s">
        <v>1413</v>
      </c>
      <c r="I4124" s="64" t="s">
        <v>10636</v>
      </c>
      <c r="J4124" s="66"/>
      <c r="K4124" s="66"/>
      <c r="L4124" s="68"/>
      <c r="M4124" s="63" t="str">
        <f>HYPERLINK("http://nsgreg.nga.mil/genc/view?v=871865&amp;end_month=12&amp;end_day=31&amp;end_year=2016","Correlation")</f>
        <v>Correlation</v>
      </c>
    </row>
    <row r="4125" spans="1:13" x14ac:dyDescent="0.2">
      <c r="A4125" s="113"/>
      <c r="B4125" s="58" t="s">
        <v>10637</v>
      </c>
      <c r="C4125" s="58" t="s">
        <v>1413</v>
      </c>
      <c r="D4125" s="58" t="s">
        <v>10638</v>
      </c>
      <c r="E4125" s="60" t="b">
        <v>1</v>
      </c>
      <c r="F4125" s="80" t="s">
        <v>1272</v>
      </c>
      <c r="G4125" s="58" t="s">
        <v>10637</v>
      </c>
      <c r="H4125" s="58" t="s">
        <v>1413</v>
      </c>
      <c r="I4125" s="64" t="s">
        <v>10638</v>
      </c>
      <c r="J4125" s="66"/>
      <c r="K4125" s="66"/>
      <c r="L4125" s="68"/>
      <c r="M4125" s="63" t="str">
        <f>HYPERLINK("http://nsgreg.nga.mil/genc/view?v=871891&amp;end_month=12&amp;end_day=31&amp;end_year=2016","Correlation")</f>
        <v>Correlation</v>
      </c>
    </row>
    <row r="4126" spans="1:13" x14ac:dyDescent="0.2">
      <c r="A4126" s="113"/>
      <c r="B4126" s="58" t="s">
        <v>10639</v>
      </c>
      <c r="C4126" s="58" t="s">
        <v>1413</v>
      </c>
      <c r="D4126" s="58" t="s">
        <v>10640</v>
      </c>
      <c r="E4126" s="60" t="b">
        <v>1</v>
      </c>
      <c r="F4126" s="80" t="s">
        <v>1272</v>
      </c>
      <c r="G4126" s="58" t="s">
        <v>10639</v>
      </c>
      <c r="H4126" s="58" t="s">
        <v>1413</v>
      </c>
      <c r="I4126" s="64" t="s">
        <v>10640</v>
      </c>
      <c r="J4126" s="66"/>
      <c r="K4126" s="66"/>
      <c r="L4126" s="68"/>
      <c r="M4126" s="63" t="str">
        <f>HYPERLINK("http://nsgreg.nga.mil/genc/view?v=871898&amp;end_month=12&amp;end_day=31&amp;end_year=2016","Correlation")</f>
        <v>Correlation</v>
      </c>
    </row>
    <row r="4127" spans="1:13" x14ac:dyDescent="0.2">
      <c r="A4127" s="113"/>
      <c r="B4127" s="58" t="s">
        <v>10641</v>
      </c>
      <c r="C4127" s="58" t="s">
        <v>1413</v>
      </c>
      <c r="D4127" s="58" t="s">
        <v>10642</v>
      </c>
      <c r="E4127" s="60" t="b">
        <v>1</v>
      </c>
      <c r="F4127" s="80" t="s">
        <v>1272</v>
      </c>
      <c r="G4127" s="58" t="s">
        <v>10641</v>
      </c>
      <c r="H4127" s="58" t="s">
        <v>1413</v>
      </c>
      <c r="I4127" s="64" t="s">
        <v>10642</v>
      </c>
      <c r="J4127" s="66"/>
      <c r="K4127" s="66"/>
      <c r="L4127" s="68"/>
      <c r="M4127" s="63" t="str">
        <f>HYPERLINK("http://nsgreg.nga.mil/genc/view?v=871863&amp;end_month=12&amp;end_day=31&amp;end_year=2016","Correlation")</f>
        <v>Correlation</v>
      </c>
    </row>
    <row r="4128" spans="1:13" x14ac:dyDescent="0.2">
      <c r="A4128" s="113"/>
      <c r="B4128" s="58" t="s">
        <v>10643</v>
      </c>
      <c r="C4128" s="58" t="s">
        <v>1413</v>
      </c>
      <c r="D4128" s="58" t="s">
        <v>10644</v>
      </c>
      <c r="E4128" s="60" t="b">
        <v>1</v>
      </c>
      <c r="F4128" s="80" t="s">
        <v>1272</v>
      </c>
      <c r="G4128" s="58" t="s">
        <v>10643</v>
      </c>
      <c r="H4128" s="58" t="s">
        <v>1413</v>
      </c>
      <c r="I4128" s="64" t="s">
        <v>10644</v>
      </c>
      <c r="J4128" s="66"/>
      <c r="K4128" s="66"/>
      <c r="L4128" s="68"/>
      <c r="M4128" s="63" t="str">
        <f>HYPERLINK("http://nsgreg.nga.mil/genc/view?v=871922&amp;end_month=12&amp;end_day=31&amp;end_year=2016","Correlation")</f>
        <v>Correlation</v>
      </c>
    </row>
    <row r="4129" spans="1:13" x14ac:dyDescent="0.2">
      <c r="A4129" s="113"/>
      <c r="B4129" s="58" t="s">
        <v>10645</v>
      </c>
      <c r="C4129" s="58" t="s">
        <v>1413</v>
      </c>
      <c r="D4129" s="58" t="s">
        <v>10646</v>
      </c>
      <c r="E4129" s="60" t="b">
        <v>1</v>
      </c>
      <c r="F4129" s="80" t="s">
        <v>1272</v>
      </c>
      <c r="G4129" s="58" t="s">
        <v>10645</v>
      </c>
      <c r="H4129" s="58" t="s">
        <v>1413</v>
      </c>
      <c r="I4129" s="64" t="s">
        <v>10646</v>
      </c>
      <c r="J4129" s="66"/>
      <c r="K4129" s="66"/>
      <c r="L4129" s="68"/>
      <c r="M4129" s="63" t="str">
        <f>HYPERLINK("http://nsgreg.nga.mil/genc/view?v=871887&amp;end_month=12&amp;end_day=31&amp;end_year=2016","Correlation")</f>
        <v>Correlation</v>
      </c>
    </row>
    <row r="4130" spans="1:13" x14ac:dyDescent="0.2">
      <c r="A4130" s="113"/>
      <c r="B4130" s="58" t="s">
        <v>10647</v>
      </c>
      <c r="C4130" s="58" t="s">
        <v>1413</v>
      </c>
      <c r="D4130" s="58" t="s">
        <v>10648</v>
      </c>
      <c r="E4130" s="60" t="b">
        <v>1</v>
      </c>
      <c r="F4130" s="80" t="s">
        <v>1272</v>
      </c>
      <c r="G4130" s="58" t="s">
        <v>10647</v>
      </c>
      <c r="H4130" s="58" t="s">
        <v>1413</v>
      </c>
      <c r="I4130" s="64" t="s">
        <v>10648</v>
      </c>
      <c r="J4130" s="66"/>
      <c r="K4130" s="66"/>
      <c r="L4130" s="68"/>
      <c r="M4130" s="63" t="str">
        <f>HYPERLINK("http://nsgreg.nga.mil/genc/view?v=871902&amp;end_month=12&amp;end_day=31&amp;end_year=2016","Correlation")</f>
        <v>Correlation</v>
      </c>
    </row>
    <row r="4131" spans="1:13" x14ac:dyDescent="0.2">
      <c r="A4131" s="113"/>
      <c r="B4131" s="58" t="s">
        <v>10649</v>
      </c>
      <c r="C4131" s="58" t="s">
        <v>1413</v>
      </c>
      <c r="D4131" s="58" t="s">
        <v>10650</v>
      </c>
      <c r="E4131" s="60" t="b">
        <v>1</v>
      </c>
      <c r="F4131" s="80" t="s">
        <v>1272</v>
      </c>
      <c r="G4131" s="58" t="s">
        <v>10649</v>
      </c>
      <c r="H4131" s="58" t="s">
        <v>1413</v>
      </c>
      <c r="I4131" s="64" t="s">
        <v>10650</v>
      </c>
      <c r="J4131" s="66"/>
      <c r="K4131" s="66"/>
      <c r="L4131" s="68"/>
      <c r="M4131" s="63" t="str">
        <f>HYPERLINK("http://nsgreg.nga.mil/genc/view?v=871909&amp;end_month=12&amp;end_day=31&amp;end_year=2016","Correlation")</f>
        <v>Correlation</v>
      </c>
    </row>
    <row r="4132" spans="1:13" x14ac:dyDescent="0.2">
      <c r="A4132" s="113"/>
      <c r="B4132" s="58" t="s">
        <v>10651</v>
      </c>
      <c r="C4132" s="58" t="s">
        <v>1413</v>
      </c>
      <c r="D4132" s="58" t="s">
        <v>10652</v>
      </c>
      <c r="E4132" s="60" t="b">
        <v>1</v>
      </c>
      <c r="F4132" s="80" t="s">
        <v>1272</v>
      </c>
      <c r="G4132" s="58" t="s">
        <v>10651</v>
      </c>
      <c r="H4132" s="58" t="s">
        <v>1413</v>
      </c>
      <c r="I4132" s="64" t="s">
        <v>10652</v>
      </c>
      <c r="J4132" s="66"/>
      <c r="K4132" s="66"/>
      <c r="L4132" s="68"/>
      <c r="M4132" s="63" t="str">
        <f>HYPERLINK("http://nsgreg.nga.mil/genc/view?v=871881&amp;end_month=12&amp;end_day=31&amp;end_year=2016","Correlation")</f>
        <v>Correlation</v>
      </c>
    </row>
    <row r="4133" spans="1:13" x14ac:dyDescent="0.2">
      <c r="A4133" s="113"/>
      <c r="B4133" s="58" t="s">
        <v>10653</v>
      </c>
      <c r="C4133" s="58" t="s">
        <v>1413</v>
      </c>
      <c r="D4133" s="58" t="s">
        <v>10654</v>
      </c>
      <c r="E4133" s="60" t="b">
        <v>1</v>
      </c>
      <c r="F4133" s="80" t="s">
        <v>1272</v>
      </c>
      <c r="G4133" s="58" t="s">
        <v>10653</v>
      </c>
      <c r="H4133" s="58" t="s">
        <v>1413</v>
      </c>
      <c r="I4133" s="64" t="s">
        <v>10654</v>
      </c>
      <c r="J4133" s="66"/>
      <c r="K4133" s="66"/>
      <c r="L4133" s="68"/>
      <c r="M4133" s="63" t="str">
        <f>HYPERLINK("http://nsgreg.nga.mil/genc/view?v=871917&amp;end_month=12&amp;end_day=31&amp;end_year=2016","Correlation")</f>
        <v>Correlation</v>
      </c>
    </row>
    <row r="4134" spans="1:13" x14ac:dyDescent="0.2">
      <c r="A4134" s="113"/>
      <c r="B4134" s="58" t="s">
        <v>10655</v>
      </c>
      <c r="C4134" s="58" t="s">
        <v>10656</v>
      </c>
      <c r="D4134" s="58" t="s">
        <v>10657</v>
      </c>
      <c r="E4134" s="60" t="b">
        <v>1</v>
      </c>
      <c r="F4134" s="80" t="s">
        <v>1272</v>
      </c>
      <c r="G4134" s="58" t="s">
        <v>10655</v>
      </c>
      <c r="H4134" s="58" t="s">
        <v>10656</v>
      </c>
      <c r="I4134" s="64" t="s">
        <v>10657</v>
      </c>
      <c r="J4134" s="66"/>
      <c r="K4134" s="66"/>
      <c r="L4134" s="68"/>
      <c r="M4134" s="63" t="str">
        <f>HYPERLINK("http://nsgreg.nga.mil/genc/view?v=871853&amp;end_month=12&amp;end_day=31&amp;end_year=2016","Correlation")</f>
        <v>Correlation</v>
      </c>
    </row>
    <row r="4135" spans="1:13" x14ac:dyDescent="0.2">
      <c r="A4135" s="113"/>
      <c r="B4135" s="58" t="s">
        <v>10658</v>
      </c>
      <c r="C4135" s="58" t="s">
        <v>1413</v>
      </c>
      <c r="D4135" s="58" t="s">
        <v>10659</v>
      </c>
      <c r="E4135" s="60" t="b">
        <v>1</v>
      </c>
      <c r="F4135" s="80" t="s">
        <v>1272</v>
      </c>
      <c r="G4135" s="58" t="s">
        <v>10658</v>
      </c>
      <c r="H4135" s="58" t="s">
        <v>1413</v>
      </c>
      <c r="I4135" s="64" t="s">
        <v>10659</v>
      </c>
      <c r="J4135" s="66"/>
      <c r="K4135" s="66"/>
      <c r="L4135" s="68"/>
      <c r="M4135" s="63" t="str">
        <f>HYPERLINK("http://nsgreg.nga.mil/genc/view?v=871893&amp;end_month=12&amp;end_day=31&amp;end_year=2016","Correlation")</f>
        <v>Correlation</v>
      </c>
    </row>
    <row r="4136" spans="1:13" x14ac:dyDescent="0.2">
      <c r="A4136" s="113"/>
      <c r="B4136" s="58" t="s">
        <v>10660</v>
      </c>
      <c r="C4136" s="58" t="s">
        <v>1413</v>
      </c>
      <c r="D4136" s="58" t="s">
        <v>10661</v>
      </c>
      <c r="E4136" s="60" t="b">
        <v>1</v>
      </c>
      <c r="F4136" s="80" t="s">
        <v>1272</v>
      </c>
      <c r="G4136" s="58" t="s">
        <v>10660</v>
      </c>
      <c r="H4136" s="58" t="s">
        <v>1413</v>
      </c>
      <c r="I4136" s="64" t="s">
        <v>10661</v>
      </c>
      <c r="J4136" s="66"/>
      <c r="K4136" s="66"/>
      <c r="L4136" s="68"/>
      <c r="M4136" s="63" t="str">
        <f>HYPERLINK("http://nsgreg.nga.mil/genc/view?v=871892&amp;end_month=12&amp;end_day=31&amp;end_year=2016","Correlation")</f>
        <v>Correlation</v>
      </c>
    </row>
    <row r="4137" spans="1:13" x14ac:dyDescent="0.2">
      <c r="A4137" s="113"/>
      <c r="B4137" s="58" t="s">
        <v>10662</v>
      </c>
      <c r="C4137" s="58" t="s">
        <v>1413</v>
      </c>
      <c r="D4137" s="58" t="s">
        <v>10663</v>
      </c>
      <c r="E4137" s="60" t="b">
        <v>1</v>
      </c>
      <c r="F4137" s="80" t="s">
        <v>1272</v>
      </c>
      <c r="G4137" s="58" t="s">
        <v>10662</v>
      </c>
      <c r="H4137" s="58" t="s">
        <v>1413</v>
      </c>
      <c r="I4137" s="64" t="s">
        <v>10663</v>
      </c>
      <c r="J4137" s="66"/>
      <c r="K4137" s="66"/>
      <c r="L4137" s="68"/>
      <c r="M4137" s="63" t="str">
        <f>HYPERLINK("http://nsgreg.nga.mil/genc/view?v=871883&amp;end_month=12&amp;end_day=31&amp;end_year=2016","Correlation")</f>
        <v>Correlation</v>
      </c>
    </row>
    <row r="4138" spans="1:13" x14ac:dyDescent="0.2">
      <c r="A4138" s="113"/>
      <c r="B4138" s="58" t="s">
        <v>10664</v>
      </c>
      <c r="C4138" s="58" t="s">
        <v>1413</v>
      </c>
      <c r="D4138" s="58" t="s">
        <v>10665</v>
      </c>
      <c r="E4138" s="60" t="b">
        <v>1</v>
      </c>
      <c r="F4138" s="80" t="s">
        <v>1272</v>
      </c>
      <c r="G4138" s="58" t="s">
        <v>10664</v>
      </c>
      <c r="H4138" s="58" t="s">
        <v>1413</v>
      </c>
      <c r="I4138" s="64" t="s">
        <v>10665</v>
      </c>
      <c r="J4138" s="66"/>
      <c r="K4138" s="66"/>
      <c r="L4138" s="68"/>
      <c r="M4138" s="63" t="str">
        <f>HYPERLINK("http://nsgreg.nga.mil/genc/view?v=871859&amp;end_month=12&amp;end_day=31&amp;end_year=2016","Correlation")</f>
        <v>Correlation</v>
      </c>
    </row>
    <row r="4139" spans="1:13" x14ac:dyDescent="0.2">
      <c r="A4139" s="113"/>
      <c r="B4139" s="58" t="s">
        <v>10666</v>
      </c>
      <c r="C4139" s="58" t="s">
        <v>1413</v>
      </c>
      <c r="D4139" s="58" t="s">
        <v>10667</v>
      </c>
      <c r="E4139" s="60" t="b">
        <v>1</v>
      </c>
      <c r="F4139" s="80" t="s">
        <v>1272</v>
      </c>
      <c r="G4139" s="58" t="s">
        <v>10666</v>
      </c>
      <c r="H4139" s="58" t="s">
        <v>1413</v>
      </c>
      <c r="I4139" s="64" t="s">
        <v>10667</v>
      </c>
      <c r="J4139" s="66"/>
      <c r="K4139" s="66"/>
      <c r="L4139" s="68"/>
      <c r="M4139" s="63" t="str">
        <f>HYPERLINK("http://nsgreg.nga.mil/genc/view?v=871899&amp;end_month=12&amp;end_day=31&amp;end_year=2016","Correlation")</f>
        <v>Correlation</v>
      </c>
    </row>
    <row r="4140" spans="1:13" x14ac:dyDescent="0.2">
      <c r="A4140" s="113"/>
      <c r="B4140" s="58" t="s">
        <v>10668</v>
      </c>
      <c r="C4140" s="58" t="s">
        <v>1413</v>
      </c>
      <c r="D4140" s="58" t="s">
        <v>10669</v>
      </c>
      <c r="E4140" s="60" t="b">
        <v>1</v>
      </c>
      <c r="F4140" s="80" t="s">
        <v>1272</v>
      </c>
      <c r="G4140" s="58" t="s">
        <v>10668</v>
      </c>
      <c r="H4140" s="58" t="s">
        <v>1413</v>
      </c>
      <c r="I4140" s="64" t="s">
        <v>10669</v>
      </c>
      <c r="J4140" s="66"/>
      <c r="K4140" s="66"/>
      <c r="L4140" s="68"/>
      <c r="M4140" s="63" t="str">
        <f>HYPERLINK("http://nsgreg.nga.mil/genc/view?v=871885&amp;end_month=12&amp;end_day=31&amp;end_year=2016","Correlation")</f>
        <v>Correlation</v>
      </c>
    </row>
    <row r="4141" spans="1:13" x14ac:dyDescent="0.2">
      <c r="A4141" s="113"/>
      <c r="B4141" s="58" t="s">
        <v>10670</v>
      </c>
      <c r="C4141" s="58" t="s">
        <v>1413</v>
      </c>
      <c r="D4141" s="58" t="s">
        <v>10671</v>
      </c>
      <c r="E4141" s="60" t="b">
        <v>1</v>
      </c>
      <c r="F4141" s="80" t="s">
        <v>1272</v>
      </c>
      <c r="G4141" s="58" t="s">
        <v>10670</v>
      </c>
      <c r="H4141" s="58" t="s">
        <v>1413</v>
      </c>
      <c r="I4141" s="64" t="s">
        <v>10671</v>
      </c>
      <c r="J4141" s="66"/>
      <c r="K4141" s="66"/>
      <c r="L4141" s="68"/>
      <c r="M4141" s="63" t="str">
        <f>HYPERLINK("http://nsgreg.nga.mil/genc/view?v=871890&amp;end_month=12&amp;end_day=31&amp;end_year=2016","Correlation")</f>
        <v>Correlation</v>
      </c>
    </row>
    <row r="4142" spans="1:13" x14ac:dyDescent="0.2">
      <c r="A4142" s="113"/>
      <c r="B4142" s="58" t="s">
        <v>10672</v>
      </c>
      <c r="C4142" s="58" t="s">
        <v>1413</v>
      </c>
      <c r="D4142" s="58" t="s">
        <v>10673</v>
      </c>
      <c r="E4142" s="60" t="b">
        <v>1</v>
      </c>
      <c r="F4142" s="80" t="s">
        <v>1272</v>
      </c>
      <c r="G4142" s="58" t="s">
        <v>10672</v>
      </c>
      <c r="H4142" s="58" t="s">
        <v>1413</v>
      </c>
      <c r="I4142" s="64" t="s">
        <v>10673</v>
      </c>
      <c r="J4142" s="66"/>
      <c r="K4142" s="66"/>
      <c r="L4142" s="68"/>
      <c r="M4142" s="63" t="str">
        <f>HYPERLINK("http://nsgreg.nga.mil/genc/view?v=871869&amp;end_month=12&amp;end_day=31&amp;end_year=2016","Correlation")</f>
        <v>Correlation</v>
      </c>
    </row>
    <row r="4143" spans="1:13" x14ac:dyDescent="0.2">
      <c r="A4143" s="113"/>
      <c r="B4143" s="58" t="s">
        <v>10674</v>
      </c>
      <c r="C4143" s="58" t="s">
        <v>1413</v>
      </c>
      <c r="D4143" s="58" t="s">
        <v>10675</v>
      </c>
      <c r="E4143" s="60" t="b">
        <v>1</v>
      </c>
      <c r="F4143" s="80" t="s">
        <v>1272</v>
      </c>
      <c r="G4143" s="58" t="s">
        <v>10674</v>
      </c>
      <c r="H4143" s="58" t="s">
        <v>1413</v>
      </c>
      <c r="I4143" s="64" t="s">
        <v>10675</v>
      </c>
      <c r="J4143" s="66"/>
      <c r="K4143" s="66"/>
      <c r="L4143" s="68"/>
      <c r="M4143" s="63" t="str">
        <f>HYPERLINK("http://nsgreg.nga.mil/genc/view?v=871911&amp;end_month=12&amp;end_day=31&amp;end_year=2016","Correlation")</f>
        <v>Correlation</v>
      </c>
    </row>
    <row r="4144" spans="1:13" x14ac:dyDescent="0.2">
      <c r="A4144" s="113"/>
      <c r="B4144" s="58" t="s">
        <v>10676</v>
      </c>
      <c r="C4144" s="58" t="s">
        <v>1413</v>
      </c>
      <c r="D4144" s="58" t="s">
        <v>10677</v>
      </c>
      <c r="E4144" s="60" t="b">
        <v>1</v>
      </c>
      <c r="F4144" s="80" t="s">
        <v>1272</v>
      </c>
      <c r="G4144" s="58" t="s">
        <v>10676</v>
      </c>
      <c r="H4144" s="58" t="s">
        <v>1413</v>
      </c>
      <c r="I4144" s="64" t="s">
        <v>10677</v>
      </c>
      <c r="J4144" s="66"/>
      <c r="K4144" s="66"/>
      <c r="L4144" s="68"/>
      <c r="M4144" s="63" t="str">
        <f>HYPERLINK("http://nsgreg.nga.mil/genc/view?v=871889&amp;end_month=12&amp;end_day=31&amp;end_year=2016","Correlation")</f>
        <v>Correlation</v>
      </c>
    </row>
    <row r="4145" spans="1:13" x14ac:dyDescent="0.2">
      <c r="A4145" s="113"/>
      <c r="B4145" s="58" t="s">
        <v>10678</v>
      </c>
      <c r="C4145" s="58" t="s">
        <v>1413</v>
      </c>
      <c r="D4145" s="58" t="s">
        <v>10679</v>
      </c>
      <c r="E4145" s="60" t="b">
        <v>1</v>
      </c>
      <c r="F4145" s="80" t="s">
        <v>1272</v>
      </c>
      <c r="G4145" s="58" t="s">
        <v>10678</v>
      </c>
      <c r="H4145" s="58" t="s">
        <v>1413</v>
      </c>
      <c r="I4145" s="64" t="s">
        <v>10679</v>
      </c>
      <c r="J4145" s="66"/>
      <c r="K4145" s="66"/>
      <c r="L4145" s="68"/>
      <c r="M4145" s="63" t="str">
        <f>HYPERLINK("http://nsgreg.nga.mil/genc/view?v=871871&amp;end_month=12&amp;end_day=31&amp;end_year=2016","Correlation")</f>
        <v>Correlation</v>
      </c>
    </row>
    <row r="4146" spans="1:13" x14ac:dyDescent="0.2">
      <c r="A4146" s="113"/>
      <c r="B4146" s="58" t="s">
        <v>10680</v>
      </c>
      <c r="C4146" s="58" t="s">
        <v>1413</v>
      </c>
      <c r="D4146" s="58" t="s">
        <v>10681</v>
      </c>
      <c r="E4146" s="60" t="b">
        <v>1</v>
      </c>
      <c r="F4146" s="80" t="s">
        <v>1272</v>
      </c>
      <c r="G4146" s="58" t="s">
        <v>10680</v>
      </c>
      <c r="H4146" s="58" t="s">
        <v>1413</v>
      </c>
      <c r="I4146" s="64" t="s">
        <v>10681</v>
      </c>
      <c r="J4146" s="66"/>
      <c r="K4146" s="66"/>
      <c r="L4146" s="68"/>
      <c r="M4146" s="63" t="str">
        <f>HYPERLINK("http://nsgreg.nga.mil/genc/view?v=871900&amp;end_month=12&amp;end_day=31&amp;end_year=2016","Correlation")</f>
        <v>Correlation</v>
      </c>
    </row>
    <row r="4147" spans="1:13" x14ac:dyDescent="0.2">
      <c r="A4147" s="113"/>
      <c r="B4147" s="58" t="s">
        <v>10682</v>
      </c>
      <c r="C4147" s="58" t="s">
        <v>1413</v>
      </c>
      <c r="D4147" s="58" t="s">
        <v>10683</v>
      </c>
      <c r="E4147" s="60" t="b">
        <v>1</v>
      </c>
      <c r="F4147" s="80" t="s">
        <v>1272</v>
      </c>
      <c r="G4147" s="58" t="s">
        <v>10682</v>
      </c>
      <c r="H4147" s="58" t="s">
        <v>1413</v>
      </c>
      <c r="I4147" s="64" t="s">
        <v>10683</v>
      </c>
      <c r="J4147" s="66"/>
      <c r="K4147" s="66"/>
      <c r="L4147" s="68"/>
      <c r="M4147" s="63" t="str">
        <f>HYPERLINK("http://nsgreg.nga.mil/genc/view?v=871916&amp;end_month=12&amp;end_day=31&amp;end_year=2016","Correlation")</f>
        <v>Correlation</v>
      </c>
    </row>
    <row r="4148" spans="1:13" x14ac:dyDescent="0.2">
      <c r="A4148" s="113"/>
      <c r="B4148" s="58" t="s">
        <v>10684</v>
      </c>
      <c r="C4148" s="58" t="s">
        <v>1413</v>
      </c>
      <c r="D4148" s="58" t="s">
        <v>10685</v>
      </c>
      <c r="E4148" s="60" t="b">
        <v>1</v>
      </c>
      <c r="F4148" s="80" t="s">
        <v>1272</v>
      </c>
      <c r="G4148" s="58" t="s">
        <v>10684</v>
      </c>
      <c r="H4148" s="58" t="s">
        <v>1413</v>
      </c>
      <c r="I4148" s="64" t="s">
        <v>10685</v>
      </c>
      <c r="J4148" s="66"/>
      <c r="K4148" s="66"/>
      <c r="L4148" s="68"/>
      <c r="M4148" s="63" t="str">
        <f>HYPERLINK("http://nsgreg.nga.mil/genc/view?v=871896&amp;end_month=12&amp;end_day=31&amp;end_year=2016","Correlation")</f>
        <v>Correlation</v>
      </c>
    </row>
    <row r="4149" spans="1:13" x14ac:dyDescent="0.2">
      <c r="A4149" s="113"/>
      <c r="B4149" s="58" t="s">
        <v>10686</v>
      </c>
      <c r="C4149" s="58" t="s">
        <v>1413</v>
      </c>
      <c r="D4149" s="58" t="s">
        <v>10687</v>
      </c>
      <c r="E4149" s="60" t="b">
        <v>1</v>
      </c>
      <c r="F4149" s="80" t="s">
        <v>1272</v>
      </c>
      <c r="G4149" s="58" t="s">
        <v>10686</v>
      </c>
      <c r="H4149" s="58" t="s">
        <v>1413</v>
      </c>
      <c r="I4149" s="64" t="s">
        <v>10687</v>
      </c>
      <c r="J4149" s="66"/>
      <c r="K4149" s="66"/>
      <c r="L4149" s="68"/>
      <c r="M4149" s="63" t="str">
        <f>HYPERLINK("http://nsgreg.nga.mil/genc/view?v=871929&amp;end_month=12&amp;end_day=31&amp;end_year=2016","Correlation")</f>
        <v>Correlation</v>
      </c>
    </row>
    <row r="4150" spans="1:13" x14ac:dyDescent="0.2">
      <c r="A4150" s="113"/>
      <c r="B4150" s="58" t="s">
        <v>10690</v>
      </c>
      <c r="C4150" s="58" t="s">
        <v>1413</v>
      </c>
      <c r="D4150" s="58" t="s">
        <v>10689</v>
      </c>
      <c r="E4150" s="60" t="b">
        <v>1</v>
      </c>
      <c r="F4150" s="80" t="s">
        <v>1272</v>
      </c>
      <c r="G4150" s="58" t="s">
        <v>10688</v>
      </c>
      <c r="H4150" s="58" t="s">
        <v>1413</v>
      </c>
      <c r="I4150" s="64" t="s">
        <v>10689</v>
      </c>
      <c r="J4150" s="66"/>
      <c r="K4150" s="66"/>
      <c r="L4150" s="68"/>
      <c r="M4150" s="63" t="str">
        <f>HYPERLINK("http://nsgreg.nga.mil/genc/view?v=871880&amp;end_month=12&amp;end_day=31&amp;end_year=2016","Correlation")</f>
        <v>Correlation</v>
      </c>
    </row>
    <row r="4151" spans="1:13" x14ac:dyDescent="0.2">
      <c r="A4151" s="113"/>
      <c r="B4151" s="58" t="s">
        <v>10691</v>
      </c>
      <c r="C4151" s="58" t="s">
        <v>1413</v>
      </c>
      <c r="D4151" s="58" t="s">
        <v>10692</v>
      </c>
      <c r="E4151" s="60" t="b">
        <v>1</v>
      </c>
      <c r="F4151" s="80" t="s">
        <v>1272</v>
      </c>
      <c r="G4151" s="58" t="s">
        <v>10691</v>
      </c>
      <c r="H4151" s="58" t="s">
        <v>1413</v>
      </c>
      <c r="I4151" s="64" t="s">
        <v>10692</v>
      </c>
      <c r="J4151" s="66"/>
      <c r="K4151" s="66"/>
      <c r="L4151" s="68"/>
      <c r="M4151" s="63" t="str">
        <f>HYPERLINK("http://nsgreg.nga.mil/genc/view?v=871884&amp;end_month=12&amp;end_day=31&amp;end_year=2016","Correlation")</f>
        <v>Correlation</v>
      </c>
    </row>
    <row r="4152" spans="1:13" x14ac:dyDescent="0.2">
      <c r="A4152" s="113"/>
      <c r="B4152" s="58" t="s">
        <v>10693</v>
      </c>
      <c r="C4152" s="58" t="s">
        <v>1413</v>
      </c>
      <c r="D4152" s="58" t="s">
        <v>10694</v>
      </c>
      <c r="E4152" s="60" t="b">
        <v>1</v>
      </c>
      <c r="F4152" s="80" t="s">
        <v>1272</v>
      </c>
      <c r="G4152" s="58" t="s">
        <v>10693</v>
      </c>
      <c r="H4152" s="58" t="s">
        <v>1413</v>
      </c>
      <c r="I4152" s="64" t="s">
        <v>10694</v>
      </c>
      <c r="J4152" s="66"/>
      <c r="K4152" s="66"/>
      <c r="L4152" s="68"/>
      <c r="M4152" s="63" t="str">
        <f>HYPERLINK("http://nsgreg.nga.mil/genc/view?v=871855&amp;end_month=12&amp;end_day=31&amp;end_year=2016","Correlation")</f>
        <v>Correlation</v>
      </c>
    </row>
    <row r="4153" spans="1:13" x14ac:dyDescent="0.2">
      <c r="A4153" s="113"/>
      <c r="B4153" s="58" t="s">
        <v>10695</v>
      </c>
      <c r="C4153" s="58" t="s">
        <v>1413</v>
      </c>
      <c r="D4153" s="58" t="s">
        <v>10696</v>
      </c>
      <c r="E4153" s="60" t="b">
        <v>1</v>
      </c>
      <c r="F4153" s="80" t="s">
        <v>1272</v>
      </c>
      <c r="G4153" s="58" t="s">
        <v>10695</v>
      </c>
      <c r="H4153" s="58" t="s">
        <v>1413</v>
      </c>
      <c r="I4153" s="64" t="s">
        <v>10696</v>
      </c>
      <c r="J4153" s="66"/>
      <c r="K4153" s="66"/>
      <c r="L4153" s="68"/>
      <c r="M4153" s="63" t="str">
        <f>HYPERLINK("http://nsgreg.nga.mil/genc/view?v=871856&amp;end_month=12&amp;end_day=31&amp;end_year=2016","Correlation")</f>
        <v>Correlation</v>
      </c>
    </row>
    <row r="4154" spans="1:13" x14ac:dyDescent="0.2">
      <c r="A4154" s="113"/>
      <c r="B4154" s="58" t="s">
        <v>10697</v>
      </c>
      <c r="C4154" s="58" t="s">
        <v>1413</v>
      </c>
      <c r="D4154" s="58" t="s">
        <v>10698</v>
      </c>
      <c r="E4154" s="60" t="b">
        <v>1</v>
      </c>
      <c r="F4154" s="80" t="s">
        <v>1272</v>
      </c>
      <c r="G4154" s="58" t="s">
        <v>10697</v>
      </c>
      <c r="H4154" s="58" t="s">
        <v>1413</v>
      </c>
      <c r="I4154" s="64" t="s">
        <v>10698</v>
      </c>
      <c r="J4154" s="66"/>
      <c r="K4154" s="66"/>
      <c r="L4154" s="68"/>
      <c r="M4154" s="63" t="str">
        <f>HYPERLINK("http://nsgreg.nga.mil/genc/view?v=871927&amp;end_month=12&amp;end_day=31&amp;end_year=2016","Correlation")</f>
        <v>Correlation</v>
      </c>
    </row>
    <row r="4155" spans="1:13" x14ac:dyDescent="0.2">
      <c r="A4155" s="113"/>
      <c r="B4155" s="58" t="s">
        <v>10699</v>
      </c>
      <c r="C4155" s="58" t="s">
        <v>1413</v>
      </c>
      <c r="D4155" s="58" t="s">
        <v>10700</v>
      </c>
      <c r="E4155" s="60" t="b">
        <v>1</v>
      </c>
      <c r="F4155" s="80" t="s">
        <v>1272</v>
      </c>
      <c r="G4155" s="58" t="s">
        <v>10699</v>
      </c>
      <c r="H4155" s="58" t="s">
        <v>1413</v>
      </c>
      <c r="I4155" s="64" t="s">
        <v>10700</v>
      </c>
      <c r="J4155" s="66"/>
      <c r="K4155" s="66"/>
      <c r="L4155" s="68"/>
      <c r="M4155" s="63" t="str">
        <f>HYPERLINK("http://nsgreg.nga.mil/genc/view?v=871918&amp;end_month=12&amp;end_day=31&amp;end_year=2016","Correlation")</f>
        <v>Correlation</v>
      </c>
    </row>
    <row r="4156" spans="1:13" x14ac:dyDescent="0.2">
      <c r="A4156" s="113"/>
      <c r="B4156" s="58" t="s">
        <v>10701</v>
      </c>
      <c r="C4156" s="58" t="s">
        <v>1413</v>
      </c>
      <c r="D4156" s="58" t="s">
        <v>10702</v>
      </c>
      <c r="E4156" s="60" t="b">
        <v>1</v>
      </c>
      <c r="F4156" s="80" t="s">
        <v>1272</v>
      </c>
      <c r="G4156" s="58" t="s">
        <v>10701</v>
      </c>
      <c r="H4156" s="58" t="s">
        <v>1413</v>
      </c>
      <c r="I4156" s="64" t="s">
        <v>10702</v>
      </c>
      <c r="J4156" s="66"/>
      <c r="K4156" s="66"/>
      <c r="L4156" s="68"/>
      <c r="M4156" s="63" t="str">
        <f>HYPERLINK("http://nsgreg.nga.mil/genc/view?v=871926&amp;end_month=12&amp;end_day=31&amp;end_year=2016","Correlation")</f>
        <v>Correlation</v>
      </c>
    </row>
    <row r="4157" spans="1:13" x14ac:dyDescent="0.2">
      <c r="A4157" s="113"/>
      <c r="B4157" s="58" t="s">
        <v>12552</v>
      </c>
      <c r="C4157" s="58" t="s">
        <v>12553</v>
      </c>
      <c r="D4157" s="58" t="s">
        <v>12554</v>
      </c>
      <c r="E4157" s="60" t="b">
        <v>1</v>
      </c>
      <c r="F4157" s="61" t="s">
        <v>167</v>
      </c>
      <c r="G4157" s="61"/>
      <c r="H4157" s="61"/>
      <c r="I4157" s="61"/>
      <c r="J4157" s="61"/>
      <c r="K4157" s="61"/>
      <c r="L4157" s="62"/>
      <c r="M4157" s="63" t="str">
        <f>HYPERLINK("http://nsgreg.nga.mil/genc/view?v=871930&amp;end_month=12&amp;end_day=31&amp;end_year=2016","Correlation")</f>
        <v>Correlation</v>
      </c>
    </row>
    <row r="4158" spans="1:13" x14ac:dyDescent="0.2">
      <c r="A4158" s="113"/>
      <c r="B4158" s="58" t="s">
        <v>10703</v>
      </c>
      <c r="C4158" s="58" t="s">
        <v>1413</v>
      </c>
      <c r="D4158" s="58" t="s">
        <v>10704</v>
      </c>
      <c r="E4158" s="60" t="b">
        <v>1</v>
      </c>
      <c r="F4158" s="80" t="s">
        <v>1272</v>
      </c>
      <c r="G4158" s="58" t="s">
        <v>10703</v>
      </c>
      <c r="H4158" s="58" t="s">
        <v>1413</v>
      </c>
      <c r="I4158" s="64" t="s">
        <v>10704</v>
      </c>
      <c r="J4158" s="66"/>
      <c r="K4158" s="66"/>
      <c r="L4158" s="68"/>
      <c r="M4158" s="63" t="str">
        <f>HYPERLINK("http://nsgreg.nga.mil/genc/view?v=871897&amp;end_month=12&amp;end_day=31&amp;end_year=2016","Correlation")</f>
        <v>Correlation</v>
      </c>
    </row>
    <row r="4159" spans="1:13" x14ac:dyDescent="0.2">
      <c r="A4159" s="113"/>
      <c r="B4159" s="58" t="s">
        <v>10705</v>
      </c>
      <c r="C4159" s="58" t="s">
        <v>1413</v>
      </c>
      <c r="D4159" s="58" t="s">
        <v>10706</v>
      </c>
      <c r="E4159" s="60" t="b">
        <v>1</v>
      </c>
      <c r="F4159" s="80" t="s">
        <v>1272</v>
      </c>
      <c r="G4159" s="58" t="s">
        <v>10705</v>
      </c>
      <c r="H4159" s="58" t="s">
        <v>1413</v>
      </c>
      <c r="I4159" s="64" t="s">
        <v>10706</v>
      </c>
      <c r="J4159" s="66"/>
      <c r="K4159" s="66"/>
      <c r="L4159" s="68"/>
      <c r="M4159" s="63" t="str">
        <f>HYPERLINK("http://nsgreg.nga.mil/genc/view?v=871907&amp;end_month=12&amp;end_day=31&amp;end_year=2016","Correlation")</f>
        <v>Correlation</v>
      </c>
    </row>
    <row r="4160" spans="1:13" x14ac:dyDescent="0.2">
      <c r="A4160" s="113"/>
      <c r="B4160" s="58" t="s">
        <v>10707</v>
      </c>
      <c r="C4160" s="58" t="s">
        <v>1413</v>
      </c>
      <c r="D4160" s="58" t="s">
        <v>10708</v>
      </c>
      <c r="E4160" s="60" t="b">
        <v>1</v>
      </c>
      <c r="F4160" s="80" t="s">
        <v>1272</v>
      </c>
      <c r="G4160" s="58" t="s">
        <v>10707</v>
      </c>
      <c r="H4160" s="58" t="s">
        <v>1413</v>
      </c>
      <c r="I4160" s="64" t="s">
        <v>10708</v>
      </c>
      <c r="J4160" s="66"/>
      <c r="K4160" s="66"/>
      <c r="L4160" s="68"/>
      <c r="M4160" s="63" t="str">
        <f>HYPERLINK("http://nsgreg.nga.mil/genc/view?v=871914&amp;end_month=12&amp;end_day=31&amp;end_year=2016","Correlation")</f>
        <v>Correlation</v>
      </c>
    </row>
    <row r="4161" spans="1:13" x14ac:dyDescent="0.2">
      <c r="A4161" s="113"/>
      <c r="B4161" s="58" t="s">
        <v>10709</v>
      </c>
      <c r="C4161" s="58" t="s">
        <v>1413</v>
      </c>
      <c r="D4161" s="58" t="s">
        <v>10710</v>
      </c>
      <c r="E4161" s="60" t="b">
        <v>1</v>
      </c>
      <c r="F4161" s="80" t="s">
        <v>1272</v>
      </c>
      <c r="G4161" s="58" t="s">
        <v>10709</v>
      </c>
      <c r="H4161" s="58" t="s">
        <v>1413</v>
      </c>
      <c r="I4161" s="64" t="s">
        <v>10710</v>
      </c>
      <c r="J4161" s="66"/>
      <c r="K4161" s="66"/>
      <c r="L4161" s="68"/>
      <c r="M4161" s="63" t="str">
        <f>HYPERLINK("http://nsgreg.nga.mil/genc/view?v=871906&amp;end_month=12&amp;end_day=31&amp;end_year=2016","Correlation")</f>
        <v>Correlation</v>
      </c>
    </row>
    <row r="4162" spans="1:13" x14ac:dyDescent="0.2">
      <c r="A4162" s="113"/>
      <c r="B4162" s="58" t="s">
        <v>10711</v>
      </c>
      <c r="C4162" s="58" t="s">
        <v>1413</v>
      </c>
      <c r="D4162" s="58" t="s">
        <v>10712</v>
      </c>
      <c r="E4162" s="60" t="b">
        <v>1</v>
      </c>
      <c r="F4162" s="80" t="s">
        <v>1272</v>
      </c>
      <c r="G4162" s="58" t="s">
        <v>10711</v>
      </c>
      <c r="H4162" s="58" t="s">
        <v>1413</v>
      </c>
      <c r="I4162" s="64" t="s">
        <v>10712</v>
      </c>
      <c r="J4162" s="66"/>
      <c r="K4162" s="66"/>
      <c r="L4162" s="68"/>
      <c r="M4162" s="63" t="str">
        <f>HYPERLINK("http://nsgreg.nga.mil/genc/view?v=871905&amp;end_month=12&amp;end_day=31&amp;end_year=2016","Correlation")</f>
        <v>Correlation</v>
      </c>
    </row>
    <row r="4163" spans="1:13" x14ac:dyDescent="0.2">
      <c r="A4163" s="113"/>
      <c r="B4163" s="58" t="s">
        <v>10713</v>
      </c>
      <c r="C4163" s="58" t="s">
        <v>1413</v>
      </c>
      <c r="D4163" s="58" t="s">
        <v>10714</v>
      </c>
      <c r="E4163" s="60" t="b">
        <v>1</v>
      </c>
      <c r="F4163" s="80" t="s">
        <v>1272</v>
      </c>
      <c r="G4163" s="58" t="s">
        <v>10713</v>
      </c>
      <c r="H4163" s="58" t="s">
        <v>1413</v>
      </c>
      <c r="I4163" s="64" t="s">
        <v>10714</v>
      </c>
      <c r="J4163" s="66"/>
      <c r="K4163" s="66"/>
      <c r="L4163" s="68"/>
      <c r="M4163" s="63" t="str">
        <f>HYPERLINK("http://nsgreg.nga.mil/genc/view?v=871895&amp;end_month=12&amp;end_day=31&amp;end_year=2016","Correlation")</f>
        <v>Correlation</v>
      </c>
    </row>
    <row r="4164" spans="1:13" x14ac:dyDescent="0.2">
      <c r="A4164" s="113"/>
      <c r="B4164" s="58" t="s">
        <v>10715</v>
      </c>
      <c r="C4164" s="58" t="s">
        <v>1413</v>
      </c>
      <c r="D4164" s="58" t="s">
        <v>10716</v>
      </c>
      <c r="E4164" s="60" t="b">
        <v>1</v>
      </c>
      <c r="F4164" s="80" t="s">
        <v>1272</v>
      </c>
      <c r="G4164" s="58" t="s">
        <v>10715</v>
      </c>
      <c r="H4164" s="58" t="s">
        <v>1413</v>
      </c>
      <c r="I4164" s="64" t="s">
        <v>10716</v>
      </c>
      <c r="J4164" s="66"/>
      <c r="K4164" s="66"/>
      <c r="L4164" s="68"/>
      <c r="M4164" s="63" t="str">
        <f>HYPERLINK("http://nsgreg.nga.mil/genc/view?v=871857&amp;end_month=12&amp;end_day=31&amp;end_year=2016","Correlation")</f>
        <v>Correlation</v>
      </c>
    </row>
    <row r="4165" spans="1:13" x14ac:dyDescent="0.2">
      <c r="A4165" s="113"/>
      <c r="B4165" s="58" t="s">
        <v>10717</v>
      </c>
      <c r="C4165" s="58" t="s">
        <v>1413</v>
      </c>
      <c r="D4165" s="58" t="s">
        <v>10718</v>
      </c>
      <c r="E4165" s="60" t="b">
        <v>1</v>
      </c>
      <c r="F4165" s="80" t="s">
        <v>1272</v>
      </c>
      <c r="G4165" s="58" t="s">
        <v>10717</v>
      </c>
      <c r="H4165" s="58" t="s">
        <v>1413</v>
      </c>
      <c r="I4165" s="64" t="s">
        <v>10718</v>
      </c>
      <c r="J4165" s="66"/>
      <c r="K4165" s="66"/>
      <c r="L4165" s="68"/>
      <c r="M4165" s="63" t="str">
        <f>HYPERLINK("http://nsgreg.nga.mil/genc/view?v=871919&amp;end_month=12&amp;end_day=31&amp;end_year=2016","Correlation")</f>
        <v>Correlation</v>
      </c>
    </row>
    <row r="4166" spans="1:13" x14ac:dyDescent="0.2">
      <c r="A4166" s="113"/>
      <c r="B4166" s="58" t="s">
        <v>10719</v>
      </c>
      <c r="C4166" s="58" t="s">
        <v>1413</v>
      </c>
      <c r="D4166" s="58" t="s">
        <v>10720</v>
      </c>
      <c r="E4166" s="60" t="b">
        <v>1</v>
      </c>
      <c r="F4166" s="80" t="s">
        <v>1272</v>
      </c>
      <c r="G4166" s="58" t="s">
        <v>10719</v>
      </c>
      <c r="H4166" s="58" t="s">
        <v>1413</v>
      </c>
      <c r="I4166" s="64" t="s">
        <v>10720</v>
      </c>
      <c r="J4166" s="66"/>
      <c r="K4166" s="66"/>
      <c r="L4166" s="68"/>
      <c r="M4166" s="63" t="str">
        <f>HYPERLINK("http://nsgreg.nga.mil/genc/view?v=871868&amp;end_month=12&amp;end_day=31&amp;end_year=2016","Correlation")</f>
        <v>Correlation</v>
      </c>
    </row>
    <row r="4167" spans="1:13" x14ac:dyDescent="0.2">
      <c r="A4167" s="113"/>
      <c r="B4167" s="58" t="s">
        <v>10721</v>
      </c>
      <c r="C4167" s="58" t="s">
        <v>1413</v>
      </c>
      <c r="D4167" s="58" t="s">
        <v>10722</v>
      </c>
      <c r="E4167" s="60" t="b">
        <v>1</v>
      </c>
      <c r="F4167" s="80" t="s">
        <v>1272</v>
      </c>
      <c r="G4167" s="58" t="s">
        <v>10721</v>
      </c>
      <c r="H4167" s="58" t="s">
        <v>1413</v>
      </c>
      <c r="I4167" s="64" t="s">
        <v>10722</v>
      </c>
      <c r="J4167" s="66"/>
      <c r="K4167" s="66"/>
      <c r="L4167" s="68"/>
      <c r="M4167" s="63" t="str">
        <f>HYPERLINK("http://nsgreg.nga.mil/genc/view?v=871915&amp;end_month=12&amp;end_day=31&amp;end_year=2016","Correlation")</f>
        <v>Correlation</v>
      </c>
    </row>
    <row r="4168" spans="1:13" x14ac:dyDescent="0.2">
      <c r="A4168" s="113"/>
      <c r="B4168" s="58" t="s">
        <v>10723</v>
      </c>
      <c r="C4168" s="58" t="s">
        <v>1413</v>
      </c>
      <c r="D4168" s="58" t="s">
        <v>10724</v>
      </c>
      <c r="E4168" s="60" t="b">
        <v>1</v>
      </c>
      <c r="F4168" s="80" t="s">
        <v>1272</v>
      </c>
      <c r="G4168" s="58" t="s">
        <v>10723</v>
      </c>
      <c r="H4168" s="58" t="s">
        <v>1413</v>
      </c>
      <c r="I4168" s="64" t="s">
        <v>10724</v>
      </c>
      <c r="J4168" s="66"/>
      <c r="K4168" s="66"/>
      <c r="L4168" s="68"/>
      <c r="M4168" s="63" t="str">
        <f>HYPERLINK("http://nsgreg.nga.mil/genc/view?v=871921&amp;end_month=12&amp;end_day=31&amp;end_year=2016","Correlation")</f>
        <v>Correlation</v>
      </c>
    </row>
    <row r="4169" spans="1:13" x14ac:dyDescent="0.2">
      <c r="A4169" s="113"/>
      <c r="B4169" s="58" t="s">
        <v>10725</v>
      </c>
      <c r="C4169" s="58" t="s">
        <v>1413</v>
      </c>
      <c r="D4169" s="58" t="s">
        <v>10726</v>
      </c>
      <c r="E4169" s="60" t="b">
        <v>1</v>
      </c>
      <c r="F4169" s="80" t="s">
        <v>1272</v>
      </c>
      <c r="G4169" s="58" t="s">
        <v>10725</v>
      </c>
      <c r="H4169" s="58" t="s">
        <v>1413</v>
      </c>
      <c r="I4169" s="64" t="s">
        <v>10726</v>
      </c>
      <c r="J4169" s="66"/>
      <c r="K4169" s="66"/>
      <c r="L4169" s="68"/>
      <c r="M4169" s="63" t="str">
        <f>HYPERLINK("http://nsgreg.nga.mil/genc/view?v=871908&amp;end_month=12&amp;end_day=31&amp;end_year=2016","Correlation")</f>
        <v>Correlation</v>
      </c>
    </row>
    <row r="4170" spans="1:13" x14ac:dyDescent="0.2">
      <c r="A4170" s="113"/>
      <c r="B4170" s="58" t="s">
        <v>10727</v>
      </c>
      <c r="C4170" s="58" t="s">
        <v>1413</v>
      </c>
      <c r="D4170" s="58" t="s">
        <v>10728</v>
      </c>
      <c r="E4170" s="60" t="b">
        <v>1</v>
      </c>
      <c r="F4170" s="80" t="s">
        <v>1272</v>
      </c>
      <c r="G4170" s="58" t="s">
        <v>10727</v>
      </c>
      <c r="H4170" s="58" t="s">
        <v>1413</v>
      </c>
      <c r="I4170" s="64" t="s">
        <v>10728</v>
      </c>
      <c r="J4170" s="66"/>
      <c r="K4170" s="66"/>
      <c r="L4170" s="68"/>
      <c r="M4170" s="63" t="str">
        <f>HYPERLINK("http://nsgreg.nga.mil/genc/view?v=871864&amp;end_month=12&amp;end_day=31&amp;end_year=2016","Correlation")</f>
        <v>Correlation</v>
      </c>
    </row>
    <row r="4171" spans="1:13" x14ac:dyDescent="0.2">
      <c r="A4171" s="113"/>
      <c r="B4171" s="58" t="s">
        <v>10729</v>
      </c>
      <c r="C4171" s="58" t="s">
        <v>1413</v>
      </c>
      <c r="D4171" s="58" t="s">
        <v>10730</v>
      </c>
      <c r="E4171" s="60" t="b">
        <v>1</v>
      </c>
      <c r="F4171" s="80" t="s">
        <v>1272</v>
      </c>
      <c r="G4171" s="58" t="s">
        <v>10729</v>
      </c>
      <c r="H4171" s="58" t="s">
        <v>1413</v>
      </c>
      <c r="I4171" s="64" t="s">
        <v>10730</v>
      </c>
      <c r="J4171" s="66"/>
      <c r="K4171" s="66"/>
      <c r="L4171" s="68"/>
      <c r="M4171" s="63" t="str">
        <f>HYPERLINK("http://nsgreg.nga.mil/genc/view?v=871886&amp;end_month=12&amp;end_day=31&amp;end_year=2016","Correlation")</f>
        <v>Correlation</v>
      </c>
    </row>
    <row r="4172" spans="1:13" x14ac:dyDescent="0.2">
      <c r="A4172" s="113"/>
      <c r="B4172" s="58" t="s">
        <v>10731</v>
      </c>
      <c r="C4172" s="58" t="s">
        <v>1413</v>
      </c>
      <c r="D4172" s="58" t="s">
        <v>10732</v>
      </c>
      <c r="E4172" s="60" t="b">
        <v>1</v>
      </c>
      <c r="F4172" s="80" t="s">
        <v>1272</v>
      </c>
      <c r="G4172" s="58" t="s">
        <v>10731</v>
      </c>
      <c r="H4172" s="58" t="s">
        <v>1413</v>
      </c>
      <c r="I4172" s="64" t="s">
        <v>10732</v>
      </c>
      <c r="J4172" s="66"/>
      <c r="K4172" s="66"/>
      <c r="L4172" s="68"/>
      <c r="M4172" s="63" t="str">
        <f>HYPERLINK("http://nsgreg.nga.mil/genc/view?v=871870&amp;end_month=12&amp;end_day=31&amp;end_year=2016","Correlation")</f>
        <v>Correlation</v>
      </c>
    </row>
    <row r="4173" spans="1:13" x14ac:dyDescent="0.2">
      <c r="A4173" s="113"/>
      <c r="B4173" s="58" t="s">
        <v>10733</v>
      </c>
      <c r="C4173" s="58" t="s">
        <v>1413</v>
      </c>
      <c r="D4173" s="58" t="s">
        <v>10734</v>
      </c>
      <c r="E4173" s="60" t="b">
        <v>1</v>
      </c>
      <c r="F4173" s="80" t="s">
        <v>1272</v>
      </c>
      <c r="G4173" s="58" t="s">
        <v>10733</v>
      </c>
      <c r="H4173" s="58" t="s">
        <v>1413</v>
      </c>
      <c r="I4173" s="64" t="s">
        <v>10734</v>
      </c>
      <c r="J4173" s="66"/>
      <c r="K4173" s="66"/>
      <c r="L4173" s="68"/>
      <c r="M4173" s="63" t="str">
        <f>HYPERLINK("http://nsgreg.nga.mil/genc/view?v=871888&amp;end_month=12&amp;end_day=31&amp;end_year=2016","Correlation")</f>
        <v>Correlation</v>
      </c>
    </row>
    <row r="4174" spans="1:13" x14ac:dyDescent="0.2">
      <c r="A4174" s="113"/>
      <c r="B4174" s="58" t="s">
        <v>10735</v>
      </c>
      <c r="C4174" s="58" t="s">
        <v>1413</v>
      </c>
      <c r="D4174" s="58" t="s">
        <v>10736</v>
      </c>
      <c r="E4174" s="60" t="b">
        <v>1</v>
      </c>
      <c r="F4174" s="80" t="s">
        <v>1272</v>
      </c>
      <c r="G4174" s="58" t="s">
        <v>10735</v>
      </c>
      <c r="H4174" s="58" t="s">
        <v>1413</v>
      </c>
      <c r="I4174" s="64" t="s">
        <v>10736</v>
      </c>
      <c r="J4174" s="66"/>
      <c r="K4174" s="66"/>
      <c r="L4174" s="68"/>
      <c r="M4174" s="63" t="str">
        <f>HYPERLINK("http://nsgreg.nga.mil/genc/view?v=871854&amp;end_month=12&amp;end_day=31&amp;end_year=2016","Correlation")</f>
        <v>Correlation</v>
      </c>
    </row>
    <row r="4175" spans="1:13" x14ac:dyDescent="0.2">
      <c r="A4175" s="113"/>
      <c r="B4175" s="58" t="s">
        <v>10737</v>
      </c>
      <c r="C4175" s="58" t="s">
        <v>1413</v>
      </c>
      <c r="D4175" s="58" t="s">
        <v>10738</v>
      </c>
      <c r="E4175" s="60" t="b">
        <v>1</v>
      </c>
      <c r="F4175" s="80" t="s">
        <v>1272</v>
      </c>
      <c r="G4175" s="58" t="s">
        <v>10737</v>
      </c>
      <c r="H4175" s="58" t="s">
        <v>1413</v>
      </c>
      <c r="I4175" s="64" t="s">
        <v>10738</v>
      </c>
      <c r="J4175" s="66"/>
      <c r="K4175" s="66"/>
      <c r="L4175" s="68"/>
      <c r="M4175" s="63" t="str">
        <f>HYPERLINK("http://nsgreg.nga.mil/genc/view?v=871912&amp;end_month=12&amp;end_day=31&amp;end_year=2016","Correlation")</f>
        <v>Correlation</v>
      </c>
    </row>
    <row r="4176" spans="1:13" x14ac:dyDescent="0.2">
      <c r="A4176" s="113"/>
      <c r="B4176" s="58" t="s">
        <v>10739</v>
      </c>
      <c r="C4176" s="58" t="s">
        <v>1413</v>
      </c>
      <c r="D4176" s="58" t="s">
        <v>10740</v>
      </c>
      <c r="E4176" s="60" t="b">
        <v>1</v>
      </c>
      <c r="F4176" s="80" t="s">
        <v>1272</v>
      </c>
      <c r="G4176" s="58" t="s">
        <v>10739</v>
      </c>
      <c r="H4176" s="58" t="s">
        <v>1413</v>
      </c>
      <c r="I4176" s="64" t="s">
        <v>10740</v>
      </c>
      <c r="J4176" s="66"/>
      <c r="K4176" s="66"/>
      <c r="L4176" s="68"/>
      <c r="M4176" s="63" t="str">
        <f>HYPERLINK("http://nsgreg.nga.mil/genc/view?v=871913&amp;end_month=12&amp;end_day=31&amp;end_year=2016","Correlation")</f>
        <v>Correlation</v>
      </c>
    </row>
    <row r="4177" spans="1:13" x14ac:dyDescent="0.2">
      <c r="A4177" s="113"/>
      <c r="B4177" s="58" t="s">
        <v>10743</v>
      </c>
      <c r="C4177" s="58" t="s">
        <v>1413</v>
      </c>
      <c r="D4177" s="58" t="s">
        <v>10742</v>
      </c>
      <c r="E4177" s="60" t="b">
        <v>1</v>
      </c>
      <c r="F4177" s="80" t="s">
        <v>1272</v>
      </c>
      <c r="G4177" s="58" t="s">
        <v>10741</v>
      </c>
      <c r="H4177" s="58" t="s">
        <v>1413</v>
      </c>
      <c r="I4177" s="64" t="s">
        <v>10742</v>
      </c>
      <c r="J4177" s="66"/>
      <c r="K4177" s="66"/>
      <c r="L4177" s="68"/>
      <c r="M4177" s="63" t="str">
        <f>HYPERLINK("http://nsgreg.nga.mil/genc/view?v=871862&amp;end_month=12&amp;end_day=31&amp;end_year=2016","Correlation")</f>
        <v>Correlation</v>
      </c>
    </row>
    <row r="4178" spans="1:13" x14ac:dyDescent="0.2">
      <c r="A4178" s="113"/>
      <c r="B4178" s="58" t="s">
        <v>10744</v>
      </c>
      <c r="C4178" s="58" t="s">
        <v>1413</v>
      </c>
      <c r="D4178" s="58" t="s">
        <v>10745</v>
      </c>
      <c r="E4178" s="60" t="b">
        <v>1</v>
      </c>
      <c r="F4178" s="80" t="s">
        <v>1272</v>
      </c>
      <c r="G4178" s="58" t="s">
        <v>10744</v>
      </c>
      <c r="H4178" s="58" t="s">
        <v>1413</v>
      </c>
      <c r="I4178" s="64" t="s">
        <v>10745</v>
      </c>
      <c r="J4178" s="66"/>
      <c r="K4178" s="66"/>
      <c r="L4178" s="68"/>
      <c r="M4178" s="63" t="str">
        <f>HYPERLINK("http://nsgreg.nga.mil/genc/view?v=871924&amp;end_month=12&amp;end_day=31&amp;end_year=2016","Correlation")</f>
        <v>Correlation</v>
      </c>
    </row>
    <row r="4179" spans="1:13" x14ac:dyDescent="0.2">
      <c r="A4179" s="113"/>
      <c r="B4179" s="58" t="s">
        <v>10746</v>
      </c>
      <c r="C4179" s="58" t="s">
        <v>1413</v>
      </c>
      <c r="D4179" s="58" t="s">
        <v>10747</v>
      </c>
      <c r="E4179" s="60" t="b">
        <v>1</v>
      </c>
      <c r="F4179" s="80" t="s">
        <v>1272</v>
      </c>
      <c r="G4179" s="58" t="s">
        <v>10746</v>
      </c>
      <c r="H4179" s="58" t="s">
        <v>1413</v>
      </c>
      <c r="I4179" s="64" t="s">
        <v>10747</v>
      </c>
      <c r="J4179" s="66"/>
      <c r="K4179" s="66"/>
      <c r="L4179" s="68"/>
      <c r="M4179" s="63" t="str">
        <f>HYPERLINK("http://nsgreg.nga.mil/genc/view?v=871860&amp;end_month=12&amp;end_day=31&amp;end_year=2016","Correlation")</f>
        <v>Correlation</v>
      </c>
    </row>
    <row r="4180" spans="1:13" x14ac:dyDescent="0.2">
      <c r="A4180" s="113"/>
      <c r="B4180" s="58" t="s">
        <v>10750</v>
      </c>
      <c r="C4180" s="58" t="s">
        <v>1413</v>
      </c>
      <c r="D4180" s="58" t="s">
        <v>10749</v>
      </c>
      <c r="E4180" s="60" t="b">
        <v>1</v>
      </c>
      <c r="F4180" s="80" t="s">
        <v>1272</v>
      </c>
      <c r="G4180" s="58" t="s">
        <v>10748</v>
      </c>
      <c r="H4180" s="58" t="s">
        <v>1413</v>
      </c>
      <c r="I4180" s="64" t="s">
        <v>10749</v>
      </c>
      <c r="J4180" s="66"/>
      <c r="K4180" s="66"/>
      <c r="L4180" s="68"/>
      <c r="M4180" s="63" t="str">
        <f>HYPERLINK("http://nsgreg.nga.mil/genc/view?v=871874&amp;end_month=12&amp;end_day=31&amp;end_year=2016","Correlation")</f>
        <v>Correlation</v>
      </c>
    </row>
    <row r="4181" spans="1:13" x14ac:dyDescent="0.2">
      <c r="A4181" s="113"/>
      <c r="B4181" s="58" t="s">
        <v>10751</v>
      </c>
      <c r="C4181" s="58" t="s">
        <v>1413</v>
      </c>
      <c r="D4181" s="58" t="s">
        <v>10752</v>
      </c>
      <c r="E4181" s="60" t="b">
        <v>1</v>
      </c>
      <c r="F4181" s="80" t="s">
        <v>1272</v>
      </c>
      <c r="G4181" s="58" t="s">
        <v>10751</v>
      </c>
      <c r="H4181" s="58" t="s">
        <v>1413</v>
      </c>
      <c r="I4181" s="64" t="s">
        <v>10752</v>
      </c>
      <c r="J4181" s="66"/>
      <c r="K4181" s="66"/>
      <c r="L4181" s="68"/>
      <c r="M4181" s="63" t="str">
        <f>HYPERLINK("http://nsgreg.nga.mil/genc/view?v=871923&amp;end_month=12&amp;end_day=31&amp;end_year=2016","Correlation")</f>
        <v>Correlation</v>
      </c>
    </row>
    <row r="4182" spans="1:13" x14ac:dyDescent="0.2">
      <c r="A4182" s="113"/>
      <c r="B4182" s="58" t="s">
        <v>10753</v>
      </c>
      <c r="C4182" s="58" t="s">
        <v>1413</v>
      </c>
      <c r="D4182" s="58" t="s">
        <v>10754</v>
      </c>
      <c r="E4182" s="60" t="b">
        <v>1</v>
      </c>
      <c r="F4182" s="80" t="s">
        <v>1272</v>
      </c>
      <c r="G4182" s="58" t="s">
        <v>10753</v>
      </c>
      <c r="H4182" s="58" t="s">
        <v>1413</v>
      </c>
      <c r="I4182" s="64" t="s">
        <v>10754</v>
      </c>
      <c r="J4182" s="66"/>
      <c r="K4182" s="66"/>
      <c r="L4182" s="68"/>
      <c r="M4182" s="63" t="str">
        <f>HYPERLINK("http://nsgreg.nga.mil/genc/view?v=871904&amp;end_month=12&amp;end_day=31&amp;end_year=2016","Correlation")</f>
        <v>Correlation</v>
      </c>
    </row>
    <row r="4183" spans="1:13" x14ac:dyDescent="0.2">
      <c r="A4183" s="113"/>
      <c r="B4183" s="58" t="s">
        <v>10755</v>
      </c>
      <c r="C4183" s="58" t="s">
        <v>1413</v>
      </c>
      <c r="D4183" s="58" t="s">
        <v>10756</v>
      </c>
      <c r="E4183" s="60" t="b">
        <v>1</v>
      </c>
      <c r="F4183" s="80" t="s">
        <v>1272</v>
      </c>
      <c r="G4183" s="58" t="s">
        <v>10755</v>
      </c>
      <c r="H4183" s="58" t="s">
        <v>1413</v>
      </c>
      <c r="I4183" s="64" t="s">
        <v>10756</v>
      </c>
      <c r="J4183" s="66"/>
      <c r="K4183" s="66"/>
      <c r="L4183" s="68"/>
      <c r="M4183" s="63" t="str">
        <f>HYPERLINK("http://nsgreg.nga.mil/genc/view?v=871910&amp;end_month=12&amp;end_day=31&amp;end_year=2016","Correlation")</f>
        <v>Correlation</v>
      </c>
    </row>
    <row r="4184" spans="1:13" x14ac:dyDescent="0.2">
      <c r="A4184" s="113"/>
      <c r="B4184" s="58" t="s">
        <v>10757</v>
      </c>
      <c r="C4184" s="58" t="s">
        <v>1413</v>
      </c>
      <c r="D4184" s="58" t="s">
        <v>10758</v>
      </c>
      <c r="E4184" s="60" t="b">
        <v>1</v>
      </c>
      <c r="F4184" s="80" t="s">
        <v>1272</v>
      </c>
      <c r="G4184" s="58" t="s">
        <v>10757</v>
      </c>
      <c r="H4184" s="58" t="s">
        <v>1413</v>
      </c>
      <c r="I4184" s="64" t="s">
        <v>10758</v>
      </c>
      <c r="J4184" s="66"/>
      <c r="K4184" s="66"/>
      <c r="L4184" s="68"/>
      <c r="M4184" s="63" t="str">
        <f>HYPERLINK("http://nsgreg.nga.mil/genc/view?v=871920&amp;end_month=12&amp;end_day=31&amp;end_year=2016","Correlation")</f>
        <v>Correlation</v>
      </c>
    </row>
    <row r="4185" spans="1:13" x14ac:dyDescent="0.2">
      <c r="A4185" s="113"/>
      <c r="B4185" s="58" t="s">
        <v>10759</v>
      </c>
      <c r="C4185" s="58" t="s">
        <v>1413</v>
      </c>
      <c r="D4185" s="58" t="s">
        <v>10760</v>
      </c>
      <c r="E4185" s="60" t="b">
        <v>1</v>
      </c>
      <c r="F4185" s="80" t="s">
        <v>1272</v>
      </c>
      <c r="G4185" s="58" t="s">
        <v>10759</v>
      </c>
      <c r="H4185" s="58" t="s">
        <v>1413</v>
      </c>
      <c r="I4185" s="64" t="s">
        <v>10760</v>
      </c>
      <c r="J4185" s="66"/>
      <c r="K4185" s="66"/>
      <c r="L4185" s="68"/>
      <c r="M4185" s="63" t="str">
        <f>HYPERLINK("http://nsgreg.nga.mil/genc/view?v=871873&amp;end_month=12&amp;end_day=31&amp;end_year=2016","Correlation")</f>
        <v>Correlation</v>
      </c>
    </row>
    <row r="4186" spans="1:13" x14ac:dyDescent="0.2">
      <c r="A4186" s="113"/>
      <c r="B4186" s="58" t="s">
        <v>10761</v>
      </c>
      <c r="C4186" s="58" t="s">
        <v>1413</v>
      </c>
      <c r="D4186" s="58" t="s">
        <v>10762</v>
      </c>
      <c r="E4186" s="60" t="b">
        <v>1</v>
      </c>
      <c r="F4186" s="80" t="s">
        <v>1272</v>
      </c>
      <c r="G4186" s="58" t="s">
        <v>10761</v>
      </c>
      <c r="H4186" s="58" t="s">
        <v>1413</v>
      </c>
      <c r="I4186" s="64" t="s">
        <v>10762</v>
      </c>
      <c r="J4186" s="66"/>
      <c r="K4186" s="66"/>
      <c r="L4186" s="68"/>
      <c r="M4186" s="63" t="str">
        <f>HYPERLINK("http://nsgreg.nga.mil/genc/view?v=871903&amp;end_month=12&amp;end_day=31&amp;end_year=2016","Correlation")</f>
        <v>Correlation</v>
      </c>
    </row>
    <row r="4187" spans="1:13" x14ac:dyDescent="0.2">
      <c r="A4187" s="113"/>
      <c r="B4187" s="58" t="s">
        <v>10763</v>
      </c>
      <c r="C4187" s="58" t="s">
        <v>1413</v>
      </c>
      <c r="D4187" s="58" t="s">
        <v>10764</v>
      </c>
      <c r="E4187" s="60" t="b">
        <v>1</v>
      </c>
      <c r="F4187" s="80" t="s">
        <v>1272</v>
      </c>
      <c r="G4187" s="58" t="s">
        <v>10763</v>
      </c>
      <c r="H4187" s="58" t="s">
        <v>1413</v>
      </c>
      <c r="I4187" s="64" t="s">
        <v>10764</v>
      </c>
      <c r="J4187" s="66"/>
      <c r="K4187" s="66"/>
      <c r="L4187" s="68"/>
      <c r="M4187" s="63" t="str">
        <f>HYPERLINK("http://nsgreg.nga.mil/genc/view?v=871925&amp;end_month=12&amp;end_day=31&amp;end_year=2016","Correlation")</f>
        <v>Correlation</v>
      </c>
    </row>
    <row r="4188" spans="1:13" x14ac:dyDescent="0.2">
      <c r="A4188" s="113"/>
      <c r="B4188" s="58" t="s">
        <v>10765</v>
      </c>
      <c r="C4188" s="58" t="s">
        <v>1413</v>
      </c>
      <c r="D4188" s="58" t="s">
        <v>10766</v>
      </c>
      <c r="E4188" s="60" t="b">
        <v>1</v>
      </c>
      <c r="F4188" s="80" t="s">
        <v>1272</v>
      </c>
      <c r="G4188" s="58" t="s">
        <v>10765</v>
      </c>
      <c r="H4188" s="58" t="s">
        <v>1413</v>
      </c>
      <c r="I4188" s="64" t="s">
        <v>10766</v>
      </c>
      <c r="J4188" s="66"/>
      <c r="K4188" s="66"/>
      <c r="L4188" s="68"/>
      <c r="M4188" s="63" t="str">
        <f>HYPERLINK("http://nsgreg.nga.mil/genc/view?v=871866&amp;end_month=12&amp;end_day=31&amp;end_year=2016","Correlation")</f>
        <v>Correlation</v>
      </c>
    </row>
    <row r="4189" spans="1:13" x14ac:dyDescent="0.2">
      <c r="A4189" s="113"/>
      <c r="B4189" s="58" t="s">
        <v>10767</v>
      </c>
      <c r="C4189" s="58" t="s">
        <v>1413</v>
      </c>
      <c r="D4189" s="58" t="s">
        <v>10768</v>
      </c>
      <c r="E4189" s="60" t="b">
        <v>1</v>
      </c>
      <c r="F4189" s="80" t="s">
        <v>1272</v>
      </c>
      <c r="G4189" s="58" t="s">
        <v>10767</v>
      </c>
      <c r="H4189" s="58" t="s">
        <v>1413</v>
      </c>
      <c r="I4189" s="64" t="s">
        <v>10768</v>
      </c>
      <c r="J4189" s="66"/>
      <c r="K4189" s="66"/>
      <c r="L4189" s="68"/>
      <c r="M4189" s="63" t="str">
        <f>HYPERLINK("http://nsgreg.nga.mil/genc/view?v=871875&amp;end_month=12&amp;end_day=31&amp;end_year=2016","Correlation")</f>
        <v>Correlation</v>
      </c>
    </row>
    <row r="4190" spans="1:13" x14ac:dyDescent="0.2">
      <c r="A4190" s="113"/>
      <c r="B4190" s="58" t="s">
        <v>10769</v>
      </c>
      <c r="C4190" s="58" t="s">
        <v>1413</v>
      </c>
      <c r="D4190" s="58" t="s">
        <v>10770</v>
      </c>
      <c r="E4190" s="60" t="b">
        <v>1</v>
      </c>
      <c r="F4190" s="80" t="s">
        <v>1272</v>
      </c>
      <c r="G4190" s="58" t="s">
        <v>10769</v>
      </c>
      <c r="H4190" s="58" t="s">
        <v>1413</v>
      </c>
      <c r="I4190" s="64" t="s">
        <v>10770</v>
      </c>
      <c r="J4190" s="66"/>
      <c r="K4190" s="66"/>
      <c r="L4190" s="68"/>
      <c r="M4190" s="63" t="str">
        <f>HYPERLINK("http://nsgreg.nga.mil/genc/view?v=871882&amp;end_month=12&amp;end_day=31&amp;end_year=2016","Correlation")</f>
        <v>Correlation</v>
      </c>
    </row>
    <row r="4191" spans="1:13" x14ac:dyDescent="0.2">
      <c r="A4191" s="113"/>
      <c r="B4191" s="58" t="s">
        <v>10771</v>
      </c>
      <c r="C4191" s="58" t="s">
        <v>1413</v>
      </c>
      <c r="D4191" s="58" t="s">
        <v>10772</v>
      </c>
      <c r="E4191" s="60" t="b">
        <v>1</v>
      </c>
      <c r="F4191" s="80" t="s">
        <v>1272</v>
      </c>
      <c r="G4191" s="58" t="s">
        <v>10771</v>
      </c>
      <c r="H4191" s="58" t="s">
        <v>1413</v>
      </c>
      <c r="I4191" s="64" t="s">
        <v>10772</v>
      </c>
      <c r="J4191" s="66"/>
      <c r="K4191" s="66"/>
      <c r="L4191" s="68"/>
      <c r="M4191" s="63" t="str">
        <f>HYPERLINK("http://nsgreg.nga.mil/genc/view?v=871901&amp;end_month=12&amp;end_day=31&amp;end_year=2016","Correlation")</f>
        <v>Correlation</v>
      </c>
    </row>
    <row r="4192" spans="1:13" x14ac:dyDescent="0.2">
      <c r="A4192" s="113"/>
      <c r="B4192" s="58" t="s">
        <v>10773</v>
      </c>
      <c r="C4192" s="58" t="s">
        <v>1413</v>
      </c>
      <c r="D4192" s="58" t="s">
        <v>10774</v>
      </c>
      <c r="E4192" s="60" t="b">
        <v>1</v>
      </c>
      <c r="F4192" s="80" t="s">
        <v>1272</v>
      </c>
      <c r="G4192" s="58" t="s">
        <v>10773</v>
      </c>
      <c r="H4192" s="58" t="s">
        <v>1413</v>
      </c>
      <c r="I4192" s="64" t="s">
        <v>10774</v>
      </c>
      <c r="J4192" s="66"/>
      <c r="K4192" s="66"/>
      <c r="L4192" s="68"/>
      <c r="M4192" s="63" t="str">
        <f>HYPERLINK("http://nsgreg.nga.mil/genc/view?v=871894&amp;end_month=12&amp;end_day=31&amp;end_year=2016","Correlation")</f>
        <v>Correlation</v>
      </c>
    </row>
    <row r="4193" spans="1:13" x14ac:dyDescent="0.2">
      <c r="A4193" s="113"/>
      <c r="B4193" s="58" t="s">
        <v>10775</v>
      </c>
      <c r="C4193" s="58" t="s">
        <v>1413</v>
      </c>
      <c r="D4193" s="58" t="s">
        <v>10776</v>
      </c>
      <c r="E4193" s="60" t="b">
        <v>1</v>
      </c>
      <c r="F4193" s="80" t="s">
        <v>1272</v>
      </c>
      <c r="G4193" s="58" t="s">
        <v>10775</v>
      </c>
      <c r="H4193" s="58" t="s">
        <v>1413</v>
      </c>
      <c r="I4193" s="64" t="s">
        <v>10776</v>
      </c>
      <c r="J4193" s="66"/>
      <c r="K4193" s="66"/>
      <c r="L4193" s="68"/>
      <c r="M4193" s="63" t="str">
        <f>HYPERLINK("http://nsgreg.nga.mil/genc/view?v=871928&amp;end_month=12&amp;end_day=31&amp;end_year=2016","Correlation")</f>
        <v>Correlation</v>
      </c>
    </row>
    <row r="4194" spans="1:13" x14ac:dyDescent="0.2">
      <c r="A4194" s="114"/>
      <c r="B4194" s="71" t="s">
        <v>10777</v>
      </c>
      <c r="C4194" s="71" t="s">
        <v>1413</v>
      </c>
      <c r="D4194" s="71" t="s">
        <v>10778</v>
      </c>
      <c r="E4194" s="73" t="b">
        <v>1</v>
      </c>
      <c r="F4194" s="81" t="s">
        <v>1272</v>
      </c>
      <c r="G4194" s="71" t="s">
        <v>10777</v>
      </c>
      <c r="H4194" s="71" t="s">
        <v>1413</v>
      </c>
      <c r="I4194" s="74" t="s">
        <v>10778</v>
      </c>
      <c r="J4194" s="76"/>
      <c r="K4194" s="76"/>
      <c r="L4194" s="82"/>
      <c r="M4194" s="77" t="str">
        <f>HYPERLINK("http://nsgreg.nga.mil/genc/view?v=871876&amp;end_month=12&amp;end_day=31&amp;end_year=2016","Correlation")</f>
        <v>Correlation</v>
      </c>
    </row>
    <row r="4195" spans="1:13" x14ac:dyDescent="0.2">
      <c r="A4195" s="112" t="s">
        <v>1276</v>
      </c>
      <c r="B4195" s="50" t="s">
        <v>10779</v>
      </c>
      <c r="C4195" s="50" t="s">
        <v>1796</v>
      </c>
      <c r="D4195" s="50" t="s">
        <v>10780</v>
      </c>
      <c r="E4195" s="52" t="b">
        <v>1</v>
      </c>
      <c r="F4195" s="78" t="s">
        <v>1276</v>
      </c>
      <c r="G4195" s="50" t="s">
        <v>10779</v>
      </c>
      <c r="H4195" s="50" t="s">
        <v>1796</v>
      </c>
      <c r="I4195" s="53" t="s">
        <v>10780</v>
      </c>
      <c r="J4195" s="55"/>
      <c r="K4195" s="55"/>
      <c r="L4195" s="79"/>
      <c r="M4195" s="56" t="str">
        <f>HYPERLINK("http://nsgreg.nga.mil/genc/view?v=871936&amp;end_month=12&amp;end_day=31&amp;end_year=2016","Correlation")</f>
        <v>Correlation</v>
      </c>
    </row>
    <row r="4196" spans="1:13" x14ac:dyDescent="0.2">
      <c r="A4196" s="113"/>
      <c r="B4196" s="58" t="s">
        <v>10782</v>
      </c>
      <c r="C4196" s="58" t="s">
        <v>1796</v>
      </c>
      <c r="D4196" s="58" t="s">
        <v>10783</v>
      </c>
      <c r="E4196" s="60" t="b">
        <v>1</v>
      </c>
      <c r="F4196" s="80" t="s">
        <v>1276</v>
      </c>
      <c r="G4196" s="58" t="s">
        <v>10782</v>
      </c>
      <c r="H4196" s="58" t="s">
        <v>1796</v>
      </c>
      <c r="I4196" s="64" t="s">
        <v>10783</v>
      </c>
      <c r="J4196" s="66"/>
      <c r="K4196" s="66"/>
      <c r="L4196" s="68"/>
      <c r="M4196" s="63" t="str">
        <f>HYPERLINK("http://nsgreg.nga.mil/genc/view?v=871937&amp;end_month=12&amp;end_day=31&amp;end_year=2016","Correlation")</f>
        <v>Correlation</v>
      </c>
    </row>
    <row r="4197" spans="1:13" x14ac:dyDescent="0.2">
      <c r="A4197" s="113"/>
      <c r="B4197" s="58" t="s">
        <v>10784</v>
      </c>
      <c r="C4197" s="58" t="s">
        <v>1796</v>
      </c>
      <c r="D4197" s="58" t="s">
        <v>10785</v>
      </c>
      <c r="E4197" s="60" t="b">
        <v>1</v>
      </c>
      <c r="F4197" s="80" t="s">
        <v>1276</v>
      </c>
      <c r="G4197" s="58" t="s">
        <v>10784</v>
      </c>
      <c r="H4197" s="58" t="s">
        <v>1796</v>
      </c>
      <c r="I4197" s="64" t="s">
        <v>10785</v>
      </c>
      <c r="J4197" s="66"/>
      <c r="K4197" s="66"/>
      <c r="L4197" s="68"/>
      <c r="M4197" s="63" t="str">
        <f>HYPERLINK("http://nsgreg.nga.mil/genc/view?v=871938&amp;end_month=12&amp;end_day=31&amp;end_year=2016","Correlation")</f>
        <v>Correlation</v>
      </c>
    </row>
    <row r="4198" spans="1:13" x14ac:dyDescent="0.2">
      <c r="A4198" s="113"/>
      <c r="B4198" s="58" t="s">
        <v>10786</v>
      </c>
      <c r="C4198" s="58" t="s">
        <v>1796</v>
      </c>
      <c r="D4198" s="58" t="s">
        <v>10787</v>
      </c>
      <c r="E4198" s="60" t="b">
        <v>1</v>
      </c>
      <c r="F4198" s="80" t="s">
        <v>1276</v>
      </c>
      <c r="G4198" s="58" t="s">
        <v>10786</v>
      </c>
      <c r="H4198" s="58" t="s">
        <v>1796</v>
      </c>
      <c r="I4198" s="64" t="s">
        <v>10787</v>
      </c>
      <c r="J4198" s="66"/>
      <c r="K4198" s="66"/>
      <c r="L4198" s="68"/>
      <c r="M4198" s="63" t="str">
        <f>HYPERLINK("http://nsgreg.nga.mil/genc/view?v=871939&amp;end_month=12&amp;end_day=31&amp;end_year=2016","Correlation")</f>
        <v>Correlation</v>
      </c>
    </row>
    <row r="4199" spans="1:13" x14ac:dyDescent="0.2">
      <c r="A4199" s="113"/>
      <c r="B4199" s="58" t="s">
        <v>10788</v>
      </c>
      <c r="C4199" s="58" t="s">
        <v>1796</v>
      </c>
      <c r="D4199" s="58" t="s">
        <v>10789</v>
      </c>
      <c r="E4199" s="60" t="b">
        <v>1</v>
      </c>
      <c r="F4199" s="80" t="s">
        <v>1276</v>
      </c>
      <c r="G4199" s="58" t="s">
        <v>10788</v>
      </c>
      <c r="H4199" s="58" t="s">
        <v>1796</v>
      </c>
      <c r="I4199" s="64" t="s">
        <v>10789</v>
      </c>
      <c r="J4199" s="66"/>
      <c r="K4199" s="66"/>
      <c r="L4199" s="68"/>
      <c r="M4199" s="63" t="str">
        <f>HYPERLINK("http://nsgreg.nga.mil/genc/view?v=871940&amp;end_month=12&amp;end_day=31&amp;end_year=2016","Correlation")</f>
        <v>Correlation</v>
      </c>
    </row>
    <row r="4200" spans="1:13" x14ac:dyDescent="0.2">
      <c r="A4200" s="113"/>
      <c r="B4200" s="58" t="s">
        <v>10790</v>
      </c>
      <c r="C4200" s="58" t="s">
        <v>1796</v>
      </c>
      <c r="D4200" s="58" t="s">
        <v>10791</v>
      </c>
      <c r="E4200" s="60" t="b">
        <v>1</v>
      </c>
      <c r="F4200" s="80" t="s">
        <v>1276</v>
      </c>
      <c r="G4200" s="58" t="s">
        <v>10790</v>
      </c>
      <c r="H4200" s="58" t="s">
        <v>1796</v>
      </c>
      <c r="I4200" s="64" t="s">
        <v>10791</v>
      </c>
      <c r="J4200" s="66"/>
      <c r="K4200" s="66"/>
      <c r="L4200" s="68"/>
      <c r="M4200" s="63" t="str">
        <f>HYPERLINK("http://nsgreg.nga.mil/genc/view?v=871941&amp;end_month=12&amp;end_day=31&amp;end_year=2016","Correlation")</f>
        <v>Correlation</v>
      </c>
    </row>
    <row r="4201" spans="1:13" x14ac:dyDescent="0.2">
      <c r="A4201" s="113"/>
      <c r="B4201" s="58" t="s">
        <v>10792</v>
      </c>
      <c r="C4201" s="58" t="s">
        <v>1796</v>
      </c>
      <c r="D4201" s="58" t="s">
        <v>10793</v>
      </c>
      <c r="E4201" s="60" t="b">
        <v>1</v>
      </c>
      <c r="F4201" s="80" t="s">
        <v>1276</v>
      </c>
      <c r="G4201" s="58" t="s">
        <v>10792</v>
      </c>
      <c r="H4201" s="58" t="s">
        <v>1796</v>
      </c>
      <c r="I4201" s="64" t="s">
        <v>10793</v>
      </c>
      <c r="J4201" s="66"/>
      <c r="K4201" s="66"/>
      <c r="L4201" s="68"/>
      <c r="M4201" s="63" t="str">
        <f>HYPERLINK("http://nsgreg.nga.mil/genc/view?v=871942&amp;end_month=12&amp;end_day=31&amp;end_year=2016","Correlation")</f>
        <v>Correlation</v>
      </c>
    </row>
    <row r="4202" spans="1:13" x14ac:dyDescent="0.2">
      <c r="A4202" s="113"/>
      <c r="B4202" s="58" t="s">
        <v>10796</v>
      </c>
      <c r="C4202" s="58" t="s">
        <v>1796</v>
      </c>
      <c r="D4202" s="58" t="s">
        <v>10795</v>
      </c>
      <c r="E4202" s="60" t="b">
        <v>1</v>
      </c>
      <c r="F4202" s="80" t="s">
        <v>1276</v>
      </c>
      <c r="G4202" s="58" t="s">
        <v>10794</v>
      </c>
      <c r="H4202" s="58" t="s">
        <v>1796</v>
      </c>
      <c r="I4202" s="64" t="s">
        <v>10795</v>
      </c>
      <c r="J4202" s="66"/>
      <c r="K4202" s="66"/>
      <c r="L4202" s="68"/>
      <c r="M4202" s="63" t="str">
        <f>HYPERLINK("http://nsgreg.nga.mil/genc/view?v=871943&amp;end_month=12&amp;end_day=31&amp;end_year=2016","Correlation")</f>
        <v>Correlation</v>
      </c>
    </row>
    <row r="4203" spans="1:13" x14ac:dyDescent="0.2">
      <c r="A4203" s="113"/>
      <c r="B4203" s="58" t="s">
        <v>10799</v>
      </c>
      <c r="C4203" s="58" t="s">
        <v>1796</v>
      </c>
      <c r="D4203" s="58" t="s">
        <v>10798</v>
      </c>
      <c r="E4203" s="60" t="b">
        <v>1</v>
      </c>
      <c r="F4203" s="80" t="s">
        <v>1276</v>
      </c>
      <c r="G4203" s="58" t="s">
        <v>10797</v>
      </c>
      <c r="H4203" s="58" t="s">
        <v>1796</v>
      </c>
      <c r="I4203" s="64" t="s">
        <v>10798</v>
      </c>
      <c r="J4203" s="66"/>
      <c r="K4203" s="66"/>
      <c r="L4203" s="68"/>
      <c r="M4203" s="63" t="str">
        <f>HYPERLINK("http://nsgreg.nga.mil/genc/view?v=871944&amp;end_month=12&amp;end_day=31&amp;end_year=2016","Correlation")</f>
        <v>Correlation</v>
      </c>
    </row>
    <row r="4204" spans="1:13" x14ac:dyDescent="0.2">
      <c r="A4204" s="113"/>
      <c r="B4204" s="58" t="s">
        <v>10800</v>
      </c>
      <c r="C4204" s="58" t="s">
        <v>1796</v>
      </c>
      <c r="D4204" s="58" t="s">
        <v>10801</v>
      </c>
      <c r="E4204" s="60" t="b">
        <v>1</v>
      </c>
      <c r="F4204" s="80" t="s">
        <v>1276</v>
      </c>
      <c r="G4204" s="58" t="s">
        <v>10800</v>
      </c>
      <c r="H4204" s="58" t="s">
        <v>1796</v>
      </c>
      <c r="I4204" s="64" t="s">
        <v>10801</v>
      </c>
      <c r="J4204" s="66"/>
      <c r="K4204" s="66"/>
      <c r="L4204" s="68"/>
      <c r="M4204" s="63" t="str">
        <f>HYPERLINK("http://nsgreg.nga.mil/genc/view?v=871946&amp;end_month=12&amp;end_day=31&amp;end_year=2016","Correlation")</f>
        <v>Correlation</v>
      </c>
    </row>
    <row r="4205" spans="1:13" x14ac:dyDescent="0.2">
      <c r="A4205" s="113"/>
      <c r="B4205" s="58" t="s">
        <v>10802</v>
      </c>
      <c r="C4205" s="58" t="s">
        <v>1796</v>
      </c>
      <c r="D4205" s="58" t="s">
        <v>10803</v>
      </c>
      <c r="E4205" s="60" t="b">
        <v>1</v>
      </c>
      <c r="F4205" s="80" t="s">
        <v>1276</v>
      </c>
      <c r="G4205" s="58" t="s">
        <v>10802</v>
      </c>
      <c r="H4205" s="58" t="s">
        <v>1796</v>
      </c>
      <c r="I4205" s="64" t="s">
        <v>10803</v>
      </c>
      <c r="J4205" s="66"/>
      <c r="K4205" s="66"/>
      <c r="L4205" s="68"/>
      <c r="M4205" s="63" t="str">
        <f>HYPERLINK("http://nsgreg.nga.mil/genc/view?v=871945&amp;end_month=12&amp;end_day=31&amp;end_year=2016","Correlation")</f>
        <v>Correlation</v>
      </c>
    </row>
    <row r="4206" spans="1:13" x14ac:dyDescent="0.2">
      <c r="A4206" s="113"/>
      <c r="B4206" s="58" t="s">
        <v>10806</v>
      </c>
      <c r="C4206" s="58" t="s">
        <v>1796</v>
      </c>
      <c r="D4206" s="58" t="s">
        <v>10805</v>
      </c>
      <c r="E4206" s="60" t="b">
        <v>1</v>
      </c>
      <c r="F4206" s="80" t="s">
        <v>1276</v>
      </c>
      <c r="G4206" s="58" t="s">
        <v>10804</v>
      </c>
      <c r="H4206" s="58" t="s">
        <v>1796</v>
      </c>
      <c r="I4206" s="64" t="s">
        <v>10805</v>
      </c>
      <c r="J4206" s="66"/>
      <c r="K4206" s="66"/>
      <c r="L4206" s="68"/>
      <c r="M4206" s="63" t="str">
        <f>HYPERLINK("http://nsgreg.nga.mil/genc/view?v=871947&amp;end_month=12&amp;end_day=31&amp;end_year=2016","Correlation")</f>
        <v>Correlation</v>
      </c>
    </row>
    <row r="4207" spans="1:13" x14ac:dyDescent="0.2">
      <c r="A4207" s="114"/>
      <c r="B4207" s="71" t="s">
        <v>10807</v>
      </c>
      <c r="C4207" s="71" t="s">
        <v>1796</v>
      </c>
      <c r="D4207" s="71" t="s">
        <v>10808</v>
      </c>
      <c r="E4207" s="73" t="b">
        <v>1</v>
      </c>
      <c r="F4207" s="81" t="s">
        <v>1276</v>
      </c>
      <c r="G4207" s="71" t="s">
        <v>10807</v>
      </c>
      <c r="H4207" s="71" t="s">
        <v>1796</v>
      </c>
      <c r="I4207" s="74" t="s">
        <v>10808</v>
      </c>
      <c r="J4207" s="76"/>
      <c r="K4207" s="76"/>
      <c r="L4207" s="82"/>
      <c r="M4207" s="77" t="str">
        <f>HYPERLINK("http://nsgreg.nga.mil/genc/view?v=871948&amp;end_month=12&amp;end_day=31&amp;end_year=2016","Correlation")</f>
        <v>Correlation</v>
      </c>
    </row>
    <row r="4208" spans="1:13" x14ac:dyDescent="0.2">
      <c r="A4208" s="112" t="s">
        <v>1280</v>
      </c>
      <c r="B4208" s="50" t="s">
        <v>10809</v>
      </c>
      <c r="C4208" s="50" t="s">
        <v>1728</v>
      </c>
      <c r="D4208" s="50" t="s">
        <v>10810</v>
      </c>
      <c r="E4208" s="52" t="b">
        <v>1</v>
      </c>
      <c r="F4208" s="78" t="s">
        <v>1280</v>
      </c>
      <c r="G4208" s="50" t="s">
        <v>10809</v>
      </c>
      <c r="H4208" s="50" t="s">
        <v>1728</v>
      </c>
      <c r="I4208" s="53" t="s">
        <v>10810</v>
      </c>
      <c r="J4208" s="55"/>
      <c r="K4208" s="55"/>
      <c r="L4208" s="79"/>
      <c r="M4208" s="56" t="str">
        <f>HYPERLINK("http://nsgreg.nga.mil/genc/view?v=871848&amp;end_month=12&amp;end_day=31&amp;end_year=2016","Correlation")</f>
        <v>Correlation</v>
      </c>
    </row>
    <row r="4209" spans="1:13" x14ac:dyDescent="0.2">
      <c r="A4209" s="113"/>
      <c r="B4209" s="58" t="s">
        <v>10811</v>
      </c>
      <c r="C4209" s="58" t="s">
        <v>1728</v>
      </c>
      <c r="D4209" s="58" t="s">
        <v>10812</v>
      </c>
      <c r="E4209" s="60" t="b">
        <v>1</v>
      </c>
      <c r="F4209" s="80" t="s">
        <v>1280</v>
      </c>
      <c r="G4209" s="58" t="s">
        <v>10811</v>
      </c>
      <c r="H4209" s="58" t="s">
        <v>1728</v>
      </c>
      <c r="I4209" s="64" t="s">
        <v>10812</v>
      </c>
      <c r="J4209" s="66"/>
      <c r="K4209" s="66"/>
      <c r="L4209" s="68"/>
      <c r="M4209" s="63" t="str">
        <f>HYPERLINK("http://nsgreg.nga.mil/genc/view?v=871849&amp;end_month=12&amp;end_day=31&amp;end_year=2016","Correlation")</f>
        <v>Correlation</v>
      </c>
    </row>
    <row r="4210" spans="1:13" x14ac:dyDescent="0.2">
      <c r="A4210" s="113"/>
      <c r="B4210" s="58" t="s">
        <v>10815</v>
      </c>
      <c r="C4210" s="58" t="s">
        <v>1728</v>
      </c>
      <c r="D4210" s="58" t="s">
        <v>10814</v>
      </c>
      <c r="E4210" s="60" t="b">
        <v>1</v>
      </c>
      <c r="F4210" s="80" t="s">
        <v>1280</v>
      </c>
      <c r="G4210" s="58" t="s">
        <v>10813</v>
      </c>
      <c r="H4210" s="58" t="s">
        <v>1728</v>
      </c>
      <c r="I4210" s="64" t="s">
        <v>10814</v>
      </c>
      <c r="J4210" s="66"/>
      <c r="K4210" s="66"/>
      <c r="L4210" s="68"/>
      <c r="M4210" s="63" t="str">
        <f>HYPERLINK("http://nsgreg.nga.mil/genc/view?v=871850&amp;end_month=12&amp;end_day=31&amp;end_year=2016","Correlation")</f>
        <v>Correlation</v>
      </c>
    </row>
    <row r="4211" spans="1:13" x14ac:dyDescent="0.2">
      <c r="A4211" s="113"/>
      <c r="B4211" s="58" t="s">
        <v>3226</v>
      </c>
      <c r="C4211" s="58" t="s">
        <v>1728</v>
      </c>
      <c r="D4211" s="58" t="s">
        <v>10816</v>
      </c>
      <c r="E4211" s="60" t="b">
        <v>1</v>
      </c>
      <c r="F4211" s="80" t="s">
        <v>1280</v>
      </c>
      <c r="G4211" s="58" t="s">
        <v>3226</v>
      </c>
      <c r="H4211" s="58" t="s">
        <v>1728</v>
      </c>
      <c r="I4211" s="64" t="s">
        <v>10816</v>
      </c>
      <c r="J4211" s="66"/>
      <c r="K4211" s="66"/>
      <c r="L4211" s="68"/>
      <c r="M4211" s="63" t="str">
        <f>HYPERLINK("http://nsgreg.nga.mil/genc/view?v=871851&amp;end_month=12&amp;end_day=31&amp;end_year=2016","Correlation")</f>
        <v>Correlation</v>
      </c>
    </row>
    <row r="4212" spans="1:13" x14ac:dyDescent="0.2">
      <c r="A4212" s="114"/>
      <c r="B4212" s="71" t="s">
        <v>10818</v>
      </c>
      <c r="C4212" s="71" t="s">
        <v>1728</v>
      </c>
      <c r="D4212" s="71" t="s">
        <v>10817</v>
      </c>
      <c r="E4212" s="73" t="b">
        <v>1</v>
      </c>
      <c r="F4212" s="81" t="s">
        <v>1280</v>
      </c>
      <c r="G4212" s="71" t="s">
        <v>3318</v>
      </c>
      <c r="H4212" s="71" t="s">
        <v>1728</v>
      </c>
      <c r="I4212" s="74" t="s">
        <v>10817</v>
      </c>
      <c r="J4212" s="76"/>
      <c r="K4212" s="76"/>
      <c r="L4212" s="82"/>
      <c r="M4212" s="77" t="str">
        <f>HYPERLINK("http://nsgreg.nga.mil/genc/view?v=871852&amp;end_month=12&amp;end_day=31&amp;end_year=2016","Correlation")</f>
        <v>Correlation</v>
      </c>
    </row>
    <row r="4213" spans="1:13" x14ac:dyDescent="0.2">
      <c r="A4213" s="112" t="s">
        <v>1288</v>
      </c>
      <c r="B4213" s="87" t="s">
        <v>10821</v>
      </c>
      <c r="C4213" s="50" t="s">
        <v>2048</v>
      </c>
      <c r="D4213" s="50" t="s">
        <v>10820</v>
      </c>
      <c r="E4213" s="52" t="b">
        <v>1</v>
      </c>
      <c r="F4213" s="78" t="s">
        <v>1288</v>
      </c>
      <c r="G4213" s="50" t="s">
        <v>10819</v>
      </c>
      <c r="H4213" s="50" t="s">
        <v>2048</v>
      </c>
      <c r="I4213" s="53" t="s">
        <v>10820</v>
      </c>
      <c r="J4213" s="55"/>
      <c r="K4213" s="55"/>
      <c r="L4213" s="79"/>
      <c r="M4213" s="56" t="str">
        <f>HYPERLINK("http://nsgreg.nga.mil/genc/view?v=871979&amp;end_month=12&amp;end_day=31&amp;end_year=2016","Correlation")</f>
        <v>Correlation</v>
      </c>
    </row>
    <row r="4214" spans="1:13" x14ac:dyDescent="0.2">
      <c r="A4214" s="113"/>
      <c r="B4214" s="58" t="s">
        <v>10824</v>
      </c>
      <c r="C4214" s="58" t="s">
        <v>2048</v>
      </c>
      <c r="D4214" s="58" t="s">
        <v>10823</v>
      </c>
      <c r="E4214" s="60" t="b">
        <v>1</v>
      </c>
      <c r="F4214" s="80" t="s">
        <v>1288</v>
      </c>
      <c r="G4214" s="58" t="s">
        <v>10822</v>
      </c>
      <c r="H4214" s="58" t="s">
        <v>2048</v>
      </c>
      <c r="I4214" s="64" t="s">
        <v>10823</v>
      </c>
      <c r="J4214" s="66"/>
      <c r="K4214" s="66"/>
      <c r="L4214" s="68"/>
      <c r="M4214" s="63" t="str">
        <f>HYPERLINK("http://nsgreg.nga.mil/genc/view?v=871980&amp;end_month=12&amp;end_day=31&amp;end_year=2016","Correlation")</f>
        <v>Correlation</v>
      </c>
    </row>
    <row r="4215" spans="1:13" x14ac:dyDescent="0.2">
      <c r="A4215" s="113"/>
      <c r="B4215" s="58" t="s">
        <v>10827</v>
      </c>
      <c r="C4215" s="58" t="s">
        <v>2048</v>
      </c>
      <c r="D4215" s="58" t="s">
        <v>10826</v>
      </c>
      <c r="E4215" s="60" t="b">
        <v>1</v>
      </c>
      <c r="F4215" s="80" t="s">
        <v>1288</v>
      </c>
      <c r="G4215" s="58" t="s">
        <v>10825</v>
      </c>
      <c r="H4215" s="58" t="s">
        <v>2048</v>
      </c>
      <c r="I4215" s="64" t="s">
        <v>10826</v>
      </c>
      <c r="J4215" s="66"/>
      <c r="K4215" s="66"/>
      <c r="L4215" s="68"/>
      <c r="M4215" s="63" t="str">
        <f>HYPERLINK("http://nsgreg.nga.mil/genc/view?v=871981&amp;end_month=12&amp;end_day=31&amp;end_year=2016","Correlation")</f>
        <v>Correlation</v>
      </c>
    </row>
    <row r="4216" spans="1:13" x14ac:dyDescent="0.2">
      <c r="A4216" s="113"/>
      <c r="B4216" s="58" t="s">
        <v>10828</v>
      </c>
      <c r="C4216" s="58" t="s">
        <v>2048</v>
      </c>
      <c r="D4216" s="58" t="s">
        <v>10829</v>
      </c>
      <c r="E4216" s="60" t="b">
        <v>1</v>
      </c>
      <c r="F4216" s="80" t="s">
        <v>1288</v>
      </c>
      <c r="G4216" s="58" t="s">
        <v>10828</v>
      </c>
      <c r="H4216" s="58" t="s">
        <v>2048</v>
      </c>
      <c r="I4216" s="64" t="s">
        <v>10829</v>
      </c>
      <c r="J4216" s="66"/>
      <c r="K4216" s="66"/>
      <c r="L4216" s="68"/>
      <c r="M4216" s="63" t="str">
        <f>HYPERLINK("http://nsgreg.nga.mil/genc/view?v=871982&amp;end_month=12&amp;end_day=31&amp;end_year=2016","Correlation")</f>
        <v>Correlation</v>
      </c>
    </row>
    <row r="4217" spans="1:13" x14ac:dyDescent="0.2">
      <c r="A4217" s="114"/>
      <c r="B4217" s="71" t="s">
        <v>10832</v>
      </c>
      <c r="C4217" s="71" t="s">
        <v>2048</v>
      </c>
      <c r="D4217" s="71" t="s">
        <v>10831</v>
      </c>
      <c r="E4217" s="73" t="b">
        <v>1</v>
      </c>
      <c r="F4217" s="81" t="s">
        <v>1288</v>
      </c>
      <c r="G4217" s="71" t="s">
        <v>10830</v>
      </c>
      <c r="H4217" s="71" t="s">
        <v>2048</v>
      </c>
      <c r="I4217" s="74" t="s">
        <v>10831</v>
      </c>
      <c r="J4217" s="76"/>
      <c r="K4217" s="76"/>
      <c r="L4217" s="82"/>
      <c r="M4217" s="77" t="str">
        <f>HYPERLINK("http://nsgreg.nga.mil/genc/view?v=871983&amp;end_month=12&amp;end_day=31&amp;end_year=2016","Correlation")</f>
        <v>Correlation</v>
      </c>
    </row>
    <row r="4218" spans="1:13" x14ac:dyDescent="0.2">
      <c r="A4218" s="112" t="s">
        <v>1292</v>
      </c>
      <c r="B4218" s="50" t="s">
        <v>10833</v>
      </c>
      <c r="C4218" s="50" t="s">
        <v>1816</v>
      </c>
      <c r="D4218" s="50" t="s">
        <v>10834</v>
      </c>
      <c r="E4218" s="52" t="b">
        <v>1</v>
      </c>
      <c r="F4218" s="78" t="s">
        <v>1292</v>
      </c>
      <c r="G4218" s="50" t="s">
        <v>10833</v>
      </c>
      <c r="H4218" s="50" t="s">
        <v>1816</v>
      </c>
      <c r="I4218" s="53" t="s">
        <v>10834</v>
      </c>
      <c r="J4218" s="55"/>
      <c r="K4218" s="55"/>
      <c r="L4218" s="79"/>
      <c r="M4218" s="56" t="str">
        <f>HYPERLINK("http://nsgreg.nga.mil/genc/view?v=872065&amp;end_month=12&amp;end_day=31&amp;end_year=2016","Correlation")</f>
        <v>Correlation</v>
      </c>
    </row>
    <row r="4219" spans="1:13" x14ac:dyDescent="0.2">
      <c r="A4219" s="113"/>
      <c r="B4219" s="58" t="s">
        <v>10835</v>
      </c>
      <c r="C4219" s="58" t="s">
        <v>1816</v>
      </c>
      <c r="D4219" s="58" t="s">
        <v>10836</v>
      </c>
      <c r="E4219" s="60" t="b">
        <v>1</v>
      </c>
      <c r="F4219" s="80" t="s">
        <v>1292</v>
      </c>
      <c r="G4219" s="58" t="s">
        <v>10835</v>
      </c>
      <c r="H4219" s="58" t="s">
        <v>1816</v>
      </c>
      <c r="I4219" s="64" t="s">
        <v>10836</v>
      </c>
      <c r="J4219" s="66"/>
      <c r="K4219" s="66"/>
      <c r="L4219" s="68"/>
      <c r="M4219" s="63" t="str">
        <f>HYPERLINK("http://nsgreg.nga.mil/genc/view?v=872066&amp;end_month=12&amp;end_day=31&amp;end_year=2016","Correlation")</f>
        <v>Correlation</v>
      </c>
    </row>
    <row r="4220" spans="1:13" x14ac:dyDescent="0.2">
      <c r="A4220" s="113"/>
      <c r="B4220" s="58" t="s">
        <v>10839</v>
      </c>
      <c r="C4220" s="58" t="s">
        <v>1728</v>
      </c>
      <c r="D4220" s="58" t="s">
        <v>10838</v>
      </c>
      <c r="E4220" s="60" t="b">
        <v>1</v>
      </c>
      <c r="F4220" s="80" t="s">
        <v>1292</v>
      </c>
      <c r="G4220" s="58" t="s">
        <v>10837</v>
      </c>
      <c r="H4220" s="58" t="s">
        <v>1728</v>
      </c>
      <c r="I4220" s="64" t="s">
        <v>10838</v>
      </c>
      <c r="J4220" s="66"/>
      <c r="K4220" s="66"/>
      <c r="L4220" s="68"/>
      <c r="M4220" s="63" t="str">
        <f>HYPERLINK("http://nsgreg.nga.mil/genc/view?v=872067&amp;end_month=12&amp;end_day=31&amp;end_year=2016","Correlation")</f>
        <v>Correlation</v>
      </c>
    </row>
    <row r="4221" spans="1:13" x14ac:dyDescent="0.2">
      <c r="A4221" s="113"/>
      <c r="B4221" s="58" t="s">
        <v>10840</v>
      </c>
      <c r="C4221" s="58" t="s">
        <v>1728</v>
      </c>
      <c r="D4221" s="58" t="s">
        <v>10841</v>
      </c>
      <c r="E4221" s="60" t="b">
        <v>1</v>
      </c>
      <c r="F4221" s="80" t="s">
        <v>1292</v>
      </c>
      <c r="G4221" s="58" t="s">
        <v>10840</v>
      </c>
      <c r="H4221" s="58" t="s">
        <v>1728</v>
      </c>
      <c r="I4221" s="64" t="s">
        <v>10841</v>
      </c>
      <c r="J4221" s="66"/>
      <c r="K4221" s="66"/>
      <c r="L4221" s="68"/>
      <c r="M4221" s="63" t="str">
        <f>HYPERLINK("http://nsgreg.nga.mil/genc/view?v=872068&amp;end_month=12&amp;end_day=31&amp;end_year=2016","Correlation")</f>
        <v>Correlation</v>
      </c>
    </row>
    <row r="4222" spans="1:13" x14ac:dyDescent="0.2">
      <c r="A4222" s="113"/>
      <c r="B4222" s="58" t="s">
        <v>10844</v>
      </c>
      <c r="C4222" s="58" t="s">
        <v>1728</v>
      </c>
      <c r="D4222" s="58" t="s">
        <v>10843</v>
      </c>
      <c r="E4222" s="60" t="b">
        <v>1</v>
      </c>
      <c r="F4222" s="80" t="s">
        <v>1292</v>
      </c>
      <c r="G4222" s="58" t="s">
        <v>10842</v>
      </c>
      <c r="H4222" s="58" t="s">
        <v>1728</v>
      </c>
      <c r="I4222" s="64" t="s">
        <v>10843</v>
      </c>
      <c r="J4222" s="66"/>
      <c r="K4222" s="66"/>
      <c r="L4222" s="68"/>
      <c r="M4222" s="63" t="str">
        <f>HYPERLINK("http://nsgreg.nga.mil/genc/view?v=872069&amp;end_month=12&amp;end_day=31&amp;end_year=2016","Correlation")</f>
        <v>Correlation</v>
      </c>
    </row>
    <row r="4223" spans="1:13" x14ac:dyDescent="0.2">
      <c r="A4223" s="113"/>
      <c r="B4223" s="58" t="s">
        <v>10847</v>
      </c>
      <c r="C4223" s="58" t="s">
        <v>1728</v>
      </c>
      <c r="D4223" s="58" t="s">
        <v>10846</v>
      </c>
      <c r="E4223" s="60" t="b">
        <v>1</v>
      </c>
      <c r="F4223" s="80" t="s">
        <v>1292</v>
      </c>
      <c r="G4223" s="58" t="s">
        <v>10845</v>
      </c>
      <c r="H4223" s="58" t="s">
        <v>1728</v>
      </c>
      <c r="I4223" s="64" t="s">
        <v>10846</v>
      </c>
      <c r="J4223" s="66"/>
      <c r="K4223" s="66"/>
      <c r="L4223" s="68"/>
      <c r="M4223" s="63" t="str">
        <f>HYPERLINK("http://nsgreg.nga.mil/genc/view?v=872070&amp;end_month=12&amp;end_day=31&amp;end_year=2016","Correlation")</f>
        <v>Correlation</v>
      </c>
    </row>
    <row r="4224" spans="1:13" x14ac:dyDescent="0.2">
      <c r="A4224" s="113"/>
      <c r="B4224" s="58" t="s">
        <v>10848</v>
      </c>
      <c r="C4224" s="58" t="s">
        <v>1816</v>
      </c>
      <c r="D4224" s="58" t="s">
        <v>10849</v>
      </c>
      <c r="E4224" s="60" t="b">
        <v>1</v>
      </c>
      <c r="F4224" s="80" t="s">
        <v>1292</v>
      </c>
      <c r="G4224" s="58" t="s">
        <v>10848</v>
      </c>
      <c r="H4224" s="58" t="s">
        <v>1816</v>
      </c>
      <c r="I4224" s="64" t="s">
        <v>10849</v>
      </c>
      <c r="J4224" s="66"/>
      <c r="K4224" s="66"/>
      <c r="L4224" s="68"/>
      <c r="M4224" s="63" t="str">
        <f>HYPERLINK("http://nsgreg.nga.mil/genc/view?v=872073&amp;end_month=12&amp;end_day=31&amp;end_year=2016","Correlation")</f>
        <v>Correlation</v>
      </c>
    </row>
    <row r="4225" spans="1:13" x14ac:dyDescent="0.2">
      <c r="A4225" s="113"/>
      <c r="B4225" s="58" t="s">
        <v>10850</v>
      </c>
      <c r="C4225" s="58" t="s">
        <v>1816</v>
      </c>
      <c r="D4225" s="58" t="s">
        <v>10851</v>
      </c>
      <c r="E4225" s="60" t="b">
        <v>1</v>
      </c>
      <c r="F4225" s="80" t="s">
        <v>1292</v>
      </c>
      <c r="G4225" s="58" t="s">
        <v>10850</v>
      </c>
      <c r="H4225" s="58" t="s">
        <v>1816</v>
      </c>
      <c r="I4225" s="64" t="s">
        <v>10851</v>
      </c>
      <c r="J4225" s="66"/>
      <c r="K4225" s="66"/>
      <c r="L4225" s="68"/>
      <c r="M4225" s="63" t="str">
        <f>HYPERLINK("http://nsgreg.nga.mil/genc/view?v=872071&amp;end_month=12&amp;end_day=31&amp;end_year=2016","Correlation")</f>
        <v>Correlation</v>
      </c>
    </row>
    <row r="4226" spans="1:13" x14ac:dyDescent="0.2">
      <c r="A4226" s="113"/>
      <c r="B4226" s="58" t="s">
        <v>10852</v>
      </c>
      <c r="C4226" s="58" t="s">
        <v>1728</v>
      </c>
      <c r="D4226" s="58" t="s">
        <v>10853</v>
      </c>
      <c r="E4226" s="60" t="b">
        <v>1</v>
      </c>
      <c r="F4226" s="80" t="s">
        <v>1292</v>
      </c>
      <c r="G4226" s="58" t="s">
        <v>10852</v>
      </c>
      <c r="H4226" s="58" t="s">
        <v>1728</v>
      </c>
      <c r="I4226" s="64" t="s">
        <v>10853</v>
      </c>
      <c r="J4226" s="66"/>
      <c r="K4226" s="66"/>
      <c r="L4226" s="68"/>
      <c r="M4226" s="63" t="str">
        <f>HYPERLINK("http://nsgreg.nga.mil/genc/view?v=872072&amp;end_month=12&amp;end_day=31&amp;end_year=2016","Correlation")</f>
        <v>Correlation</v>
      </c>
    </row>
    <row r="4227" spans="1:13" x14ac:dyDescent="0.2">
      <c r="A4227" s="113"/>
      <c r="B4227" s="58" t="s">
        <v>10854</v>
      </c>
      <c r="C4227" s="58" t="s">
        <v>1816</v>
      </c>
      <c r="D4227" s="58" t="s">
        <v>10855</v>
      </c>
      <c r="E4227" s="60" t="b">
        <v>1</v>
      </c>
      <c r="F4227" s="80" t="s">
        <v>1292</v>
      </c>
      <c r="G4227" s="58" t="s">
        <v>10854</v>
      </c>
      <c r="H4227" s="58" t="s">
        <v>1816</v>
      </c>
      <c r="I4227" s="64" t="s">
        <v>10855</v>
      </c>
      <c r="J4227" s="66"/>
      <c r="K4227" s="66"/>
      <c r="L4227" s="68"/>
      <c r="M4227" s="63" t="str">
        <f>HYPERLINK("http://nsgreg.nga.mil/genc/view?v=872074&amp;end_month=12&amp;end_day=31&amp;end_year=2016","Correlation")</f>
        <v>Correlation</v>
      </c>
    </row>
    <row r="4228" spans="1:13" x14ac:dyDescent="0.2">
      <c r="A4228" s="113"/>
      <c r="B4228" s="58" t="s">
        <v>10856</v>
      </c>
      <c r="C4228" s="58" t="s">
        <v>1728</v>
      </c>
      <c r="D4228" s="58" t="s">
        <v>10857</v>
      </c>
      <c r="E4228" s="60" t="b">
        <v>1</v>
      </c>
      <c r="F4228" s="80" t="s">
        <v>1292</v>
      </c>
      <c r="G4228" s="58" t="s">
        <v>10856</v>
      </c>
      <c r="H4228" s="58" t="s">
        <v>1728</v>
      </c>
      <c r="I4228" s="64" t="s">
        <v>10857</v>
      </c>
      <c r="J4228" s="66"/>
      <c r="K4228" s="66"/>
      <c r="L4228" s="68"/>
      <c r="M4228" s="63" t="str">
        <f>HYPERLINK("http://nsgreg.nga.mil/genc/view?v=872075&amp;end_month=12&amp;end_day=31&amp;end_year=2016","Correlation")</f>
        <v>Correlation</v>
      </c>
    </row>
    <row r="4229" spans="1:13" x14ac:dyDescent="0.2">
      <c r="A4229" s="113"/>
      <c r="B4229" s="58" t="s">
        <v>10860</v>
      </c>
      <c r="C4229" s="58" t="s">
        <v>1728</v>
      </c>
      <c r="D4229" s="58" t="s">
        <v>10859</v>
      </c>
      <c r="E4229" s="60" t="b">
        <v>1</v>
      </c>
      <c r="F4229" s="80" t="s">
        <v>1292</v>
      </c>
      <c r="G4229" s="58" t="s">
        <v>10858</v>
      </c>
      <c r="H4229" s="58" t="s">
        <v>1728</v>
      </c>
      <c r="I4229" s="64" t="s">
        <v>10859</v>
      </c>
      <c r="J4229" s="66"/>
      <c r="K4229" s="66"/>
      <c r="L4229" s="68"/>
      <c r="M4229" s="63" t="str">
        <f>HYPERLINK("http://nsgreg.nga.mil/genc/view?v=872077&amp;end_month=12&amp;end_day=31&amp;end_year=2016","Correlation")</f>
        <v>Correlation</v>
      </c>
    </row>
    <row r="4230" spans="1:13" x14ac:dyDescent="0.2">
      <c r="A4230" s="113"/>
      <c r="B4230" s="58" t="s">
        <v>10861</v>
      </c>
      <c r="C4230" s="58" t="s">
        <v>1728</v>
      </c>
      <c r="D4230" s="58" t="s">
        <v>10862</v>
      </c>
      <c r="E4230" s="60" t="b">
        <v>1</v>
      </c>
      <c r="F4230" s="80" t="s">
        <v>1292</v>
      </c>
      <c r="G4230" s="58" t="s">
        <v>10861</v>
      </c>
      <c r="H4230" s="58" t="s">
        <v>1728</v>
      </c>
      <c r="I4230" s="64" t="s">
        <v>10862</v>
      </c>
      <c r="J4230" s="66"/>
      <c r="K4230" s="66"/>
      <c r="L4230" s="68"/>
      <c r="M4230" s="63" t="str">
        <f>HYPERLINK("http://nsgreg.nga.mil/genc/view?v=872076&amp;end_month=12&amp;end_day=31&amp;end_year=2016","Correlation")</f>
        <v>Correlation</v>
      </c>
    </row>
    <row r="4231" spans="1:13" x14ac:dyDescent="0.2">
      <c r="A4231" s="113"/>
      <c r="B4231" s="58" t="s">
        <v>10863</v>
      </c>
      <c r="C4231" s="58" t="s">
        <v>10864</v>
      </c>
      <c r="D4231" s="58" t="s">
        <v>10865</v>
      </c>
      <c r="E4231" s="60" t="b">
        <v>1</v>
      </c>
      <c r="F4231" s="80" t="s">
        <v>1292</v>
      </c>
      <c r="G4231" s="58" t="s">
        <v>10863</v>
      </c>
      <c r="H4231" s="58" t="s">
        <v>10864</v>
      </c>
      <c r="I4231" s="64" t="s">
        <v>10865</v>
      </c>
      <c r="J4231" s="66"/>
      <c r="K4231" s="66"/>
      <c r="L4231" s="68"/>
      <c r="M4231" s="63" t="str">
        <f>HYPERLINK("http://nsgreg.nga.mil/genc/view?v=872078&amp;end_month=12&amp;end_day=31&amp;end_year=2016","Correlation")</f>
        <v>Correlation</v>
      </c>
    </row>
    <row r="4232" spans="1:13" x14ac:dyDescent="0.2">
      <c r="A4232" s="114"/>
      <c r="B4232" s="71" t="s">
        <v>10868</v>
      </c>
      <c r="C4232" s="71" t="s">
        <v>1728</v>
      </c>
      <c r="D4232" s="71" t="s">
        <v>10867</v>
      </c>
      <c r="E4232" s="73" t="b">
        <v>1</v>
      </c>
      <c r="F4232" s="81" t="s">
        <v>1292</v>
      </c>
      <c r="G4232" s="71" t="s">
        <v>10866</v>
      </c>
      <c r="H4232" s="71" t="s">
        <v>1728</v>
      </c>
      <c r="I4232" s="74" t="s">
        <v>10867</v>
      </c>
      <c r="J4232" s="76"/>
      <c r="K4232" s="76"/>
      <c r="L4232" s="82"/>
      <c r="M4232" s="77" t="str">
        <f>HYPERLINK("http://nsgreg.nga.mil/genc/view?v=872079&amp;end_month=12&amp;end_day=31&amp;end_year=2016","Correlation")</f>
        <v>Correlation</v>
      </c>
    </row>
    <row r="4233" spans="1:13" x14ac:dyDescent="0.2">
      <c r="A4233" s="112" t="s">
        <v>1300</v>
      </c>
      <c r="B4233" s="50" t="s">
        <v>10869</v>
      </c>
      <c r="C4233" s="50" t="s">
        <v>2030</v>
      </c>
      <c r="D4233" s="50" t="s">
        <v>10870</v>
      </c>
      <c r="E4233" s="52" t="b">
        <v>1</v>
      </c>
      <c r="F4233" s="78" t="s">
        <v>1300</v>
      </c>
      <c r="G4233" s="50" t="s">
        <v>10869</v>
      </c>
      <c r="H4233" s="50" t="s">
        <v>2030</v>
      </c>
      <c r="I4233" s="53" t="s">
        <v>10870</v>
      </c>
      <c r="J4233" s="55"/>
      <c r="K4233" s="55"/>
      <c r="L4233" s="79"/>
      <c r="M4233" s="56" t="str">
        <f>HYPERLINK("http://nsgreg.nga.mil/genc/view?v=871962&amp;end_month=12&amp;end_day=31&amp;end_year=2016","Correlation")</f>
        <v>Correlation</v>
      </c>
    </row>
    <row r="4234" spans="1:13" x14ac:dyDescent="0.2">
      <c r="A4234" s="113"/>
      <c r="B4234" s="58" t="s">
        <v>10871</v>
      </c>
      <c r="C4234" s="58" t="s">
        <v>2030</v>
      </c>
      <c r="D4234" s="58" t="s">
        <v>10872</v>
      </c>
      <c r="E4234" s="60" t="b">
        <v>1</v>
      </c>
      <c r="F4234" s="80" t="s">
        <v>1300</v>
      </c>
      <c r="G4234" s="58" t="s">
        <v>10871</v>
      </c>
      <c r="H4234" s="58" t="s">
        <v>2030</v>
      </c>
      <c r="I4234" s="64" t="s">
        <v>10872</v>
      </c>
      <c r="J4234" s="66"/>
      <c r="K4234" s="66"/>
      <c r="L4234" s="68"/>
      <c r="M4234" s="63" t="str">
        <f>HYPERLINK("http://nsgreg.nga.mil/genc/view?v=871957&amp;end_month=12&amp;end_day=31&amp;end_year=2016","Correlation")</f>
        <v>Correlation</v>
      </c>
    </row>
    <row r="4235" spans="1:13" x14ac:dyDescent="0.2">
      <c r="A4235" s="113"/>
      <c r="B4235" s="58" t="s">
        <v>10873</v>
      </c>
      <c r="C4235" s="58" t="s">
        <v>2030</v>
      </c>
      <c r="D4235" s="58" t="s">
        <v>10874</v>
      </c>
      <c r="E4235" s="60" t="b">
        <v>1</v>
      </c>
      <c r="F4235" s="80" t="s">
        <v>1300</v>
      </c>
      <c r="G4235" s="58" t="s">
        <v>10873</v>
      </c>
      <c r="H4235" s="58" t="s">
        <v>2030</v>
      </c>
      <c r="I4235" s="64" t="s">
        <v>10874</v>
      </c>
      <c r="J4235" s="66"/>
      <c r="K4235" s="66"/>
      <c r="L4235" s="68"/>
      <c r="M4235" s="63" t="str">
        <f>HYPERLINK("http://nsgreg.nga.mil/genc/view?v=871961&amp;end_month=12&amp;end_day=31&amp;end_year=2016","Correlation")</f>
        <v>Correlation</v>
      </c>
    </row>
    <row r="4236" spans="1:13" x14ac:dyDescent="0.2">
      <c r="A4236" s="113"/>
      <c r="B4236" s="58" t="s">
        <v>10875</v>
      </c>
      <c r="C4236" s="58" t="s">
        <v>2030</v>
      </c>
      <c r="D4236" s="58" t="s">
        <v>10876</v>
      </c>
      <c r="E4236" s="60" t="b">
        <v>1</v>
      </c>
      <c r="F4236" s="80" t="s">
        <v>1300</v>
      </c>
      <c r="G4236" s="58" t="s">
        <v>10875</v>
      </c>
      <c r="H4236" s="58" t="s">
        <v>2030</v>
      </c>
      <c r="I4236" s="64" t="s">
        <v>10876</v>
      </c>
      <c r="J4236" s="66"/>
      <c r="K4236" s="66"/>
      <c r="L4236" s="68"/>
      <c r="M4236" s="63" t="str">
        <f>HYPERLINK("http://nsgreg.nga.mil/genc/view?v=871976&amp;end_month=12&amp;end_day=31&amp;end_year=2016","Correlation")</f>
        <v>Correlation</v>
      </c>
    </row>
    <row r="4237" spans="1:13" x14ac:dyDescent="0.2">
      <c r="A4237" s="113"/>
      <c r="B4237" s="58" t="s">
        <v>10877</v>
      </c>
      <c r="C4237" s="58" t="s">
        <v>2030</v>
      </c>
      <c r="D4237" s="58" t="s">
        <v>10878</v>
      </c>
      <c r="E4237" s="60" t="b">
        <v>1</v>
      </c>
      <c r="F4237" s="80" t="s">
        <v>1300</v>
      </c>
      <c r="G4237" s="58" t="s">
        <v>10877</v>
      </c>
      <c r="H4237" s="58" t="s">
        <v>2030</v>
      </c>
      <c r="I4237" s="64" t="s">
        <v>10878</v>
      </c>
      <c r="J4237" s="66"/>
      <c r="K4237" s="66"/>
      <c r="L4237" s="68"/>
      <c r="M4237" s="63" t="str">
        <f>HYPERLINK("http://nsgreg.nga.mil/genc/view?v=871973&amp;end_month=12&amp;end_day=31&amp;end_year=2016","Correlation")</f>
        <v>Correlation</v>
      </c>
    </row>
    <row r="4238" spans="1:13" x14ac:dyDescent="0.2">
      <c r="A4238" s="113"/>
      <c r="B4238" s="58" t="s">
        <v>10879</v>
      </c>
      <c r="C4238" s="58" t="s">
        <v>2030</v>
      </c>
      <c r="D4238" s="58" t="s">
        <v>10880</v>
      </c>
      <c r="E4238" s="60" t="b">
        <v>1</v>
      </c>
      <c r="F4238" s="80" t="s">
        <v>1300</v>
      </c>
      <c r="G4238" s="58" t="s">
        <v>10879</v>
      </c>
      <c r="H4238" s="58" t="s">
        <v>2030</v>
      </c>
      <c r="I4238" s="64" t="s">
        <v>10880</v>
      </c>
      <c r="J4238" s="66"/>
      <c r="K4238" s="66"/>
      <c r="L4238" s="68"/>
      <c r="M4238" s="63" t="str">
        <f>HYPERLINK("http://nsgreg.nga.mil/genc/view?v=871963&amp;end_month=12&amp;end_day=31&amp;end_year=2016","Correlation")</f>
        <v>Correlation</v>
      </c>
    </row>
    <row r="4239" spans="1:13" x14ac:dyDescent="0.2">
      <c r="A4239" s="113"/>
      <c r="B4239" s="58" t="s">
        <v>10881</v>
      </c>
      <c r="C4239" s="58" t="s">
        <v>2030</v>
      </c>
      <c r="D4239" s="58" t="s">
        <v>10882</v>
      </c>
      <c r="E4239" s="60" t="b">
        <v>1</v>
      </c>
      <c r="F4239" s="80" t="s">
        <v>1300</v>
      </c>
      <c r="G4239" s="58" t="s">
        <v>10881</v>
      </c>
      <c r="H4239" s="58" t="s">
        <v>2030</v>
      </c>
      <c r="I4239" s="64" t="s">
        <v>10882</v>
      </c>
      <c r="J4239" s="66"/>
      <c r="K4239" s="66"/>
      <c r="L4239" s="68"/>
      <c r="M4239" s="63" t="str">
        <f>HYPERLINK("http://nsgreg.nga.mil/genc/view?v=871966&amp;end_month=12&amp;end_day=31&amp;end_year=2016","Correlation")</f>
        <v>Correlation</v>
      </c>
    </row>
    <row r="4240" spans="1:13" x14ac:dyDescent="0.2">
      <c r="A4240" s="113"/>
      <c r="B4240" s="58" t="s">
        <v>10883</v>
      </c>
      <c r="C4240" s="58" t="s">
        <v>2030</v>
      </c>
      <c r="D4240" s="58" t="s">
        <v>10884</v>
      </c>
      <c r="E4240" s="60" t="b">
        <v>1</v>
      </c>
      <c r="F4240" s="80" t="s">
        <v>1300</v>
      </c>
      <c r="G4240" s="58" t="s">
        <v>10883</v>
      </c>
      <c r="H4240" s="58" t="s">
        <v>2030</v>
      </c>
      <c r="I4240" s="64" t="s">
        <v>10884</v>
      </c>
      <c r="J4240" s="66"/>
      <c r="K4240" s="66"/>
      <c r="L4240" s="68"/>
      <c r="M4240" s="63" t="str">
        <f>HYPERLINK("http://nsgreg.nga.mil/genc/view?v=871967&amp;end_month=12&amp;end_day=31&amp;end_year=2016","Correlation")</f>
        <v>Correlation</v>
      </c>
    </row>
    <row r="4241" spans="1:13" x14ac:dyDescent="0.2">
      <c r="A4241" s="113"/>
      <c r="B4241" s="58" t="s">
        <v>10885</v>
      </c>
      <c r="C4241" s="58" t="s">
        <v>2030</v>
      </c>
      <c r="D4241" s="58" t="s">
        <v>10886</v>
      </c>
      <c r="E4241" s="60" t="b">
        <v>1</v>
      </c>
      <c r="F4241" s="80" t="s">
        <v>1300</v>
      </c>
      <c r="G4241" s="58" t="s">
        <v>10885</v>
      </c>
      <c r="H4241" s="58" t="s">
        <v>2030</v>
      </c>
      <c r="I4241" s="64" t="s">
        <v>10886</v>
      </c>
      <c r="J4241" s="66"/>
      <c r="K4241" s="66"/>
      <c r="L4241" s="68"/>
      <c r="M4241" s="63" t="str">
        <f>HYPERLINK("http://nsgreg.nga.mil/genc/view?v=871975&amp;end_month=12&amp;end_day=31&amp;end_year=2016","Correlation")</f>
        <v>Correlation</v>
      </c>
    </row>
    <row r="4242" spans="1:13" x14ac:dyDescent="0.2">
      <c r="A4242" s="113"/>
      <c r="B4242" s="58" t="s">
        <v>10896</v>
      </c>
      <c r="C4242" s="58" t="s">
        <v>2030</v>
      </c>
      <c r="D4242" s="58" t="s">
        <v>10895</v>
      </c>
      <c r="E4242" s="60" t="b">
        <v>1</v>
      </c>
      <c r="F4242" s="80" t="s">
        <v>1300</v>
      </c>
      <c r="G4242" s="58" t="s">
        <v>10894</v>
      </c>
      <c r="H4242" s="58" t="s">
        <v>2030</v>
      </c>
      <c r="I4242" s="64" t="s">
        <v>10895</v>
      </c>
      <c r="J4242" s="66"/>
      <c r="K4242" s="66"/>
      <c r="L4242" s="68"/>
      <c r="M4242" s="63" t="str">
        <f>HYPERLINK("http://nsgreg.nga.mil/genc/view?v=871958&amp;end_month=12&amp;end_day=31&amp;end_year=2016","Correlation")</f>
        <v>Correlation</v>
      </c>
    </row>
    <row r="4243" spans="1:13" x14ac:dyDescent="0.2">
      <c r="A4243" s="113"/>
      <c r="B4243" s="58" t="s">
        <v>10890</v>
      </c>
      <c r="C4243" s="58" t="s">
        <v>2030</v>
      </c>
      <c r="D4243" s="58" t="s">
        <v>10891</v>
      </c>
      <c r="E4243" s="60" t="b">
        <v>1</v>
      </c>
      <c r="F4243" s="80" t="s">
        <v>1300</v>
      </c>
      <c r="G4243" s="58" t="s">
        <v>10890</v>
      </c>
      <c r="H4243" s="58" t="s">
        <v>2030</v>
      </c>
      <c r="I4243" s="64" t="s">
        <v>10891</v>
      </c>
      <c r="J4243" s="66"/>
      <c r="K4243" s="66"/>
      <c r="L4243" s="68"/>
      <c r="M4243" s="63" t="str">
        <f>HYPERLINK("http://nsgreg.nga.mil/genc/view?v=871956&amp;end_month=12&amp;end_day=31&amp;end_year=2016","Correlation")</f>
        <v>Correlation</v>
      </c>
    </row>
    <row r="4244" spans="1:13" x14ac:dyDescent="0.2">
      <c r="A4244" s="113"/>
      <c r="B4244" s="58" t="s">
        <v>10889</v>
      </c>
      <c r="C4244" s="58" t="s">
        <v>2030</v>
      </c>
      <c r="D4244" s="58" t="s">
        <v>10888</v>
      </c>
      <c r="E4244" s="60" t="b">
        <v>1</v>
      </c>
      <c r="F4244" s="80" t="s">
        <v>1300</v>
      </c>
      <c r="G4244" s="58" t="s">
        <v>10887</v>
      </c>
      <c r="H4244" s="58" t="s">
        <v>2030</v>
      </c>
      <c r="I4244" s="64" t="s">
        <v>10888</v>
      </c>
      <c r="J4244" s="66"/>
      <c r="K4244" s="66"/>
      <c r="L4244" s="68"/>
      <c r="M4244" s="63" t="str">
        <f>HYPERLINK("http://nsgreg.nga.mil/genc/view?v=871964&amp;end_month=12&amp;end_day=31&amp;end_year=2016","Correlation")</f>
        <v>Correlation</v>
      </c>
    </row>
    <row r="4245" spans="1:13" x14ac:dyDescent="0.2">
      <c r="A4245" s="113"/>
      <c r="B4245" s="58" t="s">
        <v>10892</v>
      </c>
      <c r="C4245" s="58" t="s">
        <v>2030</v>
      </c>
      <c r="D4245" s="58" t="s">
        <v>10893</v>
      </c>
      <c r="E4245" s="60" t="b">
        <v>1</v>
      </c>
      <c r="F4245" s="80" t="s">
        <v>1300</v>
      </c>
      <c r="G4245" s="58" t="s">
        <v>10892</v>
      </c>
      <c r="H4245" s="58" t="s">
        <v>2030</v>
      </c>
      <c r="I4245" s="64" t="s">
        <v>10893</v>
      </c>
      <c r="J4245" s="66"/>
      <c r="K4245" s="66"/>
      <c r="L4245" s="68"/>
      <c r="M4245" s="63" t="str">
        <f>HYPERLINK("http://nsgreg.nga.mil/genc/view?v=871971&amp;end_month=12&amp;end_day=31&amp;end_year=2016","Correlation")</f>
        <v>Correlation</v>
      </c>
    </row>
    <row r="4246" spans="1:13" x14ac:dyDescent="0.2">
      <c r="A4246" s="113"/>
      <c r="B4246" s="58" t="s">
        <v>10897</v>
      </c>
      <c r="C4246" s="58" t="s">
        <v>2030</v>
      </c>
      <c r="D4246" s="58" t="s">
        <v>10898</v>
      </c>
      <c r="E4246" s="60" t="b">
        <v>1</v>
      </c>
      <c r="F4246" s="80" t="s">
        <v>1300</v>
      </c>
      <c r="G4246" s="58" t="s">
        <v>10897</v>
      </c>
      <c r="H4246" s="58" t="s">
        <v>2030</v>
      </c>
      <c r="I4246" s="64" t="s">
        <v>10898</v>
      </c>
      <c r="J4246" s="66"/>
      <c r="K4246" s="66"/>
      <c r="L4246" s="68"/>
      <c r="M4246" s="63" t="str">
        <f>HYPERLINK("http://nsgreg.nga.mil/genc/view?v=871977&amp;end_month=12&amp;end_day=31&amp;end_year=2016","Correlation")</f>
        <v>Correlation</v>
      </c>
    </row>
    <row r="4247" spans="1:13" x14ac:dyDescent="0.2">
      <c r="A4247" s="113"/>
      <c r="B4247" s="58" t="s">
        <v>10899</v>
      </c>
      <c r="C4247" s="58" t="s">
        <v>2030</v>
      </c>
      <c r="D4247" s="58" t="s">
        <v>10900</v>
      </c>
      <c r="E4247" s="60" t="b">
        <v>1</v>
      </c>
      <c r="F4247" s="80" t="s">
        <v>1300</v>
      </c>
      <c r="G4247" s="58" t="s">
        <v>10899</v>
      </c>
      <c r="H4247" s="58" t="s">
        <v>2030</v>
      </c>
      <c r="I4247" s="64" t="s">
        <v>10900</v>
      </c>
      <c r="J4247" s="66"/>
      <c r="K4247" s="66"/>
      <c r="L4247" s="68"/>
      <c r="M4247" s="63" t="str">
        <f>HYPERLINK("http://nsgreg.nga.mil/genc/view?v=871970&amp;end_month=12&amp;end_day=31&amp;end_year=2016","Correlation")</f>
        <v>Correlation</v>
      </c>
    </row>
    <row r="4248" spans="1:13" x14ac:dyDescent="0.2">
      <c r="A4248" s="113"/>
      <c r="B4248" s="58" t="s">
        <v>10901</v>
      </c>
      <c r="C4248" s="58" t="s">
        <v>2030</v>
      </c>
      <c r="D4248" s="58" t="s">
        <v>10902</v>
      </c>
      <c r="E4248" s="60" t="b">
        <v>1</v>
      </c>
      <c r="F4248" s="80" t="s">
        <v>1300</v>
      </c>
      <c r="G4248" s="58" t="s">
        <v>10901</v>
      </c>
      <c r="H4248" s="58" t="s">
        <v>2030</v>
      </c>
      <c r="I4248" s="64" t="s">
        <v>10902</v>
      </c>
      <c r="J4248" s="66"/>
      <c r="K4248" s="66"/>
      <c r="L4248" s="68"/>
      <c r="M4248" s="63" t="str">
        <f>HYPERLINK("http://nsgreg.nga.mil/genc/view?v=871959&amp;end_month=12&amp;end_day=31&amp;end_year=2016","Correlation")</f>
        <v>Correlation</v>
      </c>
    </row>
    <row r="4249" spans="1:13" x14ac:dyDescent="0.2">
      <c r="A4249" s="113"/>
      <c r="B4249" s="58" t="s">
        <v>10903</v>
      </c>
      <c r="C4249" s="58" t="s">
        <v>2030</v>
      </c>
      <c r="D4249" s="58" t="s">
        <v>10904</v>
      </c>
      <c r="E4249" s="60" t="b">
        <v>1</v>
      </c>
      <c r="F4249" s="80" t="s">
        <v>1300</v>
      </c>
      <c r="G4249" s="58" t="s">
        <v>10903</v>
      </c>
      <c r="H4249" s="58" t="s">
        <v>2030</v>
      </c>
      <c r="I4249" s="64" t="s">
        <v>10904</v>
      </c>
      <c r="J4249" s="66"/>
      <c r="K4249" s="66"/>
      <c r="L4249" s="68"/>
      <c r="M4249" s="63" t="str">
        <f>HYPERLINK("http://nsgreg.nga.mil/genc/view?v=871972&amp;end_month=12&amp;end_day=31&amp;end_year=2016","Correlation")</f>
        <v>Correlation</v>
      </c>
    </row>
    <row r="4250" spans="1:13" x14ac:dyDescent="0.2">
      <c r="A4250" s="113"/>
      <c r="B4250" s="58" t="s">
        <v>10905</v>
      </c>
      <c r="C4250" s="58" t="s">
        <v>2030</v>
      </c>
      <c r="D4250" s="58" t="s">
        <v>10906</v>
      </c>
      <c r="E4250" s="60" t="b">
        <v>1</v>
      </c>
      <c r="F4250" s="80" t="s">
        <v>1300</v>
      </c>
      <c r="G4250" s="58" t="s">
        <v>10905</v>
      </c>
      <c r="H4250" s="58" t="s">
        <v>2030</v>
      </c>
      <c r="I4250" s="64" t="s">
        <v>10906</v>
      </c>
      <c r="J4250" s="66"/>
      <c r="K4250" s="66"/>
      <c r="L4250" s="68"/>
      <c r="M4250" s="63" t="str">
        <f>HYPERLINK("http://nsgreg.nga.mil/genc/view?v=871968&amp;end_month=12&amp;end_day=31&amp;end_year=2016","Correlation")</f>
        <v>Correlation</v>
      </c>
    </row>
    <row r="4251" spans="1:13" x14ac:dyDescent="0.2">
      <c r="A4251" s="113"/>
      <c r="B4251" s="58" t="s">
        <v>10907</v>
      </c>
      <c r="C4251" s="58" t="s">
        <v>2030</v>
      </c>
      <c r="D4251" s="58" t="s">
        <v>10908</v>
      </c>
      <c r="E4251" s="60" t="b">
        <v>1</v>
      </c>
      <c r="F4251" s="80" t="s">
        <v>1300</v>
      </c>
      <c r="G4251" s="58" t="s">
        <v>10907</v>
      </c>
      <c r="H4251" s="58" t="s">
        <v>2030</v>
      </c>
      <c r="I4251" s="64" t="s">
        <v>10908</v>
      </c>
      <c r="J4251" s="66"/>
      <c r="K4251" s="66"/>
      <c r="L4251" s="68"/>
      <c r="M4251" s="63" t="str">
        <f>HYPERLINK("http://nsgreg.nga.mil/genc/view?v=871965&amp;end_month=12&amp;end_day=31&amp;end_year=2016","Correlation")</f>
        <v>Correlation</v>
      </c>
    </row>
    <row r="4252" spans="1:13" x14ac:dyDescent="0.2">
      <c r="A4252" s="113"/>
      <c r="B4252" s="58" t="s">
        <v>10909</v>
      </c>
      <c r="C4252" s="58" t="s">
        <v>2030</v>
      </c>
      <c r="D4252" s="58" t="s">
        <v>10910</v>
      </c>
      <c r="E4252" s="60" t="b">
        <v>1</v>
      </c>
      <c r="F4252" s="80" t="s">
        <v>1300</v>
      </c>
      <c r="G4252" s="58" t="s">
        <v>10909</v>
      </c>
      <c r="H4252" s="58" t="s">
        <v>2030</v>
      </c>
      <c r="I4252" s="64" t="s">
        <v>10910</v>
      </c>
      <c r="J4252" s="66"/>
      <c r="K4252" s="66"/>
      <c r="L4252" s="68"/>
      <c r="M4252" s="63" t="str">
        <f>HYPERLINK("http://nsgreg.nga.mil/genc/view?v=871969&amp;end_month=12&amp;end_day=31&amp;end_year=2016","Correlation")</f>
        <v>Correlation</v>
      </c>
    </row>
    <row r="4253" spans="1:13" x14ac:dyDescent="0.2">
      <c r="A4253" s="113"/>
      <c r="B4253" s="58" t="s">
        <v>10911</v>
      </c>
      <c r="C4253" s="58" t="s">
        <v>2030</v>
      </c>
      <c r="D4253" s="58" t="s">
        <v>10912</v>
      </c>
      <c r="E4253" s="60" t="b">
        <v>1</v>
      </c>
      <c r="F4253" s="80" t="s">
        <v>1300</v>
      </c>
      <c r="G4253" s="58" t="s">
        <v>10911</v>
      </c>
      <c r="H4253" s="58" t="s">
        <v>2030</v>
      </c>
      <c r="I4253" s="64" t="s">
        <v>10912</v>
      </c>
      <c r="J4253" s="66"/>
      <c r="K4253" s="66"/>
      <c r="L4253" s="68"/>
      <c r="M4253" s="63" t="str">
        <f>HYPERLINK("http://nsgreg.nga.mil/genc/view?v=871978&amp;end_month=12&amp;end_day=31&amp;end_year=2016","Correlation")</f>
        <v>Correlation</v>
      </c>
    </row>
    <row r="4254" spans="1:13" x14ac:dyDescent="0.2">
      <c r="A4254" s="113"/>
      <c r="B4254" s="58" t="s">
        <v>10913</v>
      </c>
      <c r="C4254" s="58" t="s">
        <v>2030</v>
      </c>
      <c r="D4254" s="58" t="s">
        <v>10914</v>
      </c>
      <c r="E4254" s="60" t="b">
        <v>1</v>
      </c>
      <c r="F4254" s="80" t="s">
        <v>1300</v>
      </c>
      <c r="G4254" s="58" t="s">
        <v>10913</v>
      </c>
      <c r="H4254" s="58" t="s">
        <v>2030</v>
      </c>
      <c r="I4254" s="64" t="s">
        <v>10914</v>
      </c>
      <c r="J4254" s="66"/>
      <c r="K4254" s="66"/>
      <c r="L4254" s="68"/>
      <c r="M4254" s="63" t="str">
        <f>HYPERLINK("http://nsgreg.nga.mil/genc/view?v=871974&amp;end_month=12&amp;end_day=31&amp;end_year=2016","Correlation")</f>
        <v>Correlation</v>
      </c>
    </row>
    <row r="4255" spans="1:13" x14ac:dyDescent="0.2">
      <c r="A4255" s="113"/>
      <c r="B4255" s="58" t="s">
        <v>10915</v>
      </c>
      <c r="C4255" s="58" t="s">
        <v>2030</v>
      </c>
      <c r="D4255" s="58" t="s">
        <v>10916</v>
      </c>
      <c r="E4255" s="60" t="b">
        <v>1</v>
      </c>
      <c r="F4255" s="80" t="s">
        <v>1300</v>
      </c>
      <c r="G4255" s="58" t="s">
        <v>10915</v>
      </c>
      <c r="H4255" s="58" t="s">
        <v>2030</v>
      </c>
      <c r="I4255" s="64" t="s">
        <v>10916</v>
      </c>
      <c r="J4255" s="66"/>
      <c r="K4255" s="66"/>
      <c r="L4255" s="68"/>
      <c r="M4255" s="63" t="str">
        <f>HYPERLINK("http://nsgreg.nga.mil/genc/view?v=871955&amp;end_month=12&amp;end_day=31&amp;end_year=2016","Correlation")</f>
        <v>Correlation</v>
      </c>
    </row>
    <row r="4256" spans="1:13" x14ac:dyDescent="0.2">
      <c r="A4256" s="114"/>
      <c r="B4256" s="71" t="s">
        <v>10917</v>
      </c>
      <c r="C4256" s="71" t="s">
        <v>2030</v>
      </c>
      <c r="D4256" s="71" t="s">
        <v>10918</v>
      </c>
      <c r="E4256" s="73" t="b">
        <v>1</v>
      </c>
      <c r="F4256" s="81" t="s">
        <v>1300</v>
      </c>
      <c r="G4256" s="71" t="s">
        <v>10917</v>
      </c>
      <c r="H4256" s="71" t="s">
        <v>2030</v>
      </c>
      <c r="I4256" s="74" t="s">
        <v>10918</v>
      </c>
      <c r="J4256" s="76"/>
      <c r="K4256" s="76"/>
      <c r="L4256" s="82"/>
      <c r="M4256" s="77" t="str">
        <f>HYPERLINK("http://nsgreg.nga.mil/genc/view?v=871960&amp;end_month=12&amp;end_day=31&amp;end_year=2016","Correlation")</f>
        <v>Correlation</v>
      </c>
    </row>
    <row r="4257" spans="1:13" x14ac:dyDescent="0.2">
      <c r="A4257" s="112" t="s">
        <v>1304</v>
      </c>
      <c r="B4257" s="50" t="s">
        <v>10919</v>
      </c>
      <c r="C4257" s="50" t="s">
        <v>1413</v>
      </c>
      <c r="D4257" s="50" t="s">
        <v>10920</v>
      </c>
      <c r="E4257" s="52" t="b">
        <v>1</v>
      </c>
      <c r="F4257" s="78" t="s">
        <v>1304</v>
      </c>
      <c r="G4257" s="50" t="s">
        <v>10919</v>
      </c>
      <c r="H4257" s="50" t="s">
        <v>1413</v>
      </c>
      <c r="I4257" s="53" t="s">
        <v>10920</v>
      </c>
      <c r="J4257" s="55"/>
      <c r="K4257" s="55"/>
      <c r="L4257" s="79"/>
      <c r="M4257" s="56" t="str">
        <f>HYPERLINK("http://nsgreg.nga.mil/genc/view?v=871984&amp;end_month=12&amp;end_day=31&amp;end_year=2016","Correlation")</f>
        <v>Correlation</v>
      </c>
    </row>
    <row r="4258" spans="1:13" x14ac:dyDescent="0.2">
      <c r="A4258" s="113"/>
      <c r="B4258" s="58" t="s">
        <v>10921</v>
      </c>
      <c r="C4258" s="58" t="s">
        <v>1413</v>
      </c>
      <c r="D4258" s="58" t="s">
        <v>10922</v>
      </c>
      <c r="E4258" s="60" t="b">
        <v>1</v>
      </c>
      <c r="F4258" s="80" t="s">
        <v>1304</v>
      </c>
      <c r="G4258" s="58" t="s">
        <v>10921</v>
      </c>
      <c r="H4258" s="58" t="s">
        <v>1413</v>
      </c>
      <c r="I4258" s="64" t="s">
        <v>10922</v>
      </c>
      <c r="J4258" s="66"/>
      <c r="K4258" s="66"/>
      <c r="L4258" s="68"/>
      <c r="M4258" s="63" t="str">
        <f>HYPERLINK("http://nsgreg.nga.mil/genc/view?v=871985&amp;end_month=12&amp;end_day=31&amp;end_year=2016","Correlation")</f>
        <v>Correlation</v>
      </c>
    </row>
    <row r="4259" spans="1:13" x14ac:dyDescent="0.2">
      <c r="A4259" s="113"/>
      <c r="B4259" s="58" t="s">
        <v>10923</v>
      </c>
      <c r="C4259" s="58" t="s">
        <v>1413</v>
      </c>
      <c r="D4259" s="58" t="s">
        <v>10924</v>
      </c>
      <c r="E4259" s="60" t="b">
        <v>1</v>
      </c>
      <c r="F4259" s="80" t="s">
        <v>1304</v>
      </c>
      <c r="G4259" s="58" t="s">
        <v>10923</v>
      </c>
      <c r="H4259" s="58" t="s">
        <v>1413</v>
      </c>
      <c r="I4259" s="64" t="s">
        <v>10924</v>
      </c>
      <c r="J4259" s="66"/>
      <c r="K4259" s="66"/>
      <c r="L4259" s="68"/>
      <c r="M4259" s="63" t="str">
        <f>HYPERLINK("http://nsgreg.nga.mil/genc/view?v=871986&amp;end_month=12&amp;end_day=31&amp;end_year=2016","Correlation")</f>
        <v>Correlation</v>
      </c>
    </row>
    <row r="4260" spans="1:13" x14ac:dyDescent="0.2">
      <c r="A4260" s="113"/>
      <c r="B4260" s="58" t="s">
        <v>10925</v>
      </c>
      <c r="C4260" s="58" t="s">
        <v>1413</v>
      </c>
      <c r="D4260" s="58" t="s">
        <v>10926</v>
      </c>
      <c r="E4260" s="60" t="b">
        <v>1</v>
      </c>
      <c r="F4260" s="80" t="s">
        <v>1304</v>
      </c>
      <c r="G4260" s="58" t="s">
        <v>10925</v>
      </c>
      <c r="H4260" s="58" t="s">
        <v>1413</v>
      </c>
      <c r="I4260" s="64" t="s">
        <v>10926</v>
      </c>
      <c r="J4260" s="66"/>
      <c r="K4260" s="66"/>
      <c r="L4260" s="68"/>
      <c r="M4260" s="63" t="str">
        <f>HYPERLINK("http://nsgreg.nga.mil/genc/view?v=871987&amp;end_month=12&amp;end_day=31&amp;end_year=2016","Correlation")</f>
        <v>Correlation</v>
      </c>
    </row>
    <row r="4261" spans="1:13" x14ac:dyDescent="0.2">
      <c r="A4261" s="113"/>
      <c r="B4261" s="58" t="s">
        <v>10927</v>
      </c>
      <c r="C4261" s="58" t="s">
        <v>1413</v>
      </c>
      <c r="D4261" s="58" t="s">
        <v>10928</v>
      </c>
      <c r="E4261" s="60" t="b">
        <v>1</v>
      </c>
      <c r="F4261" s="80" t="s">
        <v>1304</v>
      </c>
      <c r="G4261" s="58" t="s">
        <v>10927</v>
      </c>
      <c r="H4261" s="58" t="s">
        <v>1413</v>
      </c>
      <c r="I4261" s="64" t="s">
        <v>10928</v>
      </c>
      <c r="J4261" s="66"/>
      <c r="K4261" s="66"/>
      <c r="L4261" s="68"/>
      <c r="M4261" s="63" t="str">
        <f>HYPERLINK("http://nsgreg.nga.mil/genc/view?v=872051&amp;end_month=12&amp;end_day=31&amp;end_year=2016","Correlation")</f>
        <v>Correlation</v>
      </c>
    </row>
    <row r="4262" spans="1:13" x14ac:dyDescent="0.2">
      <c r="A4262" s="113"/>
      <c r="B4262" s="58" t="s">
        <v>10929</v>
      </c>
      <c r="C4262" s="58" t="s">
        <v>1413</v>
      </c>
      <c r="D4262" s="58" t="s">
        <v>10930</v>
      </c>
      <c r="E4262" s="60" t="b">
        <v>1</v>
      </c>
      <c r="F4262" s="80" t="s">
        <v>1304</v>
      </c>
      <c r="G4262" s="58" t="s">
        <v>10929</v>
      </c>
      <c r="H4262" s="58" t="s">
        <v>1413</v>
      </c>
      <c r="I4262" s="64" t="s">
        <v>10930</v>
      </c>
      <c r="J4262" s="66"/>
      <c r="K4262" s="66"/>
      <c r="L4262" s="68"/>
      <c r="M4262" s="63" t="str">
        <f>HYPERLINK("http://nsgreg.nga.mil/genc/view?v=871988&amp;end_month=12&amp;end_day=31&amp;end_year=2016","Correlation")</f>
        <v>Correlation</v>
      </c>
    </row>
    <row r="4263" spans="1:13" x14ac:dyDescent="0.2">
      <c r="A4263" s="113"/>
      <c r="B4263" s="58" t="s">
        <v>10931</v>
      </c>
      <c r="C4263" s="58" t="s">
        <v>1413</v>
      </c>
      <c r="D4263" s="58" t="s">
        <v>10932</v>
      </c>
      <c r="E4263" s="60" t="b">
        <v>1</v>
      </c>
      <c r="F4263" s="80" t="s">
        <v>1304</v>
      </c>
      <c r="G4263" s="58" t="s">
        <v>10931</v>
      </c>
      <c r="H4263" s="58" t="s">
        <v>1413</v>
      </c>
      <c r="I4263" s="64" t="s">
        <v>10932</v>
      </c>
      <c r="J4263" s="66"/>
      <c r="K4263" s="66"/>
      <c r="L4263" s="68"/>
      <c r="M4263" s="63" t="str">
        <f>HYPERLINK("http://nsgreg.nga.mil/genc/view?v=871989&amp;end_month=12&amp;end_day=31&amp;end_year=2016","Correlation")</f>
        <v>Correlation</v>
      </c>
    </row>
    <row r="4264" spans="1:13" x14ac:dyDescent="0.2">
      <c r="A4264" s="113"/>
      <c r="B4264" s="58" t="s">
        <v>10933</v>
      </c>
      <c r="C4264" s="58" t="s">
        <v>1413</v>
      </c>
      <c r="D4264" s="58" t="s">
        <v>10934</v>
      </c>
      <c r="E4264" s="60" t="b">
        <v>1</v>
      </c>
      <c r="F4264" s="80" t="s">
        <v>1304</v>
      </c>
      <c r="G4264" s="58" t="s">
        <v>10933</v>
      </c>
      <c r="H4264" s="58" t="s">
        <v>1413</v>
      </c>
      <c r="I4264" s="64" t="s">
        <v>10934</v>
      </c>
      <c r="J4264" s="66"/>
      <c r="K4264" s="66"/>
      <c r="L4264" s="68"/>
      <c r="M4264" s="63" t="str">
        <f>HYPERLINK("http://nsgreg.nga.mil/genc/view?v=871990&amp;end_month=12&amp;end_day=31&amp;end_year=2016","Correlation")</f>
        <v>Correlation</v>
      </c>
    </row>
    <row r="4265" spans="1:13" x14ac:dyDescent="0.2">
      <c r="A4265" s="113"/>
      <c r="B4265" s="58" t="s">
        <v>10935</v>
      </c>
      <c r="C4265" s="58" t="s">
        <v>1413</v>
      </c>
      <c r="D4265" s="58" t="s">
        <v>10936</v>
      </c>
      <c r="E4265" s="60" t="b">
        <v>1</v>
      </c>
      <c r="F4265" s="80" t="s">
        <v>1304</v>
      </c>
      <c r="G4265" s="58" t="s">
        <v>10935</v>
      </c>
      <c r="H4265" s="58" t="s">
        <v>1413</v>
      </c>
      <c r="I4265" s="64" t="s">
        <v>10936</v>
      </c>
      <c r="J4265" s="66"/>
      <c r="K4265" s="66"/>
      <c r="L4265" s="68"/>
      <c r="M4265" s="63" t="str">
        <f>HYPERLINK("http://nsgreg.nga.mil/genc/view?v=872058&amp;end_month=12&amp;end_day=31&amp;end_year=2016","Correlation")</f>
        <v>Correlation</v>
      </c>
    </row>
    <row r="4266" spans="1:13" x14ac:dyDescent="0.2">
      <c r="A4266" s="113"/>
      <c r="B4266" s="58" t="s">
        <v>10937</v>
      </c>
      <c r="C4266" s="58" t="s">
        <v>1413</v>
      </c>
      <c r="D4266" s="58" t="s">
        <v>10938</v>
      </c>
      <c r="E4266" s="60" t="b">
        <v>1</v>
      </c>
      <c r="F4266" s="80" t="s">
        <v>1304</v>
      </c>
      <c r="G4266" s="58" t="s">
        <v>10937</v>
      </c>
      <c r="H4266" s="58" t="s">
        <v>1413</v>
      </c>
      <c r="I4266" s="64" t="s">
        <v>10938</v>
      </c>
      <c r="J4266" s="66"/>
      <c r="K4266" s="66"/>
      <c r="L4266" s="68"/>
      <c r="M4266" s="63" t="str">
        <f>HYPERLINK("http://nsgreg.nga.mil/genc/view?v=871991&amp;end_month=12&amp;end_day=31&amp;end_year=2016","Correlation")</f>
        <v>Correlation</v>
      </c>
    </row>
    <row r="4267" spans="1:13" x14ac:dyDescent="0.2">
      <c r="A4267" s="113"/>
      <c r="B4267" s="58" t="s">
        <v>10939</v>
      </c>
      <c r="C4267" s="58" t="s">
        <v>1413</v>
      </c>
      <c r="D4267" s="58" t="s">
        <v>10940</v>
      </c>
      <c r="E4267" s="60" t="b">
        <v>1</v>
      </c>
      <c r="F4267" s="80" t="s">
        <v>1304</v>
      </c>
      <c r="G4267" s="58" t="s">
        <v>10939</v>
      </c>
      <c r="H4267" s="58" t="s">
        <v>1413</v>
      </c>
      <c r="I4267" s="64" t="s">
        <v>10940</v>
      </c>
      <c r="J4267" s="66"/>
      <c r="K4267" s="66"/>
      <c r="L4267" s="68"/>
      <c r="M4267" s="63" t="str">
        <f>HYPERLINK("http://nsgreg.nga.mil/genc/view?v=871992&amp;end_month=12&amp;end_day=31&amp;end_year=2016","Correlation")</f>
        <v>Correlation</v>
      </c>
    </row>
    <row r="4268" spans="1:13" x14ac:dyDescent="0.2">
      <c r="A4268" s="113"/>
      <c r="B4268" s="58" t="s">
        <v>10941</v>
      </c>
      <c r="C4268" s="58" t="s">
        <v>1413</v>
      </c>
      <c r="D4268" s="58" t="s">
        <v>10942</v>
      </c>
      <c r="E4268" s="60" t="b">
        <v>1</v>
      </c>
      <c r="F4268" s="80" t="s">
        <v>1304</v>
      </c>
      <c r="G4268" s="58" t="s">
        <v>10941</v>
      </c>
      <c r="H4268" s="58" t="s">
        <v>1413</v>
      </c>
      <c r="I4268" s="64" t="s">
        <v>10942</v>
      </c>
      <c r="J4268" s="66"/>
      <c r="K4268" s="66"/>
      <c r="L4268" s="68"/>
      <c r="M4268" s="63" t="str">
        <f>HYPERLINK("http://nsgreg.nga.mil/genc/view?v=871993&amp;end_month=12&amp;end_day=31&amp;end_year=2016","Correlation")</f>
        <v>Correlation</v>
      </c>
    </row>
    <row r="4269" spans="1:13" x14ac:dyDescent="0.2">
      <c r="A4269" s="113"/>
      <c r="B4269" s="58" t="s">
        <v>10943</v>
      </c>
      <c r="C4269" s="58" t="s">
        <v>1413</v>
      </c>
      <c r="D4269" s="58" t="s">
        <v>10944</v>
      </c>
      <c r="E4269" s="60" t="b">
        <v>1</v>
      </c>
      <c r="F4269" s="80" t="s">
        <v>1304</v>
      </c>
      <c r="G4269" s="58" t="s">
        <v>10943</v>
      </c>
      <c r="H4269" s="58" t="s">
        <v>1413</v>
      </c>
      <c r="I4269" s="64" t="s">
        <v>10944</v>
      </c>
      <c r="J4269" s="66"/>
      <c r="K4269" s="66"/>
      <c r="L4269" s="68"/>
      <c r="M4269" s="63" t="str">
        <f>HYPERLINK("http://nsgreg.nga.mil/genc/view?v=872057&amp;end_month=12&amp;end_day=31&amp;end_year=2016","Correlation")</f>
        <v>Correlation</v>
      </c>
    </row>
    <row r="4270" spans="1:13" x14ac:dyDescent="0.2">
      <c r="A4270" s="113"/>
      <c r="B4270" s="58" t="s">
        <v>10945</v>
      </c>
      <c r="C4270" s="58" t="s">
        <v>1413</v>
      </c>
      <c r="D4270" s="58" t="s">
        <v>10946</v>
      </c>
      <c r="E4270" s="60" t="b">
        <v>1</v>
      </c>
      <c r="F4270" s="80" t="s">
        <v>1304</v>
      </c>
      <c r="G4270" s="58" t="s">
        <v>10945</v>
      </c>
      <c r="H4270" s="58" t="s">
        <v>1413</v>
      </c>
      <c r="I4270" s="64" t="s">
        <v>10946</v>
      </c>
      <c r="J4270" s="66"/>
      <c r="K4270" s="66"/>
      <c r="L4270" s="68"/>
      <c r="M4270" s="63" t="str">
        <f>HYPERLINK("http://nsgreg.nga.mil/genc/view?v=872055&amp;end_month=12&amp;end_day=31&amp;end_year=2016","Correlation")</f>
        <v>Correlation</v>
      </c>
    </row>
    <row r="4271" spans="1:13" x14ac:dyDescent="0.2">
      <c r="A4271" s="113"/>
      <c r="B4271" s="58" t="s">
        <v>10947</v>
      </c>
      <c r="C4271" s="58" t="s">
        <v>1413</v>
      </c>
      <c r="D4271" s="58" t="s">
        <v>10948</v>
      </c>
      <c r="E4271" s="60" t="b">
        <v>1</v>
      </c>
      <c r="F4271" s="80" t="s">
        <v>1304</v>
      </c>
      <c r="G4271" s="58" t="s">
        <v>10947</v>
      </c>
      <c r="H4271" s="58" t="s">
        <v>1413</v>
      </c>
      <c r="I4271" s="64" t="s">
        <v>10948</v>
      </c>
      <c r="J4271" s="66"/>
      <c r="K4271" s="66"/>
      <c r="L4271" s="68"/>
      <c r="M4271" s="63" t="str">
        <f>HYPERLINK("http://nsgreg.nga.mil/genc/view?v=872052&amp;end_month=12&amp;end_day=31&amp;end_year=2016","Correlation")</f>
        <v>Correlation</v>
      </c>
    </row>
    <row r="4272" spans="1:13" x14ac:dyDescent="0.2">
      <c r="A4272" s="113"/>
      <c r="B4272" s="58" t="s">
        <v>10949</v>
      </c>
      <c r="C4272" s="58" t="s">
        <v>1413</v>
      </c>
      <c r="D4272" s="58" t="s">
        <v>10950</v>
      </c>
      <c r="E4272" s="60" t="b">
        <v>1</v>
      </c>
      <c r="F4272" s="80" t="s">
        <v>1304</v>
      </c>
      <c r="G4272" s="58" t="s">
        <v>10949</v>
      </c>
      <c r="H4272" s="58" t="s">
        <v>1413</v>
      </c>
      <c r="I4272" s="64" t="s">
        <v>10950</v>
      </c>
      <c r="J4272" s="66"/>
      <c r="K4272" s="66"/>
      <c r="L4272" s="68"/>
      <c r="M4272" s="63" t="str">
        <f>HYPERLINK("http://nsgreg.nga.mil/genc/view?v=871994&amp;end_month=12&amp;end_day=31&amp;end_year=2016","Correlation")</f>
        <v>Correlation</v>
      </c>
    </row>
    <row r="4273" spans="1:13" x14ac:dyDescent="0.2">
      <c r="A4273" s="113"/>
      <c r="B4273" s="58" t="s">
        <v>10951</v>
      </c>
      <c r="C4273" s="58" t="s">
        <v>1413</v>
      </c>
      <c r="D4273" s="58" t="s">
        <v>10952</v>
      </c>
      <c r="E4273" s="60" t="b">
        <v>1</v>
      </c>
      <c r="F4273" s="80" t="s">
        <v>1304</v>
      </c>
      <c r="G4273" s="58" t="s">
        <v>10951</v>
      </c>
      <c r="H4273" s="58" t="s">
        <v>1413</v>
      </c>
      <c r="I4273" s="64" t="s">
        <v>10952</v>
      </c>
      <c r="J4273" s="66"/>
      <c r="K4273" s="66"/>
      <c r="L4273" s="68"/>
      <c r="M4273" s="63" t="str">
        <f>HYPERLINK("http://nsgreg.nga.mil/genc/view?v=871995&amp;end_month=12&amp;end_day=31&amp;end_year=2016","Correlation")</f>
        <v>Correlation</v>
      </c>
    </row>
    <row r="4274" spans="1:13" x14ac:dyDescent="0.2">
      <c r="A4274" s="113"/>
      <c r="B4274" s="58" t="s">
        <v>10953</v>
      </c>
      <c r="C4274" s="58" t="s">
        <v>1413</v>
      </c>
      <c r="D4274" s="58" t="s">
        <v>10954</v>
      </c>
      <c r="E4274" s="60" t="b">
        <v>1</v>
      </c>
      <c r="F4274" s="80" t="s">
        <v>1304</v>
      </c>
      <c r="G4274" s="58" t="s">
        <v>10953</v>
      </c>
      <c r="H4274" s="58" t="s">
        <v>1413</v>
      </c>
      <c r="I4274" s="64" t="s">
        <v>10954</v>
      </c>
      <c r="J4274" s="66"/>
      <c r="K4274" s="66"/>
      <c r="L4274" s="68"/>
      <c r="M4274" s="63" t="str">
        <f>HYPERLINK("http://nsgreg.nga.mil/genc/view?v=871996&amp;end_month=12&amp;end_day=31&amp;end_year=2016","Correlation")</f>
        <v>Correlation</v>
      </c>
    </row>
    <row r="4275" spans="1:13" x14ac:dyDescent="0.2">
      <c r="A4275" s="113"/>
      <c r="B4275" s="58" t="s">
        <v>10955</v>
      </c>
      <c r="C4275" s="58" t="s">
        <v>1413</v>
      </c>
      <c r="D4275" s="58" t="s">
        <v>10956</v>
      </c>
      <c r="E4275" s="60" t="b">
        <v>1</v>
      </c>
      <c r="F4275" s="80" t="s">
        <v>1304</v>
      </c>
      <c r="G4275" s="58" t="s">
        <v>10955</v>
      </c>
      <c r="H4275" s="58" t="s">
        <v>1413</v>
      </c>
      <c r="I4275" s="64" t="s">
        <v>10956</v>
      </c>
      <c r="J4275" s="66"/>
      <c r="K4275" s="66"/>
      <c r="L4275" s="68"/>
      <c r="M4275" s="63" t="str">
        <f>HYPERLINK("http://nsgreg.nga.mil/genc/view?v=871997&amp;end_month=12&amp;end_day=31&amp;end_year=2016","Correlation")</f>
        <v>Correlation</v>
      </c>
    </row>
    <row r="4276" spans="1:13" x14ac:dyDescent="0.2">
      <c r="A4276" s="113"/>
      <c r="B4276" s="58" t="s">
        <v>10957</v>
      </c>
      <c r="C4276" s="58" t="s">
        <v>1413</v>
      </c>
      <c r="D4276" s="58" t="s">
        <v>10958</v>
      </c>
      <c r="E4276" s="60" t="b">
        <v>1</v>
      </c>
      <c r="F4276" s="80" t="s">
        <v>1304</v>
      </c>
      <c r="G4276" s="58" t="s">
        <v>10957</v>
      </c>
      <c r="H4276" s="58" t="s">
        <v>1413</v>
      </c>
      <c r="I4276" s="64" t="s">
        <v>10958</v>
      </c>
      <c r="J4276" s="66"/>
      <c r="K4276" s="66"/>
      <c r="L4276" s="68"/>
      <c r="M4276" s="63" t="str">
        <f>HYPERLINK("http://nsgreg.nga.mil/genc/view?v=871998&amp;end_month=12&amp;end_day=31&amp;end_year=2016","Correlation")</f>
        <v>Correlation</v>
      </c>
    </row>
    <row r="4277" spans="1:13" x14ac:dyDescent="0.2">
      <c r="A4277" s="113"/>
      <c r="B4277" s="58" t="s">
        <v>10959</v>
      </c>
      <c r="C4277" s="58" t="s">
        <v>1413</v>
      </c>
      <c r="D4277" s="58" t="s">
        <v>10960</v>
      </c>
      <c r="E4277" s="60" t="b">
        <v>1</v>
      </c>
      <c r="F4277" s="80" t="s">
        <v>1304</v>
      </c>
      <c r="G4277" s="58" t="s">
        <v>10959</v>
      </c>
      <c r="H4277" s="58" t="s">
        <v>1413</v>
      </c>
      <c r="I4277" s="64" t="s">
        <v>10960</v>
      </c>
      <c r="J4277" s="66"/>
      <c r="K4277" s="66"/>
      <c r="L4277" s="68"/>
      <c r="M4277" s="63" t="str">
        <f>HYPERLINK("http://nsgreg.nga.mil/genc/view?v=871999&amp;end_month=12&amp;end_day=31&amp;end_year=2016","Correlation")</f>
        <v>Correlation</v>
      </c>
    </row>
    <row r="4278" spans="1:13" x14ac:dyDescent="0.2">
      <c r="A4278" s="113"/>
      <c r="B4278" s="58" t="s">
        <v>10961</v>
      </c>
      <c r="C4278" s="58" t="s">
        <v>1413</v>
      </c>
      <c r="D4278" s="58" t="s">
        <v>10962</v>
      </c>
      <c r="E4278" s="60" t="b">
        <v>1</v>
      </c>
      <c r="F4278" s="80" t="s">
        <v>1304</v>
      </c>
      <c r="G4278" s="58" t="s">
        <v>10961</v>
      </c>
      <c r="H4278" s="58" t="s">
        <v>1413</v>
      </c>
      <c r="I4278" s="64" t="s">
        <v>10962</v>
      </c>
      <c r="J4278" s="66"/>
      <c r="K4278" s="66"/>
      <c r="L4278" s="68"/>
      <c r="M4278" s="63" t="str">
        <f>HYPERLINK("http://nsgreg.nga.mil/genc/view?v=872000&amp;end_month=12&amp;end_day=31&amp;end_year=2016","Correlation")</f>
        <v>Correlation</v>
      </c>
    </row>
    <row r="4279" spans="1:13" x14ac:dyDescent="0.2">
      <c r="A4279" s="113"/>
      <c r="B4279" s="58" t="s">
        <v>10963</v>
      </c>
      <c r="C4279" s="58" t="s">
        <v>1413</v>
      </c>
      <c r="D4279" s="58" t="s">
        <v>10964</v>
      </c>
      <c r="E4279" s="60" t="b">
        <v>1</v>
      </c>
      <c r="F4279" s="80" t="s">
        <v>1304</v>
      </c>
      <c r="G4279" s="58" t="s">
        <v>10963</v>
      </c>
      <c r="H4279" s="58" t="s">
        <v>1413</v>
      </c>
      <c r="I4279" s="64" t="s">
        <v>10964</v>
      </c>
      <c r="J4279" s="66"/>
      <c r="K4279" s="66"/>
      <c r="L4279" s="68"/>
      <c r="M4279" s="63" t="str">
        <f>HYPERLINK("http://nsgreg.nga.mil/genc/view?v=872001&amp;end_month=12&amp;end_day=31&amp;end_year=2016","Correlation")</f>
        <v>Correlation</v>
      </c>
    </row>
    <row r="4280" spans="1:13" x14ac:dyDescent="0.2">
      <c r="A4280" s="113"/>
      <c r="B4280" s="58" t="s">
        <v>10965</v>
      </c>
      <c r="C4280" s="58" t="s">
        <v>1413</v>
      </c>
      <c r="D4280" s="58" t="s">
        <v>10966</v>
      </c>
      <c r="E4280" s="60" t="b">
        <v>1</v>
      </c>
      <c r="F4280" s="80" t="s">
        <v>1304</v>
      </c>
      <c r="G4280" s="58" t="s">
        <v>10965</v>
      </c>
      <c r="H4280" s="58" t="s">
        <v>1413</v>
      </c>
      <c r="I4280" s="64" t="s">
        <v>10966</v>
      </c>
      <c r="J4280" s="66"/>
      <c r="K4280" s="66"/>
      <c r="L4280" s="68"/>
      <c r="M4280" s="63" t="str">
        <f>HYPERLINK("http://nsgreg.nga.mil/genc/view?v=872002&amp;end_month=12&amp;end_day=31&amp;end_year=2016","Correlation")</f>
        <v>Correlation</v>
      </c>
    </row>
    <row r="4281" spans="1:13" x14ac:dyDescent="0.2">
      <c r="A4281" s="113"/>
      <c r="B4281" s="58" t="s">
        <v>10967</v>
      </c>
      <c r="C4281" s="58" t="s">
        <v>1413</v>
      </c>
      <c r="D4281" s="58" t="s">
        <v>10968</v>
      </c>
      <c r="E4281" s="60" t="b">
        <v>1</v>
      </c>
      <c r="F4281" s="80" t="s">
        <v>1304</v>
      </c>
      <c r="G4281" s="58" t="s">
        <v>10967</v>
      </c>
      <c r="H4281" s="58" t="s">
        <v>1413</v>
      </c>
      <c r="I4281" s="64" t="s">
        <v>10968</v>
      </c>
      <c r="J4281" s="66"/>
      <c r="K4281" s="66"/>
      <c r="L4281" s="68"/>
      <c r="M4281" s="63" t="str">
        <f>HYPERLINK("http://nsgreg.nga.mil/genc/view?v=872003&amp;end_month=12&amp;end_day=31&amp;end_year=2016","Correlation")</f>
        <v>Correlation</v>
      </c>
    </row>
    <row r="4282" spans="1:13" x14ac:dyDescent="0.2">
      <c r="A4282" s="113"/>
      <c r="B4282" s="58" t="s">
        <v>10969</v>
      </c>
      <c r="C4282" s="58" t="s">
        <v>1413</v>
      </c>
      <c r="D4282" s="58" t="s">
        <v>10970</v>
      </c>
      <c r="E4282" s="60" t="b">
        <v>1</v>
      </c>
      <c r="F4282" s="80" t="s">
        <v>1304</v>
      </c>
      <c r="G4282" s="58" t="s">
        <v>10969</v>
      </c>
      <c r="H4282" s="58" t="s">
        <v>1413</v>
      </c>
      <c r="I4282" s="64" t="s">
        <v>10970</v>
      </c>
      <c r="J4282" s="66"/>
      <c r="K4282" s="66"/>
      <c r="L4282" s="68"/>
      <c r="M4282" s="63" t="str">
        <f>HYPERLINK("http://nsgreg.nga.mil/genc/view?v=872004&amp;end_month=12&amp;end_day=31&amp;end_year=2016","Correlation")</f>
        <v>Correlation</v>
      </c>
    </row>
    <row r="4283" spans="1:13" x14ac:dyDescent="0.2">
      <c r="A4283" s="113"/>
      <c r="B4283" s="58" t="s">
        <v>10971</v>
      </c>
      <c r="C4283" s="58" t="s">
        <v>1413</v>
      </c>
      <c r="D4283" s="58" t="s">
        <v>10972</v>
      </c>
      <c r="E4283" s="60" t="b">
        <v>1</v>
      </c>
      <c r="F4283" s="80" t="s">
        <v>1304</v>
      </c>
      <c r="G4283" s="58" t="s">
        <v>10971</v>
      </c>
      <c r="H4283" s="58" t="s">
        <v>1413</v>
      </c>
      <c r="I4283" s="64" t="s">
        <v>10972</v>
      </c>
      <c r="J4283" s="66"/>
      <c r="K4283" s="66"/>
      <c r="L4283" s="68"/>
      <c r="M4283" s="63" t="str">
        <f>HYPERLINK("http://nsgreg.nga.mil/genc/view?v=872064&amp;end_month=12&amp;end_day=31&amp;end_year=2016","Correlation")</f>
        <v>Correlation</v>
      </c>
    </row>
    <row r="4284" spans="1:13" x14ac:dyDescent="0.2">
      <c r="A4284" s="113"/>
      <c r="B4284" s="58" t="s">
        <v>10973</v>
      </c>
      <c r="C4284" s="58" t="s">
        <v>1413</v>
      </c>
      <c r="D4284" s="58" t="s">
        <v>10974</v>
      </c>
      <c r="E4284" s="60" t="b">
        <v>1</v>
      </c>
      <c r="F4284" s="80" t="s">
        <v>1304</v>
      </c>
      <c r="G4284" s="58" t="s">
        <v>10973</v>
      </c>
      <c r="H4284" s="58" t="s">
        <v>1413</v>
      </c>
      <c r="I4284" s="64" t="s">
        <v>10974</v>
      </c>
      <c r="J4284" s="66"/>
      <c r="K4284" s="66"/>
      <c r="L4284" s="68"/>
      <c r="M4284" s="63" t="str">
        <f>HYPERLINK("http://nsgreg.nga.mil/genc/view?v=872005&amp;end_month=12&amp;end_day=31&amp;end_year=2016","Correlation")</f>
        <v>Correlation</v>
      </c>
    </row>
    <row r="4285" spans="1:13" x14ac:dyDescent="0.2">
      <c r="A4285" s="113"/>
      <c r="B4285" s="58" t="s">
        <v>10975</v>
      </c>
      <c r="C4285" s="58" t="s">
        <v>1413</v>
      </c>
      <c r="D4285" s="58" t="s">
        <v>10976</v>
      </c>
      <c r="E4285" s="60" t="b">
        <v>1</v>
      </c>
      <c r="F4285" s="80" t="s">
        <v>1304</v>
      </c>
      <c r="G4285" s="58" t="s">
        <v>10975</v>
      </c>
      <c r="H4285" s="58" t="s">
        <v>1413</v>
      </c>
      <c r="I4285" s="64" t="s">
        <v>10976</v>
      </c>
      <c r="J4285" s="66"/>
      <c r="K4285" s="66"/>
      <c r="L4285" s="68"/>
      <c r="M4285" s="63" t="str">
        <f>HYPERLINK("http://nsgreg.nga.mil/genc/view?v=872006&amp;end_month=12&amp;end_day=31&amp;end_year=2016","Correlation")</f>
        <v>Correlation</v>
      </c>
    </row>
    <row r="4286" spans="1:13" x14ac:dyDescent="0.2">
      <c r="A4286" s="113"/>
      <c r="B4286" s="58" t="s">
        <v>10977</v>
      </c>
      <c r="C4286" s="58" t="s">
        <v>1413</v>
      </c>
      <c r="D4286" s="58" t="s">
        <v>10978</v>
      </c>
      <c r="E4286" s="60" t="b">
        <v>1</v>
      </c>
      <c r="F4286" s="80" t="s">
        <v>1304</v>
      </c>
      <c r="G4286" s="58" t="s">
        <v>10977</v>
      </c>
      <c r="H4286" s="58" t="s">
        <v>1413</v>
      </c>
      <c r="I4286" s="64" t="s">
        <v>10978</v>
      </c>
      <c r="J4286" s="66"/>
      <c r="K4286" s="66"/>
      <c r="L4286" s="68"/>
      <c r="M4286" s="63" t="str">
        <f>HYPERLINK("http://nsgreg.nga.mil/genc/view?v=872007&amp;end_month=12&amp;end_day=31&amp;end_year=2016","Correlation")</f>
        <v>Correlation</v>
      </c>
    </row>
    <row r="4287" spans="1:13" x14ac:dyDescent="0.2">
      <c r="A4287" s="113"/>
      <c r="B4287" s="58" t="s">
        <v>10979</v>
      </c>
      <c r="C4287" s="58" t="s">
        <v>1413</v>
      </c>
      <c r="D4287" s="58" t="s">
        <v>10980</v>
      </c>
      <c r="E4287" s="60" t="b">
        <v>1</v>
      </c>
      <c r="F4287" s="80" t="s">
        <v>1304</v>
      </c>
      <c r="G4287" s="58" t="s">
        <v>10979</v>
      </c>
      <c r="H4287" s="58" t="s">
        <v>1413</v>
      </c>
      <c r="I4287" s="64" t="s">
        <v>10980</v>
      </c>
      <c r="J4287" s="66"/>
      <c r="K4287" s="66"/>
      <c r="L4287" s="68"/>
      <c r="M4287" s="63" t="str">
        <f>HYPERLINK("http://nsgreg.nga.mil/genc/view?v=872008&amp;end_month=12&amp;end_day=31&amp;end_year=2016","Correlation")</f>
        <v>Correlation</v>
      </c>
    </row>
    <row r="4288" spans="1:13" x14ac:dyDescent="0.2">
      <c r="A4288" s="113"/>
      <c r="B4288" s="58" t="s">
        <v>10981</v>
      </c>
      <c r="C4288" s="58" t="s">
        <v>1413</v>
      </c>
      <c r="D4288" s="58" t="s">
        <v>10982</v>
      </c>
      <c r="E4288" s="60" t="b">
        <v>1</v>
      </c>
      <c r="F4288" s="80" t="s">
        <v>1304</v>
      </c>
      <c r="G4288" s="58" t="s">
        <v>10981</v>
      </c>
      <c r="H4288" s="58" t="s">
        <v>1413</v>
      </c>
      <c r="I4288" s="64" t="s">
        <v>10982</v>
      </c>
      <c r="J4288" s="66"/>
      <c r="K4288" s="66"/>
      <c r="L4288" s="68"/>
      <c r="M4288" s="63" t="str">
        <f>HYPERLINK("http://nsgreg.nga.mil/genc/view?v=872009&amp;end_month=12&amp;end_day=31&amp;end_year=2016","Correlation")</f>
        <v>Correlation</v>
      </c>
    </row>
    <row r="4289" spans="1:13" x14ac:dyDescent="0.2">
      <c r="A4289" s="113"/>
      <c r="B4289" s="58" t="s">
        <v>10983</v>
      </c>
      <c r="C4289" s="58" t="s">
        <v>1413</v>
      </c>
      <c r="D4289" s="58" t="s">
        <v>10984</v>
      </c>
      <c r="E4289" s="60" t="b">
        <v>1</v>
      </c>
      <c r="F4289" s="80" t="s">
        <v>1304</v>
      </c>
      <c r="G4289" s="58" t="s">
        <v>10983</v>
      </c>
      <c r="H4289" s="58" t="s">
        <v>1413</v>
      </c>
      <c r="I4289" s="64" t="s">
        <v>10984</v>
      </c>
      <c r="J4289" s="66"/>
      <c r="K4289" s="66"/>
      <c r="L4289" s="68"/>
      <c r="M4289" s="63" t="str">
        <f>HYPERLINK("http://nsgreg.nga.mil/genc/view?v=872010&amp;end_month=12&amp;end_day=31&amp;end_year=2016","Correlation")</f>
        <v>Correlation</v>
      </c>
    </row>
    <row r="4290" spans="1:13" x14ac:dyDescent="0.2">
      <c r="A4290" s="113"/>
      <c r="B4290" s="58" t="s">
        <v>10985</v>
      </c>
      <c r="C4290" s="58" t="s">
        <v>1413</v>
      </c>
      <c r="D4290" s="58" t="s">
        <v>10986</v>
      </c>
      <c r="E4290" s="60" t="b">
        <v>1</v>
      </c>
      <c r="F4290" s="80" t="s">
        <v>1304</v>
      </c>
      <c r="G4290" s="58" t="s">
        <v>10985</v>
      </c>
      <c r="H4290" s="58" t="s">
        <v>1413</v>
      </c>
      <c r="I4290" s="64" t="s">
        <v>10986</v>
      </c>
      <c r="J4290" s="66"/>
      <c r="K4290" s="66"/>
      <c r="L4290" s="68"/>
      <c r="M4290" s="63" t="str">
        <f>HYPERLINK("http://nsgreg.nga.mil/genc/view?v=872011&amp;end_month=12&amp;end_day=31&amp;end_year=2016","Correlation")</f>
        <v>Correlation</v>
      </c>
    </row>
    <row r="4291" spans="1:13" x14ac:dyDescent="0.2">
      <c r="A4291" s="113"/>
      <c r="B4291" s="58" t="s">
        <v>10987</v>
      </c>
      <c r="C4291" s="58" t="s">
        <v>1413</v>
      </c>
      <c r="D4291" s="58" t="s">
        <v>10988</v>
      </c>
      <c r="E4291" s="60" t="b">
        <v>1</v>
      </c>
      <c r="F4291" s="80" t="s">
        <v>1304</v>
      </c>
      <c r="G4291" s="58" t="s">
        <v>10987</v>
      </c>
      <c r="H4291" s="58" t="s">
        <v>1413</v>
      </c>
      <c r="I4291" s="64" t="s">
        <v>10988</v>
      </c>
      <c r="J4291" s="66"/>
      <c r="K4291" s="66"/>
      <c r="L4291" s="68"/>
      <c r="M4291" s="63" t="str">
        <f>HYPERLINK("http://nsgreg.nga.mil/genc/view?v=872012&amp;end_month=12&amp;end_day=31&amp;end_year=2016","Correlation")</f>
        <v>Correlation</v>
      </c>
    </row>
    <row r="4292" spans="1:13" x14ac:dyDescent="0.2">
      <c r="A4292" s="113"/>
      <c r="B4292" s="58" t="s">
        <v>10989</v>
      </c>
      <c r="C4292" s="58" t="s">
        <v>1413</v>
      </c>
      <c r="D4292" s="58" t="s">
        <v>10990</v>
      </c>
      <c r="E4292" s="60" t="b">
        <v>1</v>
      </c>
      <c r="F4292" s="80" t="s">
        <v>1304</v>
      </c>
      <c r="G4292" s="58" t="s">
        <v>10989</v>
      </c>
      <c r="H4292" s="58" t="s">
        <v>1413</v>
      </c>
      <c r="I4292" s="64" t="s">
        <v>10990</v>
      </c>
      <c r="J4292" s="66"/>
      <c r="K4292" s="66"/>
      <c r="L4292" s="68"/>
      <c r="M4292" s="63" t="str">
        <f>HYPERLINK("http://nsgreg.nga.mil/genc/view?v=872013&amp;end_month=12&amp;end_day=31&amp;end_year=2016","Correlation")</f>
        <v>Correlation</v>
      </c>
    </row>
    <row r="4293" spans="1:13" x14ac:dyDescent="0.2">
      <c r="A4293" s="113"/>
      <c r="B4293" s="58" t="s">
        <v>10991</v>
      </c>
      <c r="C4293" s="58" t="s">
        <v>1413</v>
      </c>
      <c r="D4293" s="58" t="s">
        <v>10992</v>
      </c>
      <c r="E4293" s="60" t="b">
        <v>1</v>
      </c>
      <c r="F4293" s="80" t="s">
        <v>1304</v>
      </c>
      <c r="G4293" s="58" t="s">
        <v>10991</v>
      </c>
      <c r="H4293" s="58" t="s">
        <v>1413</v>
      </c>
      <c r="I4293" s="64" t="s">
        <v>10992</v>
      </c>
      <c r="J4293" s="66"/>
      <c r="K4293" s="66"/>
      <c r="L4293" s="68"/>
      <c r="M4293" s="63" t="str">
        <f>HYPERLINK("http://nsgreg.nga.mil/genc/view?v=872014&amp;end_month=12&amp;end_day=31&amp;end_year=2016","Correlation")</f>
        <v>Correlation</v>
      </c>
    </row>
    <row r="4294" spans="1:13" x14ac:dyDescent="0.2">
      <c r="A4294" s="113"/>
      <c r="B4294" s="58" t="s">
        <v>10993</v>
      </c>
      <c r="C4294" s="58" t="s">
        <v>1413</v>
      </c>
      <c r="D4294" s="58" t="s">
        <v>10994</v>
      </c>
      <c r="E4294" s="60" t="b">
        <v>1</v>
      </c>
      <c r="F4294" s="80" t="s">
        <v>1304</v>
      </c>
      <c r="G4294" s="58" t="s">
        <v>10993</v>
      </c>
      <c r="H4294" s="58" t="s">
        <v>1413</v>
      </c>
      <c r="I4294" s="64" t="s">
        <v>10994</v>
      </c>
      <c r="J4294" s="66"/>
      <c r="K4294" s="66"/>
      <c r="L4294" s="68"/>
      <c r="M4294" s="63" t="str">
        <f>HYPERLINK("http://nsgreg.nga.mil/genc/view?v=872059&amp;end_month=12&amp;end_day=31&amp;end_year=2016","Correlation")</f>
        <v>Correlation</v>
      </c>
    </row>
    <row r="4295" spans="1:13" x14ac:dyDescent="0.2">
      <c r="A4295" s="113"/>
      <c r="B4295" s="58" t="s">
        <v>10995</v>
      </c>
      <c r="C4295" s="58" t="s">
        <v>1413</v>
      </c>
      <c r="D4295" s="58" t="s">
        <v>10996</v>
      </c>
      <c r="E4295" s="60" t="b">
        <v>1</v>
      </c>
      <c r="F4295" s="80" t="s">
        <v>1304</v>
      </c>
      <c r="G4295" s="58" t="s">
        <v>10995</v>
      </c>
      <c r="H4295" s="58" t="s">
        <v>1413</v>
      </c>
      <c r="I4295" s="64" t="s">
        <v>10996</v>
      </c>
      <c r="J4295" s="66"/>
      <c r="K4295" s="66"/>
      <c r="L4295" s="68"/>
      <c r="M4295" s="63" t="str">
        <f>HYPERLINK("http://nsgreg.nga.mil/genc/view?v=872015&amp;end_month=12&amp;end_day=31&amp;end_year=2016","Correlation")</f>
        <v>Correlation</v>
      </c>
    </row>
    <row r="4296" spans="1:13" x14ac:dyDescent="0.2">
      <c r="A4296" s="113"/>
      <c r="B4296" s="58" t="s">
        <v>10997</v>
      </c>
      <c r="C4296" s="58" t="s">
        <v>1413</v>
      </c>
      <c r="D4296" s="58" t="s">
        <v>10998</v>
      </c>
      <c r="E4296" s="60" t="b">
        <v>1</v>
      </c>
      <c r="F4296" s="80" t="s">
        <v>1304</v>
      </c>
      <c r="G4296" s="58" t="s">
        <v>10997</v>
      </c>
      <c r="H4296" s="58" t="s">
        <v>1413</v>
      </c>
      <c r="I4296" s="64" t="s">
        <v>10998</v>
      </c>
      <c r="J4296" s="66"/>
      <c r="K4296" s="66"/>
      <c r="L4296" s="68"/>
      <c r="M4296" s="63" t="str">
        <f>HYPERLINK("http://nsgreg.nga.mil/genc/view?v=872017&amp;end_month=12&amp;end_day=31&amp;end_year=2016","Correlation")</f>
        <v>Correlation</v>
      </c>
    </row>
    <row r="4297" spans="1:13" x14ac:dyDescent="0.2">
      <c r="A4297" s="113"/>
      <c r="B4297" s="58" t="s">
        <v>10999</v>
      </c>
      <c r="C4297" s="58" t="s">
        <v>1413</v>
      </c>
      <c r="D4297" s="58" t="s">
        <v>11000</v>
      </c>
      <c r="E4297" s="60" t="b">
        <v>1</v>
      </c>
      <c r="F4297" s="80" t="s">
        <v>1304</v>
      </c>
      <c r="G4297" s="58" t="s">
        <v>10999</v>
      </c>
      <c r="H4297" s="58" t="s">
        <v>1413</v>
      </c>
      <c r="I4297" s="64" t="s">
        <v>11000</v>
      </c>
      <c r="J4297" s="66"/>
      <c r="K4297" s="66"/>
      <c r="L4297" s="68"/>
      <c r="M4297" s="63" t="str">
        <f>HYPERLINK("http://nsgreg.nga.mil/genc/view?v=872018&amp;end_month=12&amp;end_day=31&amp;end_year=2016","Correlation")</f>
        <v>Correlation</v>
      </c>
    </row>
    <row r="4298" spans="1:13" x14ac:dyDescent="0.2">
      <c r="A4298" s="113"/>
      <c r="B4298" s="58" t="s">
        <v>11001</v>
      </c>
      <c r="C4298" s="58" t="s">
        <v>1413</v>
      </c>
      <c r="D4298" s="58" t="s">
        <v>11002</v>
      </c>
      <c r="E4298" s="60" t="b">
        <v>1</v>
      </c>
      <c r="F4298" s="80" t="s">
        <v>1304</v>
      </c>
      <c r="G4298" s="58" t="s">
        <v>11001</v>
      </c>
      <c r="H4298" s="58" t="s">
        <v>1413</v>
      </c>
      <c r="I4298" s="64" t="s">
        <v>11002</v>
      </c>
      <c r="J4298" s="66"/>
      <c r="K4298" s="66"/>
      <c r="L4298" s="68"/>
      <c r="M4298" s="63" t="str">
        <f>HYPERLINK("http://nsgreg.nga.mil/genc/view?v=872029&amp;end_month=12&amp;end_day=31&amp;end_year=2016","Correlation")</f>
        <v>Correlation</v>
      </c>
    </row>
    <row r="4299" spans="1:13" x14ac:dyDescent="0.2">
      <c r="A4299" s="113"/>
      <c r="B4299" s="58" t="s">
        <v>11003</v>
      </c>
      <c r="C4299" s="58" t="s">
        <v>1413</v>
      </c>
      <c r="D4299" s="58" t="s">
        <v>11004</v>
      </c>
      <c r="E4299" s="60" t="b">
        <v>1</v>
      </c>
      <c r="F4299" s="80" t="s">
        <v>1304</v>
      </c>
      <c r="G4299" s="58" t="s">
        <v>11003</v>
      </c>
      <c r="H4299" s="58" t="s">
        <v>1413</v>
      </c>
      <c r="I4299" s="64" t="s">
        <v>11004</v>
      </c>
      <c r="J4299" s="66"/>
      <c r="K4299" s="66"/>
      <c r="L4299" s="68"/>
      <c r="M4299" s="63" t="str">
        <f>HYPERLINK("http://nsgreg.nga.mil/genc/view?v=872061&amp;end_month=12&amp;end_day=31&amp;end_year=2016","Correlation")</f>
        <v>Correlation</v>
      </c>
    </row>
    <row r="4300" spans="1:13" x14ac:dyDescent="0.2">
      <c r="A4300" s="113"/>
      <c r="B4300" s="58" t="s">
        <v>11005</v>
      </c>
      <c r="C4300" s="58" t="s">
        <v>1413</v>
      </c>
      <c r="D4300" s="58" t="s">
        <v>11006</v>
      </c>
      <c r="E4300" s="60" t="b">
        <v>1</v>
      </c>
      <c r="F4300" s="80" t="s">
        <v>1304</v>
      </c>
      <c r="G4300" s="58" t="s">
        <v>11005</v>
      </c>
      <c r="H4300" s="58" t="s">
        <v>1413</v>
      </c>
      <c r="I4300" s="64" t="s">
        <v>11006</v>
      </c>
      <c r="J4300" s="66"/>
      <c r="K4300" s="66"/>
      <c r="L4300" s="68"/>
      <c r="M4300" s="63" t="str">
        <f>HYPERLINK("http://nsgreg.nga.mil/genc/view?v=872053&amp;end_month=12&amp;end_day=31&amp;end_year=2016","Correlation")</f>
        <v>Correlation</v>
      </c>
    </row>
    <row r="4301" spans="1:13" x14ac:dyDescent="0.2">
      <c r="A4301" s="113"/>
      <c r="B4301" s="58" t="s">
        <v>11007</v>
      </c>
      <c r="C4301" s="58" t="s">
        <v>1413</v>
      </c>
      <c r="D4301" s="58" t="s">
        <v>11008</v>
      </c>
      <c r="E4301" s="60" t="b">
        <v>1</v>
      </c>
      <c r="F4301" s="80" t="s">
        <v>1304</v>
      </c>
      <c r="G4301" s="58" t="s">
        <v>11007</v>
      </c>
      <c r="H4301" s="58" t="s">
        <v>1413</v>
      </c>
      <c r="I4301" s="64" t="s">
        <v>11008</v>
      </c>
      <c r="J4301" s="66"/>
      <c r="K4301" s="66"/>
      <c r="L4301" s="68"/>
      <c r="M4301" s="63" t="str">
        <f>HYPERLINK("http://nsgreg.nga.mil/genc/view?v=872019&amp;end_month=12&amp;end_day=31&amp;end_year=2016","Correlation")</f>
        <v>Correlation</v>
      </c>
    </row>
    <row r="4302" spans="1:13" x14ac:dyDescent="0.2">
      <c r="A4302" s="113"/>
      <c r="B4302" s="58" t="s">
        <v>11009</v>
      </c>
      <c r="C4302" s="58" t="s">
        <v>1413</v>
      </c>
      <c r="D4302" s="58" t="s">
        <v>11010</v>
      </c>
      <c r="E4302" s="60" t="b">
        <v>1</v>
      </c>
      <c r="F4302" s="80" t="s">
        <v>1304</v>
      </c>
      <c r="G4302" s="58" t="s">
        <v>11009</v>
      </c>
      <c r="H4302" s="58" t="s">
        <v>1413</v>
      </c>
      <c r="I4302" s="64" t="s">
        <v>11010</v>
      </c>
      <c r="J4302" s="66"/>
      <c r="K4302" s="66"/>
      <c r="L4302" s="68"/>
      <c r="M4302" s="63" t="str">
        <f>HYPERLINK("http://nsgreg.nga.mil/genc/view?v=872020&amp;end_month=12&amp;end_day=31&amp;end_year=2016","Correlation")</f>
        <v>Correlation</v>
      </c>
    </row>
    <row r="4303" spans="1:13" x14ac:dyDescent="0.2">
      <c r="A4303" s="113"/>
      <c r="B4303" s="58" t="s">
        <v>11011</v>
      </c>
      <c r="C4303" s="58" t="s">
        <v>1413</v>
      </c>
      <c r="D4303" s="58" t="s">
        <v>11012</v>
      </c>
      <c r="E4303" s="60" t="b">
        <v>1</v>
      </c>
      <c r="F4303" s="80" t="s">
        <v>1304</v>
      </c>
      <c r="G4303" s="58" t="s">
        <v>11011</v>
      </c>
      <c r="H4303" s="58" t="s">
        <v>1413</v>
      </c>
      <c r="I4303" s="64" t="s">
        <v>11012</v>
      </c>
      <c r="J4303" s="66"/>
      <c r="K4303" s="66"/>
      <c r="L4303" s="68"/>
      <c r="M4303" s="63" t="str">
        <f>HYPERLINK("http://nsgreg.nga.mil/genc/view?v=872021&amp;end_month=12&amp;end_day=31&amp;end_year=2016","Correlation")</f>
        <v>Correlation</v>
      </c>
    </row>
    <row r="4304" spans="1:13" x14ac:dyDescent="0.2">
      <c r="A4304" s="113"/>
      <c r="B4304" s="58" t="s">
        <v>11013</v>
      </c>
      <c r="C4304" s="58" t="s">
        <v>1413</v>
      </c>
      <c r="D4304" s="58" t="s">
        <v>11014</v>
      </c>
      <c r="E4304" s="60" t="b">
        <v>1</v>
      </c>
      <c r="F4304" s="80" t="s">
        <v>1304</v>
      </c>
      <c r="G4304" s="58" t="s">
        <v>11013</v>
      </c>
      <c r="H4304" s="58" t="s">
        <v>1413</v>
      </c>
      <c r="I4304" s="64" t="s">
        <v>11014</v>
      </c>
      <c r="J4304" s="66"/>
      <c r="K4304" s="66"/>
      <c r="L4304" s="68"/>
      <c r="M4304" s="63" t="str">
        <f>HYPERLINK("http://nsgreg.nga.mil/genc/view?v=872062&amp;end_month=12&amp;end_day=31&amp;end_year=2016","Correlation")</f>
        <v>Correlation</v>
      </c>
    </row>
    <row r="4305" spans="1:13" x14ac:dyDescent="0.2">
      <c r="A4305" s="113"/>
      <c r="B4305" s="58" t="s">
        <v>11015</v>
      </c>
      <c r="C4305" s="58" t="s">
        <v>1413</v>
      </c>
      <c r="D4305" s="58" t="s">
        <v>11016</v>
      </c>
      <c r="E4305" s="60" t="b">
        <v>1</v>
      </c>
      <c r="F4305" s="80" t="s">
        <v>1304</v>
      </c>
      <c r="G4305" s="58" t="s">
        <v>11015</v>
      </c>
      <c r="H4305" s="58" t="s">
        <v>1413</v>
      </c>
      <c r="I4305" s="64" t="s">
        <v>11016</v>
      </c>
      <c r="J4305" s="66"/>
      <c r="K4305" s="66"/>
      <c r="L4305" s="68"/>
      <c r="M4305" s="63" t="str">
        <f>HYPERLINK("http://nsgreg.nga.mil/genc/view?v=872054&amp;end_month=12&amp;end_day=31&amp;end_year=2016","Correlation")</f>
        <v>Correlation</v>
      </c>
    </row>
    <row r="4306" spans="1:13" x14ac:dyDescent="0.2">
      <c r="A4306" s="113"/>
      <c r="B4306" s="58" t="s">
        <v>11017</v>
      </c>
      <c r="C4306" s="58" t="s">
        <v>1413</v>
      </c>
      <c r="D4306" s="58" t="s">
        <v>11018</v>
      </c>
      <c r="E4306" s="60" t="b">
        <v>1</v>
      </c>
      <c r="F4306" s="80" t="s">
        <v>1304</v>
      </c>
      <c r="G4306" s="58" t="s">
        <v>11017</v>
      </c>
      <c r="H4306" s="58" t="s">
        <v>1413</v>
      </c>
      <c r="I4306" s="64" t="s">
        <v>11018</v>
      </c>
      <c r="J4306" s="66"/>
      <c r="K4306" s="66"/>
      <c r="L4306" s="68"/>
      <c r="M4306" s="63" t="str">
        <f>HYPERLINK("http://nsgreg.nga.mil/genc/view?v=872022&amp;end_month=12&amp;end_day=31&amp;end_year=2016","Correlation")</f>
        <v>Correlation</v>
      </c>
    </row>
    <row r="4307" spans="1:13" x14ac:dyDescent="0.2">
      <c r="A4307" s="113"/>
      <c r="B4307" s="58" t="s">
        <v>11019</v>
      </c>
      <c r="C4307" s="58" t="s">
        <v>1413</v>
      </c>
      <c r="D4307" s="58" t="s">
        <v>11020</v>
      </c>
      <c r="E4307" s="60" t="b">
        <v>1</v>
      </c>
      <c r="F4307" s="80" t="s">
        <v>1304</v>
      </c>
      <c r="G4307" s="58" t="s">
        <v>11019</v>
      </c>
      <c r="H4307" s="58" t="s">
        <v>1413</v>
      </c>
      <c r="I4307" s="64" t="s">
        <v>11020</v>
      </c>
      <c r="J4307" s="66"/>
      <c r="K4307" s="66"/>
      <c r="L4307" s="68"/>
      <c r="M4307" s="63" t="str">
        <f>HYPERLINK("http://nsgreg.nga.mil/genc/view?v=872023&amp;end_month=12&amp;end_day=31&amp;end_year=2016","Correlation")</f>
        <v>Correlation</v>
      </c>
    </row>
    <row r="4308" spans="1:13" x14ac:dyDescent="0.2">
      <c r="A4308" s="113"/>
      <c r="B4308" s="58" t="s">
        <v>11021</v>
      </c>
      <c r="C4308" s="58" t="s">
        <v>1413</v>
      </c>
      <c r="D4308" s="58" t="s">
        <v>11022</v>
      </c>
      <c r="E4308" s="60" t="b">
        <v>1</v>
      </c>
      <c r="F4308" s="80" t="s">
        <v>1304</v>
      </c>
      <c r="G4308" s="58" t="s">
        <v>11021</v>
      </c>
      <c r="H4308" s="58" t="s">
        <v>1413</v>
      </c>
      <c r="I4308" s="64" t="s">
        <v>11022</v>
      </c>
      <c r="J4308" s="66"/>
      <c r="K4308" s="66"/>
      <c r="L4308" s="68"/>
      <c r="M4308" s="63" t="str">
        <f>HYPERLINK("http://nsgreg.nga.mil/genc/view?v=872024&amp;end_month=12&amp;end_day=31&amp;end_year=2016","Correlation")</f>
        <v>Correlation</v>
      </c>
    </row>
    <row r="4309" spans="1:13" x14ac:dyDescent="0.2">
      <c r="A4309" s="113"/>
      <c r="B4309" s="58" t="s">
        <v>11023</v>
      </c>
      <c r="C4309" s="58" t="s">
        <v>1413</v>
      </c>
      <c r="D4309" s="58" t="s">
        <v>11024</v>
      </c>
      <c r="E4309" s="60" t="b">
        <v>1</v>
      </c>
      <c r="F4309" s="80" t="s">
        <v>1304</v>
      </c>
      <c r="G4309" s="58" t="s">
        <v>11023</v>
      </c>
      <c r="H4309" s="58" t="s">
        <v>1413</v>
      </c>
      <c r="I4309" s="64" t="s">
        <v>11024</v>
      </c>
      <c r="J4309" s="66"/>
      <c r="K4309" s="66"/>
      <c r="L4309" s="68"/>
      <c r="M4309" s="63" t="str">
        <f>HYPERLINK("http://nsgreg.nga.mil/genc/view?v=872025&amp;end_month=12&amp;end_day=31&amp;end_year=2016","Correlation")</f>
        <v>Correlation</v>
      </c>
    </row>
    <row r="4310" spans="1:13" x14ac:dyDescent="0.2">
      <c r="A4310" s="113"/>
      <c r="B4310" s="58" t="s">
        <v>11025</v>
      </c>
      <c r="C4310" s="58" t="s">
        <v>1413</v>
      </c>
      <c r="D4310" s="58" t="s">
        <v>11026</v>
      </c>
      <c r="E4310" s="60" t="b">
        <v>1</v>
      </c>
      <c r="F4310" s="80" t="s">
        <v>1304</v>
      </c>
      <c r="G4310" s="58" t="s">
        <v>11025</v>
      </c>
      <c r="H4310" s="58" t="s">
        <v>1413</v>
      </c>
      <c r="I4310" s="64" t="s">
        <v>11026</v>
      </c>
      <c r="J4310" s="66"/>
      <c r="K4310" s="66"/>
      <c r="L4310" s="68"/>
      <c r="M4310" s="63" t="str">
        <f>HYPERLINK("http://nsgreg.nga.mil/genc/view?v=872026&amp;end_month=12&amp;end_day=31&amp;end_year=2016","Correlation")</f>
        <v>Correlation</v>
      </c>
    </row>
    <row r="4311" spans="1:13" x14ac:dyDescent="0.2">
      <c r="A4311" s="113"/>
      <c r="B4311" s="58" t="s">
        <v>11027</v>
      </c>
      <c r="C4311" s="58" t="s">
        <v>1413</v>
      </c>
      <c r="D4311" s="58" t="s">
        <v>11028</v>
      </c>
      <c r="E4311" s="60" t="b">
        <v>1</v>
      </c>
      <c r="F4311" s="80" t="s">
        <v>1304</v>
      </c>
      <c r="G4311" s="58" t="s">
        <v>11027</v>
      </c>
      <c r="H4311" s="58" t="s">
        <v>1413</v>
      </c>
      <c r="I4311" s="64" t="s">
        <v>11028</v>
      </c>
      <c r="J4311" s="66"/>
      <c r="K4311" s="66"/>
      <c r="L4311" s="68"/>
      <c r="M4311" s="63" t="str">
        <f>HYPERLINK("http://nsgreg.nga.mil/genc/view?v=872027&amp;end_month=12&amp;end_day=31&amp;end_year=2016","Correlation")</f>
        <v>Correlation</v>
      </c>
    </row>
    <row r="4312" spans="1:13" x14ac:dyDescent="0.2">
      <c r="A4312" s="113"/>
      <c r="B4312" s="58" t="s">
        <v>11029</v>
      </c>
      <c r="C4312" s="58" t="s">
        <v>1413</v>
      </c>
      <c r="D4312" s="58" t="s">
        <v>11030</v>
      </c>
      <c r="E4312" s="60" t="b">
        <v>1</v>
      </c>
      <c r="F4312" s="80" t="s">
        <v>1304</v>
      </c>
      <c r="G4312" s="58" t="s">
        <v>11029</v>
      </c>
      <c r="H4312" s="58" t="s">
        <v>1413</v>
      </c>
      <c r="I4312" s="64" t="s">
        <v>11030</v>
      </c>
      <c r="J4312" s="66"/>
      <c r="K4312" s="66"/>
      <c r="L4312" s="68"/>
      <c r="M4312" s="63" t="str">
        <f>HYPERLINK("http://nsgreg.nga.mil/genc/view?v=872028&amp;end_month=12&amp;end_day=31&amp;end_year=2016","Correlation")</f>
        <v>Correlation</v>
      </c>
    </row>
    <row r="4313" spans="1:13" x14ac:dyDescent="0.2">
      <c r="A4313" s="113"/>
      <c r="B4313" s="58" t="s">
        <v>11031</v>
      </c>
      <c r="C4313" s="58" t="s">
        <v>1413</v>
      </c>
      <c r="D4313" s="58" t="s">
        <v>11032</v>
      </c>
      <c r="E4313" s="60" t="b">
        <v>1</v>
      </c>
      <c r="F4313" s="80" t="s">
        <v>1304</v>
      </c>
      <c r="G4313" s="58" t="s">
        <v>11031</v>
      </c>
      <c r="H4313" s="58" t="s">
        <v>1413</v>
      </c>
      <c r="I4313" s="64" t="s">
        <v>11032</v>
      </c>
      <c r="J4313" s="66"/>
      <c r="K4313" s="66"/>
      <c r="L4313" s="68"/>
      <c r="M4313" s="63" t="str">
        <f>HYPERLINK("http://nsgreg.nga.mil/genc/view?v=872030&amp;end_month=12&amp;end_day=31&amp;end_year=2016","Correlation")</f>
        <v>Correlation</v>
      </c>
    </row>
    <row r="4314" spans="1:13" x14ac:dyDescent="0.2">
      <c r="A4314" s="113"/>
      <c r="B4314" s="58" t="s">
        <v>11033</v>
      </c>
      <c r="C4314" s="58" t="s">
        <v>1413</v>
      </c>
      <c r="D4314" s="58" t="s">
        <v>11034</v>
      </c>
      <c r="E4314" s="60" t="b">
        <v>1</v>
      </c>
      <c r="F4314" s="80" t="s">
        <v>1304</v>
      </c>
      <c r="G4314" s="58" t="s">
        <v>11033</v>
      </c>
      <c r="H4314" s="58" t="s">
        <v>1413</v>
      </c>
      <c r="I4314" s="64" t="s">
        <v>11034</v>
      </c>
      <c r="J4314" s="66"/>
      <c r="K4314" s="66"/>
      <c r="L4314" s="68"/>
      <c r="M4314" s="63" t="str">
        <f>HYPERLINK("http://nsgreg.nga.mil/genc/view?v=872016&amp;end_month=12&amp;end_day=31&amp;end_year=2016","Correlation")</f>
        <v>Correlation</v>
      </c>
    </row>
    <row r="4315" spans="1:13" x14ac:dyDescent="0.2">
      <c r="A4315" s="113"/>
      <c r="B4315" s="58" t="s">
        <v>11035</v>
      </c>
      <c r="C4315" s="58" t="s">
        <v>1413</v>
      </c>
      <c r="D4315" s="58" t="s">
        <v>11036</v>
      </c>
      <c r="E4315" s="60" t="b">
        <v>1</v>
      </c>
      <c r="F4315" s="80" t="s">
        <v>1304</v>
      </c>
      <c r="G4315" s="58" t="s">
        <v>11035</v>
      </c>
      <c r="H4315" s="58" t="s">
        <v>1413</v>
      </c>
      <c r="I4315" s="64" t="s">
        <v>11036</v>
      </c>
      <c r="J4315" s="66"/>
      <c r="K4315" s="66"/>
      <c r="L4315" s="68"/>
      <c r="M4315" s="63" t="str">
        <f>HYPERLINK("http://nsgreg.nga.mil/genc/view?v=872031&amp;end_month=12&amp;end_day=31&amp;end_year=2016","Correlation")</f>
        <v>Correlation</v>
      </c>
    </row>
    <row r="4316" spans="1:13" x14ac:dyDescent="0.2">
      <c r="A4316" s="113"/>
      <c r="B4316" s="58" t="s">
        <v>11037</v>
      </c>
      <c r="C4316" s="58" t="s">
        <v>1413</v>
      </c>
      <c r="D4316" s="58" t="s">
        <v>11038</v>
      </c>
      <c r="E4316" s="60" t="b">
        <v>1</v>
      </c>
      <c r="F4316" s="80" t="s">
        <v>1304</v>
      </c>
      <c r="G4316" s="58" t="s">
        <v>11037</v>
      </c>
      <c r="H4316" s="58" t="s">
        <v>1413</v>
      </c>
      <c r="I4316" s="64" t="s">
        <v>11038</v>
      </c>
      <c r="J4316" s="66"/>
      <c r="K4316" s="66"/>
      <c r="L4316" s="68"/>
      <c r="M4316" s="63" t="str">
        <f>HYPERLINK("http://nsgreg.nga.mil/genc/view?v=872032&amp;end_month=12&amp;end_day=31&amp;end_year=2016","Correlation")</f>
        <v>Correlation</v>
      </c>
    </row>
    <row r="4317" spans="1:13" x14ac:dyDescent="0.2">
      <c r="A4317" s="113"/>
      <c r="B4317" s="58" t="s">
        <v>11039</v>
      </c>
      <c r="C4317" s="58" t="s">
        <v>1413</v>
      </c>
      <c r="D4317" s="58" t="s">
        <v>11040</v>
      </c>
      <c r="E4317" s="60" t="b">
        <v>1</v>
      </c>
      <c r="F4317" s="80" t="s">
        <v>1304</v>
      </c>
      <c r="G4317" s="58" t="s">
        <v>11039</v>
      </c>
      <c r="H4317" s="58" t="s">
        <v>1413</v>
      </c>
      <c r="I4317" s="64" t="s">
        <v>11040</v>
      </c>
      <c r="J4317" s="66"/>
      <c r="K4317" s="66"/>
      <c r="L4317" s="68"/>
      <c r="M4317" s="63" t="str">
        <f>HYPERLINK("http://nsgreg.nga.mil/genc/view?v=872033&amp;end_month=12&amp;end_day=31&amp;end_year=2016","Correlation")</f>
        <v>Correlation</v>
      </c>
    </row>
    <row r="4318" spans="1:13" x14ac:dyDescent="0.2">
      <c r="A4318" s="113"/>
      <c r="B4318" s="58" t="s">
        <v>11041</v>
      </c>
      <c r="C4318" s="58" t="s">
        <v>1413</v>
      </c>
      <c r="D4318" s="58" t="s">
        <v>11042</v>
      </c>
      <c r="E4318" s="60" t="b">
        <v>1</v>
      </c>
      <c r="F4318" s="80" t="s">
        <v>1304</v>
      </c>
      <c r="G4318" s="58" t="s">
        <v>11041</v>
      </c>
      <c r="H4318" s="58" t="s">
        <v>1413</v>
      </c>
      <c r="I4318" s="64" t="s">
        <v>11042</v>
      </c>
      <c r="J4318" s="66"/>
      <c r="K4318" s="66"/>
      <c r="L4318" s="68"/>
      <c r="M4318" s="63" t="str">
        <f>HYPERLINK("http://nsgreg.nga.mil/genc/view?v=872034&amp;end_month=12&amp;end_day=31&amp;end_year=2016","Correlation")</f>
        <v>Correlation</v>
      </c>
    </row>
    <row r="4319" spans="1:13" x14ac:dyDescent="0.2">
      <c r="A4319" s="113"/>
      <c r="B4319" s="58" t="s">
        <v>11043</v>
      </c>
      <c r="C4319" s="58" t="s">
        <v>1413</v>
      </c>
      <c r="D4319" s="58" t="s">
        <v>11044</v>
      </c>
      <c r="E4319" s="60" t="b">
        <v>1</v>
      </c>
      <c r="F4319" s="80" t="s">
        <v>1304</v>
      </c>
      <c r="G4319" s="58" t="s">
        <v>11043</v>
      </c>
      <c r="H4319" s="58" t="s">
        <v>1413</v>
      </c>
      <c r="I4319" s="64" t="s">
        <v>11044</v>
      </c>
      <c r="J4319" s="66"/>
      <c r="K4319" s="66"/>
      <c r="L4319" s="68"/>
      <c r="M4319" s="63" t="str">
        <f>HYPERLINK("http://nsgreg.nga.mil/genc/view?v=872035&amp;end_month=12&amp;end_day=31&amp;end_year=2016","Correlation")</f>
        <v>Correlation</v>
      </c>
    </row>
    <row r="4320" spans="1:13" x14ac:dyDescent="0.2">
      <c r="A4320" s="113"/>
      <c r="B4320" s="58" t="s">
        <v>11045</v>
      </c>
      <c r="C4320" s="58" t="s">
        <v>1413</v>
      </c>
      <c r="D4320" s="58" t="s">
        <v>11046</v>
      </c>
      <c r="E4320" s="60" t="b">
        <v>1</v>
      </c>
      <c r="F4320" s="80" t="s">
        <v>1304</v>
      </c>
      <c r="G4320" s="58" t="s">
        <v>11045</v>
      </c>
      <c r="H4320" s="58" t="s">
        <v>1413</v>
      </c>
      <c r="I4320" s="64" t="s">
        <v>11046</v>
      </c>
      <c r="J4320" s="66"/>
      <c r="K4320" s="66"/>
      <c r="L4320" s="68"/>
      <c r="M4320" s="63" t="str">
        <f>HYPERLINK("http://nsgreg.nga.mil/genc/view?v=872063&amp;end_month=12&amp;end_day=31&amp;end_year=2016","Correlation")</f>
        <v>Correlation</v>
      </c>
    </row>
    <row r="4321" spans="1:13" x14ac:dyDescent="0.2">
      <c r="A4321" s="113"/>
      <c r="B4321" s="58" t="s">
        <v>11047</v>
      </c>
      <c r="C4321" s="58" t="s">
        <v>1413</v>
      </c>
      <c r="D4321" s="58" t="s">
        <v>11048</v>
      </c>
      <c r="E4321" s="60" t="b">
        <v>1</v>
      </c>
      <c r="F4321" s="80" t="s">
        <v>1304</v>
      </c>
      <c r="G4321" s="58" t="s">
        <v>11047</v>
      </c>
      <c r="H4321" s="58" t="s">
        <v>1413</v>
      </c>
      <c r="I4321" s="64" t="s">
        <v>11048</v>
      </c>
      <c r="J4321" s="66"/>
      <c r="K4321" s="66"/>
      <c r="L4321" s="68"/>
      <c r="M4321" s="63" t="str">
        <f>HYPERLINK("http://nsgreg.nga.mil/genc/view?v=872036&amp;end_month=12&amp;end_day=31&amp;end_year=2016","Correlation")</f>
        <v>Correlation</v>
      </c>
    </row>
    <row r="4322" spans="1:13" x14ac:dyDescent="0.2">
      <c r="A4322" s="113"/>
      <c r="B4322" s="58" t="s">
        <v>11049</v>
      </c>
      <c r="C4322" s="58" t="s">
        <v>1413</v>
      </c>
      <c r="D4322" s="58" t="s">
        <v>11050</v>
      </c>
      <c r="E4322" s="60" t="b">
        <v>1</v>
      </c>
      <c r="F4322" s="80" t="s">
        <v>1304</v>
      </c>
      <c r="G4322" s="58" t="s">
        <v>11049</v>
      </c>
      <c r="H4322" s="58" t="s">
        <v>1413</v>
      </c>
      <c r="I4322" s="64" t="s">
        <v>11050</v>
      </c>
      <c r="J4322" s="66"/>
      <c r="K4322" s="66"/>
      <c r="L4322" s="68"/>
      <c r="M4322" s="63" t="str">
        <f>HYPERLINK("http://nsgreg.nga.mil/genc/view?v=872037&amp;end_month=12&amp;end_day=31&amp;end_year=2016","Correlation")</f>
        <v>Correlation</v>
      </c>
    </row>
    <row r="4323" spans="1:13" x14ac:dyDescent="0.2">
      <c r="A4323" s="113"/>
      <c r="B4323" s="58" t="s">
        <v>11051</v>
      </c>
      <c r="C4323" s="58" t="s">
        <v>1413</v>
      </c>
      <c r="D4323" s="58" t="s">
        <v>11052</v>
      </c>
      <c r="E4323" s="60" t="b">
        <v>1</v>
      </c>
      <c r="F4323" s="80" t="s">
        <v>1304</v>
      </c>
      <c r="G4323" s="58" t="s">
        <v>11051</v>
      </c>
      <c r="H4323" s="58" t="s">
        <v>1413</v>
      </c>
      <c r="I4323" s="64" t="s">
        <v>11052</v>
      </c>
      <c r="J4323" s="66"/>
      <c r="K4323" s="66"/>
      <c r="L4323" s="68"/>
      <c r="M4323" s="63" t="str">
        <f>HYPERLINK("http://nsgreg.nga.mil/genc/view?v=872038&amp;end_month=12&amp;end_day=31&amp;end_year=2016","Correlation")</f>
        <v>Correlation</v>
      </c>
    </row>
    <row r="4324" spans="1:13" x14ac:dyDescent="0.2">
      <c r="A4324" s="113"/>
      <c r="B4324" s="58" t="s">
        <v>11053</v>
      </c>
      <c r="C4324" s="58" t="s">
        <v>1413</v>
      </c>
      <c r="D4324" s="58" t="s">
        <v>11054</v>
      </c>
      <c r="E4324" s="60" t="b">
        <v>1</v>
      </c>
      <c r="F4324" s="80" t="s">
        <v>1304</v>
      </c>
      <c r="G4324" s="58" t="s">
        <v>11053</v>
      </c>
      <c r="H4324" s="58" t="s">
        <v>1413</v>
      </c>
      <c r="I4324" s="64" t="s">
        <v>11054</v>
      </c>
      <c r="J4324" s="66"/>
      <c r="K4324" s="66"/>
      <c r="L4324" s="68"/>
      <c r="M4324" s="63" t="str">
        <f>HYPERLINK("http://nsgreg.nga.mil/genc/view?v=872046&amp;end_month=12&amp;end_day=31&amp;end_year=2016","Correlation")</f>
        <v>Correlation</v>
      </c>
    </row>
    <row r="4325" spans="1:13" x14ac:dyDescent="0.2">
      <c r="A4325" s="113"/>
      <c r="B4325" s="58" t="s">
        <v>11055</v>
      </c>
      <c r="C4325" s="58" t="s">
        <v>1413</v>
      </c>
      <c r="D4325" s="58" t="s">
        <v>11056</v>
      </c>
      <c r="E4325" s="60" t="b">
        <v>1</v>
      </c>
      <c r="F4325" s="80" t="s">
        <v>1304</v>
      </c>
      <c r="G4325" s="58" t="s">
        <v>11055</v>
      </c>
      <c r="H4325" s="58" t="s">
        <v>1413</v>
      </c>
      <c r="I4325" s="64" t="s">
        <v>11056</v>
      </c>
      <c r="J4325" s="66"/>
      <c r="K4325" s="66"/>
      <c r="L4325" s="68"/>
      <c r="M4325" s="63" t="str">
        <f>HYPERLINK("http://nsgreg.nga.mil/genc/view?v=872039&amp;end_month=12&amp;end_day=31&amp;end_year=2016","Correlation")</f>
        <v>Correlation</v>
      </c>
    </row>
    <row r="4326" spans="1:13" x14ac:dyDescent="0.2">
      <c r="A4326" s="113"/>
      <c r="B4326" s="58" t="s">
        <v>11057</v>
      </c>
      <c r="C4326" s="58" t="s">
        <v>1413</v>
      </c>
      <c r="D4326" s="58" t="s">
        <v>11058</v>
      </c>
      <c r="E4326" s="60" t="b">
        <v>1</v>
      </c>
      <c r="F4326" s="80" t="s">
        <v>1304</v>
      </c>
      <c r="G4326" s="58" t="s">
        <v>11057</v>
      </c>
      <c r="H4326" s="58" t="s">
        <v>1413</v>
      </c>
      <c r="I4326" s="64" t="s">
        <v>11058</v>
      </c>
      <c r="J4326" s="66"/>
      <c r="K4326" s="66"/>
      <c r="L4326" s="68"/>
      <c r="M4326" s="63" t="str">
        <f>HYPERLINK("http://nsgreg.nga.mil/genc/view?v=872040&amp;end_month=12&amp;end_day=31&amp;end_year=2016","Correlation")</f>
        <v>Correlation</v>
      </c>
    </row>
    <row r="4327" spans="1:13" x14ac:dyDescent="0.2">
      <c r="A4327" s="113"/>
      <c r="B4327" s="58" t="s">
        <v>11059</v>
      </c>
      <c r="C4327" s="58" t="s">
        <v>1413</v>
      </c>
      <c r="D4327" s="58" t="s">
        <v>11060</v>
      </c>
      <c r="E4327" s="60" t="b">
        <v>1</v>
      </c>
      <c r="F4327" s="80" t="s">
        <v>1304</v>
      </c>
      <c r="G4327" s="58" t="s">
        <v>11059</v>
      </c>
      <c r="H4327" s="58" t="s">
        <v>1413</v>
      </c>
      <c r="I4327" s="64" t="s">
        <v>11060</v>
      </c>
      <c r="J4327" s="66"/>
      <c r="K4327" s="66"/>
      <c r="L4327" s="68"/>
      <c r="M4327" s="63" t="str">
        <f>HYPERLINK("http://nsgreg.nga.mil/genc/view?v=872056&amp;end_month=12&amp;end_day=31&amp;end_year=2016","Correlation")</f>
        <v>Correlation</v>
      </c>
    </row>
    <row r="4328" spans="1:13" x14ac:dyDescent="0.2">
      <c r="A4328" s="113"/>
      <c r="B4328" s="58" t="s">
        <v>11061</v>
      </c>
      <c r="C4328" s="58" t="s">
        <v>1413</v>
      </c>
      <c r="D4328" s="58" t="s">
        <v>11062</v>
      </c>
      <c r="E4328" s="60" t="b">
        <v>1</v>
      </c>
      <c r="F4328" s="80" t="s">
        <v>1304</v>
      </c>
      <c r="G4328" s="58" t="s">
        <v>11061</v>
      </c>
      <c r="H4328" s="58" t="s">
        <v>1413</v>
      </c>
      <c r="I4328" s="64" t="s">
        <v>11062</v>
      </c>
      <c r="J4328" s="66"/>
      <c r="K4328" s="66"/>
      <c r="L4328" s="68"/>
      <c r="M4328" s="63" t="str">
        <f>HYPERLINK("http://nsgreg.nga.mil/genc/view?v=872041&amp;end_month=12&amp;end_day=31&amp;end_year=2016","Correlation")</f>
        <v>Correlation</v>
      </c>
    </row>
    <row r="4329" spans="1:13" x14ac:dyDescent="0.2">
      <c r="A4329" s="113"/>
      <c r="B4329" s="58" t="s">
        <v>11063</v>
      </c>
      <c r="C4329" s="58" t="s">
        <v>1413</v>
      </c>
      <c r="D4329" s="58" t="s">
        <v>11064</v>
      </c>
      <c r="E4329" s="60" t="b">
        <v>1</v>
      </c>
      <c r="F4329" s="80" t="s">
        <v>1304</v>
      </c>
      <c r="G4329" s="58" t="s">
        <v>11063</v>
      </c>
      <c r="H4329" s="58" t="s">
        <v>1413</v>
      </c>
      <c r="I4329" s="64" t="s">
        <v>11064</v>
      </c>
      <c r="J4329" s="66"/>
      <c r="K4329" s="66"/>
      <c r="L4329" s="68"/>
      <c r="M4329" s="63" t="str">
        <f>HYPERLINK("http://nsgreg.nga.mil/genc/view?v=872042&amp;end_month=12&amp;end_day=31&amp;end_year=2016","Correlation")</f>
        <v>Correlation</v>
      </c>
    </row>
    <row r="4330" spans="1:13" x14ac:dyDescent="0.2">
      <c r="A4330" s="113"/>
      <c r="B4330" s="58" t="s">
        <v>11065</v>
      </c>
      <c r="C4330" s="58" t="s">
        <v>1413</v>
      </c>
      <c r="D4330" s="58" t="s">
        <v>11066</v>
      </c>
      <c r="E4330" s="60" t="b">
        <v>1</v>
      </c>
      <c r="F4330" s="80" t="s">
        <v>1304</v>
      </c>
      <c r="G4330" s="58" t="s">
        <v>11065</v>
      </c>
      <c r="H4330" s="58" t="s">
        <v>1413</v>
      </c>
      <c r="I4330" s="64" t="s">
        <v>11066</v>
      </c>
      <c r="J4330" s="66"/>
      <c r="K4330" s="66"/>
      <c r="L4330" s="68"/>
      <c r="M4330" s="63" t="str">
        <f>HYPERLINK("http://nsgreg.nga.mil/genc/view?v=872043&amp;end_month=12&amp;end_day=31&amp;end_year=2016","Correlation")</f>
        <v>Correlation</v>
      </c>
    </row>
    <row r="4331" spans="1:13" x14ac:dyDescent="0.2">
      <c r="A4331" s="113"/>
      <c r="B4331" s="58" t="s">
        <v>11067</v>
      </c>
      <c r="C4331" s="58" t="s">
        <v>1413</v>
      </c>
      <c r="D4331" s="58" t="s">
        <v>11068</v>
      </c>
      <c r="E4331" s="60" t="b">
        <v>1</v>
      </c>
      <c r="F4331" s="80" t="s">
        <v>1304</v>
      </c>
      <c r="G4331" s="58" t="s">
        <v>11067</v>
      </c>
      <c r="H4331" s="58" t="s">
        <v>1413</v>
      </c>
      <c r="I4331" s="64" t="s">
        <v>11068</v>
      </c>
      <c r="J4331" s="66"/>
      <c r="K4331" s="66"/>
      <c r="L4331" s="68"/>
      <c r="M4331" s="63" t="str">
        <f>HYPERLINK("http://nsgreg.nga.mil/genc/view?v=872044&amp;end_month=12&amp;end_day=31&amp;end_year=2016","Correlation")</f>
        <v>Correlation</v>
      </c>
    </row>
    <row r="4332" spans="1:13" x14ac:dyDescent="0.2">
      <c r="A4332" s="113"/>
      <c r="B4332" s="58" t="s">
        <v>11069</v>
      </c>
      <c r="C4332" s="58" t="s">
        <v>1413</v>
      </c>
      <c r="D4332" s="58" t="s">
        <v>11070</v>
      </c>
      <c r="E4332" s="60" t="b">
        <v>1</v>
      </c>
      <c r="F4332" s="80" t="s">
        <v>1304</v>
      </c>
      <c r="G4332" s="58" t="s">
        <v>11069</v>
      </c>
      <c r="H4332" s="58" t="s">
        <v>1413</v>
      </c>
      <c r="I4332" s="64" t="s">
        <v>11070</v>
      </c>
      <c r="J4332" s="66"/>
      <c r="K4332" s="66"/>
      <c r="L4332" s="68"/>
      <c r="M4332" s="63" t="str">
        <f>HYPERLINK("http://nsgreg.nga.mil/genc/view?v=872045&amp;end_month=12&amp;end_day=31&amp;end_year=2016","Correlation")</f>
        <v>Correlation</v>
      </c>
    </row>
    <row r="4333" spans="1:13" x14ac:dyDescent="0.2">
      <c r="A4333" s="113"/>
      <c r="B4333" s="58" t="s">
        <v>11071</v>
      </c>
      <c r="C4333" s="58" t="s">
        <v>1413</v>
      </c>
      <c r="D4333" s="58" t="s">
        <v>11072</v>
      </c>
      <c r="E4333" s="60" t="b">
        <v>1</v>
      </c>
      <c r="F4333" s="80" t="s">
        <v>1304</v>
      </c>
      <c r="G4333" s="58" t="s">
        <v>11071</v>
      </c>
      <c r="H4333" s="58" t="s">
        <v>1413</v>
      </c>
      <c r="I4333" s="64" t="s">
        <v>11072</v>
      </c>
      <c r="J4333" s="66"/>
      <c r="K4333" s="66"/>
      <c r="L4333" s="68"/>
      <c r="M4333" s="63" t="str">
        <f>HYPERLINK("http://nsgreg.nga.mil/genc/view?v=872047&amp;end_month=12&amp;end_day=31&amp;end_year=2016","Correlation")</f>
        <v>Correlation</v>
      </c>
    </row>
    <row r="4334" spans="1:13" x14ac:dyDescent="0.2">
      <c r="A4334" s="113"/>
      <c r="B4334" s="58" t="s">
        <v>11073</v>
      </c>
      <c r="C4334" s="58" t="s">
        <v>1413</v>
      </c>
      <c r="D4334" s="58" t="s">
        <v>11074</v>
      </c>
      <c r="E4334" s="60" t="b">
        <v>1</v>
      </c>
      <c r="F4334" s="80" t="s">
        <v>1304</v>
      </c>
      <c r="G4334" s="58" t="s">
        <v>11073</v>
      </c>
      <c r="H4334" s="58" t="s">
        <v>1413</v>
      </c>
      <c r="I4334" s="64" t="s">
        <v>11074</v>
      </c>
      <c r="J4334" s="66"/>
      <c r="K4334" s="66"/>
      <c r="L4334" s="68"/>
      <c r="M4334" s="63" t="str">
        <f>HYPERLINK("http://nsgreg.nga.mil/genc/view?v=872048&amp;end_month=12&amp;end_day=31&amp;end_year=2016","Correlation")</f>
        <v>Correlation</v>
      </c>
    </row>
    <row r="4335" spans="1:13" x14ac:dyDescent="0.2">
      <c r="A4335" s="113"/>
      <c r="B4335" s="58" t="s">
        <v>11075</v>
      </c>
      <c r="C4335" s="58" t="s">
        <v>1413</v>
      </c>
      <c r="D4335" s="58" t="s">
        <v>11076</v>
      </c>
      <c r="E4335" s="60" t="b">
        <v>1</v>
      </c>
      <c r="F4335" s="80" t="s">
        <v>1304</v>
      </c>
      <c r="G4335" s="58" t="s">
        <v>11075</v>
      </c>
      <c r="H4335" s="58" t="s">
        <v>1413</v>
      </c>
      <c r="I4335" s="64" t="s">
        <v>11076</v>
      </c>
      <c r="J4335" s="66"/>
      <c r="K4335" s="66"/>
      <c r="L4335" s="68"/>
      <c r="M4335" s="63" t="str">
        <f>HYPERLINK("http://nsgreg.nga.mil/genc/view?v=872060&amp;end_month=12&amp;end_day=31&amp;end_year=2016","Correlation")</f>
        <v>Correlation</v>
      </c>
    </row>
    <row r="4336" spans="1:13" x14ac:dyDescent="0.2">
      <c r="A4336" s="113"/>
      <c r="B4336" s="58" t="s">
        <v>11077</v>
      </c>
      <c r="C4336" s="58" t="s">
        <v>1413</v>
      </c>
      <c r="D4336" s="58" t="s">
        <v>11078</v>
      </c>
      <c r="E4336" s="60" t="b">
        <v>1</v>
      </c>
      <c r="F4336" s="80" t="s">
        <v>1304</v>
      </c>
      <c r="G4336" s="58" t="s">
        <v>11077</v>
      </c>
      <c r="H4336" s="58" t="s">
        <v>1413</v>
      </c>
      <c r="I4336" s="64" t="s">
        <v>11078</v>
      </c>
      <c r="J4336" s="66"/>
      <c r="K4336" s="66"/>
      <c r="L4336" s="68"/>
      <c r="M4336" s="63" t="str">
        <f>HYPERLINK("http://nsgreg.nga.mil/genc/view?v=872049&amp;end_month=12&amp;end_day=31&amp;end_year=2016","Correlation")</f>
        <v>Correlation</v>
      </c>
    </row>
    <row r="4337" spans="1:13" x14ac:dyDescent="0.2">
      <c r="A4337" s="114"/>
      <c r="B4337" s="71" t="s">
        <v>11079</v>
      </c>
      <c r="C4337" s="71" t="s">
        <v>1413</v>
      </c>
      <c r="D4337" s="71" t="s">
        <v>11080</v>
      </c>
      <c r="E4337" s="73" t="b">
        <v>1</v>
      </c>
      <c r="F4337" s="81" t="s">
        <v>1304</v>
      </c>
      <c r="G4337" s="71" t="s">
        <v>11079</v>
      </c>
      <c r="H4337" s="71" t="s">
        <v>1413</v>
      </c>
      <c r="I4337" s="74" t="s">
        <v>11080</v>
      </c>
      <c r="J4337" s="76"/>
      <c r="K4337" s="76"/>
      <c r="L4337" s="82"/>
      <c r="M4337" s="77" t="str">
        <f>HYPERLINK("http://nsgreg.nga.mil/genc/view?v=872050&amp;end_month=12&amp;end_day=31&amp;end_year=2016","Correlation")</f>
        <v>Correlation</v>
      </c>
    </row>
    <row r="4338" spans="1:13" x14ac:dyDescent="0.2">
      <c r="A4338" s="112" t="s">
        <v>1308</v>
      </c>
      <c r="B4338" s="50" t="s">
        <v>11081</v>
      </c>
      <c r="C4338" s="50" t="s">
        <v>1728</v>
      </c>
      <c r="D4338" s="50" t="s">
        <v>11082</v>
      </c>
      <c r="E4338" s="52" t="b">
        <v>1</v>
      </c>
      <c r="F4338" s="78" t="s">
        <v>1308</v>
      </c>
      <c r="G4338" s="50" t="s">
        <v>11081</v>
      </c>
      <c r="H4338" s="50" t="s">
        <v>1413</v>
      </c>
      <c r="I4338" s="53" t="s">
        <v>11082</v>
      </c>
      <c r="J4338" s="55"/>
      <c r="K4338" s="55"/>
      <c r="L4338" s="79"/>
      <c r="M4338" s="56" t="str">
        <f>HYPERLINK("http://nsgreg.nga.mil/genc/view?v=871949&amp;end_month=12&amp;end_day=31&amp;end_year=2016","Correlation")</f>
        <v>Correlation</v>
      </c>
    </row>
    <row r="4339" spans="1:13" x14ac:dyDescent="0.2">
      <c r="A4339" s="113"/>
      <c r="B4339" s="58" t="s">
        <v>11083</v>
      </c>
      <c r="C4339" s="58" t="s">
        <v>1681</v>
      </c>
      <c r="D4339" s="58" t="s">
        <v>11084</v>
      </c>
      <c r="E4339" s="60" t="b">
        <v>1</v>
      </c>
      <c r="F4339" s="80" t="s">
        <v>1308</v>
      </c>
      <c r="G4339" s="58" t="s">
        <v>11083</v>
      </c>
      <c r="H4339" s="58" t="s">
        <v>1681</v>
      </c>
      <c r="I4339" s="64" t="s">
        <v>11084</v>
      </c>
      <c r="J4339" s="66"/>
      <c r="K4339" s="66"/>
      <c r="L4339" s="68"/>
      <c r="M4339" s="63" t="str">
        <f>HYPERLINK("http://nsgreg.nga.mil/genc/view?v=871954&amp;end_month=12&amp;end_day=31&amp;end_year=2016","Correlation")</f>
        <v>Correlation</v>
      </c>
    </row>
    <row r="4340" spans="1:13" x14ac:dyDescent="0.2">
      <c r="A4340" s="113"/>
      <c r="B4340" s="58" t="s">
        <v>11085</v>
      </c>
      <c r="C4340" s="58" t="s">
        <v>1728</v>
      </c>
      <c r="D4340" s="58" t="s">
        <v>11086</v>
      </c>
      <c r="E4340" s="60" t="b">
        <v>1</v>
      </c>
      <c r="F4340" s="80" t="s">
        <v>1308</v>
      </c>
      <c r="G4340" s="58" t="s">
        <v>11085</v>
      </c>
      <c r="H4340" s="58" t="s">
        <v>1413</v>
      </c>
      <c r="I4340" s="64" t="s">
        <v>11086</v>
      </c>
      <c r="J4340" s="66"/>
      <c r="K4340" s="66"/>
      <c r="L4340" s="68"/>
      <c r="M4340" s="63" t="str">
        <f>HYPERLINK("http://nsgreg.nga.mil/genc/view?v=871950&amp;end_month=12&amp;end_day=31&amp;end_year=2016","Correlation")</f>
        <v>Correlation</v>
      </c>
    </row>
    <row r="4341" spans="1:13" x14ac:dyDescent="0.2">
      <c r="A4341" s="113"/>
      <c r="B4341" s="58" t="s">
        <v>11087</v>
      </c>
      <c r="C4341" s="58" t="s">
        <v>1728</v>
      </c>
      <c r="D4341" s="58" t="s">
        <v>11088</v>
      </c>
      <c r="E4341" s="60" t="b">
        <v>1</v>
      </c>
      <c r="F4341" s="80" t="s">
        <v>1308</v>
      </c>
      <c r="G4341" s="58" t="s">
        <v>11087</v>
      </c>
      <c r="H4341" s="58" t="s">
        <v>1413</v>
      </c>
      <c r="I4341" s="64" t="s">
        <v>11088</v>
      </c>
      <c r="J4341" s="66"/>
      <c r="K4341" s="66"/>
      <c r="L4341" s="68"/>
      <c r="M4341" s="63" t="str">
        <f>HYPERLINK("http://nsgreg.nga.mil/genc/view?v=871951&amp;end_month=12&amp;end_day=31&amp;end_year=2016","Correlation")</f>
        <v>Correlation</v>
      </c>
    </row>
    <row r="4342" spans="1:13" x14ac:dyDescent="0.2">
      <c r="A4342" s="113"/>
      <c r="B4342" s="58" t="s">
        <v>11089</v>
      </c>
      <c r="C4342" s="58" t="s">
        <v>1728</v>
      </c>
      <c r="D4342" s="58" t="s">
        <v>11090</v>
      </c>
      <c r="E4342" s="60" t="b">
        <v>1</v>
      </c>
      <c r="F4342" s="80" t="s">
        <v>1308</v>
      </c>
      <c r="G4342" s="58" t="s">
        <v>11089</v>
      </c>
      <c r="H4342" s="58" t="s">
        <v>1413</v>
      </c>
      <c r="I4342" s="64" t="s">
        <v>11090</v>
      </c>
      <c r="J4342" s="66"/>
      <c r="K4342" s="66"/>
      <c r="L4342" s="68"/>
      <c r="M4342" s="63" t="str">
        <f>HYPERLINK("http://nsgreg.nga.mil/genc/view?v=871952&amp;end_month=12&amp;end_day=31&amp;end_year=2016","Correlation")</f>
        <v>Correlation</v>
      </c>
    </row>
    <row r="4343" spans="1:13" x14ac:dyDescent="0.2">
      <c r="A4343" s="114"/>
      <c r="B4343" s="71" t="s">
        <v>11091</v>
      </c>
      <c r="C4343" s="71" t="s">
        <v>1728</v>
      </c>
      <c r="D4343" s="71" t="s">
        <v>11092</v>
      </c>
      <c r="E4343" s="73" t="b">
        <v>1</v>
      </c>
      <c r="F4343" s="81" t="s">
        <v>1308</v>
      </c>
      <c r="G4343" s="71" t="s">
        <v>11091</v>
      </c>
      <c r="H4343" s="71" t="s">
        <v>1413</v>
      </c>
      <c r="I4343" s="74" t="s">
        <v>11092</v>
      </c>
      <c r="J4343" s="76"/>
      <c r="K4343" s="76"/>
      <c r="L4343" s="82"/>
      <c r="M4343" s="77" t="str">
        <f>HYPERLINK("http://nsgreg.nga.mil/genc/view?v=871953&amp;end_month=12&amp;end_day=31&amp;end_year=2016","Correlation")</f>
        <v>Correlation</v>
      </c>
    </row>
    <row r="4344" spans="1:13" x14ac:dyDescent="0.2">
      <c r="A4344" s="112" t="s">
        <v>1316</v>
      </c>
      <c r="B4344" s="50" t="s">
        <v>11093</v>
      </c>
      <c r="C4344" s="50" t="s">
        <v>11094</v>
      </c>
      <c r="D4344" s="50" t="s">
        <v>11095</v>
      </c>
      <c r="E4344" s="52" t="b">
        <v>1</v>
      </c>
      <c r="F4344" s="78" t="s">
        <v>1316</v>
      </c>
      <c r="G4344" s="50" t="s">
        <v>11093</v>
      </c>
      <c r="H4344" s="50" t="s">
        <v>11094</v>
      </c>
      <c r="I4344" s="53" t="s">
        <v>11095</v>
      </c>
      <c r="J4344" s="55"/>
      <c r="K4344" s="55"/>
      <c r="L4344" s="79"/>
      <c r="M4344" s="56" t="str">
        <f>HYPERLINK("http://nsgreg.nga.mil/genc/view?v=872080&amp;end_month=12&amp;end_day=31&amp;end_year=2016","Correlation")</f>
        <v>Correlation</v>
      </c>
    </row>
    <row r="4345" spans="1:13" x14ac:dyDescent="0.2">
      <c r="A4345" s="113"/>
      <c r="B4345" s="58" t="s">
        <v>11096</v>
      </c>
      <c r="C4345" s="58" t="s">
        <v>11097</v>
      </c>
      <c r="D4345" s="58" t="s">
        <v>11098</v>
      </c>
      <c r="E4345" s="60" t="b">
        <v>1</v>
      </c>
      <c r="F4345" s="80" t="s">
        <v>1316</v>
      </c>
      <c r="G4345" s="58" t="s">
        <v>11096</v>
      </c>
      <c r="H4345" s="58" t="s">
        <v>11097</v>
      </c>
      <c r="I4345" s="64" t="s">
        <v>11098</v>
      </c>
      <c r="J4345" s="66"/>
      <c r="K4345" s="66"/>
      <c r="L4345" s="68"/>
      <c r="M4345" s="63" t="str">
        <f>HYPERLINK("http://nsgreg.nga.mil/genc/view?v=872085&amp;end_month=12&amp;end_day=31&amp;end_year=2016","Correlation")</f>
        <v>Correlation</v>
      </c>
    </row>
    <row r="4346" spans="1:13" x14ac:dyDescent="0.2">
      <c r="A4346" s="113"/>
      <c r="B4346" s="58" t="s">
        <v>11099</v>
      </c>
      <c r="C4346" s="58" t="s">
        <v>11097</v>
      </c>
      <c r="D4346" s="58" t="s">
        <v>11100</v>
      </c>
      <c r="E4346" s="60" t="b">
        <v>1</v>
      </c>
      <c r="F4346" s="80" t="s">
        <v>1316</v>
      </c>
      <c r="G4346" s="58" t="s">
        <v>11099</v>
      </c>
      <c r="H4346" s="58" t="s">
        <v>11097</v>
      </c>
      <c r="I4346" s="64" t="s">
        <v>11100</v>
      </c>
      <c r="J4346" s="66"/>
      <c r="K4346" s="66"/>
      <c r="L4346" s="68"/>
      <c r="M4346" s="63" t="str">
        <f>HYPERLINK("http://nsgreg.nga.mil/genc/view?v=872084&amp;end_month=12&amp;end_day=31&amp;end_year=2016","Correlation")</f>
        <v>Correlation</v>
      </c>
    </row>
    <row r="4347" spans="1:13" x14ac:dyDescent="0.2">
      <c r="A4347" s="113"/>
      <c r="B4347" s="58" t="s">
        <v>11101</v>
      </c>
      <c r="C4347" s="58" t="s">
        <v>11097</v>
      </c>
      <c r="D4347" s="58" t="s">
        <v>11102</v>
      </c>
      <c r="E4347" s="60" t="b">
        <v>1</v>
      </c>
      <c r="F4347" s="80" t="s">
        <v>1316</v>
      </c>
      <c r="G4347" s="58" t="s">
        <v>11101</v>
      </c>
      <c r="H4347" s="58" t="s">
        <v>11097</v>
      </c>
      <c r="I4347" s="64" t="s">
        <v>11102</v>
      </c>
      <c r="J4347" s="66"/>
      <c r="K4347" s="66"/>
      <c r="L4347" s="68"/>
      <c r="M4347" s="63" t="str">
        <f>HYPERLINK("http://nsgreg.nga.mil/genc/view?v=872081&amp;end_month=12&amp;end_day=31&amp;end_year=2016","Correlation")</f>
        <v>Correlation</v>
      </c>
    </row>
    <row r="4348" spans="1:13" x14ac:dyDescent="0.2">
      <c r="A4348" s="113"/>
      <c r="B4348" s="58" t="s">
        <v>11103</v>
      </c>
      <c r="C4348" s="58" t="s">
        <v>11097</v>
      </c>
      <c r="D4348" s="58" t="s">
        <v>11104</v>
      </c>
      <c r="E4348" s="60" t="b">
        <v>1</v>
      </c>
      <c r="F4348" s="80" t="s">
        <v>1316</v>
      </c>
      <c r="G4348" s="58" t="s">
        <v>11103</v>
      </c>
      <c r="H4348" s="58" t="s">
        <v>11097</v>
      </c>
      <c r="I4348" s="64" t="s">
        <v>11104</v>
      </c>
      <c r="J4348" s="66"/>
      <c r="K4348" s="66"/>
      <c r="L4348" s="68"/>
      <c r="M4348" s="63" t="str">
        <f>HYPERLINK("http://nsgreg.nga.mil/genc/view?v=872086&amp;end_month=12&amp;end_day=31&amp;end_year=2016","Correlation")</f>
        <v>Correlation</v>
      </c>
    </row>
    <row r="4349" spans="1:13" x14ac:dyDescent="0.2">
      <c r="A4349" s="113"/>
      <c r="B4349" s="58" t="s">
        <v>11105</v>
      </c>
      <c r="C4349" s="58" t="s">
        <v>11097</v>
      </c>
      <c r="D4349" s="58" t="s">
        <v>11106</v>
      </c>
      <c r="E4349" s="60" t="b">
        <v>1</v>
      </c>
      <c r="F4349" s="80" t="s">
        <v>1316</v>
      </c>
      <c r="G4349" s="58" t="s">
        <v>11105</v>
      </c>
      <c r="H4349" s="58" t="s">
        <v>11097</v>
      </c>
      <c r="I4349" s="64" t="s">
        <v>11106</v>
      </c>
      <c r="J4349" s="66"/>
      <c r="K4349" s="66"/>
      <c r="L4349" s="68"/>
      <c r="M4349" s="63" t="str">
        <f>HYPERLINK("http://nsgreg.nga.mil/genc/view?v=872082&amp;end_month=12&amp;end_day=31&amp;end_year=2016","Correlation")</f>
        <v>Correlation</v>
      </c>
    </row>
    <row r="4350" spans="1:13" x14ac:dyDescent="0.2">
      <c r="A4350" s="113"/>
      <c r="B4350" s="58" t="s">
        <v>11107</v>
      </c>
      <c r="C4350" s="58" t="s">
        <v>11097</v>
      </c>
      <c r="D4350" s="58" t="s">
        <v>11108</v>
      </c>
      <c r="E4350" s="60" t="b">
        <v>1</v>
      </c>
      <c r="F4350" s="80" t="s">
        <v>1316</v>
      </c>
      <c r="G4350" s="58" t="s">
        <v>11107</v>
      </c>
      <c r="H4350" s="58" t="s">
        <v>11097</v>
      </c>
      <c r="I4350" s="64" t="s">
        <v>11108</v>
      </c>
      <c r="J4350" s="66"/>
      <c r="K4350" s="66"/>
      <c r="L4350" s="68"/>
      <c r="M4350" s="63" t="str">
        <f>HYPERLINK("http://nsgreg.nga.mil/genc/view?v=872083&amp;end_month=12&amp;end_day=31&amp;end_year=2016","Correlation")</f>
        <v>Correlation</v>
      </c>
    </row>
    <row r="4351" spans="1:13" x14ac:dyDescent="0.2">
      <c r="A4351" s="114"/>
      <c r="B4351" s="71" t="s">
        <v>11109</v>
      </c>
      <c r="C4351" s="71" t="s">
        <v>11097</v>
      </c>
      <c r="D4351" s="71" t="s">
        <v>11110</v>
      </c>
      <c r="E4351" s="73" t="b">
        <v>1</v>
      </c>
      <c r="F4351" s="81" t="s">
        <v>1316</v>
      </c>
      <c r="G4351" s="71" t="s">
        <v>11109</v>
      </c>
      <c r="H4351" s="71" t="s">
        <v>11097</v>
      </c>
      <c r="I4351" s="74" t="s">
        <v>11110</v>
      </c>
      <c r="J4351" s="76"/>
      <c r="K4351" s="76"/>
      <c r="L4351" s="82"/>
      <c r="M4351" s="77" t="str">
        <f>HYPERLINK("http://nsgreg.nga.mil/genc/view?v=872087&amp;end_month=12&amp;end_day=31&amp;end_year=2016","Correlation")</f>
        <v>Correlation</v>
      </c>
    </row>
    <row r="4352" spans="1:13" x14ac:dyDescent="0.2">
      <c r="A4352" s="112" t="s">
        <v>1320</v>
      </c>
      <c r="B4352" s="50" t="s">
        <v>11111</v>
      </c>
      <c r="C4352" s="50" t="s">
        <v>1796</v>
      </c>
      <c r="D4352" s="50" t="s">
        <v>11112</v>
      </c>
      <c r="E4352" s="52" t="b">
        <v>1</v>
      </c>
      <c r="F4352" s="78" t="s">
        <v>1320</v>
      </c>
      <c r="G4352" s="50" t="s">
        <v>11111</v>
      </c>
      <c r="H4352" s="50" t="s">
        <v>1796</v>
      </c>
      <c r="I4352" s="53" t="s">
        <v>11112</v>
      </c>
      <c r="J4352" s="55"/>
      <c r="K4352" s="55"/>
      <c r="L4352" s="79"/>
      <c r="M4352" s="56" t="str">
        <f>HYPERLINK("http://nsgreg.nga.mil/genc/view?v=872239&amp;end_month=12&amp;end_day=31&amp;end_year=2016","Correlation")</f>
        <v>Correlation</v>
      </c>
    </row>
    <row r="4353" spans="1:13" x14ac:dyDescent="0.2">
      <c r="A4353" s="113"/>
      <c r="B4353" s="58" t="s">
        <v>11113</v>
      </c>
      <c r="C4353" s="58" t="s">
        <v>1796</v>
      </c>
      <c r="D4353" s="58" t="s">
        <v>11114</v>
      </c>
      <c r="E4353" s="60" t="b">
        <v>1</v>
      </c>
      <c r="F4353" s="80" t="s">
        <v>1320</v>
      </c>
      <c r="G4353" s="58" t="s">
        <v>11113</v>
      </c>
      <c r="H4353" s="58" t="s">
        <v>1796</v>
      </c>
      <c r="I4353" s="64" t="s">
        <v>11114</v>
      </c>
      <c r="J4353" s="66"/>
      <c r="K4353" s="66"/>
      <c r="L4353" s="68"/>
      <c r="M4353" s="63" t="str">
        <f>HYPERLINK("http://nsgreg.nga.mil/genc/view?v=872223&amp;end_month=12&amp;end_day=31&amp;end_year=2016","Correlation")</f>
        <v>Correlation</v>
      </c>
    </row>
    <row r="4354" spans="1:13" x14ac:dyDescent="0.2">
      <c r="A4354" s="113"/>
      <c r="B4354" s="58" t="s">
        <v>11115</v>
      </c>
      <c r="C4354" s="58" t="s">
        <v>1796</v>
      </c>
      <c r="D4354" s="58" t="s">
        <v>11116</v>
      </c>
      <c r="E4354" s="60" t="b">
        <v>1</v>
      </c>
      <c r="F4354" s="80" t="s">
        <v>1320</v>
      </c>
      <c r="G4354" s="58" t="s">
        <v>11115</v>
      </c>
      <c r="H4354" s="58" t="s">
        <v>1796</v>
      </c>
      <c r="I4354" s="64" t="s">
        <v>11116</v>
      </c>
      <c r="J4354" s="66"/>
      <c r="K4354" s="66"/>
      <c r="L4354" s="68"/>
      <c r="M4354" s="63" t="str">
        <f>HYPERLINK("http://nsgreg.nga.mil/genc/view?v=872244&amp;end_month=12&amp;end_day=31&amp;end_year=2016","Correlation")</f>
        <v>Correlation</v>
      </c>
    </row>
    <row r="4355" spans="1:13" x14ac:dyDescent="0.2">
      <c r="A4355" s="113"/>
      <c r="B4355" s="58" t="s">
        <v>11117</v>
      </c>
      <c r="C4355" s="58" t="s">
        <v>1796</v>
      </c>
      <c r="D4355" s="58" t="s">
        <v>11118</v>
      </c>
      <c r="E4355" s="60" t="b">
        <v>1</v>
      </c>
      <c r="F4355" s="80" t="s">
        <v>1320</v>
      </c>
      <c r="G4355" s="58" t="s">
        <v>11117</v>
      </c>
      <c r="H4355" s="58" t="s">
        <v>1796</v>
      </c>
      <c r="I4355" s="64" t="s">
        <v>11118</v>
      </c>
      <c r="J4355" s="66"/>
      <c r="K4355" s="66"/>
      <c r="L4355" s="68"/>
      <c r="M4355" s="63" t="str">
        <f>HYPERLINK("http://nsgreg.nga.mil/genc/view?v=872245&amp;end_month=12&amp;end_day=31&amp;end_year=2016","Correlation")</f>
        <v>Correlation</v>
      </c>
    </row>
    <row r="4356" spans="1:13" x14ac:dyDescent="0.2">
      <c r="A4356" s="113"/>
      <c r="B4356" s="58" t="s">
        <v>11119</v>
      </c>
      <c r="C4356" s="58" t="s">
        <v>1796</v>
      </c>
      <c r="D4356" s="58" t="s">
        <v>11120</v>
      </c>
      <c r="E4356" s="60" t="b">
        <v>1</v>
      </c>
      <c r="F4356" s="80" t="s">
        <v>1320</v>
      </c>
      <c r="G4356" s="58" t="s">
        <v>11119</v>
      </c>
      <c r="H4356" s="58" t="s">
        <v>1796</v>
      </c>
      <c r="I4356" s="64" t="s">
        <v>11120</v>
      </c>
      <c r="J4356" s="66"/>
      <c r="K4356" s="66"/>
      <c r="L4356" s="68"/>
      <c r="M4356" s="63" t="str">
        <f>HYPERLINK("http://nsgreg.nga.mil/genc/view?v=872236&amp;end_month=12&amp;end_day=31&amp;end_year=2016","Correlation")</f>
        <v>Correlation</v>
      </c>
    </row>
    <row r="4357" spans="1:13" x14ac:dyDescent="0.2">
      <c r="A4357" s="113"/>
      <c r="B4357" s="58" t="s">
        <v>11121</v>
      </c>
      <c r="C4357" s="58" t="s">
        <v>1796</v>
      </c>
      <c r="D4357" s="58" t="s">
        <v>11122</v>
      </c>
      <c r="E4357" s="60" t="b">
        <v>1</v>
      </c>
      <c r="F4357" s="80" t="s">
        <v>1320</v>
      </c>
      <c r="G4357" s="58" t="s">
        <v>11121</v>
      </c>
      <c r="H4357" s="58" t="s">
        <v>1796</v>
      </c>
      <c r="I4357" s="64" t="s">
        <v>11122</v>
      </c>
      <c r="J4357" s="66"/>
      <c r="K4357" s="66"/>
      <c r="L4357" s="68"/>
      <c r="M4357" s="63" t="str">
        <f>HYPERLINK("http://nsgreg.nga.mil/genc/view?v=872246&amp;end_month=12&amp;end_day=31&amp;end_year=2016","Correlation")</f>
        <v>Correlation</v>
      </c>
    </row>
    <row r="4358" spans="1:13" x14ac:dyDescent="0.2">
      <c r="A4358" s="113"/>
      <c r="B4358" s="58" t="s">
        <v>11123</v>
      </c>
      <c r="C4358" s="58" t="s">
        <v>1796</v>
      </c>
      <c r="D4358" s="58" t="s">
        <v>11124</v>
      </c>
      <c r="E4358" s="60" t="b">
        <v>1</v>
      </c>
      <c r="F4358" s="80" t="s">
        <v>1320</v>
      </c>
      <c r="G4358" s="58" t="s">
        <v>11123</v>
      </c>
      <c r="H4358" s="58" t="s">
        <v>1796</v>
      </c>
      <c r="I4358" s="64" t="s">
        <v>11124</v>
      </c>
      <c r="J4358" s="66"/>
      <c r="K4358" s="66"/>
      <c r="L4358" s="68"/>
      <c r="M4358" s="63" t="str">
        <f>HYPERLINK("http://nsgreg.nga.mil/genc/view?v=872206&amp;end_month=12&amp;end_day=31&amp;end_year=2016","Correlation")</f>
        <v>Correlation</v>
      </c>
    </row>
    <row r="4359" spans="1:13" x14ac:dyDescent="0.2">
      <c r="A4359" s="113"/>
      <c r="B4359" s="58" t="s">
        <v>11125</v>
      </c>
      <c r="C4359" s="58" t="s">
        <v>1796</v>
      </c>
      <c r="D4359" s="58" t="s">
        <v>11126</v>
      </c>
      <c r="E4359" s="60" t="b">
        <v>1</v>
      </c>
      <c r="F4359" s="80" t="s">
        <v>1320</v>
      </c>
      <c r="G4359" s="58" t="s">
        <v>11125</v>
      </c>
      <c r="H4359" s="58" t="s">
        <v>1796</v>
      </c>
      <c r="I4359" s="64" t="s">
        <v>11126</v>
      </c>
      <c r="J4359" s="66"/>
      <c r="K4359" s="66"/>
      <c r="L4359" s="68"/>
      <c r="M4359" s="63" t="str">
        <f>HYPERLINK("http://nsgreg.nga.mil/genc/view?v=872241&amp;end_month=12&amp;end_day=31&amp;end_year=2016","Correlation")</f>
        <v>Correlation</v>
      </c>
    </row>
    <row r="4360" spans="1:13" x14ac:dyDescent="0.2">
      <c r="A4360" s="113"/>
      <c r="B4360" s="58" t="s">
        <v>11127</v>
      </c>
      <c r="C4360" s="58" t="s">
        <v>1796</v>
      </c>
      <c r="D4360" s="58" t="s">
        <v>11128</v>
      </c>
      <c r="E4360" s="60" t="b">
        <v>1</v>
      </c>
      <c r="F4360" s="80" t="s">
        <v>1320</v>
      </c>
      <c r="G4360" s="58" t="s">
        <v>11127</v>
      </c>
      <c r="H4360" s="58" t="s">
        <v>1796</v>
      </c>
      <c r="I4360" s="64" t="s">
        <v>11128</v>
      </c>
      <c r="J4360" s="66"/>
      <c r="K4360" s="66"/>
      <c r="L4360" s="68"/>
      <c r="M4360" s="63" t="str">
        <f>HYPERLINK("http://nsgreg.nga.mil/genc/view?v=872224&amp;end_month=12&amp;end_day=31&amp;end_year=2016","Correlation")</f>
        <v>Correlation</v>
      </c>
    </row>
    <row r="4361" spans="1:13" x14ac:dyDescent="0.2">
      <c r="A4361" s="113"/>
      <c r="B4361" s="58" t="s">
        <v>11129</v>
      </c>
      <c r="C4361" s="58" t="s">
        <v>1796</v>
      </c>
      <c r="D4361" s="58" t="s">
        <v>11130</v>
      </c>
      <c r="E4361" s="60" t="b">
        <v>1</v>
      </c>
      <c r="F4361" s="80" t="s">
        <v>1320</v>
      </c>
      <c r="G4361" s="58" t="s">
        <v>11129</v>
      </c>
      <c r="H4361" s="58" t="s">
        <v>1796</v>
      </c>
      <c r="I4361" s="64" t="s">
        <v>11130</v>
      </c>
      <c r="J4361" s="66"/>
      <c r="K4361" s="66"/>
      <c r="L4361" s="68"/>
      <c r="M4361" s="63" t="str">
        <f>HYPERLINK("http://nsgreg.nga.mil/genc/view?v=872225&amp;end_month=12&amp;end_day=31&amp;end_year=2016","Correlation")</f>
        <v>Correlation</v>
      </c>
    </row>
    <row r="4362" spans="1:13" x14ac:dyDescent="0.2">
      <c r="A4362" s="113"/>
      <c r="B4362" s="58" t="s">
        <v>11131</v>
      </c>
      <c r="C4362" s="58" t="s">
        <v>1796</v>
      </c>
      <c r="D4362" s="58" t="s">
        <v>11132</v>
      </c>
      <c r="E4362" s="60" t="b">
        <v>1</v>
      </c>
      <c r="F4362" s="80" t="s">
        <v>1320</v>
      </c>
      <c r="G4362" s="58" t="s">
        <v>11131</v>
      </c>
      <c r="H4362" s="58" t="s">
        <v>1796</v>
      </c>
      <c r="I4362" s="64" t="s">
        <v>11132</v>
      </c>
      <c r="J4362" s="66"/>
      <c r="K4362" s="66"/>
      <c r="L4362" s="68"/>
      <c r="M4362" s="63" t="str">
        <f>HYPERLINK("http://nsgreg.nga.mil/genc/view?v=872207&amp;end_month=12&amp;end_day=31&amp;end_year=2016","Correlation")</f>
        <v>Correlation</v>
      </c>
    </row>
    <row r="4363" spans="1:13" x14ac:dyDescent="0.2">
      <c r="A4363" s="113"/>
      <c r="B4363" s="58" t="s">
        <v>11133</v>
      </c>
      <c r="C4363" s="58" t="s">
        <v>1796</v>
      </c>
      <c r="D4363" s="58" t="s">
        <v>11134</v>
      </c>
      <c r="E4363" s="60" t="b">
        <v>1</v>
      </c>
      <c r="F4363" s="80" t="s">
        <v>1320</v>
      </c>
      <c r="G4363" s="58" t="s">
        <v>11133</v>
      </c>
      <c r="H4363" s="58" t="s">
        <v>1796</v>
      </c>
      <c r="I4363" s="64" t="s">
        <v>11134</v>
      </c>
      <c r="J4363" s="66"/>
      <c r="K4363" s="66"/>
      <c r="L4363" s="68"/>
      <c r="M4363" s="63" t="str">
        <f>HYPERLINK("http://nsgreg.nga.mil/genc/view?v=872213&amp;end_month=12&amp;end_day=31&amp;end_year=2016","Correlation")</f>
        <v>Correlation</v>
      </c>
    </row>
    <row r="4364" spans="1:13" x14ac:dyDescent="0.2">
      <c r="A4364" s="113"/>
      <c r="B4364" s="58" t="s">
        <v>11135</v>
      </c>
      <c r="C4364" s="58" t="s">
        <v>1796</v>
      </c>
      <c r="D4364" s="58" t="s">
        <v>11136</v>
      </c>
      <c r="E4364" s="60" t="b">
        <v>1</v>
      </c>
      <c r="F4364" s="80" t="s">
        <v>1320</v>
      </c>
      <c r="G4364" s="58" t="s">
        <v>11135</v>
      </c>
      <c r="H4364" s="58" t="s">
        <v>1796</v>
      </c>
      <c r="I4364" s="64" t="s">
        <v>11136</v>
      </c>
      <c r="J4364" s="66"/>
      <c r="K4364" s="66"/>
      <c r="L4364" s="68"/>
      <c r="M4364" s="63" t="str">
        <f>HYPERLINK("http://nsgreg.nga.mil/genc/view?v=872191&amp;end_month=12&amp;end_day=31&amp;end_year=2016","Correlation")</f>
        <v>Correlation</v>
      </c>
    </row>
    <row r="4365" spans="1:13" x14ac:dyDescent="0.2">
      <c r="A4365" s="113"/>
      <c r="B4365" s="58" t="s">
        <v>11137</v>
      </c>
      <c r="C4365" s="58" t="s">
        <v>1796</v>
      </c>
      <c r="D4365" s="58" t="s">
        <v>11138</v>
      </c>
      <c r="E4365" s="60" t="b">
        <v>1</v>
      </c>
      <c r="F4365" s="80" t="s">
        <v>1320</v>
      </c>
      <c r="G4365" s="58" t="s">
        <v>11137</v>
      </c>
      <c r="H4365" s="58" t="s">
        <v>1796</v>
      </c>
      <c r="I4365" s="64" t="s">
        <v>11138</v>
      </c>
      <c r="J4365" s="66"/>
      <c r="K4365" s="66"/>
      <c r="L4365" s="68"/>
      <c r="M4365" s="63" t="str">
        <f>HYPERLINK("http://nsgreg.nga.mil/genc/view?v=872247&amp;end_month=12&amp;end_day=31&amp;end_year=2016","Correlation")</f>
        <v>Correlation</v>
      </c>
    </row>
    <row r="4366" spans="1:13" x14ac:dyDescent="0.2">
      <c r="A4366" s="113"/>
      <c r="B4366" s="58" t="s">
        <v>11139</v>
      </c>
      <c r="C4366" s="58" t="s">
        <v>1796</v>
      </c>
      <c r="D4366" s="58" t="s">
        <v>11140</v>
      </c>
      <c r="E4366" s="60" t="b">
        <v>1</v>
      </c>
      <c r="F4366" s="80" t="s">
        <v>1320</v>
      </c>
      <c r="G4366" s="58" t="s">
        <v>11139</v>
      </c>
      <c r="H4366" s="58" t="s">
        <v>1796</v>
      </c>
      <c r="I4366" s="64" t="s">
        <v>11140</v>
      </c>
      <c r="J4366" s="66"/>
      <c r="K4366" s="66"/>
      <c r="L4366" s="68"/>
      <c r="M4366" s="63" t="str">
        <f>HYPERLINK("http://nsgreg.nga.mil/genc/view?v=872183&amp;end_month=12&amp;end_day=31&amp;end_year=2016","Correlation")</f>
        <v>Correlation</v>
      </c>
    </row>
    <row r="4367" spans="1:13" x14ac:dyDescent="0.2">
      <c r="A4367" s="113"/>
      <c r="B4367" s="58" t="s">
        <v>11141</v>
      </c>
      <c r="C4367" s="58" t="s">
        <v>1796</v>
      </c>
      <c r="D4367" s="58" t="s">
        <v>11142</v>
      </c>
      <c r="E4367" s="60" t="b">
        <v>1</v>
      </c>
      <c r="F4367" s="80" t="s">
        <v>1320</v>
      </c>
      <c r="G4367" s="58" t="s">
        <v>11141</v>
      </c>
      <c r="H4367" s="58" t="s">
        <v>1796</v>
      </c>
      <c r="I4367" s="64" t="s">
        <v>11142</v>
      </c>
      <c r="J4367" s="66"/>
      <c r="K4367" s="66"/>
      <c r="L4367" s="68"/>
      <c r="M4367" s="63" t="str">
        <f>HYPERLINK("http://nsgreg.nga.mil/genc/view?v=872214&amp;end_month=12&amp;end_day=31&amp;end_year=2016","Correlation")</f>
        <v>Correlation</v>
      </c>
    </row>
    <row r="4368" spans="1:13" x14ac:dyDescent="0.2">
      <c r="A4368" s="113"/>
      <c r="B4368" s="58" t="s">
        <v>11145</v>
      </c>
      <c r="C4368" s="58" t="s">
        <v>1796</v>
      </c>
      <c r="D4368" s="58" t="s">
        <v>11144</v>
      </c>
      <c r="E4368" s="60" t="b">
        <v>1</v>
      </c>
      <c r="F4368" s="80" t="s">
        <v>1320</v>
      </c>
      <c r="G4368" s="58" t="s">
        <v>11143</v>
      </c>
      <c r="H4368" s="58" t="s">
        <v>1796</v>
      </c>
      <c r="I4368" s="64" t="s">
        <v>11144</v>
      </c>
      <c r="J4368" s="66"/>
      <c r="K4368" s="66"/>
      <c r="L4368" s="68"/>
      <c r="M4368" s="63" t="str">
        <f>HYPERLINK("http://nsgreg.nga.mil/genc/view?v=872184&amp;end_month=12&amp;end_day=31&amp;end_year=2016","Correlation")</f>
        <v>Correlation</v>
      </c>
    </row>
    <row r="4369" spans="1:13" x14ac:dyDescent="0.2">
      <c r="A4369" s="113"/>
      <c r="B4369" s="58" t="s">
        <v>11146</v>
      </c>
      <c r="C4369" s="58" t="s">
        <v>1796</v>
      </c>
      <c r="D4369" s="58" t="s">
        <v>11147</v>
      </c>
      <c r="E4369" s="60" t="b">
        <v>1</v>
      </c>
      <c r="F4369" s="80" t="s">
        <v>1320</v>
      </c>
      <c r="G4369" s="58" t="s">
        <v>11146</v>
      </c>
      <c r="H4369" s="58" t="s">
        <v>1796</v>
      </c>
      <c r="I4369" s="64" t="s">
        <v>11147</v>
      </c>
      <c r="J4369" s="66"/>
      <c r="K4369" s="66"/>
      <c r="L4369" s="68"/>
      <c r="M4369" s="63" t="str">
        <f>HYPERLINK("http://nsgreg.nga.mil/genc/view?v=872208&amp;end_month=12&amp;end_day=31&amp;end_year=2016","Correlation")</f>
        <v>Correlation</v>
      </c>
    </row>
    <row r="4370" spans="1:13" x14ac:dyDescent="0.2">
      <c r="A4370" s="113"/>
      <c r="B4370" s="58" t="s">
        <v>11148</v>
      </c>
      <c r="C4370" s="58" t="s">
        <v>1796</v>
      </c>
      <c r="D4370" s="58" t="s">
        <v>11149</v>
      </c>
      <c r="E4370" s="60" t="b">
        <v>1</v>
      </c>
      <c r="F4370" s="80" t="s">
        <v>1320</v>
      </c>
      <c r="G4370" s="58" t="s">
        <v>11148</v>
      </c>
      <c r="H4370" s="58" t="s">
        <v>1796</v>
      </c>
      <c r="I4370" s="64" t="s">
        <v>11149</v>
      </c>
      <c r="J4370" s="66"/>
      <c r="K4370" s="66"/>
      <c r="L4370" s="68"/>
      <c r="M4370" s="63" t="str">
        <f>HYPERLINK("http://nsgreg.nga.mil/genc/view?v=872215&amp;end_month=12&amp;end_day=31&amp;end_year=2016","Correlation")</f>
        <v>Correlation</v>
      </c>
    </row>
    <row r="4371" spans="1:13" x14ac:dyDescent="0.2">
      <c r="A4371" s="113"/>
      <c r="B4371" s="58" t="s">
        <v>11150</v>
      </c>
      <c r="C4371" s="58" t="s">
        <v>1796</v>
      </c>
      <c r="D4371" s="58" t="s">
        <v>11151</v>
      </c>
      <c r="E4371" s="60" t="b">
        <v>1</v>
      </c>
      <c r="F4371" s="80" t="s">
        <v>1320</v>
      </c>
      <c r="G4371" s="58" t="s">
        <v>11150</v>
      </c>
      <c r="H4371" s="58" t="s">
        <v>1796</v>
      </c>
      <c r="I4371" s="64" t="s">
        <v>11151</v>
      </c>
      <c r="J4371" s="66"/>
      <c r="K4371" s="66"/>
      <c r="L4371" s="68"/>
      <c r="M4371" s="63" t="str">
        <f>HYPERLINK("http://nsgreg.nga.mil/genc/view?v=872272&amp;end_month=12&amp;end_day=31&amp;end_year=2016","Correlation")</f>
        <v>Correlation</v>
      </c>
    </row>
    <row r="4372" spans="1:13" x14ac:dyDescent="0.2">
      <c r="A4372" s="113"/>
      <c r="B4372" s="58" t="s">
        <v>11152</v>
      </c>
      <c r="C4372" s="58" t="s">
        <v>1796</v>
      </c>
      <c r="D4372" s="58" t="s">
        <v>11153</v>
      </c>
      <c r="E4372" s="60" t="b">
        <v>1</v>
      </c>
      <c r="F4372" s="80" t="s">
        <v>1320</v>
      </c>
      <c r="G4372" s="58" t="s">
        <v>11152</v>
      </c>
      <c r="H4372" s="58" t="s">
        <v>1796</v>
      </c>
      <c r="I4372" s="64" t="s">
        <v>11153</v>
      </c>
      <c r="J4372" s="66"/>
      <c r="K4372" s="66"/>
      <c r="L4372" s="68"/>
      <c r="M4372" s="63" t="str">
        <f>HYPERLINK("http://nsgreg.nga.mil/genc/view?v=872254&amp;end_month=12&amp;end_day=31&amp;end_year=2016","Correlation")</f>
        <v>Correlation</v>
      </c>
    </row>
    <row r="4373" spans="1:13" x14ac:dyDescent="0.2">
      <c r="A4373" s="113"/>
      <c r="B4373" s="58" t="s">
        <v>11154</v>
      </c>
      <c r="C4373" s="58" t="s">
        <v>1796</v>
      </c>
      <c r="D4373" s="58" t="s">
        <v>11155</v>
      </c>
      <c r="E4373" s="60" t="b">
        <v>1</v>
      </c>
      <c r="F4373" s="80" t="s">
        <v>1320</v>
      </c>
      <c r="G4373" s="58" t="s">
        <v>11154</v>
      </c>
      <c r="H4373" s="58" t="s">
        <v>1796</v>
      </c>
      <c r="I4373" s="64" t="s">
        <v>11155</v>
      </c>
      <c r="J4373" s="66"/>
      <c r="K4373" s="66"/>
      <c r="L4373" s="68"/>
      <c r="M4373" s="63" t="str">
        <f>HYPERLINK("http://nsgreg.nga.mil/genc/view?v=872255&amp;end_month=12&amp;end_day=31&amp;end_year=2016","Correlation")</f>
        <v>Correlation</v>
      </c>
    </row>
    <row r="4374" spans="1:13" x14ac:dyDescent="0.2">
      <c r="A4374" s="113"/>
      <c r="B4374" s="58" t="s">
        <v>5697</v>
      </c>
      <c r="C4374" s="58" t="s">
        <v>1796</v>
      </c>
      <c r="D4374" s="58" t="s">
        <v>11156</v>
      </c>
      <c r="E4374" s="60" t="b">
        <v>1</v>
      </c>
      <c r="F4374" s="80" t="s">
        <v>1320</v>
      </c>
      <c r="G4374" s="58" t="s">
        <v>5697</v>
      </c>
      <c r="H4374" s="58" t="s">
        <v>1796</v>
      </c>
      <c r="I4374" s="64" t="s">
        <v>11156</v>
      </c>
      <c r="J4374" s="66"/>
      <c r="K4374" s="66"/>
      <c r="L4374" s="68"/>
      <c r="M4374" s="63" t="str">
        <f>HYPERLINK("http://nsgreg.nga.mil/genc/view?v=872192&amp;end_month=12&amp;end_day=31&amp;end_year=2016","Correlation")</f>
        <v>Correlation</v>
      </c>
    </row>
    <row r="4375" spans="1:13" x14ac:dyDescent="0.2">
      <c r="A4375" s="113"/>
      <c r="B4375" s="58" t="s">
        <v>11157</v>
      </c>
      <c r="C4375" s="58" t="s">
        <v>1796</v>
      </c>
      <c r="D4375" s="58" t="s">
        <v>11158</v>
      </c>
      <c r="E4375" s="60" t="b">
        <v>1</v>
      </c>
      <c r="F4375" s="80" t="s">
        <v>1320</v>
      </c>
      <c r="G4375" s="58" t="s">
        <v>11157</v>
      </c>
      <c r="H4375" s="58" t="s">
        <v>1796</v>
      </c>
      <c r="I4375" s="64" t="s">
        <v>11158</v>
      </c>
      <c r="J4375" s="66"/>
      <c r="K4375" s="66"/>
      <c r="L4375" s="68"/>
      <c r="M4375" s="63" t="str">
        <f>HYPERLINK("http://nsgreg.nga.mil/genc/view?v=872209&amp;end_month=12&amp;end_day=31&amp;end_year=2016","Correlation")</f>
        <v>Correlation</v>
      </c>
    </row>
    <row r="4376" spans="1:13" x14ac:dyDescent="0.2">
      <c r="A4376" s="113"/>
      <c r="B4376" s="58" t="s">
        <v>11159</v>
      </c>
      <c r="C4376" s="58" t="s">
        <v>1796</v>
      </c>
      <c r="D4376" s="58" t="s">
        <v>11160</v>
      </c>
      <c r="E4376" s="60" t="b">
        <v>1</v>
      </c>
      <c r="F4376" s="80" t="s">
        <v>1320</v>
      </c>
      <c r="G4376" s="58" t="s">
        <v>11159</v>
      </c>
      <c r="H4376" s="58" t="s">
        <v>1796</v>
      </c>
      <c r="I4376" s="64" t="s">
        <v>11160</v>
      </c>
      <c r="J4376" s="66"/>
      <c r="K4376" s="66"/>
      <c r="L4376" s="68"/>
      <c r="M4376" s="63" t="str">
        <f>HYPERLINK("http://nsgreg.nga.mil/genc/view?v=872185&amp;end_month=12&amp;end_day=31&amp;end_year=2016","Correlation")</f>
        <v>Correlation</v>
      </c>
    </row>
    <row r="4377" spans="1:13" x14ac:dyDescent="0.2">
      <c r="A4377" s="113"/>
      <c r="B4377" s="58" t="s">
        <v>11161</v>
      </c>
      <c r="C4377" s="58" t="s">
        <v>1796</v>
      </c>
      <c r="D4377" s="58" t="s">
        <v>11162</v>
      </c>
      <c r="E4377" s="60" t="b">
        <v>1</v>
      </c>
      <c r="F4377" s="80" t="s">
        <v>1320</v>
      </c>
      <c r="G4377" s="58" t="s">
        <v>11161</v>
      </c>
      <c r="H4377" s="58" t="s">
        <v>1796</v>
      </c>
      <c r="I4377" s="64" t="s">
        <v>11162</v>
      </c>
      <c r="J4377" s="66"/>
      <c r="K4377" s="66"/>
      <c r="L4377" s="68"/>
      <c r="M4377" s="63" t="str">
        <f>HYPERLINK("http://nsgreg.nga.mil/genc/view?v=872186&amp;end_month=12&amp;end_day=31&amp;end_year=2016","Correlation")</f>
        <v>Correlation</v>
      </c>
    </row>
    <row r="4378" spans="1:13" x14ac:dyDescent="0.2">
      <c r="A4378" s="113"/>
      <c r="B4378" s="58" t="s">
        <v>11163</v>
      </c>
      <c r="C4378" s="58" t="s">
        <v>1796</v>
      </c>
      <c r="D4378" s="58" t="s">
        <v>11164</v>
      </c>
      <c r="E4378" s="60" t="b">
        <v>1</v>
      </c>
      <c r="F4378" s="80" t="s">
        <v>1320</v>
      </c>
      <c r="G4378" s="58" t="s">
        <v>11163</v>
      </c>
      <c r="H4378" s="58" t="s">
        <v>1796</v>
      </c>
      <c r="I4378" s="64" t="s">
        <v>11164</v>
      </c>
      <c r="J4378" s="66"/>
      <c r="K4378" s="66"/>
      <c r="L4378" s="68"/>
      <c r="M4378" s="63" t="str">
        <f>HYPERLINK("http://nsgreg.nga.mil/genc/view?v=872216&amp;end_month=12&amp;end_day=31&amp;end_year=2016","Correlation")</f>
        <v>Correlation</v>
      </c>
    </row>
    <row r="4379" spans="1:13" x14ac:dyDescent="0.2">
      <c r="A4379" s="113"/>
      <c r="B4379" s="58" t="s">
        <v>2411</v>
      </c>
      <c r="C4379" s="58" t="s">
        <v>2763</v>
      </c>
      <c r="D4379" s="58" t="s">
        <v>11165</v>
      </c>
      <c r="E4379" s="60" t="b">
        <v>1</v>
      </c>
      <c r="F4379" s="80" t="s">
        <v>1320</v>
      </c>
      <c r="G4379" s="58" t="s">
        <v>2411</v>
      </c>
      <c r="H4379" s="58" t="s">
        <v>2763</v>
      </c>
      <c r="I4379" s="64" t="s">
        <v>11165</v>
      </c>
      <c r="J4379" s="66"/>
      <c r="K4379" s="66"/>
      <c r="L4379" s="68"/>
      <c r="M4379" s="63" t="str">
        <f>HYPERLINK("http://nsgreg.nga.mil/genc/view?v=872279&amp;end_month=12&amp;end_day=31&amp;end_year=2016","Correlation")</f>
        <v>Correlation</v>
      </c>
    </row>
    <row r="4380" spans="1:13" x14ac:dyDescent="0.2">
      <c r="A4380" s="113"/>
      <c r="B4380" s="58" t="s">
        <v>11166</v>
      </c>
      <c r="C4380" s="58" t="s">
        <v>1796</v>
      </c>
      <c r="D4380" s="58" t="s">
        <v>11167</v>
      </c>
      <c r="E4380" s="60" t="b">
        <v>1</v>
      </c>
      <c r="F4380" s="80" t="s">
        <v>1320</v>
      </c>
      <c r="G4380" s="58" t="s">
        <v>11166</v>
      </c>
      <c r="H4380" s="58" t="s">
        <v>1796</v>
      </c>
      <c r="I4380" s="64" t="s">
        <v>11167</v>
      </c>
      <c r="J4380" s="66"/>
      <c r="K4380" s="66"/>
      <c r="L4380" s="68"/>
      <c r="M4380" s="63" t="str">
        <f>HYPERLINK("http://nsgreg.nga.mil/genc/view?v=872240&amp;end_month=12&amp;end_day=31&amp;end_year=2016","Correlation")</f>
        <v>Correlation</v>
      </c>
    </row>
    <row r="4381" spans="1:13" x14ac:dyDescent="0.2">
      <c r="A4381" s="113"/>
      <c r="B4381" s="58" t="s">
        <v>4055</v>
      </c>
      <c r="C4381" s="58" t="s">
        <v>2763</v>
      </c>
      <c r="D4381" s="58" t="s">
        <v>11168</v>
      </c>
      <c r="E4381" s="60" t="b">
        <v>1</v>
      </c>
      <c r="F4381" s="80" t="s">
        <v>1320</v>
      </c>
      <c r="G4381" s="58" t="s">
        <v>4055</v>
      </c>
      <c r="H4381" s="58" t="s">
        <v>2763</v>
      </c>
      <c r="I4381" s="64" t="s">
        <v>11168</v>
      </c>
      <c r="J4381" s="66"/>
      <c r="K4381" s="66"/>
      <c r="L4381" s="68"/>
      <c r="M4381" s="63" t="str">
        <f>HYPERLINK("http://nsgreg.nga.mil/genc/view?v=872280&amp;end_month=12&amp;end_day=31&amp;end_year=2016","Correlation")</f>
        <v>Correlation</v>
      </c>
    </row>
    <row r="4382" spans="1:13" x14ac:dyDescent="0.2">
      <c r="A4382" s="113"/>
      <c r="B4382" s="58" t="s">
        <v>11169</v>
      </c>
      <c r="C4382" s="58" t="s">
        <v>1796</v>
      </c>
      <c r="D4382" s="58" t="s">
        <v>11170</v>
      </c>
      <c r="E4382" s="60" t="b">
        <v>1</v>
      </c>
      <c r="F4382" s="80" t="s">
        <v>1320</v>
      </c>
      <c r="G4382" s="58" t="s">
        <v>11169</v>
      </c>
      <c r="H4382" s="58" t="s">
        <v>1796</v>
      </c>
      <c r="I4382" s="64" t="s">
        <v>11170</v>
      </c>
      <c r="J4382" s="66"/>
      <c r="K4382" s="66"/>
      <c r="L4382" s="68"/>
      <c r="M4382" s="63" t="str">
        <f>HYPERLINK("http://nsgreg.nga.mil/genc/view?v=872187&amp;end_month=12&amp;end_day=31&amp;end_year=2016","Correlation")</f>
        <v>Correlation</v>
      </c>
    </row>
    <row r="4383" spans="1:13" x14ac:dyDescent="0.2">
      <c r="A4383" s="113"/>
      <c r="B4383" s="58" t="s">
        <v>11171</v>
      </c>
      <c r="C4383" s="58" t="s">
        <v>1796</v>
      </c>
      <c r="D4383" s="58" t="s">
        <v>11172</v>
      </c>
      <c r="E4383" s="60" t="b">
        <v>1</v>
      </c>
      <c r="F4383" s="80" t="s">
        <v>1320</v>
      </c>
      <c r="G4383" s="58" t="s">
        <v>11171</v>
      </c>
      <c r="H4383" s="58" t="s">
        <v>1796</v>
      </c>
      <c r="I4383" s="64" t="s">
        <v>11172</v>
      </c>
      <c r="J4383" s="66"/>
      <c r="K4383" s="66"/>
      <c r="L4383" s="68"/>
      <c r="M4383" s="63" t="str">
        <f>HYPERLINK("http://nsgreg.nga.mil/genc/view?v=872226&amp;end_month=12&amp;end_day=31&amp;end_year=2016","Correlation")</f>
        <v>Correlation</v>
      </c>
    </row>
    <row r="4384" spans="1:13" x14ac:dyDescent="0.2">
      <c r="A4384" s="113"/>
      <c r="B4384" s="58" t="s">
        <v>11173</v>
      </c>
      <c r="C4384" s="58" t="s">
        <v>1796</v>
      </c>
      <c r="D4384" s="58" t="s">
        <v>11174</v>
      </c>
      <c r="E4384" s="60" t="b">
        <v>1</v>
      </c>
      <c r="F4384" s="80" t="s">
        <v>1320</v>
      </c>
      <c r="G4384" s="58" t="s">
        <v>11173</v>
      </c>
      <c r="H4384" s="58" t="s">
        <v>1796</v>
      </c>
      <c r="I4384" s="64" t="s">
        <v>11174</v>
      </c>
      <c r="J4384" s="66"/>
      <c r="K4384" s="66"/>
      <c r="L4384" s="68"/>
      <c r="M4384" s="63" t="str">
        <f>HYPERLINK("http://nsgreg.nga.mil/genc/view?v=872256&amp;end_month=12&amp;end_day=31&amp;end_year=2016","Correlation")</f>
        <v>Correlation</v>
      </c>
    </row>
    <row r="4385" spans="1:13" x14ac:dyDescent="0.2">
      <c r="A4385" s="113"/>
      <c r="B4385" s="58" t="s">
        <v>11175</v>
      </c>
      <c r="C4385" s="58" t="s">
        <v>1796</v>
      </c>
      <c r="D4385" s="58" t="s">
        <v>11176</v>
      </c>
      <c r="E4385" s="60" t="b">
        <v>1</v>
      </c>
      <c r="F4385" s="80" t="s">
        <v>1320</v>
      </c>
      <c r="G4385" s="58" t="s">
        <v>11175</v>
      </c>
      <c r="H4385" s="58" t="s">
        <v>1796</v>
      </c>
      <c r="I4385" s="64" t="s">
        <v>11176</v>
      </c>
      <c r="J4385" s="66"/>
      <c r="K4385" s="66"/>
      <c r="L4385" s="68"/>
      <c r="M4385" s="63" t="str">
        <f>HYPERLINK("http://nsgreg.nga.mil/genc/view?v=872269&amp;end_month=12&amp;end_day=31&amp;end_year=2016","Correlation")</f>
        <v>Correlation</v>
      </c>
    </row>
    <row r="4386" spans="1:13" x14ac:dyDescent="0.2">
      <c r="A4386" s="113"/>
      <c r="B4386" s="58" t="s">
        <v>11177</v>
      </c>
      <c r="C4386" s="58" t="s">
        <v>1796</v>
      </c>
      <c r="D4386" s="58" t="s">
        <v>11178</v>
      </c>
      <c r="E4386" s="60" t="b">
        <v>1</v>
      </c>
      <c r="F4386" s="80" t="s">
        <v>1320</v>
      </c>
      <c r="G4386" s="58" t="s">
        <v>11177</v>
      </c>
      <c r="H4386" s="58" t="s">
        <v>1796</v>
      </c>
      <c r="I4386" s="64" t="s">
        <v>11178</v>
      </c>
      <c r="J4386" s="66"/>
      <c r="K4386" s="66"/>
      <c r="L4386" s="68"/>
      <c r="M4386" s="63" t="str">
        <f>HYPERLINK("http://nsgreg.nga.mil/genc/view?v=872193&amp;end_month=12&amp;end_day=31&amp;end_year=2016","Correlation")</f>
        <v>Correlation</v>
      </c>
    </row>
    <row r="4387" spans="1:13" x14ac:dyDescent="0.2">
      <c r="A4387" s="113"/>
      <c r="B4387" s="58" t="s">
        <v>11179</v>
      </c>
      <c r="C4387" s="58" t="s">
        <v>1796</v>
      </c>
      <c r="D4387" s="58" t="s">
        <v>11180</v>
      </c>
      <c r="E4387" s="60" t="b">
        <v>1</v>
      </c>
      <c r="F4387" s="80" t="s">
        <v>1320</v>
      </c>
      <c r="G4387" s="58" t="s">
        <v>11179</v>
      </c>
      <c r="H4387" s="58" t="s">
        <v>1796</v>
      </c>
      <c r="I4387" s="64" t="s">
        <v>11180</v>
      </c>
      <c r="J4387" s="66"/>
      <c r="K4387" s="66"/>
      <c r="L4387" s="68"/>
      <c r="M4387" s="63" t="str">
        <f>HYPERLINK("http://nsgreg.nga.mil/genc/view?v=872270&amp;end_month=12&amp;end_day=31&amp;end_year=2016","Correlation")</f>
        <v>Correlation</v>
      </c>
    </row>
    <row r="4388" spans="1:13" x14ac:dyDescent="0.2">
      <c r="A4388" s="113"/>
      <c r="B4388" s="58" t="s">
        <v>11181</v>
      </c>
      <c r="C4388" s="58" t="s">
        <v>1796</v>
      </c>
      <c r="D4388" s="58" t="s">
        <v>11182</v>
      </c>
      <c r="E4388" s="60" t="b">
        <v>1</v>
      </c>
      <c r="F4388" s="80" t="s">
        <v>1320</v>
      </c>
      <c r="G4388" s="58" t="s">
        <v>11181</v>
      </c>
      <c r="H4388" s="58" t="s">
        <v>1796</v>
      </c>
      <c r="I4388" s="64" t="s">
        <v>11182</v>
      </c>
      <c r="J4388" s="66"/>
      <c r="K4388" s="66"/>
      <c r="L4388" s="68"/>
      <c r="M4388" s="63" t="str">
        <f>HYPERLINK("http://nsgreg.nga.mil/genc/view?v=872194&amp;end_month=12&amp;end_day=31&amp;end_year=2016","Correlation")</f>
        <v>Correlation</v>
      </c>
    </row>
    <row r="4389" spans="1:13" x14ac:dyDescent="0.2">
      <c r="A4389" s="113"/>
      <c r="B4389" s="58" t="s">
        <v>11183</v>
      </c>
      <c r="C4389" s="58" t="s">
        <v>1796</v>
      </c>
      <c r="D4389" s="58" t="s">
        <v>11184</v>
      </c>
      <c r="E4389" s="60" t="b">
        <v>1</v>
      </c>
      <c r="F4389" s="80" t="s">
        <v>1320</v>
      </c>
      <c r="G4389" s="58" t="s">
        <v>11183</v>
      </c>
      <c r="H4389" s="58" t="s">
        <v>1796</v>
      </c>
      <c r="I4389" s="64" t="s">
        <v>11184</v>
      </c>
      <c r="J4389" s="66"/>
      <c r="K4389" s="66"/>
      <c r="L4389" s="68"/>
      <c r="M4389" s="63" t="str">
        <f>HYPERLINK("http://nsgreg.nga.mil/genc/view?v=872237&amp;end_month=12&amp;end_day=31&amp;end_year=2016","Correlation")</f>
        <v>Correlation</v>
      </c>
    </row>
    <row r="4390" spans="1:13" x14ac:dyDescent="0.2">
      <c r="A4390" s="113"/>
      <c r="B4390" s="58" t="s">
        <v>11185</v>
      </c>
      <c r="C4390" s="58" t="s">
        <v>1796</v>
      </c>
      <c r="D4390" s="58" t="s">
        <v>11186</v>
      </c>
      <c r="E4390" s="60" t="b">
        <v>1</v>
      </c>
      <c r="F4390" s="80" t="s">
        <v>1320</v>
      </c>
      <c r="G4390" s="58" t="s">
        <v>11185</v>
      </c>
      <c r="H4390" s="58" t="s">
        <v>1796</v>
      </c>
      <c r="I4390" s="64" t="s">
        <v>11186</v>
      </c>
      <c r="J4390" s="66"/>
      <c r="K4390" s="66"/>
      <c r="L4390" s="68"/>
      <c r="M4390" s="63" t="str">
        <f>HYPERLINK("http://nsgreg.nga.mil/genc/view?v=872257&amp;end_month=12&amp;end_day=31&amp;end_year=2016","Correlation")</f>
        <v>Correlation</v>
      </c>
    </row>
    <row r="4391" spans="1:13" x14ac:dyDescent="0.2">
      <c r="A4391" s="113"/>
      <c r="B4391" s="58" t="s">
        <v>11187</v>
      </c>
      <c r="C4391" s="58" t="s">
        <v>1796</v>
      </c>
      <c r="D4391" s="58" t="s">
        <v>11188</v>
      </c>
      <c r="E4391" s="60" t="b">
        <v>1</v>
      </c>
      <c r="F4391" s="80" t="s">
        <v>1320</v>
      </c>
      <c r="G4391" s="58" t="s">
        <v>11187</v>
      </c>
      <c r="H4391" s="58" t="s">
        <v>1796</v>
      </c>
      <c r="I4391" s="64" t="s">
        <v>11188</v>
      </c>
      <c r="J4391" s="66"/>
      <c r="K4391" s="66"/>
      <c r="L4391" s="68"/>
      <c r="M4391" s="63" t="str">
        <f>HYPERLINK("http://nsgreg.nga.mil/genc/view?v=872258&amp;end_month=12&amp;end_day=31&amp;end_year=2016","Correlation")</f>
        <v>Correlation</v>
      </c>
    </row>
    <row r="4392" spans="1:13" x14ac:dyDescent="0.2">
      <c r="A4392" s="113"/>
      <c r="B4392" s="58" t="s">
        <v>11189</v>
      </c>
      <c r="C4392" s="58" t="s">
        <v>1796</v>
      </c>
      <c r="D4392" s="58" t="s">
        <v>11190</v>
      </c>
      <c r="E4392" s="60" t="b">
        <v>1</v>
      </c>
      <c r="F4392" s="80" t="s">
        <v>1320</v>
      </c>
      <c r="G4392" s="58" t="s">
        <v>11189</v>
      </c>
      <c r="H4392" s="58" t="s">
        <v>1796</v>
      </c>
      <c r="I4392" s="64" t="s">
        <v>11190</v>
      </c>
      <c r="J4392" s="66"/>
      <c r="K4392" s="66"/>
      <c r="L4392" s="68"/>
      <c r="M4392" s="63" t="str">
        <f>HYPERLINK("http://nsgreg.nga.mil/genc/view?v=872203&amp;end_month=12&amp;end_day=31&amp;end_year=2016","Correlation")</f>
        <v>Correlation</v>
      </c>
    </row>
    <row r="4393" spans="1:13" x14ac:dyDescent="0.2">
      <c r="A4393" s="113"/>
      <c r="B4393" s="58" t="s">
        <v>11191</v>
      </c>
      <c r="C4393" s="58" t="s">
        <v>1796</v>
      </c>
      <c r="D4393" s="58" t="s">
        <v>11192</v>
      </c>
      <c r="E4393" s="60" t="b">
        <v>1</v>
      </c>
      <c r="F4393" s="80" t="s">
        <v>1320</v>
      </c>
      <c r="G4393" s="58" t="s">
        <v>11191</v>
      </c>
      <c r="H4393" s="58" t="s">
        <v>1796</v>
      </c>
      <c r="I4393" s="64" t="s">
        <v>11192</v>
      </c>
      <c r="J4393" s="66"/>
      <c r="K4393" s="66"/>
      <c r="L4393" s="68"/>
      <c r="M4393" s="63" t="str">
        <f>HYPERLINK("http://nsgreg.nga.mil/genc/view?v=872167&amp;end_month=12&amp;end_day=31&amp;end_year=2016","Correlation")</f>
        <v>Correlation</v>
      </c>
    </row>
    <row r="4394" spans="1:13" x14ac:dyDescent="0.2">
      <c r="A4394" s="113"/>
      <c r="B4394" s="58" t="s">
        <v>11193</v>
      </c>
      <c r="C4394" s="58" t="s">
        <v>1796</v>
      </c>
      <c r="D4394" s="58" t="s">
        <v>11194</v>
      </c>
      <c r="E4394" s="60" t="b">
        <v>1</v>
      </c>
      <c r="F4394" s="80" t="s">
        <v>1320</v>
      </c>
      <c r="G4394" s="58" t="s">
        <v>11193</v>
      </c>
      <c r="H4394" s="58" t="s">
        <v>1796</v>
      </c>
      <c r="I4394" s="64" t="s">
        <v>11194</v>
      </c>
      <c r="J4394" s="66"/>
      <c r="K4394" s="66"/>
      <c r="L4394" s="68"/>
      <c r="M4394" s="63" t="str">
        <f>HYPERLINK("http://nsgreg.nga.mil/genc/view?v=872210&amp;end_month=12&amp;end_day=31&amp;end_year=2016","Correlation")</f>
        <v>Correlation</v>
      </c>
    </row>
    <row r="4395" spans="1:13" x14ac:dyDescent="0.2">
      <c r="A4395" s="113"/>
      <c r="B4395" s="58" t="s">
        <v>11195</v>
      </c>
      <c r="C4395" s="58" t="s">
        <v>1796</v>
      </c>
      <c r="D4395" s="58" t="s">
        <v>11196</v>
      </c>
      <c r="E4395" s="60" t="b">
        <v>1</v>
      </c>
      <c r="F4395" s="80" t="s">
        <v>1320</v>
      </c>
      <c r="G4395" s="58" t="s">
        <v>11195</v>
      </c>
      <c r="H4395" s="58" t="s">
        <v>1796</v>
      </c>
      <c r="I4395" s="64" t="s">
        <v>11196</v>
      </c>
      <c r="J4395" s="66"/>
      <c r="K4395" s="66"/>
      <c r="L4395" s="68"/>
      <c r="M4395" s="63" t="str">
        <f>HYPERLINK("http://nsgreg.nga.mil/genc/view?v=872188&amp;end_month=12&amp;end_day=31&amp;end_year=2016","Correlation")</f>
        <v>Correlation</v>
      </c>
    </row>
    <row r="4396" spans="1:13" x14ac:dyDescent="0.2">
      <c r="A4396" s="113"/>
      <c r="B4396" s="58" t="s">
        <v>11197</v>
      </c>
      <c r="C4396" s="58" t="s">
        <v>1681</v>
      </c>
      <c r="D4396" s="58" t="s">
        <v>11198</v>
      </c>
      <c r="E4396" s="60" t="b">
        <v>1</v>
      </c>
      <c r="F4396" s="80" t="s">
        <v>1320</v>
      </c>
      <c r="G4396" s="58" t="s">
        <v>11197</v>
      </c>
      <c r="H4396" s="58" t="s">
        <v>1681</v>
      </c>
      <c r="I4396" s="64" t="s">
        <v>11198</v>
      </c>
      <c r="J4396" s="66"/>
      <c r="K4396" s="66"/>
      <c r="L4396" s="68"/>
      <c r="M4396" s="63" t="str">
        <f>HYPERLINK("http://nsgreg.nga.mil/genc/view?v=872168&amp;end_month=12&amp;end_day=31&amp;end_year=2016","Correlation")</f>
        <v>Correlation</v>
      </c>
    </row>
    <row r="4397" spans="1:13" x14ac:dyDescent="0.2">
      <c r="A4397" s="113"/>
      <c r="B4397" s="58" t="s">
        <v>11199</v>
      </c>
      <c r="C4397" s="58" t="s">
        <v>1796</v>
      </c>
      <c r="D4397" s="58" t="s">
        <v>11200</v>
      </c>
      <c r="E4397" s="60" t="b">
        <v>1</v>
      </c>
      <c r="F4397" s="80" t="s">
        <v>1320</v>
      </c>
      <c r="G4397" s="58" t="s">
        <v>11199</v>
      </c>
      <c r="H4397" s="58" t="s">
        <v>1796</v>
      </c>
      <c r="I4397" s="64" t="s">
        <v>11200</v>
      </c>
      <c r="J4397" s="66"/>
      <c r="K4397" s="66"/>
      <c r="L4397" s="68"/>
      <c r="M4397" s="63" t="str">
        <f>HYPERLINK("http://nsgreg.nga.mil/genc/view?v=872195&amp;end_month=12&amp;end_day=31&amp;end_year=2016","Correlation")</f>
        <v>Correlation</v>
      </c>
    </row>
    <row r="4398" spans="1:13" x14ac:dyDescent="0.2">
      <c r="A4398" s="113"/>
      <c r="B4398" s="58" t="s">
        <v>11201</v>
      </c>
      <c r="C4398" s="58" t="s">
        <v>1796</v>
      </c>
      <c r="D4398" s="58" t="s">
        <v>11202</v>
      </c>
      <c r="E4398" s="60" t="b">
        <v>1</v>
      </c>
      <c r="F4398" s="80" t="s">
        <v>1320</v>
      </c>
      <c r="G4398" s="58" t="s">
        <v>11201</v>
      </c>
      <c r="H4398" s="58" t="s">
        <v>1796</v>
      </c>
      <c r="I4398" s="64" t="s">
        <v>11202</v>
      </c>
      <c r="J4398" s="66"/>
      <c r="K4398" s="66"/>
      <c r="L4398" s="68"/>
      <c r="M4398" s="63" t="str">
        <f>HYPERLINK("http://nsgreg.nga.mil/genc/view?v=872266&amp;end_month=12&amp;end_day=31&amp;end_year=2016","Correlation")</f>
        <v>Correlation</v>
      </c>
    </row>
    <row r="4399" spans="1:13" x14ac:dyDescent="0.2">
      <c r="A4399" s="113"/>
      <c r="B4399" s="58" t="s">
        <v>11203</v>
      </c>
      <c r="C4399" s="58" t="s">
        <v>1796</v>
      </c>
      <c r="D4399" s="58" t="s">
        <v>11204</v>
      </c>
      <c r="E4399" s="60" t="b">
        <v>1</v>
      </c>
      <c r="F4399" s="80" t="s">
        <v>1320</v>
      </c>
      <c r="G4399" s="58" t="s">
        <v>11203</v>
      </c>
      <c r="H4399" s="58" t="s">
        <v>1796</v>
      </c>
      <c r="I4399" s="64" t="s">
        <v>11204</v>
      </c>
      <c r="J4399" s="66"/>
      <c r="K4399" s="66"/>
      <c r="L4399" s="68"/>
      <c r="M4399" s="63" t="str">
        <f>HYPERLINK("http://nsgreg.nga.mil/genc/view?v=872267&amp;end_month=12&amp;end_day=31&amp;end_year=2016","Correlation")</f>
        <v>Correlation</v>
      </c>
    </row>
    <row r="4400" spans="1:13" x14ac:dyDescent="0.2">
      <c r="A4400" s="113"/>
      <c r="B4400" s="58" t="s">
        <v>11205</v>
      </c>
      <c r="C4400" s="58" t="s">
        <v>1796</v>
      </c>
      <c r="D4400" s="58" t="s">
        <v>11206</v>
      </c>
      <c r="E4400" s="60" t="b">
        <v>1</v>
      </c>
      <c r="F4400" s="80" t="s">
        <v>1320</v>
      </c>
      <c r="G4400" s="58" t="s">
        <v>11205</v>
      </c>
      <c r="H4400" s="58" t="s">
        <v>1796</v>
      </c>
      <c r="I4400" s="64" t="s">
        <v>11206</v>
      </c>
      <c r="J4400" s="66"/>
      <c r="K4400" s="66"/>
      <c r="L4400" s="68"/>
      <c r="M4400" s="63" t="str">
        <f>HYPERLINK("http://nsgreg.nga.mil/genc/view?v=872196&amp;end_month=12&amp;end_day=31&amp;end_year=2016","Correlation")</f>
        <v>Correlation</v>
      </c>
    </row>
    <row r="4401" spans="1:13" x14ac:dyDescent="0.2">
      <c r="A4401" s="113"/>
      <c r="B4401" s="58" t="s">
        <v>11207</v>
      </c>
      <c r="C4401" s="58" t="s">
        <v>1796</v>
      </c>
      <c r="D4401" s="58" t="s">
        <v>11208</v>
      </c>
      <c r="E4401" s="60" t="b">
        <v>1</v>
      </c>
      <c r="F4401" s="80" t="s">
        <v>1320</v>
      </c>
      <c r="G4401" s="58" t="s">
        <v>11207</v>
      </c>
      <c r="H4401" s="58" t="s">
        <v>1796</v>
      </c>
      <c r="I4401" s="64" t="s">
        <v>11208</v>
      </c>
      <c r="J4401" s="66"/>
      <c r="K4401" s="66"/>
      <c r="L4401" s="68"/>
      <c r="M4401" s="63" t="str">
        <f>HYPERLINK("http://nsgreg.nga.mil/genc/view?v=872259&amp;end_month=12&amp;end_day=31&amp;end_year=2016","Correlation")</f>
        <v>Correlation</v>
      </c>
    </row>
    <row r="4402" spans="1:13" x14ac:dyDescent="0.2">
      <c r="A4402" s="113"/>
      <c r="B4402" s="58" t="s">
        <v>11209</v>
      </c>
      <c r="C4402" s="58" t="s">
        <v>1796</v>
      </c>
      <c r="D4402" s="58" t="s">
        <v>11210</v>
      </c>
      <c r="E4402" s="60" t="b">
        <v>1</v>
      </c>
      <c r="F4402" s="80" t="s">
        <v>1320</v>
      </c>
      <c r="G4402" s="58" t="s">
        <v>11209</v>
      </c>
      <c r="H4402" s="58" t="s">
        <v>1796</v>
      </c>
      <c r="I4402" s="64" t="s">
        <v>11210</v>
      </c>
      <c r="J4402" s="66"/>
      <c r="K4402" s="66"/>
      <c r="L4402" s="68"/>
      <c r="M4402" s="63" t="str">
        <f>HYPERLINK("http://nsgreg.nga.mil/genc/view?v=872197&amp;end_month=12&amp;end_day=31&amp;end_year=2016","Correlation")</f>
        <v>Correlation</v>
      </c>
    </row>
    <row r="4403" spans="1:13" x14ac:dyDescent="0.2">
      <c r="A4403" s="113"/>
      <c r="B4403" s="58" t="s">
        <v>11211</v>
      </c>
      <c r="C4403" s="58" t="s">
        <v>1796</v>
      </c>
      <c r="D4403" s="58" t="s">
        <v>11212</v>
      </c>
      <c r="E4403" s="60" t="b">
        <v>1</v>
      </c>
      <c r="F4403" s="80" t="s">
        <v>1320</v>
      </c>
      <c r="G4403" s="58" t="s">
        <v>11211</v>
      </c>
      <c r="H4403" s="58" t="s">
        <v>1796</v>
      </c>
      <c r="I4403" s="64" t="s">
        <v>11212</v>
      </c>
      <c r="J4403" s="66"/>
      <c r="K4403" s="66"/>
      <c r="L4403" s="68"/>
      <c r="M4403" s="63" t="str">
        <f>HYPERLINK("http://nsgreg.nga.mil/genc/view?v=872178&amp;end_month=12&amp;end_day=31&amp;end_year=2016","Correlation")</f>
        <v>Correlation</v>
      </c>
    </row>
    <row r="4404" spans="1:13" x14ac:dyDescent="0.2">
      <c r="A4404" s="113"/>
      <c r="B4404" s="58" t="s">
        <v>11213</v>
      </c>
      <c r="C4404" s="58" t="s">
        <v>1796</v>
      </c>
      <c r="D4404" s="58" t="s">
        <v>11214</v>
      </c>
      <c r="E4404" s="60" t="b">
        <v>1</v>
      </c>
      <c r="F4404" s="80" t="s">
        <v>1320</v>
      </c>
      <c r="G4404" s="58" t="s">
        <v>11213</v>
      </c>
      <c r="H4404" s="58" t="s">
        <v>1796</v>
      </c>
      <c r="I4404" s="64" t="s">
        <v>11214</v>
      </c>
      <c r="J4404" s="66"/>
      <c r="K4404" s="66"/>
      <c r="L4404" s="68"/>
      <c r="M4404" s="63" t="str">
        <f>HYPERLINK("http://nsgreg.nga.mil/genc/view?v=872260&amp;end_month=12&amp;end_day=31&amp;end_year=2016","Correlation")</f>
        <v>Correlation</v>
      </c>
    </row>
    <row r="4405" spans="1:13" x14ac:dyDescent="0.2">
      <c r="A4405" s="113"/>
      <c r="B4405" s="58" t="s">
        <v>11215</v>
      </c>
      <c r="C4405" s="58" t="s">
        <v>1796</v>
      </c>
      <c r="D4405" s="58" t="s">
        <v>11216</v>
      </c>
      <c r="E4405" s="60" t="b">
        <v>1</v>
      </c>
      <c r="F4405" s="80" t="s">
        <v>1320</v>
      </c>
      <c r="G4405" s="58" t="s">
        <v>11215</v>
      </c>
      <c r="H4405" s="58" t="s">
        <v>1796</v>
      </c>
      <c r="I4405" s="64" t="s">
        <v>11216</v>
      </c>
      <c r="J4405" s="66"/>
      <c r="K4405" s="66"/>
      <c r="L4405" s="68"/>
      <c r="M4405" s="63" t="str">
        <f>HYPERLINK("http://nsgreg.nga.mil/genc/view?v=872169&amp;end_month=12&amp;end_day=31&amp;end_year=2016","Correlation")</f>
        <v>Correlation</v>
      </c>
    </row>
    <row r="4406" spans="1:13" x14ac:dyDescent="0.2">
      <c r="A4406" s="113"/>
      <c r="B4406" s="58" t="s">
        <v>11217</v>
      </c>
      <c r="C4406" s="58" t="s">
        <v>1796</v>
      </c>
      <c r="D4406" s="58" t="s">
        <v>11218</v>
      </c>
      <c r="E4406" s="60" t="b">
        <v>1</v>
      </c>
      <c r="F4406" s="80" t="s">
        <v>1320</v>
      </c>
      <c r="G4406" s="58" t="s">
        <v>11217</v>
      </c>
      <c r="H4406" s="58" t="s">
        <v>1796</v>
      </c>
      <c r="I4406" s="64" t="s">
        <v>11218</v>
      </c>
      <c r="J4406" s="66"/>
      <c r="K4406" s="66"/>
      <c r="L4406" s="68"/>
      <c r="M4406" s="63" t="str">
        <f>HYPERLINK("http://nsgreg.nga.mil/genc/view?v=872217&amp;end_month=12&amp;end_day=31&amp;end_year=2016","Correlation")</f>
        <v>Correlation</v>
      </c>
    </row>
    <row r="4407" spans="1:13" x14ac:dyDescent="0.2">
      <c r="A4407" s="113"/>
      <c r="B4407" s="58" t="s">
        <v>11219</v>
      </c>
      <c r="C4407" s="58" t="s">
        <v>1796</v>
      </c>
      <c r="D4407" s="58" t="s">
        <v>11220</v>
      </c>
      <c r="E4407" s="60" t="b">
        <v>1</v>
      </c>
      <c r="F4407" s="80" t="s">
        <v>1320</v>
      </c>
      <c r="G4407" s="58" t="s">
        <v>11219</v>
      </c>
      <c r="H4407" s="58" t="s">
        <v>1796</v>
      </c>
      <c r="I4407" s="64" t="s">
        <v>11220</v>
      </c>
      <c r="J4407" s="66"/>
      <c r="K4407" s="66"/>
      <c r="L4407" s="68"/>
      <c r="M4407" s="63" t="str">
        <f>HYPERLINK("http://nsgreg.nga.mil/genc/view?v=872271&amp;end_month=12&amp;end_day=31&amp;end_year=2016","Correlation")</f>
        <v>Correlation</v>
      </c>
    </row>
    <row r="4408" spans="1:13" x14ac:dyDescent="0.2">
      <c r="A4408" s="113"/>
      <c r="B4408" s="58" t="s">
        <v>11221</v>
      </c>
      <c r="C4408" s="58" t="s">
        <v>1796</v>
      </c>
      <c r="D4408" s="58" t="s">
        <v>11222</v>
      </c>
      <c r="E4408" s="60" t="b">
        <v>1</v>
      </c>
      <c r="F4408" s="80" t="s">
        <v>1320</v>
      </c>
      <c r="G4408" s="58" t="s">
        <v>11221</v>
      </c>
      <c r="H4408" s="58" t="s">
        <v>1796</v>
      </c>
      <c r="I4408" s="64" t="s">
        <v>11222</v>
      </c>
      <c r="J4408" s="66"/>
      <c r="K4408" s="66"/>
      <c r="L4408" s="68"/>
      <c r="M4408" s="63" t="str">
        <f>HYPERLINK("http://nsgreg.nga.mil/genc/view?v=872273&amp;end_month=12&amp;end_day=31&amp;end_year=2016","Correlation")</f>
        <v>Correlation</v>
      </c>
    </row>
    <row r="4409" spans="1:13" x14ac:dyDescent="0.2">
      <c r="A4409" s="113"/>
      <c r="B4409" s="58" t="s">
        <v>11223</v>
      </c>
      <c r="C4409" s="58" t="s">
        <v>1796</v>
      </c>
      <c r="D4409" s="58" t="s">
        <v>11224</v>
      </c>
      <c r="E4409" s="60" t="b">
        <v>1</v>
      </c>
      <c r="F4409" s="80" t="s">
        <v>1320</v>
      </c>
      <c r="G4409" s="58" t="s">
        <v>11223</v>
      </c>
      <c r="H4409" s="58" t="s">
        <v>1796</v>
      </c>
      <c r="I4409" s="64" t="s">
        <v>11224</v>
      </c>
      <c r="J4409" s="66"/>
      <c r="K4409" s="66"/>
      <c r="L4409" s="68"/>
      <c r="M4409" s="63" t="str">
        <f>HYPERLINK("http://nsgreg.nga.mil/genc/view?v=872261&amp;end_month=12&amp;end_day=31&amp;end_year=2016","Correlation")</f>
        <v>Correlation</v>
      </c>
    </row>
    <row r="4410" spans="1:13" x14ac:dyDescent="0.2">
      <c r="A4410" s="113"/>
      <c r="B4410" s="58" t="s">
        <v>11225</v>
      </c>
      <c r="C4410" s="58" t="s">
        <v>1796</v>
      </c>
      <c r="D4410" s="58" t="s">
        <v>11226</v>
      </c>
      <c r="E4410" s="60" t="b">
        <v>1</v>
      </c>
      <c r="F4410" s="80" t="s">
        <v>1320</v>
      </c>
      <c r="G4410" s="58" t="s">
        <v>11225</v>
      </c>
      <c r="H4410" s="58" t="s">
        <v>1796</v>
      </c>
      <c r="I4410" s="64" t="s">
        <v>11226</v>
      </c>
      <c r="J4410" s="66"/>
      <c r="K4410" s="66"/>
      <c r="L4410" s="68"/>
      <c r="M4410" s="63" t="str">
        <f>HYPERLINK("http://nsgreg.nga.mil/genc/view?v=872227&amp;end_month=12&amp;end_day=31&amp;end_year=2016","Correlation")</f>
        <v>Correlation</v>
      </c>
    </row>
    <row r="4411" spans="1:13" x14ac:dyDescent="0.2">
      <c r="A4411" s="113"/>
      <c r="B4411" s="58" t="s">
        <v>11227</v>
      </c>
      <c r="C4411" s="58" t="s">
        <v>1796</v>
      </c>
      <c r="D4411" s="58" t="s">
        <v>11228</v>
      </c>
      <c r="E4411" s="60" t="b">
        <v>1</v>
      </c>
      <c r="F4411" s="80" t="s">
        <v>1320</v>
      </c>
      <c r="G4411" s="58" t="s">
        <v>11227</v>
      </c>
      <c r="H4411" s="58" t="s">
        <v>1796</v>
      </c>
      <c r="I4411" s="64" t="s">
        <v>11228</v>
      </c>
      <c r="J4411" s="66"/>
      <c r="K4411" s="66"/>
      <c r="L4411" s="68"/>
      <c r="M4411" s="63" t="str">
        <f>HYPERLINK("http://nsgreg.nga.mil/genc/view?v=872238&amp;end_month=12&amp;end_day=31&amp;end_year=2016","Correlation")</f>
        <v>Correlation</v>
      </c>
    </row>
    <row r="4412" spans="1:13" x14ac:dyDescent="0.2">
      <c r="A4412" s="113"/>
      <c r="B4412" s="58" t="s">
        <v>11229</v>
      </c>
      <c r="C4412" s="58" t="s">
        <v>1796</v>
      </c>
      <c r="D4412" s="58" t="s">
        <v>11230</v>
      </c>
      <c r="E4412" s="60" t="b">
        <v>1</v>
      </c>
      <c r="F4412" s="80" t="s">
        <v>1320</v>
      </c>
      <c r="G4412" s="58" t="s">
        <v>11229</v>
      </c>
      <c r="H4412" s="58" t="s">
        <v>1796</v>
      </c>
      <c r="I4412" s="64" t="s">
        <v>11230</v>
      </c>
      <c r="J4412" s="66"/>
      <c r="K4412" s="66"/>
      <c r="L4412" s="68"/>
      <c r="M4412" s="63" t="str">
        <f>HYPERLINK("http://nsgreg.nga.mil/genc/view?v=872248&amp;end_month=12&amp;end_day=31&amp;end_year=2016","Correlation")</f>
        <v>Correlation</v>
      </c>
    </row>
    <row r="4413" spans="1:13" x14ac:dyDescent="0.2">
      <c r="A4413" s="113"/>
      <c r="B4413" s="58" t="s">
        <v>11231</v>
      </c>
      <c r="C4413" s="58" t="s">
        <v>1796</v>
      </c>
      <c r="D4413" s="58" t="s">
        <v>11232</v>
      </c>
      <c r="E4413" s="60" t="b">
        <v>1</v>
      </c>
      <c r="F4413" s="80" t="s">
        <v>1320</v>
      </c>
      <c r="G4413" s="58" t="s">
        <v>11231</v>
      </c>
      <c r="H4413" s="58" t="s">
        <v>1796</v>
      </c>
      <c r="I4413" s="64" t="s">
        <v>11232</v>
      </c>
      <c r="J4413" s="66"/>
      <c r="K4413" s="66"/>
      <c r="L4413" s="68"/>
      <c r="M4413" s="63" t="str">
        <f>HYPERLINK("http://nsgreg.nga.mil/genc/view?v=872228&amp;end_month=12&amp;end_day=31&amp;end_year=2016","Correlation")</f>
        <v>Correlation</v>
      </c>
    </row>
    <row r="4414" spans="1:13" x14ac:dyDescent="0.2">
      <c r="A4414" s="113"/>
      <c r="B4414" s="58" t="s">
        <v>11233</v>
      </c>
      <c r="C4414" s="58" t="s">
        <v>1796</v>
      </c>
      <c r="D4414" s="58" t="s">
        <v>11234</v>
      </c>
      <c r="E4414" s="60" t="b">
        <v>1</v>
      </c>
      <c r="F4414" s="80" t="s">
        <v>1320</v>
      </c>
      <c r="G4414" s="58" t="s">
        <v>11233</v>
      </c>
      <c r="H4414" s="58" t="s">
        <v>1796</v>
      </c>
      <c r="I4414" s="64" t="s">
        <v>11234</v>
      </c>
      <c r="J4414" s="66"/>
      <c r="K4414" s="66"/>
      <c r="L4414" s="68"/>
      <c r="M4414" s="63" t="str">
        <f>HYPERLINK("http://nsgreg.nga.mil/genc/view?v=872198&amp;end_month=12&amp;end_day=31&amp;end_year=2016","Correlation")</f>
        <v>Correlation</v>
      </c>
    </row>
    <row r="4415" spans="1:13" x14ac:dyDescent="0.2">
      <c r="A4415" s="113"/>
      <c r="B4415" s="58" t="s">
        <v>11235</v>
      </c>
      <c r="C4415" s="58" t="s">
        <v>1796</v>
      </c>
      <c r="D4415" s="58" t="s">
        <v>11236</v>
      </c>
      <c r="E4415" s="60" t="b">
        <v>1</v>
      </c>
      <c r="F4415" s="80" t="s">
        <v>1320</v>
      </c>
      <c r="G4415" s="58" t="s">
        <v>11235</v>
      </c>
      <c r="H4415" s="58" t="s">
        <v>1796</v>
      </c>
      <c r="I4415" s="64" t="s">
        <v>11236</v>
      </c>
      <c r="J4415" s="66"/>
      <c r="K4415" s="66"/>
      <c r="L4415" s="68"/>
      <c r="M4415" s="63" t="str">
        <f>HYPERLINK("http://nsgreg.nga.mil/genc/view?v=872218&amp;end_month=12&amp;end_day=31&amp;end_year=2016","Correlation")</f>
        <v>Correlation</v>
      </c>
    </row>
    <row r="4416" spans="1:13" x14ac:dyDescent="0.2">
      <c r="A4416" s="113"/>
      <c r="B4416" s="58" t="s">
        <v>11237</v>
      </c>
      <c r="C4416" s="58" t="s">
        <v>1796</v>
      </c>
      <c r="D4416" s="58" t="s">
        <v>11238</v>
      </c>
      <c r="E4416" s="60" t="b">
        <v>1</v>
      </c>
      <c r="F4416" s="80" t="s">
        <v>1320</v>
      </c>
      <c r="G4416" s="58" t="s">
        <v>11237</v>
      </c>
      <c r="H4416" s="58" t="s">
        <v>1796</v>
      </c>
      <c r="I4416" s="64" t="s">
        <v>11238</v>
      </c>
      <c r="J4416" s="66"/>
      <c r="K4416" s="66"/>
      <c r="L4416" s="68"/>
      <c r="M4416" s="63" t="str">
        <f>HYPERLINK("http://nsgreg.nga.mil/genc/view?v=872189&amp;end_month=12&amp;end_day=31&amp;end_year=2016","Correlation")</f>
        <v>Correlation</v>
      </c>
    </row>
    <row r="4417" spans="1:13" x14ac:dyDescent="0.2">
      <c r="A4417" s="113"/>
      <c r="B4417" s="58" t="s">
        <v>11239</v>
      </c>
      <c r="C4417" s="58" t="s">
        <v>1796</v>
      </c>
      <c r="D4417" s="58" t="s">
        <v>11240</v>
      </c>
      <c r="E4417" s="60" t="b">
        <v>1</v>
      </c>
      <c r="F4417" s="80" t="s">
        <v>1320</v>
      </c>
      <c r="G4417" s="58" t="s">
        <v>11239</v>
      </c>
      <c r="H4417" s="58" t="s">
        <v>1796</v>
      </c>
      <c r="I4417" s="64" t="s">
        <v>11240</v>
      </c>
      <c r="J4417" s="66"/>
      <c r="K4417" s="66"/>
      <c r="L4417" s="68"/>
      <c r="M4417" s="63" t="str">
        <f>HYPERLINK("http://nsgreg.nga.mil/genc/view?v=872274&amp;end_month=12&amp;end_day=31&amp;end_year=2016","Correlation")</f>
        <v>Correlation</v>
      </c>
    </row>
    <row r="4418" spans="1:13" x14ac:dyDescent="0.2">
      <c r="A4418" s="113"/>
      <c r="B4418" s="58" t="s">
        <v>11241</v>
      </c>
      <c r="C4418" s="58" t="s">
        <v>1796</v>
      </c>
      <c r="D4418" s="58" t="s">
        <v>11242</v>
      </c>
      <c r="E4418" s="60" t="b">
        <v>1</v>
      </c>
      <c r="F4418" s="80" t="s">
        <v>1320</v>
      </c>
      <c r="G4418" s="58" t="s">
        <v>11241</v>
      </c>
      <c r="H4418" s="58" t="s">
        <v>1796</v>
      </c>
      <c r="I4418" s="64" t="s">
        <v>11242</v>
      </c>
      <c r="J4418" s="66"/>
      <c r="K4418" s="66"/>
      <c r="L4418" s="68"/>
      <c r="M4418" s="63" t="str">
        <f>HYPERLINK("http://nsgreg.nga.mil/genc/view?v=872268&amp;end_month=12&amp;end_day=31&amp;end_year=2016","Correlation")</f>
        <v>Correlation</v>
      </c>
    </row>
    <row r="4419" spans="1:13" x14ac:dyDescent="0.2">
      <c r="A4419" s="113"/>
      <c r="B4419" s="58" t="s">
        <v>11243</v>
      </c>
      <c r="C4419" s="58" t="s">
        <v>1796</v>
      </c>
      <c r="D4419" s="58" t="s">
        <v>11244</v>
      </c>
      <c r="E4419" s="60" t="b">
        <v>1</v>
      </c>
      <c r="F4419" s="80" t="s">
        <v>1320</v>
      </c>
      <c r="G4419" s="58" t="s">
        <v>11243</v>
      </c>
      <c r="H4419" s="58" t="s">
        <v>1796</v>
      </c>
      <c r="I4419" s="64" t="s">
        <v>11244</v>
      </c>
      <c r="J4419" s="66"/>
      <c r="K4419" s="66"/>
      <c r="L4419" s="68"/>
      <c r="M4419" s="63" t="str">
        <f>HYPERLINK("http://nsgreg.nga.mil/genc/view?v=872249&amp;end_month=12&amp;end_day=31&amp;end_year=2016","Correlation")</f>
        <v>Correlation</v>
      </c>
    </row>
    <row r="4420" spans="1:13" x14ac:dyDescent="0.2">
      <c r="A4420" s="113"/>
      <c r="B4420" s="58" t="s">
        <v>11245</v>
      </c>
      <c r="C4420" s="58" t="s">
        <v>1796</v>
      </c>
      <c r="D4420" s="58" t="s">
        <v>11246</v>
      </c>
      <c r="E4420" s="60" t="b">
        <v>1</v>
      </c>
      <c r="F4420" s="80" t="s">
        <v>1320</v>
      </c>
      <c r="G4420" s="58" t="s">
        <v>11245</v>
      </c>
      <c r="H4420" s="58" t="s">
        <v>1796</v>
      </c>
      <c r="I4420" s="64" t="s">
        <v>11246</v>
      </c>
      <c r="J4420" s="66"/>
      <c r="K4420" s="66"/>
      <c r="L4420" s="68"/>
      <c r="M4420" s="63" t="str">
        <f>HYPERLINK("http://nsgreg.nga.mil/genc/view?v=872229&amp;end_month=12&amp;end_day=31&amp;end_year=2016","Correlation")</f>
        <v>Correlation</v>
      </c>
    </row>
    <row r="4421" spans="1:13" x14ac:dyDescent="0.2">
      <c r="A4421" s="113"/>
      <c r="B4421" s="58" t="s">
        <v>11247</v>
      </c>
      <c r="C4421" s="58" t="s">
        <v>1796</v>
      </c>
      <c r="D4421" s="58" t="s">
        <v>11248</v>
      </c>
      <c r="E4421" s="60" t="b">
        <v>1</v>
      </c>
      <c r="F4421" s="80" t="s">
        <v>1320</v>
      </c>
      <c r="G4421" s="58" t="s">
        <v>11247</v>
      </c>
      <c r="H4421" s="58" t="s">
        <v>1796</v>
      </c>
      <c r="I4421" s="64" t="s">
        <v>11248</v>
      </c>
      <c r="J4421" s="66"/>
      <c r="K4421" s="66"/>
      <c r="L4421" s="68"/>
      <c r="M4421" s="63" t="str">
        <f>HYPERLINK("http://nsgreg.nga.mil/genc/view?v=872219&amp;end_month=12&amp;end_day=31&amp;end_year=2016","Correlation")</f>
        <v>Correlation</v>
      </c>
    </row>
    <row r="4422" spans="1:13" x14ac:dyDescent="0.2">
      <c r="A4422" s="113"/>
      <c r="B4422" s="58" t="s">
        <v>11249</v>
      </c>
      <c r="C4422" s="58" t="s">
        <v>1796</v>
      </c>
      <c r="D4422" s="58" t="s">
        <v>11250</v>
      </c>
      <c r="E4422" s="60" t="b">
        <v>1</v>
      </c>
      <c r="F4422" s="80" t="s">
        <v>1320</v>
      </c>
      <c r="G4422" s="58" t="s">
        <v>11249</v>
      </c>
      <c r="H4422" s="58" t="s">
        <v>1796</v>
      </c>
      <c r="I4422" s="64" t="s">
        <v>11250</v>
      </c>
      <c r="J4422" s="66"/>
      <c r="K4422" s="66"/>
      <c r="L4422" s="68"/>
      <c r="M4422" s="63" t="str">
        <f>HYPERLINK("http://nsgreg.nga.mil/genc/view?v=872170&amp;end_month=12&amp;end_day=31&amp;end_year=2016","Correlation")</f>
        <v>Correlation</v>
      </c>
    </row>
    <row r="4423" spans="1:13" x14ac:dyDescent="0.2">
      <c r="A4423" s="113"/>
      <c r="B4423" s="58" t="s">
        <v>11251</v>
      </c>
      <c r="C4423" s="58" t="s">
        <v>1796</v>
      </c>
      <c r="D4423" s="58" t="s">
        <v>11252</v>
      </c>
      <c r="E4423" s="60" t="b">
        <v>1</v>
      </c>
      <c r="F4423" s="80" t="s">
        <v>1320</v>
      </c>
      <c r="G4423" s="58" t="s">
        <v>11251</v>
      </c>
      <c r="H4423" s="58" t="s">
        <v>1796</v>
      </c>
      <c r="I4423" s="64" t="s">
        <v>11252</v>
      </c>
      <c r="J4423" s="66"/>
      <c r="K4423" s="66"/>
      <c r="L4423" s="68"/>
      <c r="M4423" s="63" t="str">
        <f>HYPERLINK("http://nsgreg.nga.mil/genc/view?v=872190&amp;end_month=12&amp;end_day=31&amp;end_year=2016","Correlation")</f>
        <v>Correlation</v>
      </c>
    </row>
    <row r="4424" spans="1:13" x14ac:dyDescent="0.2">
      <c r="A4424" s="113"/>
      <c r="B4424" s="58" t="s">
        <v>11253</v>
      </c>
      <c r="C4424" s="58" t="s">
        <v>1796</v>
      </c>
      <c r="D4424" s="58" t="s">
        <v>11254</v>
      </c>
      <c r="E4424" s="60" t="b">
        <v>1</v>
      </c>
      <c r="F4424" s="80" t="s">
        <v>1320</v>
      </c>
      <c r="G4424" s="58" t="s">
        <v>11253</v>
      </c>
      <c r="H4424" s="58" t="s">
        <v>1796</v>
      </c>
      <c r="I4424" s="64" t="s">
        <v>11254</v>
      </c>
      <c r="J4424" s="66"/>
      <c r="K4424" s="66"/>
      <c r="L4424" s="68"/>
      <c r="M4424" s="63" t="str">
        <f>HYPERLINK("http://nsgreg.nga.mil/genc/view?v=872182&amp;end_month=12&amp;end_day=31&amp;end_year=2016","Correlation")</f>
        <v>Correlation</v>
      </c>
    </row>
    <row r="4425" spans="1:13" x14ac:dyDescent="0.2">
      <c r="A4425" s="113"/>
      <c r="B4425" s="58" t="s">
        <v>11255</v>
      </c>
      <c r="C4425" s="58" t="s">
        <v>1796</v>
      </c>
      <c r="D4425" s="58" t="s">
        <v>11256</v>
      </c>
      <c r="E4425" s="60" t="b">
        <v>1</v>
      </c>
      <c r="F4425" s="80" t="s">
        <v>1320</v>
      </c>
      <c r="G4425" s="58" t="s">
        <v>11255</v>
      </c>
      <c r="H4425" s="58" t="s">
        <v>1796</v>
      </c>
      <c r="I4425" s="64" t="s">
        <v>11256</v>
      </c>
      <c r="J4425" s="66"/>
      <c r="K4425" s="66"/>
      <c r="L4425" s="68"/>
      <c r="M4425" s="63" t="str">
        <f>HYPERLINK("http://nsgreg.nga.mil/genc/view?v=872211&amp;end_month=12&amp;end_day=31&amp;end_year=2016","Correlation")</f>
        <v>Correlation</v>
      </c>
    </row>
    <row r="4426" spans="1:13" x14ac:dyDescent="0.2">
      <c r="A4426" s="113"/>
      <c r="B4426" s="58" t="s">
        <v>11257</v>
      </c>
      <c r="C4426" s="58" t="s">
        <v>1796</v>
      </c>
      <c r="D4426" s="58" t="s">
        <v>11258</v>
      </c>
      <c r="E4426" s="60" t="b">
        <v>1</v>
      </c>
      <c r="F4426" s="80" t="s">
        <v>1320</v>
      </c>
      <c r="G4426" s="58" t="s">
        <v>11257</v>
      </c>
      <c r="H4426" s="58" t="s">
        <v>1796</v>
      </c>
      <c r="I4426" s="64" t="s">
        <v>11258</v>
      </c>
      <c r="J4426" s="66"/>
      <c r="K4426" s="66"/>
      <c r="L4426" s="68"/>
      <c r="M4426" s="63" t="str">
        <f>HYPERLINK("http://nsgreg.nga.mil/genc/view?v=872242&amp;end_month=12&amp;end_day=31&amp;end_year=2016","Correlation")</f>
        <v>Correlation</v>
      </c>
    </row>
    <row r="4427" spans="1:13" x14ac:dyDescent="0.2">
      <c r="A4427" s="113"/>
      <c r="B4427" s="58" t="s">
        <v>11259</v>
      </c>
      <c r="C4427" s="58" t="s">
        <v>1796</v>
      </c>
      <c r="D4427" s="58" t="s">
        <v>11260</v>
      </c>
      <c r="E4427" s="60" t="b">
        <v>1</v>
      </c>
      <c r="F4427" s="80" t="s">
        <v>1320</v>
      </c>
      <c r="G4427" s="58" t="s">
        <v>11259</v>
      </c>
      <c r="H4427" s="58" t="s">
        <v>1796</v>
      </c>
      <c r="I4427" s="64" t="s">
        <v>11260</v>
      </c>
      <c r="J4427" s="66"/>
      <c r="K4427" s="66"/>
      <c r="L4427" s="68"/>
      <c r="M4427" s="63" t="str">
        <f>HYPERLINK("http://nsgreg.nga.mil/genc/view?v=872171&amp;end_month=12&amp;end_day=31&amp;end_year=2016","Correlation")</f>
        <v>Correlation</v>
      </c>
    </row>
    <row r="4428" spans="1:13" x14ac:dyDescent="0.2">
      <c r="A4428" s="113"/>
      <c r="B4428" s="58" t="s">
        <v>11261</v>
      </c>
      <c r="C4428" s="58" t="s">
        <v>1796</v>
      </c>
      <c r="D4428" s="58" t="s">
        <v>11262</v>
      </c>
      <c r="E4428" s="60" t="b">
        <v>1</v>
      </c>
      <c r="F4428" s="80" t="s">
        <v>1320</v>
      </c>
      <c r="G4428" s="58" t="s">
        <v>11261</v>
      </c>
      <c r="H4428" s="58" t="s">
        <v>1796</v>
      </c>
      <c r="I4428" s="64" t="s">
        <v>11262</v>
      </c>
      <c r="J4428" s="66"/>
      <c r="K4428" s="66"/>
      <c r="L4428" s="68"/>
      <c r="M4428" s="63" t="str">
        <f>HYPERLINK("http://nsgreg.nga.mil/genc/view?v=872262&amp;end_month=12&amp;end_day=31&amp;end_year=2016","Correlation")</f>
        <v>Correlation</v>
      </c>
    </row>
    <row r="4429" spans="1:13" x14ac:dyDescent="0.2">
      <c r="A4429" s="113"/>
      <c r="B4429" s="58" t="s">
        <v>11263</v>
      </c>
      <c r="C4429" s="58" t="s">
        <v>1796</v>
      </c>
      <c r="D4429" s="58" t="s">
        <v>11264</v>
      </c>
      <c r="E4429" s="60" t="b">
        <v>1</v>
      </c>
      <c r="F4429" s="80" t="s">
        <v>1320</v>
      </c>
      <c r="G4429" s="58" t="s">
        <v>11263</v>
      </c>
      <c r="H4429" s="58" t="s">
        <v>1796</v>
      </c>
      <c r="I4429" s="64" t="s">
        <v>11264</v>
      </c>
      <c r="J4429" s="66"/>
      <c r="K4429" s="66"/>
      <c r="L4429" s="68"/>
      <c r="M4429" s="63" t="str">
        <f>HYPERLINK("http://nsgreg.nga.mil/genc/view?v=872204&amp;end_month=12&amp;end_day=31&amp;end_year=2016","Correlation")</f>
        <v>Correlation</v>
      </c>
    </row>
    <row r="4430" spans="1:13" x14ac:dyDescent="0.2">
      <c r="A4430" s="113"/>
      <c r="B4430" s="58" t="s">
        <v>11265</v>
      </c>
      <c r="C4430" s="58" t="s">
        <v>1796</v>
      </c>
      <c r="D4430" s="58" t="s">
        <v>11266</v>
      </c>
      <c r="E4430" s="60" t="b">
        <v>1</v>
      </c>
      <c r="F4430" s="80" t="s">
        <v>1320</v>
      </c>
      <c r="G4430" s="58" t="s">
        <v>11265</v>
      </c>
      <c r="H4430" s="58" t="s">
        <v>1796</v>
      </c>
      <c r="I4430" s="64" t="s">
        <v>11266</v>
      </c>
      <c r="J4430" s="66"/>
      <c r="K4430" s="66"/>
      <c r="L4430" s="68"/>
      <c r="M4430" s="63" t="str">
        <f>HYPERLINK("http://nsgreg.nga.mil/genc/view?v=872199&amp;end_month=12&amp;end_day=31&amp;end_year=2016","Correlation")</f>
        <v>Correlation</v>
      </c>
    </row>
    <row r="4431" spans="1:13" x14ac:dyDescent="0.2">
      <c r="A4431" s="113"/>
      <c r="B4431" s="58" t="s">
        <v>11267</v>
      </c>
      <c r="C4431" s="58" t="s">
        <v>1796</v>
      </c>
      <c r="D4431" s="58" t="s">
        <v>11268</v>
      </c>
      <c r="E4431" s="60" t="b">
        <v>1</v>
      </c>
      <c r="F4431" s="80" t="s">
        <v>1320</v>
      </c>
      <c r="G4431" s="58" t="s">
        <v>11267</v>
      </c>
      <c r="H4431" s="58" t="s">
        <v>1796</v>
      </c>
      <c r="I4431" s="64" t="s">
        <v>11268</v>
      </c>
      <c r="J4431" s="66"/>
      <c r="K4431" s="66"/>
      <c r="L4431" s="68"/>
      <c r="M4431" s="63" t="str">
        <f>HYPERLINK("http://nsgreg.nga.mil/genc/view?v=872263&amp;end_month=12&amp;end_day=31&amp;end_year=2016","Correlation")</f>
        <v>Correlation</v>
      </c>
    </row>
    <row r="4432" spans="1:13" x14ac:dyDescent="0.2">
      <c r="A4432" s="113"/>
      <c r="B4432" s="58" t="s">
        <v>11269</v>
      </c>
      <c r="C4432" s="58" t="s">
        <v>1796</v>
      </c>
      <c r="D4432" s="58" t="s">
        <v>11270</v>
      </c>
      <c r="E4432" s="60" t="b">
        <v>1</v>
      </c>
      <c r="F4432" s="80" t="s">
        <v>1320</v>
      </c>
      <c r="G4432" s="58" t="s">
        <v>11269</v>
      </c>
      <c r="H4432" s="58" t="s">
        <v>1796</v>
      </c>
      <c r="I4432" s="64" t="s">
        <v>11270</v>
      </c>
      <c r="J4432" s="66"/>
      <c r="K4432" s="66"/>
      <c r="L4432" s="68"/>
      <c r="M4432" s="63" t="str">
        <f>HYPERLINK("http://nsgreg.nga.mil/genc/view?v=872275&amp;end_month=12&amp;end_day=31&amp;end_year=2016","Correlation")</f>
        <v>Correlation</v>
      </c>
    </row>
    <row r="4433" spans="1:13" x14ac:dyDescent="0.2">
      <c r="A4433" s="113"/>
      <c r="B4433" s="58" t="s">
        <v>11271</v>
      </c>
      <c r="C4433" s="58" t="s">
        <v>1796</v>
      </c>
      <c r="D4433" s="58" t="s">
        <v>11272</v>
      </c>
      <c r="E4433" s="60" t="b">
        <v>1</v>
      </c>
      <c r="F4433" s="80" t="s">
        <v>1320</v>
      </c>
      <c r="G4433" s="58" t="s">
        <v>11271</v>
      </c>
      <c r="H4433" s="58" t="s">
        <v>1796</v>
      </c>
      <c r="I4433" s="64" t="s">
        <v>11272</v>
      </c>
      <c r="J4433" s="66"/>
      <c r="K4433" s="66"/>
      <c r="L4433" s="68"/>
      <c r="M4433" s="63" t="str">
        <f>HYPERLINK("http://nsgreg.nga.mil/genc/view?v=872180&amp;end_month=12&amp;end_day=31&amp;end_year=2016","Correlation")</f>
        <v>Correlation</v>
      </c>
    </row>
    <row r="4434" spans="1:13" x14ac:dyDescent="0.2">
      <c r="A4434" s="113"/>
      <c r="B4434" s="58" t="s">
        <v>11273</v>
      </c>
      <c r="C4434" s="58" t="s">
        <v>1796</v>
      </c>
      <c r="D4434" s="58" t="s">
        <v>11274</v>
      </c>
      <c r="E4434" s="60" t="b">
        <v>1</v>
      </c>
      <c r="F4434" s="80" t="s">
        <v>1320</v>
      </c>
      <c r="G4434" s="58" t="s">
        <v>11273</v>
      </c>
      <c r="H4434" s="58" t="s">
        <v>1796</v>
      </c>
      <c r="I4434" s="64" t="s">
        <v>11274</v>
      </c>
      <c r="J4434" s="66"/>
      <c r="K4434" s="66"/>
      <c r="L4434" s="68"/>
      <c r="M4434" s="63" t="str">
        <f>HYPERLINK("http://nsgreg.nga.mil/genc/view?v=872230&amp;end_month=12&amp;end_day=31&amp;end_year=2016","Correlation")</f>
        <v>Correlation</v>
      </c>
    </row>
    <row r="4435" spans="1:13" x14ac:dyDescent="0.2">
      <c r="A4435" s="113"/>
      <c r="B4435" s="58" t="s">
        <v>11275</v>
      </c>
      <c r="C4435" s="58" t="s">
        <v>1796</v>
      </c>
      <c r="D4435" s="58" t="s">
        <v>11276</v>
      </c>
      <c r="E4435" s="60" t="b">
        <v>1</v>
      </c>
      <c r="F4435" s="80" t="s">
        <v>1320</v>
      </c>
      <c r="G4435" s="58" t="s">
        <v>11275</v>
      </c>
      <c r="H4435" s="58" t="s">
        <v>1796</v>
      </c>
      <c r="I4435" s="64" t="s">
        <v>11276</v>
      </c>
      <c r="J4435" s="66"/>
      <c r="K4435" s="66"/>
      <c r="L4435" s="68"/>
      <c r="M4435" s="63" t="str">
        <f>HYPERLINK("http://nsgreg.nga.mil/genc/view?v=872231&amp;end_month=12&amp;end_day=31&amp;end_year=2016","Correlation")</f>
        <v>Correlation</v>
      </c>
    </row>
    <row r="4436" spans="1:13" x14ac:dyDescent="0.2">
      <c r="A4436" s="113"/>
      <c r="B4436" s="58" t="s">
        <v>11277</v>
      </c>
      <c r="C4436" s="58" t="s">
        <v>1796</v>
      </c>
      <c r="D4436" s="58" t="s">
        <v>11278</v>
      </c>
      <c r="E4436" s="60" t="b">
        <v>1</v>
      </c>
      <c r="F4436" s="80" t="s">
        <v>1320</v>
      </c>
      <c r="G4436" s="58" t="s">
        <v>11277</v>
      </c>
      <c r="H4436" s="58" t="s">
        <v>1796</v>
      </c>
      <c r="I4436" s="64" t="s">
        <v>11278</v>
      </c>
      <c r="J4436" s="66"/>
      <c r="K4436" s="66"/>
      <c r="L4436" s="68"/>
      <c r="M4436" s="63" t="str">
        <f>HYPERLINK("http://nsgreg.nga.mil/genc/view?v=872172&amp;end_month=12&amp;end_day=31&amp;end_year=2016","Correlation")</f>
        <v>Correlation</v>
      </c>
    </row>
    <row r="4437" spans="1:13" x14ac:dyDescent="0.2">
      <c r="A4437" s="113"/>
      <c r="B4437" s="58" t="s">
        <v>11279</v>
      </c>
      <c r="C4437" s="58" t="s">
        <v>1796</v>
      </c>
      <c r="D4437" s="58" t="s">
        <v>11280</v>
      </c>
      <c r="E4437" s="60" t="b">
        <v>1</v>
      </c>
      <c r="F4437" s="80" t="s">
        <v>1320</v>
      </c>
      <c r="G4437" s="58" t="s">
        <v>11279</v>
      </c>
      <c r="H4437" s="58" t="s">
        <v>1796</v>
      </c>
      <c r="I4437" s="64" t="s">
        <v>11280</v>
      </c>
      <c r="J4437" s="66"/>
      <c r="K4437" s="66"/>
      <c r="L4437" s="68"/>
      <c r="M4437" s="63" t="str">
        <f>HYPERLINK("http://nsgreg.nga.mil/genc/view?v=872173&amp;end_month=12&amp;end_day=31&amp;end_year=2016","Correlation")</f>
        <v>Correlation</v>
      </c>
    </row>
    <row r="4438" spans="1:13" x14ac:dyDescent="0.2">
      <c r="A4438" s="113"/>
      <c r="B4438" s="58" t="s">
        <v>11281</v>
      </c>
      <c r="C4438" s="58" t="s">
        <v>1796</v>
      </c>
      <c r="D4438" s="58" t="s">
        <v>11282</v>
      </c>
      <c r="E4438" s="60" t="b">
        <v>1</v>
      </c>
      <c r="F4438" s="80" t="s">
        <v>1320</v>
      </c>
      <c r="G4438" s="58" t="s">
        <v>11281</v>
      </c>
      <c r="H4438" s="58" t="s">
        <v>1796</v>
      </c>
      <c r="I4438" s="64" t="s">
        <v>11282</v>
      </c>
      <c r="J4438" s="66"/>
      <c r="K4438" s="66"/>
      <c r="L4438" s="68"/>
      <c r="M4438" s="63" t="str">
        <f>HYPERLINK("http://nsgreg.nga.mil/genc/view?v=872174&amp;end_month=12&amp;end_day=31&amp;end_year=2016","Correlation")</f>
        <v>Correlation</v>
      </c>
    </row>
    <row r="4439" spans="1:13" x14ac:dyDescent="0.2">
      <c r="A4439" s="113"/>
      <c r="B4439" s="58" t="s">
        <v>11283</v>
      </c>
      <c r="C4439" s="58" t="s">
        <v>1796</v>
      </c>
      <c r="D4439" s="58" t="s">
        <v>11284</v>
      </c>
      <c r="E4439" s="60" t="b">
        <v>1</v>
      </c>
      <c r="F4439" s="80" t="s">
        <v>1320</v>
      </c>
      <c r="G4439" s="58" t="s">
        <v>11283</v>
      </c>
      <c r="H4439" s="58" t="s">
        <v>1796</v>
      </c>
      <c r="I4439" s="64" t="s">
        <v>11284</v>
      </c>
      <c r="J4439" s="66"/>
      <c r="K4439" s="66"/>
      <c r="L4439" s="68"/>
      <c r="M4439" s="63" t="str">
        <f>HYPERLINK("http://nsgreg.nga.mil/genc/view?v=872233&amp;end_month=12&amp;end_day=31&amp;end_year=2016","Correlation")</f>
        <v>Correlation</v>
      </c>
    </row>
    <row r="4440" spans="1:13" x14ac:dyDescent="0.2">
      <c r="A4440" s="113"/>
      <c r="B4440" s="58" t="s">
        <v>11285</v>
      </c>
      <c r="C4440" s="58" t="s">
        <v>1796</v>
      </c>
      <c r="D4440" s="58" t="s">
        <v>11286</v>
      </c>
      <c r="E4440" s="60" t="b">
        <v>1</v>
      </c>
      <c r="F4440" s="80" t="s">
        <v>1320</v>
      </c>
      <c r="G4440" s="58" t="s">
        <v>11285</v>
      </c>
      <c r="H4440" s="58" t="s">
        <v>1796</v>
      </c>
      <c r="I4440" s="64" t="s">
        <v>11286</v>
      </c>
      <c r="J4440" s="66"/>
      <c r="K4440" s="66"/>
      <c r="L4440" s="68"/>
      <c r="M4440" s="63" t="str">
        <f>HYPERLINK("http://nsgreg.nga.mil/genc/view?v=872181&amp;end_month=12&amp;end_day=31&amp;end_year=2016","Correlation")</f>
        <v>Correlation</v>
      </c>
    </row>
    <row r="4441" spans="1:13" x14ac:dyDescent="0.2">
      <c r="A4441" s="113"/>
      <c r="B4441" s="58" t="s">
        <v>11287</v>
      </c>
      <c r="C4441" s="58" t="s">
        <v>1796</v>
      </c>
      <c r="D4441" s="58" t="s">
        <v>11288</v>
      </c>
      <c r="E4441" s="60" t="b">
        <v>1</v>
      </c>
      <c r="F4441" s="80" t="s">
        <v>1320</v>
      </c>
      <c r="G4441" s="58" t="s">
        <v>11287</v>
      </c>
      <c r="H4441" s="58" t="s">
        <v>1796</v>
      </c>
      <c r="I4441" s="64" t="s">
        <v>11288</v>
      </c>
      <c r="J4441" s="66"/>
      <c r="K4441" s="66"/>
      <c r="L4441" s="68"/>
      <c r="M4441" s="63" t="str">
        <f>HYPERLINK("http://nsgreg.nga.mil/genc/view?v=872175&amp;end_month=12&amp;end_day=31&amp;end_year=2016","Correlation")</f>
        <v>Correlation</v>
      </c>
    </row>
    <row r="4442" spans="1:13" x14ac:dyDescent="0.2">
      <c r="A4442" s="113"/>
      <c r="B4442" s="58" t="s">
        <v>11289</v>
      </c>
      <c r="C4442" s="58" t="s">
        <v>1796</v>
      </c>
      <c r="D4442" s="58" t="s">
        <v>11290</v>
      </c>
      <c r="E4442" s="60" t="b">
        <v>1</v>
      </c>
      <c r="F4442" s="80" t="s">
        <v>1320</v>
      </c>
      <c r="G4442" s="58" t="s">
        <v>11289</v>
      </c>
      <c r="H4442" s="58" t="s">
        <v>1796</v>
      </c>
      <c r="I4442" s="64" t="s">
        <v>11290</v>
      </c>
      <c r="J4442" s="66"/>
      <c r="K4442" s="66"/>
      <c r="L4442" s="68"/>
      <c r="M4442" s="63" t="str">
        <f>HYPERLINK("http://nsgreg.nga.mil/genc/view?v=872220&amp;end_month=12&amp;end_day=31&amp;end_year=2016","Correlation")</f>
        <v>Correlation</v>
      </c>
    </row>
    <row r="4443" spans="1:13" x14ac:dyDescent="0.2">
      <c r="A4443" s="113"/>
      <c r="B4443" s="58" t="s">
        <v>11291</v>
      </c>
      <c r="C4443" s="58" t="s">
        <v>1796</v>
      </c>
      <c r="D4443" s="58" t="s">
        <v>11292</v>
      </c>
      <c r="E4443" s="60" t="b">
        <v>1</v>
      </c>
      <c r="F4443" s="80" t="s">
        <v>1320</v>
      </c>
      <c r="G4443" s="58" t="s">
        <v>11291</v>
      </c>
      <c r="H4443" s="58" t="s">
        <v>1796</v>
      </c>
      <c r="I4443" s="64" t="s">
        <v>11292</v>
      </c>
      <c r="J4443" s="66"/>
      <c r="K4443" s="66"/>
      <c r="L4443" s="68"/>
      <c r="M4443" s="63" t="str">
        <f>HYPERLINK("http://nsgreg.nga.mil/genc/view?v=872212&amp;end_month=12&amp;end_day=31&amp;end_year=2016","Correlation")</f>
        <v>Correlation</v>
      </c>
    </row>
    <row r="4444" spans="1:13" x14ac:dyDescent="0.2">
      <c r="A4444" s="113"/>
      <c r="B4444" s="58" t="s">
        <v>11293</v>
      </c>
      <c r="C4444" s="58" t="s">
        <v>1796</v>
      </c>
      <c r="D4444" s="58" t="s">
        <v>11294</v>
      </c>
      <c r="E4444" s="60" t="b">
        <v>1</v>
      </c>
      <c r="F4444" s="80" t="s">
        <v>1320</v>
      </c>
      <c r="G4444" s="58" t="s">
        <v>11293</v>
      </c>
      <c r="H4444" s="58" t="s">
        <v>1796</v>
      </c>
      <c r="I4444" s="64" t="s">
        <v>11294</v>
      </c>
      <c r="J4444" s="66"/>
      <c r="K4444" s="66"/>
      <c r="L4444" s="68"/>
      <c r="M4444" s="63" t="str">
        <f>HYPERLINK("http://nsgreg.nga.mil/genc/view?v=872250&amp;end_month=12&amp;end_day=31&amp;end_year=2016","Correlation")</f>
        <v>Correlation</v>
      </c>
    </row>
    <row r="4445" spans="1:13" x14ac:dyDescent="0.2">
      <c r="A4445" s="113"/>
      <c r="B4445" s="58" t="s">
        <v>11295</v>
      </c>
      <c r="C4445" s="58" t="s">
        <v>1796</v>
      </c>
      <c r="D4445" s="58" t="s">
        <v>11296</v>
      </c>
      <c r="E4445" s="60" t="b">
        <v>1</v>
      </c>
      <c r="F4445" s="80" t="s">
        <v>1320</v>
      </c>
      <c r="G4445" s="58" t="s">
        <v>11295</v>
      </c>
      <c r="H4445" s="58" t="s">
        <v>1796</v>
      </c>
      <c r="I4445" s="64" t="s">
        <v>11296</v>
      </c>
      <c r="J4445" s="66"/>
      <c r="K4445" s="66"/>
      <c r="L4445" s="68"/>
      <c r="M4445" s="63" t="str">
        <f>HYPERLINK("http://nsgreg.nga.mil/genc/view?v=872232&amp;end_month=12&amp;end_day=31&amp;end_year=2016","Correlation")</f>
        <v>Correlation</v>
      </c>
    </row>
    <row r="4446" spans="1:13" x14ac:dyDescent="0.2">
      <c r="A4446" s="113"/>
      <c r="B4446" s="58" t="s">
        <v>11297</v>
      </c>
      <c r="C4446" s="58" t="s">
        <v>1796</v>
      </c>
      <c r="D4446" s="58" t="s">
        <v>11298</v>
      </c>
      <c r="E4446" s="60" t="b">
        <v>1</v>
      </c>
      <c r="F4446" s="80" t="s">
        <v>1320</v>
      </c>
      <c r="G4446" s="58" t="s">
        <v>11297</v>
      </c>
      <c r="H4446" s="58" t="s">
        <v>1796</v>
      </c>
      <c r="I4446" s="64" t="s">
        <v>11298</v>
      </c>
      <c r="J4446" s="66"/>
      <c r="K4446" s="66"/>
      <c r="L4446" s="68"/>
      <c r="M4446" s="63" t="str">
        <f>HYPERLINK("http://nsgreg.nga.mil/genc/view?v=872221&amp;end_month=12&amp;end_day=31&amp;end_year=2016","Correlation")</f>
        <v>Correlation</v>
      </c>
    </row>
    <row r="4447" spans="1:13" x14ac:dyDescent="0.2">
      <c r="A4447" s="113"/>
      <c r="B4447" s="58" t="s">
        <v>4071</v>
      </c>
      <c r="C4447" s="58" t="s">
        <v>2763</v>
      </c>
      <c r="D4447" s="58" t="s">
        <v>11299</v>
      </c>
      <c r="E4447" s="60" t="b">
        <v>1</v>
      </c>
      <c r="F4447" s="80" t="s">
        <v>1320</v>
      </c>
      <c r="G4447" s="58" t="s">
        <v>4071</v>
      </c>
      <c r="H4447" s="58" t="s">
        <v>2763</v>
      </c>
      <c r="I4447" s="64" t="s">
        <v>11299</v>
      </c>
      <c r="J4447" s="66"/>
      <c r="K4447" s="66"/>
      <c r="L4447" s="68"/>
      <c r="M4447" s="63" t="str">
        <f>HYPERLINK("http://nsgreg.nga.mil/genc/view?v=872281&amp;end_month=12&amp;end_day=31&amp;end_year=2016","Correlation")</f>
        <v>Correlation</v>
      </c>
    </row>
    <row r="4448" spans="1:13" x14ac:dyDescent="0.2">
      <c r="A4448" s="113"/>
      <c r="B4448" s="58" t="s">
        <v>11300</v>
      </c>
      <c r="C4448" s="58" t="s">
        <v>1796</v>
      </c>
      <c r="D4448" s="58" t="s">
        <v>11301</v>
      </c>
      <c r="E4448" s="60" t="b">
        <v>1</v>
      </c>
      <c r="F4448" s="80" t="s">
        <v>1320</v>
      </c>
      <c r="G4448" s="58" t="s">
        <v>11300</v>
      </c>
      <c r="H4448" s="58" t="s">
        <v>1796</v>
      </c>
      <c r="I4448" s="64" t="s">
        <v>11301</v>
      </c>
      <c r="J4448" s="66"/>
      <c r="K4448" s="66"/>
      <c r="L4448" s="68"/>
      <c r="M4448" s="63" t="str">
        <f>HYPERLINK("http://nsgreg.nga.mil/genc/view?v=872276&amp;end_month=12&amp;end_day=31&amp;end_year=2016","Correlation")</f>
        <v>Correlation</v>
      </c>
    </row>
    <row r="4449" spans="1:13" x14ac:dyDescent="0.2">
      <c r="A4449" s="113"/>
      <c r="B4449" s="58" t="s">
        <v>11302</v>
      </c>
      <c r="C4449" s="58" t="s">
        <v>1796</v>
      </c>
      <c r="D4449" s="58" t="s">
        <v>11303</v>
      </c>
      <c r="E4449" s="60" t="b">
        <v>1</v>
      </c>
      <c r="F4449" s="80" t="s">
        <v>1320</v>
      </c>
      <c r="G4449" s="58" t="s">
        <v>11302</v>
      </c>
      <c r="H4449" s="58" t="s">
        <v>1796</v>
      </c>
      <c r="I4449" s="64" t="s">
        <v>11303</v>
      </c>
      <c r="J4449" s="66"/>
      <c r="K4449" s="66"/>
      <c r="L4449" s="68"/>
      <c r="M4449" s="63" t="str">
        <f>HYPERLINK("http://nsgreg.nga.mil/genc/view?v=872264&amp;end_month=12&amp;end_day=31&amp;end_year=2016","Correlation")</f>
        <v>Correlation</v>
      </c>
    </row>
    <row r="4450" spans="1:13" x14ac:dyDescent="0.2">
      <c r="A4450" s="113"/>
      <c r="B4450" s="58" t="s">
        <v>11304</v>
      </c>
      <c r="C4450" s="58" t="s">
        <v>1796</v>
      </c>
      <c r="D4450" s="58" t="s">
        <v>11305</v>
      </c>
      <c r="E4450" s="60" t="b">
        <v>1</v>
      </c>
      <c r="F4450" s="80" t="s">
        <v>1320</v>
      </c>
      <c r="G4450" s="58" t="s">
        <v>11304</v>
      </c>
      <c r="H4450" s="58" t="s">
        <v>1796</v>
      </c>
      <c r="I4450" s="64" t="s">
        <v>11305</v>
      </c>
      <c r="J4450" s="66"/>
      <c r="K4450" s="66"/>
      <c r="L4450" s="68"/>
      <c r="M4450" s="63" t="str">
        <f>HYPERLINK("http://nsgreg.nga.mil/genc/view?v=872251&amp;end_month=12&amp;end_day=31&amp;end_year=2016","Correlation")</f>
        <v>Correlation</v>
      </c>
    </row>
    <row r="4451" spans="1:13" x14ac:dyDescent="0.2">
      <c r="A4451" s="113"/>
      <c r="B4451" s="58" t="s">
        <v>11306</v>
      </c>
      <c r="C4451" s="58" t="s">
        <v>1796</v>
      </c>
      <c r="D4451" s="58" t="s">
        <v>11307</v>
      </c>
      <c r="E4451" s="60" t="b">
        <v>1</v>
      </c>
      <c r="F4451" s="80" t="s">
        <v>1320</v>
      </c>
      <c r="G4451" s="58" t="s">
        <v>11306</v>
      </c>
      <c r="H4451" s="58" t="s">
        <v>1796</v>
      </c>
      <c r="I4451" s="64" t="s">
        <v>11307</v>
      </c>
      <c r="J4451" s="66"/>
      <c r="K4451" s="66"/>
      <c r="L4451" s="68"/>
      <c r="M4451" s="63" t="str">
        <f>HYPERLINK("http://nsgreg.nga.mil/genc/view?v=872252&amp;end_month=12&amp;end_day=31&amp;end_year=2016","Correlation")</f>
        <v>Correlation</v>
      </c>
    </row>
    <row r="4452" spans="1:13" x14ac:dyDescent="0.2">
      <c r="A4452" s="113"/>
      <c r="B4452" s="58" t="s">
        <v>11308</v>
      </c>
      <c r="C4452" s="58" t="s">
        <v>1796</v>
      </c>
      <c r="D4452" s="58" t="s">
        <v>11309</v>
      </c>
      <c r="E4452" s="60" t="b">
        <v>1</v>
      </c>
      <c r="F4452" s="80" t="s">
        <v>1320</v>
      </c>
      <c r="G4452" s="58" t="s">
        <v>11308</v>
      </c>
      <c r="H4452" s="58" t="s">
        <v>1796</v>
      </c>
      <c r="I4452" s="64" t="s">
        <v>11309</v>
      </c>
      <c r="J4452" s="66"/>
      <c r="K4452" s="66"/>
      <c r="L4452" s="68"/>
      <c r="M4452" s="63" t="str">
        <f>HYPERLINK("http://nsgreg.nga.mil/genc/view?v=872243&amp;end_month=12&amp;end_day=31&amp;end_year=2016","Correlation")</f>
        <v>Correlation</v>
      </c>
    </row>
    <row r="4453" spans="1:13" x14ac:dyDescent="0.2">
      <c r="A4453" s="113"/>
      <c r="B4453" s="58" t="s">
        <v>11310</v>
      </c>
      <c r="C4453" s="58" t="s">
        <v>1796</v>
      </c>
      <c r="D4453" s="58" t="s">
        <v>11311</v>
      </c>
      <c r="E4453" s="60" t="b">
        <v>1</v>
      </c>
      <c r="F4453" s="80" t="s">
        <v>1320</v>
      </c>
      <c r="G4453" s="58" t="s">
        <v>11310</v>
      </c>
      <c r="H4453" s="58" t="s">
        <v>1796</v>
      </c>
      <c r="I4453" s="64" t="s">
        <v>11311</v>
      </c>
      <c r="J4453" s="66"/>
      <c r="K4453" s="66"/>
      <c r="L4453" s="68"/>
      <c r="M4453" s="63" t="str">
        <f>HYPERLINK("http://nsgreg.nga.mil/genc/view?v=872234&amp;end_month=12&amp;end_day=31&amp;end_year=2016","Correlation")</f>
        <v>Correlation</v>
      </c>
    </row>
    <row r="4454" spans="1:13" x14ac:dyDescent="0.2">
      <c r="A4454" s="113"/>
      <c r="B4454" s="58" t="s">
        <v>11312</v>
      </c>
      <c r="C4454" s="58" t="s">
        <v>1796</v>
      </c>
      <c r="D4454" s="58" t="s">
        <v>11313</v>
      </c>
      <c r="E4454" s="60" t="b">
        <v>1</v>
      </c>
      <c r="F4454" s="80" t="s">
        <v>1320</v>
      </c>
      <c r="G4454" s="58" t="s">
        <v>11312</v>
      </c>
      <c r="H4454" s="58" t="s">
        <v>1796</v>
      </c>
      <c r="I4454" s="64" t="s">
        <v>11313</v>
      </c>
      <c r="J4454" s="66"/>
      <c r="K4454" s="66"/>
      <c r="L4454" s="68"/>
      <c r="M4454" s="63" t="str">
        <f>HYPERLINK("http://nsgreg.nga.mil/genc/view?v=872200&amp;end_month=12&amp;end_day=31&amp;end_year=2016","Correlation")</f>
        <v>Correlation</v>
      </c>
    </row>
    <row r="4455" spans="1:13" x14ac:dyDescent="0.2">
      <c r="A4455" s="113"/>
      <c r="B4455" s="58" t="s">
        <v>11314</v>
      </c>
      <c r="C4455" s="58" t="s">
        <v>1796</v>
      </c>
      <c r="D4455" s="58" t="s">
        <v>11315</v>
      </c>
      <c r="E4455" s="60" t="b">
        <v>1</v>
      </c>
      <c r="F4455" s="80" t="s">
        <v>1320</v>
      </c>
      <c r="G4455" s="58" t="s">
        <v>11314</v>
      </c>
      <c r="H4455" s="58" t="s">
        <v>1796</v>
      </c>
      <c r="I4455" s="64" t="s">
        <v>11315</v>
      </c>
      <c r="J4455" s="66"/>
      <c r="K4455" s="66"/>
      <c r="L4455" s="68"/>
      <c r="M4455" s="63" t="str">
        <f>HYPERLINK("http://nsgreg.nga.mil/genc/view?v=872176&amp;end_month=12&amp;end_day=31&amp;end_year=2016","Correlation")</f>
        <v>Correlation</v>
      </c>
    </row>
    <row r="4456" spans="1:13" x14ac:dyDescent="0.2">
      <c r="A4456" s="113"/>
      <c r="B4456" s="58" t="s">
        <v>11316</v>
      </c>
      <c r="C4456" s="58" t="s">
        <v>1796</v>
      </c>
      <c r="D4456" s="58" t="s">
        <v>11317</v>
      </c>
      <c r="E4456" s="60" t="b">
        <v>1</v>
      </c>
      <c r="F4456" s="80" t="s">
        <v>1320</v>
      </c>
      <c r="G4456" s="58" t="s">
        <v>11316</v>
      </c>
      <c r="H4456" s="58" t="s">
        <v>1796</v>
      </c>
      <c r="I4456" s="64" t="s">
        <v>11317</v>
      </c>
      <c r="J4456" s="66"/>
      <c r="K4456" s="66"/>
      <c r="L4456" s="68"/>
      <c r="M4456" s="63" t="str">
        <f>HYPERLINK("http://nsgreg.nga.mil/genc/view?v=872277&amp;end_month=12&amp;end_day=31&amp;end_year=2016","Correlation")</f>
        <v>Correlation</v>
      </c>
    </row>
    <row r="4457" spans="1:13" x14ac:dyDescent="0.2">
      <c r="A4457" s="113"/>
      <c r="B4457" s="58" t="s">
        <v>11318</v>
      </c>
      <c r="C4457" s="58" t="s">
        <v>1796</v>
      </c>
      <c r="D4457" s="58" t="s">
        <v>11319</v>
      </c>
      <c r="E4457" s="60" t="b">
        <v>1</v>
      </c>
      <c r="F4457" s="80" t="s">
        <v>1320</v>
      </c>
      <c r="G4457" s="58" t="s">
        <v>11318</v>
      </c>
      <c r="H4457" s="58" t="s">
        <v>1796</v>
      </c>
      <c r="I4457" s="64" t="s">
        <v>11319</v>
      </c>
      <c r="J4457" s="66"/>
      <c r="K4457" s="66"/>
      <c r="L4457" s="68"/>
      <c r="M4457" s="63" t="str">
        <f>HYPERLINK("http://nsgreg.nga.mil/genc/view?v=872265&amp;end_month=12&amp;end_day=31&amp;end_year=2016","Correlation")</f>
        <v>Correlation</v>
      </c>
    </row>
    <row r="4458" spans="1:13" x14ac:dyDescent="0.2">
      <c r="A4458" s="113"/>
      <c r="B4458" s="58" t="s">
        <v>11320</v>
      </c>
      <c r="C4458" s="58" t="s">
        <v>1796</v>
      </c>
      <c r="D4458" s="58" t="s">
        <v>11321</v>
      </c>
      <c r="E4458" s="60" t="b">
        <v>1</v>
      </c>
      <c r="F4458" s="80" t="s">
        <v>1320</v>
      </c>
      <c r="G4458" s="58" t="s">
        <v>11320</v>
      </c>
      <c r="H4458" s="58" t="s">
        <v>1796</v>
      </c>
      <c r="I4458" s="64" t="s">
        <v>11321</v>
      </c>
      <c r="J4458" s="66"/>
      <c r="K4458" s="66"/>
      <c r="L4458" s="68"/>
      <c r="M4458" s="63" t="str">
        <f>HYPERLINK("http://nsgreg.nga.mil/genc/view?v=872177&amp;end_month=12&amp;end_day=31&amp;end_year=2016","Correlation")</f>
        <v>Correlation</v>
      </c>
    </row>
    <row r="4459" spans="1:13" x14ac:dyDescent="0.2">
      <c r="A4459" s="113"/>
      <c r="B4459" s="58" t="s">
        <v>11322</v>
      </c>
      <c r="C4459" s="58" t="s">
        <v>1796</v>
      </c>
      <c r="D4459" s="58" t="s">
        <v>11323</v>
      </c>
      <c r="E4459" s="60" t="b">
        <v>1</v>
      </c>
      <c r="F4459" s="80" t="s">
        <v>1320</v>
      </c>
      <c r="G4459" s="58" t="s">
        <v>11322</v>
      </c>
      <c r="H4459" s="58" t="s">
        <v>1796</v>
      </c>
      <c r="I4459" s="64" t="s">
        <v>11323</v>
      </c>
      <c r="J4459" s="66"/>
      <c r="K4459" s="66"/>
      <c r="L4459" s="68"/>
      <c r="M4459" s="63" t="str">
        <f>HYPERLINK("http://nsgreg.nga.mil/genc/view?v=872222&amp;end_month=12&amp;end_day=31&amp;end_year=2016","Correlation")</f>
        <v>Correlation</v>
      </c>
    </row>
    <row r="4460" spans="1:13" x14ac:dyDescent="0.2">
      <c r="A4460" s="113"/>
      <c r="B4460" s="58" t="s">
        <v>11324</v>
      </c>
      <c r="C4460" s="58" t="s">
        <v>1796</v>
      </c>
      <c r="D4460" s="58" t="s">
        <v>11325</v>
      </c>
      <c r="E4460" s="60" t="b">
        <v>1</v>
      </c>
      <c r="F4460" s="80" t="s">
        <v>1320</v>
      </c>
      <c r="G4460" s="58" t="s">
        <v>11324</v>
      </c>
      <c r="H4460" s="58" t="s">
        <v>1796</v>
      </c>
      <c r="I4460" s="64" t="s">
        <v>11325</v>
      </c>
      <c r="J4460" s="66"/>
      <c r="K4460" s="66"/>
      <c r="L4460" s="68"/>
      <c r="M4460" s="63" t="str">
        <f>HYPERLINK("http://nsgreg.nga.mil/genc/view?v=872278&amp;end_month=12&amp;end_day=31&amp;end_year=2016","Correlation")</f>
        <v>Correlation</v>
      </c>
    </row>
    <row r="4461" spans="1:13" x14ac:dyDescent="0.2">
      <c r="A4461" s="113"/>
      <c r="B4461" s="58" t="s">
        <v>11326</v>
      </c>
      <c r="C4461" s="58" t="s">
        <v>1796</v>
      </c>
      <c r="D4461" s="58" t="s">
        <v>11327</v>
      </c>
      <c r="E4461" s="60" t="b">
        <v>1</v>
      </c>
      <c r="F4461" s="80" t="s">
        <v>1320</v>
      </c>
      <c r="G4461" s="58" t="s">
        <v>11326</v>
      </c>
      <c r="H4461" s="58" t="s">
        <v>1796</v>
      </c>
      <c r="I4461" s="64" t="s">
        <v>11327</v>
      </c>
      <c r="J4461" s="66"/>
      <c r="K4461" s="66"/>
      <c r="L4461" s="68"/>
      <c r="M4461" s="63" t="str">
        <f>HYPERLINK("http://nsgreg.nga.mil/genc/view?v=872205&amp;end_month=12&amp;end_day=31&amp;end_year=2016","Correlation")</f>
        <v>Correlation</v>
      </c>
    </row>
    <row r="4462" spans="1:13" x14ac:dyDescent="0.2">
      <c r="A4462" s="113"/>
      <c r="B4462" s="58" t="s">
        <v>11328</v>
      </c>
      <c r="C4462" s="58" t="s">
        <v>1796</v>
      </c>
      <c r="D4462" s="58" t="s">
        <v>11329</v>
      </c>
      <c r="E4462" s="60" t="b">
        <v>1</v>
      </c>
      <c r="F4462" s="80" t="s">
        <v>1320</v>
      </c>
      <c r="G4462" s="58" t="s">
        <v>11328</v>
      </c>
      <c r="H4462" s="58" t="s">
        <v>1796</v>
      </c>
      <c r="I4462" s="64" t="s">
        <v>11329</v>
      </c>
      <c r="J4462" s="66"/>
      <c r="K4462" s="66"/>
      <c r="L4462" s="68"/>
      <c r="M4462" s="63" t="str">
        <f>HYPERLINK("http://nsgreg.nga.mil/genc/view?v=872201&amp;end_month=12&amp;end_day=31&amp;end_year=2016","Correlation")</f>
        <v>Correlation</v>
      </c>
    </row>
    <row r="4463" spans="1:13" x14ac:dyDescent="0.2">
      <c r="A4463" s="113"/>
      <c r="B4463" s="58" t="s">
        <v>11330</v>
      </c>
      <c r="C4463" s="58" t="s">
        <v>1796</v>
      </c>
      <c r="D4463" s="58" t="s">
        <v>11331</v>
      </c>
      <c r="E4463" s="60" t="b">
        <v>1</v>
      </c>
      <c r="F4463" s="80" t="s">
        <v>1320</v>
      </c>
      <c r="G4463" s="58" t="s">
        <v>11330</v>
      </c>
      <c r="H4463" s="58" t="s">
        <v>1796</v>
      </c>
      <c r="I4463" s="64" t="s">
        <v>11331</v>
      </c>
      <c r="J4463" s="66"/>
      <c r="K4463" s="66"/>
      <c r="L4463" s="68"/>
      <c r="M4463" s="63" t="str">
        <f>HYPERLINK("http://nsgreg.nga.mil/genc/view?v=872202&amp;end_month=12&amp;end_day=31&amp;end_year=2016","Correlation")</f>
        <v>Correlation</v>
      </c>
    </row>
    <row r="4464" spans="1:13" x14ac:dyDescent="0.2">
      <c r="A4464" s="113"/>
      <c r="B4464" s="58" t="s">
        <v>11332</v>
      </c>
      <c r="C4464" s="58" t="s">
        <v>1796</v>
      </c>
      <c r="D4464" s="58" t="s">
        <v>11333</v>
      </c>
      <c r="E4464" s="60" t="b">
        <v>1</v>
      </c>
      <c r="F4464" s="80" t="s">
        <v>1320</v>
      </c>
      <c r="G4464" s="58" t="s">
        <v>11332</v>
      </c>
      <c r="H4464" s="58" t="s">
        <v>1796</v>
      </c>
      <c r="I4464" s="64" t="s">
        <v>11333</v>
      </c>
      <c r="J4464" s="66"/>
      <c r="K4464" s="66"/>
      <c r="L4464" s="68"/>
      <c r="M4464" s="63" t="str">
        <f>HYPERLINK("http://nsgreg.nga.mil/genc/view?v=872179&amp;end_month=12&amp;end_day=31&amp;end_year=2016","Correlation")</f>
        <v>Correlation</v>
      </c>
    </row>
    <row r="4465" spans="1:13" x14ac:dyDescent="0.2">
      <c r="A4465" s="113"/>
      <c r="B4465" s="58" t="s">
        <v>4083</v>
      </c>
      <c r="C4465" s="58" t="s">
        <v>2763</v>
      </c>
      <c r="D4465" s="58" t="s">
        <v>11334</v>
      </c>
      <c r="E4465" s="60" t="b">
        <v>1</v>
      </c>
      <c r="F4465" s="80" t="s">
        <v>1320</v>
      </c>
      <c r="G4465" s="58" t="s">
        <v>4083</v>
      </c>
      <c r="H4465" s="58" t="s">
        <v>2763</v>
      </c>
      <c r="I4465" s="64" t="s">
        <v>11334</v>
      </c>
      <c r="J4465" s="66"/>
      <c r="K4465" s="66"/>
      <c r="L4465" s="68"/>
      <c r="M4465" s="63" t="str">
        <f>HYPERLINK("http://nsgreg.nga.mil/genc/view?v=872282&amp;end_month=12&amp;end_day=31&amp;end_year=2016","Correlation")</f>
        <v>Correlation</v>
      </c>
    </row>
    <row r="4466" spans="1:13" x14ac:dyDescent="0.2">
      <c r="A4466" s="113"/>
      <c r="B4466" s="58" t="s">
        <v>11335</v>
      </c>
      <c r="C4466" s="58" t="s">
        <v>1796</v>
      </c>
      <c r="D4466" s="58" t="s">
        <v>11336</v>
      </c>
      <c r="E4466" s="60" t="b">
        <v>1</v>
      </c>
      <c r="F4466" s="80" t="s">
        <v>1320</v>
      </c>
      <c r="G4466" s="58" t="s">
        <v>11335</v>
      </c>
      <c r="H4466" s="58" t="s">
        <v>1796</v>
      </c>
      <c r="I4466" s="64" t="s">
        <v>11336</v>
      </c>
      <c r="J4466" s="66"/>
      <c r="K4466" s="66"/>
      <c r="L4466" s="68"/>
      <c r="M4466" s="63" t="str">
        <f>HYPERLINK("http://nsgreg.nga.mil/genc/view?v=872235&amp;end_month=12&amp;end_day=31&amp;end_year=2016","Correlation")</f>
        <v>Correlation</v>
      </c>
    </row>
    <row r="4467" spans="1:13" x14ac:dyDescent="0.2">
      <c r="A4467" s="114"/>
      <c r="B4467" s="71" t="s">
        <v>11337</v>
      </c>
      <c r="C4467" s="71" t="s">
        <v>1796</v>
      </c>
      <c r="D4467" s="71" t="s">
        <v>11338</v>
      </c>
      <c r="E4467" s="73" t="b">
        <v>1</v>
      </c>
      <c r="F4467" s="81" t="s">
        <v>1320</v>
      </c>
      <c r="G4467" s="71" t="s">
        <v>11337</v>
      </c>
      <c r="H4467" s="71" t="s">
        <v>1796</v>
      </c>
      <c r="I4467" s="74" t="s">
        <v>11338</v>
      </c>
      <c r="J4467" s="76"/>
      <c r="K4467" s="76"/>
      <c r="L4467" s="82"/>
      <c r="M4467" s="77" t="str">
        <f>HYPERLINK("http://nsgreg.nga.mil/genc/view?v=872253&amp;end_month=12&amp;end_day=31&amp;end_year=2016","Correlation")</f>
        <v>Correlation</v>
      </c>
    </row>
    <row r="4468" spans="1:13" x14ac:dyDescent="0.2">
      <c r="A4468" s="112" t="s">
        <v>1324</v>
      </c>
      <c r="B4468" s="50" t="s">
        <v>11371</v>
      </c>
      <c r="C4468" s="50" t="s">
        <v>2408</v>
      </c>
      <c r="D4468" s="50" t="s">
        <v>11370</v>
      </c>
      <c r="E4468" s="52" t="b">
        <v>1</v>
      </c>
      <c r="F4468" s="78" t="s">
        <v>1324</v>
      </c>
      <c r="G4468" s="50" t="s">
        <v>11369</v>
      </c>
      <c r="H4468" s="50" t="s">
        <v>1875</v>
      </c>
      <c r="I4468" s="53" t="s">
        <v>11370</v>
      </c>
      <c r="J4468" s="55"/>
      <c r="K4468" s="55"/>
      <c r="L4468" s="79"/>
      <c r="M4468" s="56" t="str">
        <f>HYPERLINK("http://nsgreg.nga.mil/genc/view?v=872153&amp;end_month=12&amp;end_day=31&amp;end_year=2016","Correlation")</f>
        <v>Correlation</v>
      </c>
    </row>
    <row r="4469" spans="1:13" x14ac:dyDescent="0.2">
      <c r="A4469" s="113"/>
      <c r="B4469" s="58" t="s">
        <v>11341</v>
      </c>
      <c r="C4469" s="58" t="s">
        <v>1728</v>
      </c>
      <c r="D4469" s="58" t="s">
        <v>11340</v>
      </c>
      <c r="E4469" s="60" t="b">
        <v>1</v>
      </c>
      <c r="F4469" s="80" t="s">
        <v>1324</v>
      </c>
      <c r="G4469" s="58" t="s">
        <v>11339</v>
      </c>
      <c r="H4469" s="58" t="s">
        <v>1413</v>
      </c>
      <c r="I4469" s="64" t="s">
        <v>11340</v>
      </c>
      <c r="J4469" s="66"/>
      <c r="K4469" s="66"/>
      <c r="L4469" s="68"/>
      <c r="M4469" s="63" t="str">
        <f>HYPERLINK("http://nsgreg.nga.mil/genc/view?v=872164&amp;end_month=12&amp;end_day=31&amp;end_year=2016","Correlation")</f>
        <v>Correlation</v>
      </c>
    </row>
    <row r="4470" spans="1:13" x14ac:dyDescent="0.2">
      <c r="A4470" s="113"/>
      <c r="B4470" s="58" t="s">
        <v>11344</v>
      </c>
      <c r="C4470" s="58" t="s">
        <v>1728</v>
      </c>
      <c r="D4470" s="58" t="s">
        <v>11343</v>
      </c>
      <c r="E4470" s="60" t="b">
        <v>1</v>
      </c>
      <c r="F4470" s="80" t="s">
        <v>1324</v>
      </c>
      <c r="G4470" s="58" t="s">
        <v>11342</v>
      </c>
      <c r="H4470" s="58" t="s">
        <v>1413</v>
      </c>
      <c r="I4470" s="64" t="s">
        <v>11343</v>
      </c>
      <c r="J4470" s="66"/>
      <c r="K4470" s="66"/>
      <c r="L4470" s="68"/>
      <c r="M4470" s="63" t="str">
        <f>HYPERLINK("http://nsgreg.nga.mil/genc/view?v=872165&amp;end_month=12&amp;end_day=31&amp;end_year=2016","Correlation")</f>
        <v>Correlation</v>
      </c>
    </row>
    <row r="4471" spans="1:13" x14ac:dyDescent="0.2">
      <c r="A4471" s="113"/>
      <c r="B4471" s="58" t="s">
        <v>11347</v>
      </c>
      <c r="C4471" s="58" t="s">
        <v>1728</v>
      </c>
      <c r="D4471" s="58" t="s">
        <v>11346</v>
      </c>
      <c r="E4471" s="60" t="b">
        <v>1</v>
      </c>
      <c r="F4471" s="80" t="s">
        <v>1324</v>
      </c>
      <c r="G4471" s="58" t="s">
        <v>11345</v>
      </c>
      <c r="H4471" s="58" t="s">
        <v>1413</v>
      </c>
      <c r="I4471" s="64" t="s">
        <v>11346</v>
      </c>
      <c r="J4471" s="66"/>
      <c r="K4471" s="66"/>
      <c r="L4471" s="68"/>
      <c r="M4471" s="63" t="str">
        <f>HYPERLINK("http://nsgreg.nga.mil/genc/view?v=872166&amp;end_month=12&amp;end_day=31&amp;end_year=2016","Correlation")</f>
        <v>Correlation</v>
      </c>
    </row>
    <row r="4472" spans="1:13" x14ac:dyDescent="0.2">
      <c r="A4472" s="113"/>
      <c r="B4472" s="58" t="s">
        <v>11350</v>
      </c>
      <c r="C4472" s="58" t="s">
        <v>1728</v>
      </c>
      <c r="D4472" s="58" t="s">
        <v>11349</v>
      </c>
      <c r="E4472" s="60" t="b">
        <v>1</v>
      </c>
      <c r="F4472" s="80" t="s">
        <v>1324</v>
      </c>
      <c r="G4472" s="58" t="s">
        <v>11348</v>
      </c>
      <c r="H4472" s="58" t="s">
        <v>1413</v>
      </c>
      <c r="I4472" s="64" t="s">
        <v>11349</v>
      </c>
      <c r="J4472" s="66"/>
      <c r="K4472" s="66"/>
      <c r="L4472" s="68"/>
      <c r="M4472" s="63" t="str">
        <f>HYPERLINK("http://nsgreg.nga.mil/genc/view?v=872143&amp;end_month=12&amp;end_day=31&amp;end_year=2016","Correlation")</f>
        <v>Correlation</v>
      </c>
    </row>
    <row r="4473" spans="1:13" x14ac:dyDescent="0.2">
      <c r="A4473" s="113"/>
      <c r="B4473" s="58" t="s">
        <v>11353</v>
      </c>
      <c r="C4473" s="58" t="s">
        <v>1728</v>
      </c>
      <c r="D4473" s="58" t="s">
        <v>11352</v>
      </c>
      <c r="E4473" s="60" t="b">
        <v>1</v>
      </c>
      <c r="F4473" s="80" t="s">
        <v>1324</v>
      </c>
      <c r="G4473" s="58" t="s">
        <v>11351</v>
      </c>
      <c r="H4473" s="58" t="s">
        <v>1413</v>
      </c>
      <c r="I4473" s="64" t="s">
        <v>11352</v>
      </c>
      <c r="J4473" s="66"/>
      <c r="K4473" s="66"/>
      <c r="L4473" s="68"/>
      <c r="M4473" s="63" t="str">
        <f>HYPERLINK("http://nsgreg.nga.mil/genc/view?v=872144&amp;end_month=12&amp;end_day=31&amp;end_year=2016","Correlation")</f>
        <v>Correlation</v>
      </c>
    </row>
    <row r="4474" spans="1:13" x14ac:dyDescent="0.2">
      <c r="A4474" s="113"/>
      <c r="B4474" s="58" t="s">
        <v>11356</v>
      </c>
      <c r="C4474" s="58" t="s">
        <v>1728</v>
      </c>
      <c r="D4474" s="58" t="s">
        <v>11355</v>
      </c>
      <c r="E4474" s="60" t="b">
        <v>1</v>
      </c>
      <c r="F4474" s="80" t="s">
        <v>1324</v>
      </c>
      <c r="G4474" s="58" t="s">
        <v>11354</v>
      </c>
      <c r="H4474" s="58" t="s">
        <v>1413</v>
      </c>
      <c r="I4474" s="64" t="s">
        <v>11355</v>
      </c>
      <c r="J4474" s="66"/>
      <c r="K4474" s="66"/>
      <c r="L4474" s="68"/>
      <c r="M4474" s="63" t="str">
        <f>HYPERLINK("http://nsgreg.nga.mil/genc/view?v=872148&amp;end_month=12&amp;end_day=31&amp;end_year=2016","Correlation")</f>
        <v>Correlation</v>
      </c>
    </row>
    <row r="4475" spans="1:13" x14ac:dyDescent="0.2">
      <c r="A4475" s="113"/>
      <c r="B4475" s="58" t="s">
        <v>11359</v>
      </c>
      <c r="C4475" s="58" t="s">
        <v>1728</v>
      </c>
      <c r="D4475" s="58" t="s">
        <v>11358</v>
      </c>
      <c r="E4475" s="60" t="b">
        <v>1</v>
      </c>
      <c r="F4475" s="80" t="s">
        <v>1324</v>
      </c>
      <c r="G4475" s="58" t="s">
        <v>11357</v>
      </c>
      <c r="H4475" s="58" t="s">
        <v>1413</v>
      </c>
      <c r="I4475" s="64" t="s">
        <v>11358</v>
      </c>
      <c r="J4475" s="66"/>
      <c r="K4475" s="66"/>
      <c r="L4475" s="68"/>
      <c r="M4475" s="63" t="str">
        <f>HYPERLINK("http://nsgreg.nga.mil/genc/view?v=872161&amp;end_month=12&amp;end_day=31&amp;end_year=2016","Correlation")</f>
        <v>Correlation</v>
      </c>
    </row>
    <row r="4476" spans="1:13" x14ac:dyDescent="0.2">
      <c r="A4476" s="113"/>
      <c r="B4476" s="58" t="s">
        <v>11362</v>
      </c>
      <c r="C4476" s="58" t="s">
        <v>1728</v>
      </c>
      <c r="D4476" s="58" t="s">
        <v>11361</v>
      </c>
      <c r="E4476" s="60" t="b">
        <v>1</v>
      </c>
      <c r="F4476" s="80" t="s">
        <v>1324</v>
      </c>
      <c r="G4476" s="58" t="s">
        <v>11360</v>
      </c>
      <c r="H4476" s="58" t="s">
        <v>1413</v>
      </c>
      <c r="I4476" s="64" t="s">
        <v>11361</v>
      </c>
      <c r="J4476" s="66"/>
      <c r="K4476" s="66"/>
      <c r="L4476" s="68"/>
      <c r="M4476" s="63" t="str">
        <f>HYPERLINK("http://nsgreg.nga.mil/genc/view?v=872162&amp;end_month=12&amp;end_day=31&amp;end_year=2016","Correlation")</f>
        <v>Correlation</v>
      </c>
    </row>
    <row r="4477" spans="1:13" x14ac:dyDescent="0.2">
      <c r="A4477" s="113"/>
      <c r="B4477" s="58" t="s">
        <v>11365</v>
      </c>
      <c r="C4477" s="58" t="s">
        <v>1728</v>
      </c>
      <c r="D4477" s="58" t="s">
        <v>11364</v>
      </c>
      <c r="E4477" s="60" t="b">
        <v>1</v>
      </c>
      <c r="F4477" s="80" t="s">
        <v>1324</v>
      </c>
      <c r="G4477" s="58" t="s">
        <v>11363</v>
      </c>
      <c r="H4477" s="58" t="s">
        <v>1413</v>
      </c>
      <c r="I4477" s="64" t="s">
        <v>11364</v>
      </c>
      <c r="J4477" s="66"/>
      <c r="K4477" s="66"/>
      <c r="L4477" s="68"/>
      <c r="M4477" s="63" t="str">
        <f>HYPERLINK("http://nsgreg.nga.mil/genc/view?v=872163&amp;end_month=12&amp;end_day=31&amp;end_year=2016","Correlation")</f>
        <v>Correlation</v>
      </c>
    </row>
    <row r="4478" spans="1:13" x14ac:dyDescent="0.2">
      <c r="A4478" s="113"/>
      <c r="B4478" s="58" t="s">
        <v>11368</v>
      </c>
      <c r="C4478" s="58" t="s">
        <v>1728</v>
      </c>
      <c r="D4478" s="58" t="s">
        <v>11367</v>
      </c>
      <c r="E4478" s="60" t="b">
        <v>1</v>
      </c>
      <c r="F4478" s="80" t="s">
        <v>1324</v>
      </c>
      <c r="G4478" s="58" t="s">
        <v>11366</v>
      </c>
      <c r="H4478" s="58" t="s">
        <v>1413</v>
      </c>
      <c r="I4478" s="64" t="s">
        <v>11367</v>
      </c>
      <c r="J4478" s="66"/>
      <c r="K4478" s="66"/>
      <c r="L4478" s="68"/>
      <c r="M4478" s="63" t="str">
        <f>HYPERLINK("http://nsgreg.nga.mil/genc/view?v=872151&amp;end_month=12&amp;end_day=31&amp;end_year=2016","Correlation")</f>
        <v>Correlation</v>
      </c>
    </row>
    <row r="4479" spans="1:13" x14ac:dyDescent="0.2">
      <c r="A4479" s="113"/>
      <c r="B4479" s="58" t="s">
        <v>11374</v>
      </c>
      <c r="C4479" s="58" t="s">
        <v>1681</v>
      </c>
      <c r="D4479" s="58" t="s">
        <v>11373</v>
      </c>
      <c r="E4479" s="60" t="b">
        <v>1</v>
      </c>
      <c r="F4479" s="80" t="s">
        <v>1324</v>
      </c>
      <c r="G4479" s="58" t="s">
        <v>11372</v>
      </c>
      <c r="H4479" s="58" t="s">
        <v>1681</v>
      </c>
      <c r="I4479" s="64" t="s">
        <v>11373</v>
      </c>
      <c r="J4479" s="66"/>
      <c r="K4479" s="66"/>
      <c r="L4479" s="68"/>
      <c r="M4479" s="63" t="str">
        <f>HYPERLINK("http://nsgreg.nga.mil/genc/view?v=872149&amp;end_month=12&amp;end_day=31&amp;end_year=2016","Correlation")</f>
        <v>Correlation</v>
      </c>
    </row>
    <row r="4480" spans="1:13" x14ac:dyDescent="0.2">
      <c r="A4480" s="113"/>
      <c r="B4480" s="58" t="s">
        <v>11377</v>
      </c>
      <c r="C4480" s="58" t="s">
        <v>1728</v>
      </c>
      <c r="D4480" s="58" t="s">
        <v>11376</v>
      </c>
      <c r="E4480" s="60" t="b">
        <v>1</v>
      </c>
      <c r="F4480" s="80" t="s">
        <v>1324</v>
      </c>
      <c r="G4480" s="58" t="s">
        <v>11375</v>
      </c>
      <c r="H4480" s="58" t="s">
        <v>1413</v>
      </c>
      <c r="I4480" s="64" t="s">
        <v>11376</v>
      </c>
      <c r="J4480" s="66"/>
      <c r="K4480" s="66"/>
      <c r="L4480" s="68"/>
      <c r="M4480" s="63" t="str">
        <f>HYPERLINK("http://nsgreg.nga.mil/genc/view?v=872150&amp;end_month=12&amp;end_day=31&amp;end_year=2016","Correlation")</f>
        <v>Correlation</v>
      </c>
    </row>
    <row r="4481" spans="1:13" x14ac:dyDescent="0.2">
      <c r="A4481" s="113"/>
      <c r="B4481" s="58" t="s">
        <v>11380</v>
      </c>
      <c r="C4481" s="58" t="s">
        <v>1728</v>
      </c>
      <c r="D4481" s="58" t="s">
        <v>11379</v>
      </c>
      <c r="E4481" s="60" t="b">
        <v>1</v>
      </c>
      <c r="F4481" s="80" t="s">
        <v>1324</v>
      </c>
      <c r="G4481" s="58" t="s">
        <v>11378</v>
      </c>
      <c r="H4481" s="58" t="s">
        <v>1413</v>
      </c>
      <c r="I4481" s="64" t="s">
        <v>11379</v>
      </c>
      <c r="J4481" s="66"/>
      <c r="K4481" s="66"/>
      <c r="L4481" s="68"/>
      <c r="M4481" s="63" t="str">
        <f>HYPERLINK("http://nsgreg.nga.mil/genc/view?v=872142&amp;end_month=12&amp;end_day=31&amp;end_year=2016","Correlation")</f>
        <v>Correlation</v>
      </c>
    </row>
    <row r="4482" spans="1:13" x14ac:dyDescent="0.2">
      <c r="A4482" s="113"/>
      <c r="B4482" s="58" t="s">
        <v>11383</v>
      </c>
      <c r="C4482" s="58" t="s">
        <v>1728</v>
      </c>
      <c r="D4482" s="58" t="s">
        <v>11382</v>
      </c>
      <c r="E4482" s="60" t="b">
        <v>1</v>
      </c>
      <c r="F4482" s="80" t="s">
        <v>1324</v>
      </c>
      <c r="G4482" s="58" t="s">
        <v>11381</v>
      </c>
      <c r="H4482" s="58" t="s">
        <v>1413</v>
      </c>
      <c r="I4482" s="64" t="s">
        <v>11382</v>
      </c>
      <c r="J4482" s="66"/>
      <c r="K4482" s="66"/>
      <c r="L4482" s="68"/>
      <c r="M4482" s="63" t="str">
        <f>HYPERLINK("http://nsgreg.nga.mil/genc/view?v=872154&amp;end_month=12&amp;end_day=31&amp;end_year=2016","Correlation")</f>
        <v>Correlation</v>
      </c>
    </row>
    <row r="4483" spans="1:13" x14ac:dyDescent="0.2">
      <c r="A4483" s="113"/>
      <c r="B4483" s="58" t="s">
        <v>11386</v>
      </c>
      <c r="C4483" s="58" t="s">
        <v>1728</v>
      </c>
      <c r="D4483" s="58" t="s">
        <v>11385</v>
      </c>
      <c r="E4483" s="60" t="b">
        <v>1</v>
      </c>
      <c r="F4483" s="80" t="s">
        <v>1324</v>
      </c>
      <c r="G4483" s="58" t="s">
        <v>11384</v>
      </c>
      <c r="H4483" s="58" t="s">
        <v>1413</v>
      </c>
      <c r="I4483" s="64" t="s">
        <v>11385</v>
      </c>
      <c r="J4483" s="66"/>
      <c r="K4483" s="66"/>
      <c r="L4483" s="68"/>
      <c r="M4483" s="63" t="str">
        <f>HYPERLINK("http://nsgreg.nga.mil/genc/view?v=872155&amp;end_month=12&amp;end_day=31&amp;end_year=2016","Correlation")</f>
        <v>Correlation</v>
      </c>
    </row>
    <row r="4484" spans="1:13" x14ac:dyDescent="0.2">
      <c r="A4484" s="113"/>
      <c r="B4484" s="58" t="s">
        <v>11389</v>
      </c>
      <c r="C4484" s="58" t="s">
        <v>1728</v>
      </c>
      <c r="D4484" s="58" t="s">
        <v>11388</v>
      </c>
      <c r="E4484" s="60" t="b">
        <v>1</v>
      </c>
      <c r="F4484" s="80" t="s">
        <v>1324</v>
      </c>
      <c r="G4484" s="58" t="s">
        <v>11387</v>
      </c>
      <c r="H4484" s="58" t="s">
        <v>1413</v>
      </c>
      <c r="I4484" s="64" t="s">
        <v>11388</v>
      </c>
      <c r="J4484" s="66"/>
      <c r="K4484" s="66"/>
      <c r="L4484" s="68"/>
      <c r="M4484" s="63" t="str">
        <f>HYPERLINK("http://nsgreg.nga.mil/genc/view?v=872156&amp;end_month=12&amp;end_day=31&amp;end_year=2016","Correlation")</f>
        <v>Correlation</v>
      </c>
    </row>
    <row r="4485" spans="1:13" x14ac:dyDescent="0.2">
      <c r="A4485" s="113"/>
      <c r="B4485" s="58" t="s">
        <v>11392</v>
      </c>
      <c r="C4485" s="58" t="s">
        <v>1728</v>
      </c>
      <c r="D4485" s="58" t="s">
        <v>11391</v>
      </c>
      <c r="E4485" s="60" t="b">
        <v>1</v>
      </c>
      <c r="F4485" s="80" t="s">
        <v>1324</v>
      </c>
      <c r="G4485" s="58" t="s">
        <v>11390</v>
      </c>
      <c r="H4485" s="58" t="s">
        <v>1413</v>
      </c>
      <c r="I4485" s="64" t="s">
        <v>11391</v>
      </c>
      <c r="J4485" s="66"/>
      <c r="K4485" s="66"/>
      <c r="L4485" s="68"/>
      <c r="M4485" s="63" t="str">
        <f>HYPERLINK("http://nsgreg.nga.mil/genc/view?v=872157&amp;end_month=12&amp;end_day=31&amp;end_year=2016","Correlation")</f>
        <v>Correlation</v>
      </c>
    </row>
    <row r="4486" spans="1:13" x14ac:dyDescent="0.2">
      <c r="A4486" s="113"/>
      <c r="B4486" s="58" t="s">
        <v>11395</v>
      </c>
      <c r="C4486" s="58" t="s">
        <v>1728</v>
      </c>
      <c r="D4486" s="58" t="s">
        <v>11394</v>
      </c>
      <c r="E4486" s="60" t="b">
        <v>1</v>
      </c>
      <c r="F4486" s="80" t="s">
        <v>1324</v>
      </c>
      <c r="G4486" s="58" t="s">
        <v>11393</v>
      </c>
      <c r="H4486" s="58" t="s">
        <v>1413</v>
      </c>
      <c r="I4486" s="64" t="s">
        <v>11394</v>
      </c>
      <c r="J4486" s="66"/>
      <c r="K4486" s="66"/>
      <c r="L4486" s="68"/>
      <c r="M4486" s="63" t="str">
        <f>HYPERLINK("http://nsgreg.nga.mil/genc/view?v=872158&amp;end_month=12&amp;end_day=31&amp;end_year=2016","Correlation")</f>
        <v>Correlation</v>
      </c>
    </row>
    <row r="4487" spans="1:13" x14ac:dyDescent="0.2">
      <c r="A4487" s="113"/>
      <c r="B4487" s="58" t="s">
        <v>11398</v>
      </c>
      <c r="C4487" s="58" t="s">
        <v>1681</v>
      </c>
      <c r="D4487" s="58" t="s">
        <v>11397</v>
      </c>
      <c r="E4487" s="60" t="b">
        <v>1</v>
      </c>
      <c r="F4487" s="80" t="s">
        <v>1324</v>
      </c>
      <c r="G4487" s="58" t="s">
        <v>11396</v>
      </c>
      <c r="H4487" s="58" t="s">
        <v>1681</v>
      </c>
      <c r="I4487" s="64" t="s">
        <v>11397</v>
      </c>
      <c r="J4487" s="66"/>
      <c r="K4487" s="66"/>
      <c r="L4487" s="68"/>
      <c r="M4487" s="63" t="str">
        <f>HYPERLINK("http://nsgreg.nga.mil/genc/view?v=872152&amp;end_month=12&amp;end_day=31&amp;end_year=2016","Correlation")</f>
        <v>Correlation</v>
      </c>
    </row>
    <row r="4488" spans="1:13" x14ac:dyDescent="0.2">
      <c r="A4488" s="113"/>
      <c r="B4488" s="58" t="s">
        <v>11401</v>
      </c>
      <c r="C4488" s="58" t="s">
        <v>1728</v>
      </c>
      <c r="D4488" s="58" t="s">
        <v>11400</v>
      </c>
      <c r="E4488" s="60" t="b">
        <v>1</v>
      </c>
      <c r="F4488" s="80" t="s">
        <v>1324</v>
      </c>
      <c r="G4488" s="58" t="s">
        <v>11399</v>
      </c>
      <c r="H4488" s="58" t="s">
        <v>1413</v>
      </c>
      <c r="I4488" s="64" t="s">
        <v>11400</v>
      </c>
      <c r="J4488" s="66"/>
      <c r="K4488" s="66"/>
      <c r="L4488" s="68"/>
      <c r="M4488" s="63" t="str">
        <f>HYPERLINK("http://nsgreg.nga.mil/genc/view?v=872159&amp;end_month=12&amp;end_day=31&amp;end_year=2016","Correlation")</f>
        <v>Correlation</v>
      </c>
    </row>
    <row r="4489" spans="1:13" x14ac:dyDescent="0.2">
      <c r="A4489" s="113"/>
      <c r="B4489" s="58" t="s">
        <v>11404</v>
      </c>
      <c r="C4489" s="58" t="s">
        <v>1728</v>
      </c>
      <c r="D4489" s="58" t="s">
        <v>11403</v>
      </c>
      <c r="E4489" s="60" t="b">
        <v>1</v>
      </c>
      <c r="F4489" s="80" t="s">
        <v>1324</v>
      </c>
      <c r="G4489" s="58" t="s">
        <v>11402</v>
      </c>
      <c r="H4489" s="58" t="s">
        <v>1413</v>
      </c>
      <c r="I4489" s="64" t="s">
        <v>11403</v>
      </c>
      <c r="J4489" s="66"/>
      <c r="K4489" s="66"/>
      <c r="L4489" s="68"/>
      <c r="M4489" s="63" t="str">
        <f>HYPERLINK("http://nsgreg.nga.mil/genc/view?v=872160&amp;end_month=12&amp;end_day=31&amp;end_year=2016","Correlation")</f>
        <v>Correlation</v>
      </c>
    </row>
    <row r="4490" spans="1:13" x14ac:dyDescent="0.2">
      <c r="A4490" s="113"/>
      <c r="B4490" s="58" t="s">
        <v>11407</v>
      </c>
      <c r="C4490" s="58" t="s">
        <v>1728</v>
      </c>
      <c r="D4490" s="58" t="s">
        <v>11406</v>
      </c>
      <c r="E4490" s="60" t="b">
        <v>1</v>
      </c>
      <c r="F4490" s="80" t="s">
        <v>1324</v>
      </c>
      <c r="G4490" s="58" t="s">
        <v>11405</v>
      </c>
      <c r="H4490" s="58" t="s">
        <v>1413</v>
      </c>
      <c r="I4490" s="64" t="s">
        <v>11406</v>
      </c>
      <c r="J4490" s="66"/>
      <c r="K4490" s="66"/>
      <c r="L4490" s="68"/>
      <c r="M4490" s="63" t="str">
        <f>HYPERLINK("http://nsgreg.nga.mil/genc/view?v=872140&amp;end_month=12&amp;end_day=31&amp;end_year=2016","Correlation")</f>
        <v>Correlation</v>
      </c>
    </row>
    <row r="4491" spans="1:13" x14ac:dyDescent="0.2">
      <c r="A4491" s="113"/>
      <c r="B4491" s="58" t="s">
        <v>11410</v>
      </c>
      <c r="C4491" s="58" t="s">
        <v>1728</v>
      </c>
      <c r="D4491" s="58" t="s">
        <v>11409</v>
      </c>
      <c r="E4491" s="60" t="b">
        <v>1</v>
      </c>
      <c r="F4491" s="80" t="s">
        <v>1324</v>
      </c>
      <c r="G4491" s="58" t="s">
        <v>11408</v>
      </c>
      <c r="H4491" s="58" t="s">
        <v>1413</v>
      </c>
      <c r="I4491" s="64" t="s">
        <v>11409</v>
      </c>
      <c r="J4491" s="66"/>
      <c r="K4491" s="66"/>
      <c r="L4491" s="68"/>
      <c r="M4491" s="63" t="str">
        <f>HYPERLINK("http://nsgreg.nga.mil/genc/view?v=872141&amp;end_month=12&amp;end_day=31&amp;end_year=2016","Correlation")</f>
        <v>Correlation</v>
      </c>
    </row>
    <row r="4492" spans="1:13" x14ac:dyDescent="0.2">
      <c r="A4492" s="113"/>
      <c r="B4492" s="58" t="s">
        <v>11413</v>
      </c>
      <c r="C4492" s="58" t="s">
        <v>1728</v>
      </c>
      <c r="D4492" s="58" t="s">
        <v>11412</v>
      </c>
      <c r="E4492" s="60" t="b">
        <v>1</v>
      </c>
      <c r="F4492" s="80" t="s">
        <v>1324</v>
      </c>
      <c r="G4492" s="58" t="s">
        <v>11411</v>
      </c>
      <c r="H4492" s="58" t="s">
        <v>1413</v>
      </c>
      <c r="I4492" s="64" t="s">
        <v>11412</v>
      </c>
      <c r="J4492" s="66"/>
      <c r="K4492" s="66"/>
      <c r="L4492" s="68"/>
      <c r="M4492" s="63" t="str">
        <f>HYPERLINK("http://nsgreg.nga.mil/genc/view?v=872146&amp;end_month=12&amp;end_day=31&amp;end_year=2016","Correlation")</f>
        <v>Correlation</v>
      </c>
    </row>
    <row r="4493" spans="1:13" x14ac:dyDescent="0.2">
      <c r="A4493" s="113"/>
      <c r="B4493" s="58" t="s">
        <v>11416</v>
      </c>
      <c r="C4493" s="58" t="s">
        <v>1728</v>
      </c>
      <c r="D4493" s="58" t="s">
        <v>11415</v>
      </c>
      <c r="E4493" s="60" t="b">
        <v>1</v>
      </c>
      <c r="F4493" s="80" t="s">
        <v>1324</v>
      </c>
      <c r="G4493" s="58" t="s">
        <v>11414</v>
      </c>
      <c r="H4493" s="58" t="s">
        <v>1413</v>
      </c>
      <c r="I4493" s="64" t="s">
        <v>11415</v>
      </c>
      <c r="J4493" s="66"/>
      <c r="K4493" s="66"/>
      <c r="L4493" s="68"/>
      <c r="M4493" s="63" t="str">
        <f>HYPERLINK("http://nsgreg.nga.mil/genc/view?v=872147&amp;end_month=12&amp;end_day=31&amp;end_year=2016","Correlation")</f>
        <v>Correlation</v>
      </c>
    </row>
    <row r="4494" spans="1:13" x14ac:dyDescent="0.2">
      <c r="A4494" s="114"/>
      <c r="B4494" s="71" t="s">
        <v>11419</v>
      </c>
      <c r="C4494" s="71" t="s">
        <v>1728</v>
      </c>
      <c r="D4494" s="71" t="s">
        <v>11418</v>
      </c>
      <c r="E4494" s="73" t="b">
        <v>1</v>
      </c>
      <c r="F4494" s="81" t="s">
        <v>1324</v>
      </c>
      <c r="G4494" s="71" t="s">
        <v>11417</v>
      </c>
      <c r="H4494" s="71" t="s">
        <v>1413</v>
      </c>
      <c r="I4494" s="74" t="s">
        <v>11418</v>
      </c>
      <c r="J4494" s="76"/>
      <c r="K4494" s="76"/>
      <c r="L4494" s="82"/>
      <c r="M4494" s="77" t="str">
        <f>HYPERLINK("http://nsgreg.nga.mil/genc/view?v=872145&amp;end_month=12&amp;end_day=31&amp;end_year=2016","Correlation")</f>
        <v>Correlation</v>
      </c>
    </row>
    <row r="4495" spans="1:13" x14ac:dyDescent="0.2">
      <c r="A4495" s="112" t="s">
        <v>1328</v>
      </c>
      <c r="B4495" s="50" t="s">
        <v>11420</v>
      </c>
      <c r="C4495" s="50" t="s">
        <v>11421</v>
      </c>
      <c r="D4495" s="50" t="s">
        <v>11422</v>
      </c>
      <c r="E4495" s="52" t="b">
        <v>1</v>
      </c>
      <c r="F4495" s="78" t="s">
        <v>1328</v>
      </c>
      <c r="G4495" s="50" t="s">
        <v>11420</v>
      </c>
      <c r="H4495" s="50" t="s">
        <v>11421</v>
      </c>
      <c r="I4495" s="53" t="s">
        <v>11422</v>
      </c>
      <c r="J4495" s="55"/>
      <c r="K4495" s="55"/>
      <c r="L4495" s="79"/>
      <c r="M4495" s="56" t="str">
        <f>HYPERLINK("http://nsgreg.nga.mil/genc/view?v=867593&amp;end_month=12&amp;end_day=31&amp;end_year=2016","Correlation")</f>
        <v>Correlation</v>
      </c>
    </row>
    <row r="4496" spans="1:13" x14ac:dyDescent="0.2">
      <c r="A4496" s="113"/>
      <c r="B4496" s="58" t="s">
        <v>11423</v>
      </c>
      <c r="C4496" s="58" t="s">
        <v>11421</v>
      </c>
      <c r="D4496" s="58" t="s">
        <v>11424</v>
      </c>
      <c r="E4496" s="60" t="b">
        <v>1</v>
      </c>
      <c r="F4496" s="80" t="s">
        <v>1328</v>
      </c>
      <c r="G4496" s="58" t="s">
        <v>11423</v>
      </c>
      <c r="H4496" s="58" t="s">
        <v>11421</v>
      </c>
      <c r="I4496" s="64" t="s">
        <v>11424</v>
      </c>
      <c r="J4496" s="66"/>
      <c r="K4496" s="66"/>
      <c r="L4496" s="68"/>
      <c r="M4496" s="63" t="str">
        <f>HYPERLINK("http://nsgreg.nga.mil/genc/view?v=867592&amp;end_month=12&amp;end_day=31&amp;end_year=2016","Correlation")</f>
        <v>Correlation</v>
      </c>
    </row>
    <row r="4497" spans="1:13" x14ac:dyDescent="0.2">
      <c r="A4497" s="113"/>
      <c r="B4497" s="58" t="s">
        <v>11425</v>
      </c>
      <c r="C4497" s="58" t="s">
        <v>11421</v>
      </c>
      <c r="D4497" s="58" t="s">
        <v>11426</v>
      </c>
      <c r="E4497" s="60" t="b">
        <v>1</v>
      </c>
      <c r="F4497" s="80" t="s">
        <v>1328</v>
      </c>
      <c r="G4497" s="58" t="s">
        <v>11425</v>
      </c>
      <c r="H4497" s="58" t="s">
        <v>11421</v>
      </c>
      <c r="I4497" s="64" t="s">
        <v>11426</v>
      </c>
      <c r="J4497" s="66"/>
      <c r="K4497" s="66"/>
      <c r="L4497" s="68"/>
      <c r="M4497" s="63" t="str">
        <f>HYPERLINK("http://nsgreg.nga.mil/genc/view?v=867595&amp;end_month=12&amp;end_day=31&amp;end_year=2016","Correlation")</f>
        <v>Correlation</v>
      </c>
    </row>
    <row r="4498" spans="1:13" x14ac:dyDescent="0.2">
      <c r="A4498" s="113"/>
      <c r="B4498" s="58" t="s">
        <v>11427</v>
      </c>
      <c r="C4498" s="58" t="s">
        <v>11421</v>
      </c>
      <c r="D4498" s="58" t="s">
        <v>11428</v>
      </c>
      <c r="E4498" s="60" t="b">
        <v>1</v>
      </c>
      <c r="F4498" s="80" t="s">
        <v>1328</v>
      </c>
      <c r="G4498" s="58" t="s">
        <v>11427</v>
      </c>
      <c r="H4498" s="58" t="s">
        <v>11421</v>
      </c>
      <c r="I4498" s="64" t="s">
        <v>11428</v>
      </c>
      <c r="J4498" s="66"/>
      <c r="K4498" s="66"/>
      <c r="L4498" s="68"/>
      <c r="M4498" s="63" t="str">
        <f>HYPERLINK("http://nsgreg.nga.mil/genc/view?v=867597&amp;end_month=12&amp;end_day=31&amp;end_year=2016","Correlation")</f>
        <v>Correlation</v>
      </c>
    </row>
    <row r="4499" spans="1:13" x14ac:dyDescent="0.2">
      <c r="A4499" s="113"/>
      <c r="B4499" s="58" t="s">
        <v>11429</v>
      </c>
      <c r="C4499" s="58" t="s">
        <v>11421</v>
      </c>
      <c r="D4499" s="58" t="s">
        <v>11430</v>
      </c>
      <c r="E4499" s="60" t="b">
        <v>1</v>
      </c>
      <c r="F4499" s="80" t="s">
        <v>1328</v>
      </c>
      <c r="G4499" s="58" t="s">
        <v>11429</v>
      </c>
      <c r="H4499" s="58" t="s">
        <v>11421</v>
      </c>
      <c r="I4499" s="64" t="s">
        <v>11430</v>
      </c>
      <c r="J4499" s="66"/>
      <c r="K4499" s="66"/>
      <c r="L4499" s="68"/>
      <c r="M4499" s="63" t="str">
        <f>HYPERLINK("http://nsgreg.nga.mil/genc/view?v=867594&amp;end_month=12&amp;end_day=31&amp;end_year=2016","Correlation")</f>
        <v>Correlation</v>
      </c>
    </row>
    <row r="4500" spans="1:13" x14ac:dyDescent="0.2">
      <c r="A4500" s="113"/>
      <c r="B4500" s="58" t="s">
        <v>11431</v>
      </c>
      <c r="C4500" s="58" t="s">
        <v>11421</v>
      </c>
      <c r="D4500" s="58" t="s">
        <v>11432</v>
      </c>
      <c r="E4500" s="60" t="b">
        <v>1</v>
      </c>
      <c r="F4500" s="80" t="s">
        <v>1328</v>
      </c>
      <c r="G4500" s="58" t="s">
        <v>11431</v>
      </c>
      <c r="H4500" s="58" t="s">
        <v>11421</v>
      </c>
      <c r="I4500" s="64" t="s">
        <v>11432</v>
      </c>
      <c r="J4500" s="66"/>
      <c r="K4500" s="66"/>
      <c r="L4500" s="68"/>
      <c r="M4500" s="63" t="str">
        <f>HYPERLINK("http://nsgreg.nga.mil/genc/view?v=867596&amp;end_month=12&amp;end_day=31&amp;end_year=2016","Correlation")</f>
        <v>Correlation</v>
      </c>
    </row>
    <row r="4501" spans="1:13" x14ac:dyDescent="0.2">
      <c r="A4501" s="114"/>
      <c r="B4501" s="71" t="s">
        <v>11433</v>
      </c>
      <c r="C4501" s="71" t="s">
        <v>11421</v>
      </c>
      <c r="D4501" s="71" t="s">
        <v>11434</v>
      </c>
      <c r="E4501" s="73" t="b">
        <v>1</v>
      </c>
      <c r="F4501" s="81" t="s">
        <v>1328</v>
      </c>
      <c r="G4501" s="71" t="s">
        <v>11433</v>
      </c>
      <c r="H4501" s="71" t="s">
        <v>11421</v>
      </c>
      <c r="I4501" s="74" t="s">
        <v>11434</v>
      </c>
      <c r="J4501" s="76"/>
      <c r="K4501" s="76"/>
      <c r="L4501" s="82"/>
      <c r="M4501" s="77" t="str">
        <f>HYPERLINK("http://nsgreg.nga.mil/genc/view?v=867598&amp;end_month=12&amp;end_day=31&amp;end_year=2016","Correlation")</f>
        <v>Correlation</v>
      </c>
    </row>
    <row r="4502" spans="1:13" x14ac:dyDescent="0.2">
      <c r="A4502" s="112" t="s">
        <v>1336</v>
      </c>
      <c r="B4502" s="50" t="s">
        <v>11435</v>
      </c>
      <c r="C4502" s="50" t="s">
        <v>11436</v>
      </c>
      <c r="D4502" s="50" t="s">
        <v>11437</v>
      </c>
      <c r="E4502" s="52" t="b">
        <v>1</v>
      </c>
      <c r="F4502" s="78" t="s">
        <v>1332</v>
      </c>
      <c r="G4502" s="50" t="s">
        <v>11435</v>
      </c>
      <c r="H4502" s="50" t="s">
        <v>11436</v>
      </c>
      <c r="I4502" s="53" t="s">
        <v>11437</v>
      </c>
      <c r="J4502" s="55"/>
      <c r="K4502" s="55"/>
      <c r="L4502" s="79"/>
      <c r="M4502" s="56" t="str">
        <f>HYPERLINK("http://nsgreg.nga.mil/genc/view?v=868977&amp;end_month=12&amp;end_day=31&amp;end_year=2016","Correlation")</f>
        <v>Correlation</v>
      </c>
    </row>
    <row r="4503" spans="1:13" x14ac:dyDescent="0.2">
      <c r="A4503" s="113"/>
      <c r="B4503" s="58" t="s">
        <v>11438</v>
      </c>
      <c r="C4503" s="58" t="s">
        <v>11436</v>
      </c>
      <c r="D4503" s="58" t="s">
        <v>11439</v>
      </c>
      <c r="E4503" s="60" t="b">
        <v>1</v>
      </c>
      <c r="F4503" s="80" t="s">
        <v>1332</v>
      </c>
      <c r="G4503" s="58" t="s">
        <v>11438</v>
      </c>
      <c r="H4503" s="58" t="s">
        <v>11436</v>
      </c>
      <c r="I4503" s="64" t="s">
        <v>11439</v>
      </c>
      <c r="J4503" s="66"/>
      <c r="K4503" s="66"/>
      <c r="L4503" s="68"/>
      <c r="M4503" s="63" t="str">
        <f>HYPERLINK("http://nsgreg.nga.mil/genc/view?v=868976&amp;end_month=12&amp;end_day=31&amp;end_year=2016","Correlation")</f>
        <v>Correlation</v>
      </c>
    </row>
    <row r="4504" spans="1:13" x14ac:dyDescent="0.2">
      <c r="A4504" s="113"/>
      <c r="B4504" s="58" t="s">
        <v>11440</v>
      </c>
      <c r="C4504" s="58" t="s">
        <v>11436</v>
      </c>
      <c r="D4504" s="58" t="s">
        <v>11441</v>
      </c>
      <c r="E4504" s="60" t="b">
        <v>1</v>
      </c>
      <c r="F4504" s="80" t="s">
        <v>1332</v>
      </c>
      <c r="G4504" s="58" t="s">
        <v>11440</v>
      </c>
      <c r="H4504" s="58" t="s">
        <v>11436</v>
      </c>
      <c r="I4504" s="64" t="s">
        <v>11441</v>
      </c>
      <c r="J4504" s="66"/>
      <c r="K4504" s="66"/>
      <c r="L4504" s="68"/>
      <c r="M4504" s="63" t="str">
        <f>HYPERLINK("http://nsgreg.nga.mil/genc/view?v=868982&amp;end_month=12&amp;end_day=31&amp;end_year=2016","Correlation")</f>
        <v>Correlation</v>
      </c>
    </row>
    <row r="4505" spans="1:13" x14ac:dyDescent="0.2">
      <c r="A4505" s="113"/>
      <c r="B4505" s="58" t="s">
        <v>11442</v>
      </c>
      <c r="C4505" s="58" t="s">
        <v>1796</v>
      </c>
      <c r="D4505" s="58" t="s">
        <v>11443</v>
      </c>
      <c r="E4505" s="60" t="b">
        <v>1</v>
      </c>
      <c r="F4505" s="80" t="s">
        <v>1332</v>
      </c>
      <c r="G4505" s="58" t="s">
        <v>11442</v>
      </c>
      <c r="H4505" s="58" t="s">
        <v>1796</v>
      </c>
      <c r="I4505" s="64" t="s">
        <v>11443</v>
      </c>
      <c r="J4505" s="66"/>
      <c r="K4505" s="66"/>
      <c r="L4505" s="68"/>
      <c r="M4505" s="63" t="str">
        <f>HYPERLINK("http://nsgreg.nga.mil/genc/view?v=868981&amp;end_month=12&amp;end_day=31&amp;end_year=2016","Correlation")</f>
        <v>Correlation</v>
      </c>
    </row>
    <row r="4506" spans="1:13" x14ac:dyDescent="0.2">
      <c r="A4506" s="113"/>
      <c r="B4506" s="58" t="s">
        <v>11444</v>
      </c>
      <c r="C4506" s="58" t="s">
        <v>1796</v>
      </c>
      <c r="D4506" s="58" t="s">
        <v>11445</v>
      </c>
      <c r="E4506" s="60" t="b">
        <v>1</v>
      </c>
      <c r="F4506" s="80" t="s">
        <v>1332</v>
      </c>
      <c r="G4506" s="58" t="s">
        <v>11444</v>
      </c>
      <c r="H4506" s="58" t="s">
        <v>1796</v>
      </c>
      <c r="I4506" s="64" t="s">
        <v>11445</v>
      </c>
      <c r="J4506" s="66"/>
      <c r="K4506" s="66"/>
      <c r="L4506" s="68"/>
      <c r="M4506" s="63" t="str">
        <f>HYPERLINK("http://nsgreg.nga.mil/genc/view?v=868980&amp;end_month=12&amp;end_day=31&amp;end_year=2016","Correlation")</f>
        <v>Correlation</v>
      </c>
    </row>
    <row r="4507" spans="1:13" x14ac:dyDescent="0.2">
      <c r="A4507" s="113"/>
      <c r="B4507" s="58" t="s">
        <v>11446</v>
      </c>
      <c r="C4507" s="58" t="s">
        <v>11436</v>
      </c>
      <c r="D4507" s="58" t="s">
        <v>11447</v>
      </c>
      <c r="E4507" s="60" t="b">
        <v>1</v>
      </c>
      <c r="F4507" s="80" t="s">
        <v>1332</v>
      </c>
      <c r="G4507" s="58" t="s">
        <v>11446</v>
      </c>
      <c r="H4507" s="58" t="s">
        <v>11436</v>
      </c>
      <c r="I4507" s="64" t="s">
        <v>11447</v>
      </c>
      <c r="J4507" s="66"/>
      <c r="K4507" s="66"/>
      <c r="L4507" s="68"/>
      <c r="M4507" s="63" t="str">
        <f>HYPERLINK("http://nsgreg.nga.mil/genc/view?v=868978&amp;end_month=12&amp;end_day=31&amp;end_year=2016","Correlation")</f>
        <v>Correlation</v>
      </c>
    </row>
    <row r="4508" spans="1:13" x14ac:dyDescent="0.2">
      <c r="A4508" s="113"/>
      <c r="B4508" s="58" t="s">
        <v>11448</v>
      </c>
      <c r="C4508" s="58" t="s">
        <v>1796</v>
      </c>
      <c r="D4508" s="58" t="s">
        <v>11449</v>
      </c>
      <c r="E4508" s="60" t="b">
        <v>1</v>
      </c>
      <c r="F4508" s="80" t="s">
        <v>1332</v>
      </c>
      <c r="G4508" s="58" t="s">
        <v>11448</v>
      </c>
      <c r="H4508" s="58" t="s">
        <v>1796</v>
      </c>
      <c r="I4508" s="64" t="s">
        <v>11449</v>
      </c>
      <c r="J4508" s="66"/>
      <c r="K4508" s="66"/>
      <c r="L4508" s="68"/>
      <c r="M4508" s="63" t="str">
        <f>HYPERLINK("http://nsgreg.nga.mil/genc/view?v=868975&amp;end_month=12&amp;end_day=31&amp;end_year=2016","Correlation")</f>
        <v>Correlation</v>
      </c>
    </row>
    <row r="4509" spans="1:13" x14ac:dyDescent="0.2">
      <c r="A4509" s="113"/>
      <c r="B4509" s="58" t="s">
        <v>11450</v>
      </c>
      <c r="C4509" s="58" t="s">
        <v>11451</v>
      </c>
      <c r="D4509" s="58" t="s">
        <v>11452</v>
      </c>
      <c r="E4509" s="60" t="b">
        <v>1</v>
      </c>
      <c r="F4509" s="80" t="s">
        <v>1332</v>
      </c>
      <c r="G4509" s="58" t="s">
        <v>11450</v>
      </c>
      <c r="H4509" s="58" t="s">
        <v>11451</v>
      </c>
      <c r="I4509" s="64" t="s">
        <v>11452</v>
      </c>
      <c r="J4509" s="66"/>
      <c r="K4509" s="66"/>
      <c r="L4509" s="68"/>
      <c r="M4509" s="63" t="str">
        <f>HYPERLINK("http://nsgreg.nga.mil/genc/view?v=868986&amp;end_month=12&amp;end_day=31&amp;end_year=2016","Correlation")</f>
        <v>Correlation</v>
      </c>
    </row>
    <row r="4510" spans="1:13" x14ac:dyDescent="0.2">
      <c r="A4510" s="113"/>
      <c r="B4510" s="58" t="s">
        <v>11453</v>
      </c>
      <c r="C4510" s="58" t="s">
        <v>11451</v>
      </c>
      <c r="D4510" s="58" t="s">
        <v>11454</v>
      </c>
      <c r="E4510" s="60" t="b">
        <v>1</v>
      </c>
      <c r="F4510" s="80" t="s">
        <v>1332</v>
      </c>
      <c r="G4510" s="58" t="s">
        <v>11453</v>
      </c>
      <c r="H4510" s="58" t="s">
        <v>11451</v>
      </c>
      <c r="I4510" s="64" t="s">
        <v>11454</v>
      </c>
      <c r="J4510" s="66"/>
      <c r="K4510" s="66"/>
      <c r="L4510" s="68"/>
      <c r="M4510" s="63" t="str">
        <f>HYPERLINK("http://nsgreg.nga.mil/genc/view?v=868995&amp;end_month=12&amp;end_day=31&amp;end_year=2016","Correlation")</f>
        <v>Correlation</v>
      </c>
    </row>
    <row r="4511" spans="1:13" x14ac:dyDescent="0.2">
      <c r="A4511" s="113"/>
      <c r="B4511" s="58" t="s">
        <v>11455</v>
      </c>
      <c r="C4511" s="58" t="s">
        <v>11456</v>
      </c>
      <c r="D4511" s="58" t="s">
        <v>11457</v>
      </c>
      <c r="E4511" s="60" t="b">
        <v>1</v>
      </c>
      <c r="F4511" s="80" t="s">
        <v>1332</v>
      </c>
      <c r="G4511" s="58" t="s">
        <v>11455</v>
      </c>
      <c r="H4511" s="58" t="s">
        <v>11456</v>
      </c>
      <c r="I4511" s="64" t="s">
        <v>11457</v>
      </c>
      <c r="J4511" s="66"/>
      <c r="K4511" s="66"/>
      <c r="L4511" s="68"/>
      <c r="M4511" s="63" t="str">
        <f>HYPERLINK("http://nsgreg.nga.mil/genc/view?v=868997&amp;end_month=12&amp;end_day=31&amp;end_year=2016","Correlation")</f>
        <v>Correlation</v>
      </c>
    </row>
    <row r="4512" spans="1:13" x14ac:dyDescent="0.2">
      <c r="A4512" s="113"/>
      <c r="B4512" s="58" t="s">
        <v>11458</v>
      </c>
      <c r="C4512" s="58" t="s">
        <v>11459</v>
      </c>
      <c r="D4512" s="58" t="s">
        <v>11460</v>
      </c>
      <c r="E4512" s="60" t="b">
        <v>1</v>
      </c>
      <c r="F4512" s="80" t="s">
        <v>1332</v>
      </c>
      <c r="G4512" s="58" t="s">
        <v>11458</v>
      </c>
      <c r="H4512" s="58" t="s">
        <v>11459</v>
      </c>
      <c r="I4512" s="64" t="s">
        <v>11460</v>
      </c>
      <c r="J4512" s="66"/>
      <c r="K4512" s="66"/>
      <c r="L4512" s="68"/>
      <c r="M4512" s="63" t="str">
        <f>HYPERLINK("http://nsgreg.nga.mil/genc/view?v=868983&amp;end_month=12&amp;end_day=31&amp;end_year=2016","Correlation")</f>
        <v>Correlation</v>
      </c>
    </row>
    <row r="4513" spans="1:13" x14ac:dyDescent="0.2">
      <c r="A4513" s="113"/>
      <c r="B4513" s="58" t="s">
        <v>11461</v>
      </c>
      <c r="C4513" s="58" t="s">
        <v>11459</v>
      </c>
      <c r="D4513" s="58" t="s">
        <v>11462</v>
      </c>
      <c r="E4513" s="60" t="b">
        <v>1</v>
      </c>
      <c r="F4513" s="80" t="s">
        <v>1332</v>
      </c>
      <c r="G4513" s="58" t="s">
        <v>11461</v>
      </c>
      <c r="H4513" s="58" t="s">
        <v>11459</v>
      </c>
      <c r="I4513" s="64" t="s">
        <v>11462</v>
      </c>
      <c r="J4513" s="66"/>
      <c r="K4513" s="66"/>
      <c r="L4513" s="68"/>
      <c r="M4513" s="63" t="str">
        <f>HYPERLINK("http://nsgreg.nga.mil/genc/view?v=868985&amp;end_month=12&amp;end_day=31&amp;end_year=2016","Correlation")</f>
        <v>Correlation</v>
      </c>
    </row>
    <row r="4514" spans="1:13" x14ac:dyDescent="0.2">
      <c r="A4514" s="113"/>
      <c r="B4514" s="58" t="s">
        <v>11463</v>
      </c>
      <c r="C4514" s="58" t="s">
        <v>1796</v>
      </c>
      <c r="D4514" s="58" t="s">
        <v>11464</v>
      </c>
      <c r="E4514" s="60" t="b">
        <v>1</v>
      </c>
      <c r="F4514" s="80" t="s">
        <v>1332</v>
      </c>
      <c r="G4514" s="58" t="s">
        <v>11463</v>
      </c>
      <c r="H4514" s="58" t="s">
        <v>1796</v>
      </c>
      <c r="I4514" s="64" t="s">
        <v>11464</v>
      </c>
      <c r="J4514" s="66"/>
      <c r="K4514" s="66"/>
      <c r="L4514" s="68"/>
      <c r="M4514" s="63" t="str">
        <f>HYPERLINK("http://nsgreg.nga.mil/genc/view?v=868989&amp;end_month=12&amp;end_day=31&amp;end_year=2016","Correlation")</f>
        <v>Correlation</v>
      </c>
    </row>
    <row r="4515" spans="1:13" x14ac:dyDescent="0.2">
      <c r="A4515" s="113"/>
      <c r="B4515" s="58" t="s">
        <v>11465</v>
      </c>
      <c r="C4515" s="58" t="s">
        <v>11451</v>
      </c>
      <c r="D4515" s="58" t="s">
        <v>11466</v>
      </c>
      <c r="E4515" s="60" t="b">
        <v>1</v>
      </c>
      <c r="F4515" s="80" t="s">
        <v>1332</v>
      </c>
      <c r="G4515" s="58" t="s">
        <v>11465</v>
      </c>
      <c r="H4515" s="58" t="s">
        <v>11451</v>
      </c>
      <c r="I4515" s="64" t="s">
        <v>11466</v>
      </c>
      <c r="J4515" s="66"/>
      <c r="K4515" s="66"/>
      <c r="L4515" s="68"/>
      <c r="M4515" s="63" t="str">
        <f>HYPERLINK("http://nsgreg.nga.mil/genc/view?v=868988&amp;end_month=12&amp;end_day=31&amp;end_year=2016","Correlation")</f>
        <v>Correlation</v>
      </c>
    </row>
    <row r="4516" spans="1:13" x14ac:dyDescent="0.2">
      <c r="A4516" s="113"/>
      <c r="B4516" s="58" t="s">
        <v>11467</v>
      </c>
      <c r="C4516" s="58" t="s">
        <v>11456</v>
      </c>
      <c r="D4516" s="58" t="s">
        <v>11468</v>
      </c>
      <c r="E4516" s="60" t="b">
        <v>1</v>
      </c>
      <c r="F4516" s="80" t="s">
        <v>1332</v>
      </c>
      <c r="G4516" s="58" t="s">
        <v>11467</v>
      </c>
      <c r="H4516" s="58" t="s">
        <v>11456</v>
      </c>
      <c r="I4516" s="64" t="s">
        <v>11468</v>
      </c>
      <c r="J4516" s="66"/>
      <c r="K4516" s="66"/>
      <c r="L4516" s="68"/>
      <c r="M4516" s="63" t="str">
        <f>HYPERLINK("http://nsgreg.nga.mil/genc/view?v=868992&amp;end_month=12&amp;end_day=31&amp;end_year=2016","Correlation")</f>
        <v>Correlation</v>
      </c>
    </row>
    <row r="4517" spans="1:13" x14ac:dyDescent="0.2">
      <c r="A4517" s="113"/>
      <c r="B4517" s="58" t="s">
        <v>11469</v>
      </c>
      <c r="C4517" s="58" t="s">
        <v>11459</v>
      </c>
      <c r="D4517" s="58" t="s">
        <v>11470</v>
      </c>
      <c r="E4517" s="60" t="b">
        <v>1</v>
      </c>
      <c r="F4517" s="80" t="s">
        <v>1332</v>
      </c>
      <c r="G4517" s="58" t="s">
        <v>11469</v>
      </c>
      <c r="H4517" s="58" t="s">
        <v>11459</v>
      </c>
      <c r="I4517" s="64" t="s">
        <v>11470</v>
      </c>
      <c r="J4517" s="66"/>
      <c r="K4517" s="66"/>
      <c r="L4517" s="68"/>
      <c r="M4517" s="63" t="str">
        <f>HYPERLINK("http://nsgreg.nga.mil/genc/view?v=868984&amp;end_month=12&amp;end_day=31&amp;end_year=2016","Correlation")</f>
        <v>Correlation</v>
      </c>
    </row>
    <row r="4518" spans="1:13" x14ac:dyDescent="0.2">
      <c r="A4518" s="113"/>
      <c r="B4518" s="58" t="s">
        <v>11471</v>
      </c>
      <c r="C4518" s="58" t="s">
        <v>11459</v>
      </c>
      <c r="D4518" s="58" t="s">
        <v>11472</v>
      </c>
      <c r="E4518" s="60" t="b">
        <v>1</v>
      </c>
      <c r="F4518" s="80" t="s">
        <v>1332</v>
      </c>
      <c r="G4518" s="58" t="s">
        <v>11471</v>
      </c>
      <c r="H4518" s="58" t="s">
        <v>11459</v>
      </c>
      <c r="I4518" s="64" t="s">
        <v>11472</v>
      </c>
      <c r="J4518" s="66"/>
      <c r="K4518" s="66"/>
      <c r="L4518" s="68"/>
      <c r="M4518" s="63" t="str">
        <f>HYPERLINK("http://nsgreg.nga.mil/genc/view?v=868999&amp;end_month=12&amp;end_day=31&amp;end_year=2016","Correlation")</f>
        <v>Correlation</v>
      </c>
    </row>
    <row r="4519" spans="1:13" x14ac:dyDescent="0.2">
      <c r="A4519" s="113"/>
      <c r="B4519" s="58" t="s">
        <v>11473</v>
      </c>
      <c r="C4519" s="58" t="s">
        <v>11475</v>
      </c>
      <c r="D4519" s="58" t="s">
        <v>11474</v>
      </c>
      <c r="E4519" s="60" t="b">
        <v>1</v>
      </c>
      <c r="F4519" s="80" t="s">
        <v>1332</v>
      </c>
      <c r="G4519" s="58" t="s">
        <v>11473</v>
      </c>
      <c r="H4519" s="58" t="s">
        <v>11459</v>
      </c>
      <c r="I4519" s="64" t="s">
        <v>11474</v>
      </c>
      <c r="J4519" s="66"/>
      <c r="K4519" s="66"/>
      <c r="L4519" s="68"/>
      <c r="M4519" s="63" t="str">
        <f>HYPERLINK("http://nsgreg.nga.mil/genc/view?v=868991&amp;end_month=12&amp;end_day=31&amp;end_year=2016","Correlation")</f>
        <v>Correlation</v>
      </c>
    </row>
    <row r="4520" spans="1:13" x14ac:dyDescent="0.2">
      <c r="A4520" s="113"/>
      <c r="B4520" s="58" t="s">
        <v>11476</v>
      </c>
      <c r="C4520" s="58" t="s">
        <v>11456</v>
      </c>
      <c r="D4520" s="58" t="s">
        <v>11477</v>
      </c>
      <c r="E4520" s="60" t="b">
        <v>1</v>
      </c>
      <c r="F4520" s="80" t="s">
        <v>1332</v>
      </c>
      <c r="G4520" s="58" t="s">
        <v>11476</v>
      </c>
      <c r="H4520" s="58" t="s">
        <v>11456</v>
      </c>
      <c r="I4520" s="64" t="s">
        <v>11477</v>
      </c>
      <c r="J4520" s="66"/>
      <c r="K4520" s="66"/>
      <c r="L4520" s="68"/>
      <c r="M4520" s="63" t="str">
        <f>HYPERLINK("http://nsgreg.nga.mil/genc/view?v=868998&amp;end_month=12&amp;end_day=31&amp;end_year=2016","Correlation")</f>
        <v>Correlation</v>
      </c>
    </row>
    <row r="4521" spans="1:13" x14ac:dyDescent="0.2">
      <c r="A4521" s="113"/>
      <c r="B4521" s="58" t="s">
        <v>11478</v>
      </c>
      <c r="C4521" s="58" t="s">
        <v>11459</v>
      </c>
      <c r="D4521" s="58" t="s">
        <v>11479</v>
      </c>
      <c r="E4521" s="60" t="b">
        <v>1</v>
      </c>
      <c r="F4521" s="80" t="s">
        <v>1332</v>
      </c>
      <c r="G4521" s="58" t="s">
        <v>11478</v>
      </c>
      <c r="H4521" s="58" t="s">
        <v>11459</v>
      </c>
      <c r="I4521" s="64" t="s">
        <v>11479</v>
      </c>
      <c r="J4521" s="66"/>
      <c r="K4521" s="66"/>
      <c r="L4521" s="68"/>
      <c r="M4521" s="63" t="str">
        <f>HYPERLINK("http://nsgreg.nga.mil/genc/view?v=868994&amp;end_month=12&amp;end_day=31&amp;end_year=2016","Correlation")</f>
        <v>Correlation</v>
      </c>
    </row>
    <row r="4522" spans="1:13" x14ac:dyDescent="0.2">
      <c r="A4522" s="113"/>
      <c r="B4522" s="58" t="s">
        <v>11480</v>
      </c>
      <c r="C4522" s="58" t="s">
        <v>11459</v>
      </c>
      <c r="D4522" s="58" t="s">
        <v>11481</v>
      </c>
      <c r="E4522" s="60" t="b">
        <v>1</v>
      </c>
      <c r="F4522" s="80" t="s">
        <v>1332</v>
      </c>
      <c r="G4522" s="58" t="s">
        <v>11480</v>
      </c>
      <c r="H4522" s="58" t="s">
        <v>11459</v>
      </c>
      <c r="I4522" s="64" t="s">
        <v>11481</v>
      </c>
      <c r="J4522" s="66"/>
      <c r="K4522" s="66"/>
      <c r="L4522" s="68"/>
      <c r="M4522" s="63" t="str">
        <f>HYPERLINK("http://nsgreg.nga.mil/genc/view?v=869000&amp;end_month=12&amp;end_day=31&amp;end_year=2016","Correlation")</f>
        <v>Correlation</v>
      </c>
    </row>
    <row r="4523" spans="1:13" x14ac:dyDescent="0.2">
      <c r="A4523" s="113"/>
      <c r="B4523" s="58" t="s">
        <v>11482</v>
      </c>
      <c r="C4523" s="58" t="s">
        <v>11456</v>
      </c>
      <c r="D4523" s="58" t="s">
        <v>11483</v>
      </c>
      <c r="E4523" s="60" t="b">
        <v>1</v>
      </c>
      <c r="F4523" s="80" t="s">
        <v>1332</v>
      </c>
      <c r="G4523" s="58" t="s">
        <v>11482</v>
      </c>
      <c r="H4523" s="58" t="s">
        <v>11456</v>
      </c>
      <c r="I4523" s="64" t="s">
        <v>11483</v>
      </c>
      <c r="J4523" s="66"/>
      <c r="K4523" s="66"/>
      <c r="L4523" s="68"/>
      <c r="M4523" s="63" t="str">
        <f>HYPERLINK("http://nsgreg.nga.mil/genc/view?v=869001&amp;end_month=12&amp;end_day=31&amp;end_year=2016","Correlation")</f>
        <v>Correlation</v>
      </c>
    </row>
    <row r="4524" spans="1:13" x14ac:dyDescent="0.2">
      <c r="A4524" s="113"/>
      <c r="B4524" s="58" t="s">
        <v>11484</v>
      </c>
      <c r="C4524" s="58" t="s">
        <v>11451</v>
      </c>
      <c r="D4524" s="58" t="s">
        <v>11485</v>
      </c>
      <c r="E4524" s="60" t="b">
        <v>1</v>
      </c>
      <c r="F4524" s="80" t="s">
        <v>1332</v>
      </c>
      <c r="G4524" s="58" t="s">
        <v>11484</v>
      </c>
      <c r="H4524" s="58" t="s">
        <v>11451</v>
      </c>
      <c r="I4524" s="64" t="s">
        <v>11485</v>
      </c>
      <c r="J4524" s="66"/>
      <c r="K4524" s="66"/>
      <c r="L4524" s="68"/>
      <c r="M4524" s="63" t="str">
        <f>HYPERLINK("http://nsgreg.nga.mil/genc/view?v=868987&amp;end_month=12&amp;end_day=31&amp;end_year=2016","Correlation")</f>
        <v>Correlation</v>
      </c>
    </row>
    <row r="4525" spans="1:13" x14ac:dyDescent="0.2">
      <c r="A4525" s="113"/>
      <c r="B4525" s="58" t="s">
        <v>11486</v>
      </c>
      <c r="C4525" s="58" t="s">
        <v>11475</v>
      </c>
      <c r="D4525" s="58" t="s">
        <v>11487</v>
      </c>
      <c r="E4525" s="60" t="b">
        <v>1</v>
      </c>
      <c r="F4525" s="80" t="s">
        <v>1332</v>
      </c>
      <c r="G4525" s="58" t="s">
        <v>11486</v>
      </c>
      <c r="H4525" s="58" t="s">
        <v>11459</v>
      </c>
      <c r="I4525" s="64" t="s">
        <v>11487</v>
      </c>
      <c r="J4525" s="66"/>
      <c r="K4525" s="66"/>
      <c r="L4525" s="68"/>
      <c r="M4525" s="63" t="str">
        <f>HYPERLINK("http://nsgreg.nga.mil/genc/view?v=868990&amp;end_month=12&amp;end_day=31&amp;end_year=2016","Correlation")</f>
        <v>Correlation</v>
      </c>
    </row>
    <row r="4526" spans="1:13" x14ac:dyDescent="0.2">
      <c r="A4526" s="113"/>
      <c r="B4526" s="58" t="s">
        <v>11488</v>
      </c>
      <c r="C4526" s="58" t="s">
        <v>11459</v>
      </c>
      <c r="D4526" s="58" t="s">
        <v>11489</v>
      </c>
      <c r="E4526" s="60" t="b">
        <v>1</v>
      </c>
      <c r="F4526" s="80" t="s">
        <v>1332</v>
      </c>
      <c r="G4526" s="58" t="s">
        <v>11488</v>
      </c>
      <c r="H4526" s="58" t="s">
        <v>11459</v>
      </c>
      <c r="I4526" s="64" t="s">
        <v>11489</v>
      </c>
      <c r="J4526" s="66"/>
      <c r="K4526" s="66"/>
      <c r="L4526" s="68"/>
      <c r="M4526" s="63" t="str">
        <f>HYPERLINK("http://nsgreg.nga.mil/genc/view?v=868996&amp;end_month=12&amp;end_day=31&amp;end_year=2016","Correlation")</f>
        <v>Correlation</v>
      </c>
    </row>
    <row r="4527" spans="1:13" x14ac:dyDescent="0.2">
      <c r="A4527" s="113"/>
      <c r="B4527" s="58" t="s">
        <v>11490</v>
      </c>
      <c r="C4527" s="58" t="s">
        <v>11459</v>
      </c>
      <c r="D4527" s="58" t="s">
        <v>11491</v>
      </c>
      <c r="E4527" s="60" t="b">
        <v>1</v>
      </c>
      <c r="F4527" s="80" t="s">
        <v>1332</v>
      </c>
      <c r="G4527" s="58" t="s">
        <v>11490</v>
      </c>
      <c r="H4527" s="58" t="s">
        <v>11459</v>
      </c>
      <c r="I4527" s="64" t="s">
        <v>11491</v>
      </c>
      <c r="J4527" s="66"/>
      <c r="K4527" s="66"/>
      <c r="L4527" s="68"/>
      <c r="M4527" s="63" t="str">
        <f>HYPERLINK("http://nsgreg.nga.mil/genc/view?v=869003&amp;end_month=12&amp;end_day=31&amp;end_year=2016","Correlation")</f>
        <v>Correlation</v>
      </c>
    </row>
    <row r="4528" spans="1:13" x14ac:dyDescent="0.2">
      <c r="A4528" s="113"/>
      <c r="B4528" s="58" t="s">
        <v>11492</v>
      </c>
      <c r="C4528" s="58" t="s">
        <v>11451</v>
      </c>
      <c r="D4528" s="58" t="s">
        <v>11493</v>
      </c>
      <c r="E4528" s="60" t="b">
        <v>1</v>
      </c>
      <c r="F4528" s="80" t="s">
        <v>1332</v>
      </c>
      <c r="G4528" s="58" t="s">
        <v>11492</v>
      </c>
      <c r="H4528" s="58" t="s">
        <v>11451</v>
      </c>
      <c r="I4528" s="64" t="s">
        <v>11493</v>
      </c>
      <c r="J4528" s="66"/>
      <c r="K4528" s="66"/>
      <c r="L4528" s="68"/>
      <c r="M4528" s="63" t="str">
        <f>HYPERLINK("http://nsgreg.nga.mil/genc/view?v=869002&amp;end_month=12&amp;end_day=31&amp;end_year=2016","Correlation")</f>
        <v>Correlation</v>
      </c>
    </row>
    <row r="4529" spans="1:13" x14ac:dyDescent="0.2">
      <c r="A4529" s="113"/>
      <c r="B4529" s="58" t="s">
        <v>11494</v>
      </c>
      <c r="C4529" s="58" t="s">
        <v>11496</v>
      </c>
      <c r="D4529" s="58" t="s">
        <v>11495</v>
      </c>
      <c r="E4529" s="60" t="b">
        <v>1</v>
      </c>
      <c r="F4529" s="80" t="s">
        <v>1332</v>
      </c>
      <c r="G4529" s="58" t="s">
        <v>11494</v>
      </c>
      <c r="H4529" s="58" t="s">
        <v>1483</v>
      </c>
      <c r="I4529" s="64" t="s">
        <v>11495</v>
      </c>
      <c r="J4529" s="66"/>
      <c r="K4529" s="66"/>
      <c r="L4529" s="68"/>
      <c r="M4529" s="63" t="str">
        <f>HYPERLINK("http://nsgreg.nga.mil/genc/view?v=868993&amp;end_month=12&amp;end_day=31&amp;end_year=2016","Correlation")</f>
        <v>Correlation</v>
      </c>
    </row>
    <row r="4530" spans="1:13" x14ac:dyDescent="0.2">
      <c r="A4530" s="113"/>
      <c r="B4530" s="58" t="s">
        <v>11497</v>
      </c>
      <c r="C4530" s="58" t="s">
        <v>11456</v>
      </c>
      <c r="D4530" s="58" t="s">
        <v>11498</v>
      </c>
      <c r="E4530" s="60" t="b">
        <v>1</v>
      </c>
      <c r="F4530" s="80" t="s">
        <v>1332</v>
      </c>
      <c r="G4530" s="58" t="s">
        <v>11497</v>
      </c>
      <c r="H4530" s="58" t="s">
        <v>11456</v>
      </c>
      <c r="I4530" s="64" t="s">
        <v>11498</v>
      </c>
      <c r="J4530" s="66"/>
      <c r="K4530" s="66"/>
      <c r="L4530" s="68"/>
      <c r="M4530" s="63" t="str">
        <f>HYPERLINK("http://nsgreg.nga.mil/genc/view?v=869004&amp;end_month=12&amp;end_day=31&amp;end_year=2016","Correlation")</f>
        <v>Correlation</v>
      </c>
    </row>
    <row r="4531" spans="1:13" x14ac:dyDescent="0.2">
      <c r="A4531" s="113"/>
      <c r="B4531" s="58" t="s">
        <v>11499</v>
      </c>
      <c r="C4531" s="58" t="s">
        <v>11475</v>
      </c>
      <c r="D4531" s="58" t="s">
        <v>11500</v>
      </c>
      <c r="E4531" s="60" t="b">
        <v>1</v>
      </c>
      <c r="F4531" s="80" t="s">
        <v>1332</v>
      </c>
      <c r="G4531" s="58" t="s">
        <v>11499</v>
      </c>
      <c r="H4531" s="58" t="s">
        <v>11459</v>
      </c>
      <c r="I4531" s="64" t="s">
        <v>11500</v>
      </c>
      <c r="J4531" s="66"/>
      <c r="K4531" s="66"/>
      <c r="L4531" s="68"/>
      <c r="M4531" s="63" t="str">
        <f>HYPERLINK("http://nsgreg.nga.mil/genc/view?v=869006&amp;end_month=12&amp;end_day=31&amp;end_year=2016","Correlation")</f>
        <v>Correlation</v>
      </c>
    </row>
    <row r="4532" spans="1:13" x14ac:dyDescent="0.2">
      <c r="A4532" s="113"/>
      <c r="B4532" s="58" t="s">
        <v>11501</v>
      </c>
      <c r="C4532" s="58" t="s">
        <v>11456</v>
      </c>
      <c r="D4532" s="58" t="s">
        <v>11502</v>
      </c>
      <c r="E4532" s="60" t="b">
        <v>1</v>
      </c>
      <c r="F4532" s="80" t="s">
        <v>1332</v>
      </c>
      <c r="G4532" s="58" t="s">
        <v>11501</v>
      </c>
      <c r="H4532" s="58" t="s">
        <v>11456</v>
      </c>
      <c r="I4532" s="64" t="s">
        <v>11502</v>
      </c>
      <c r="J4532" s="66"/>
      <c r="K4532" s="66"/>
      <c r="L4532" s="68"/>
      <c r="M4532" s="63" t="str">
        <f>HYPERLINK("http://nsgreg.nga.mil/genc/view?v=869012&amp;end_month=12&amp;end_day=31&amp;end_year=2016","Correlation")</f>
        <v>Correlation</v>
      </c>
    </row>
    <row r="4533" spans="1:13" x14ac:dyDescent="0.2">
      <c r="A4533" s="113"/>
      <c r="B4533" s="58" t="s">
        <v>11503</v>
      </c>
      <c r="C4533" s="58" t="s">
        <v>11496</v>
      </c>
      <c r="D4533" s="58" t="s">
        <v>11504</v>
      </c>
      <c r="E4533" s="60" t="b">
        <v>1</v>
      </c>
      <c r="F4533" s="80" t="s">
        <v>1332</v>
      </c>
      <c r="G4533" s="58" t="s">
        <v>11503</v>
      </c>
      <c r="H4533" s="58" t="s">
        <v>1483</v>
      </c>
      <c r="I4533" s="64" t="s">
        <v>11504</v>
      </c>
      <c r="J4533" s="66"/>
      <c r="K4533" s="66"/>
      <c r="L4533" s="68"/>
      <c r="M4533" s="63" t="str">
        <f>HYPERLINK("http://nsgreg.nga.mil/genc/view?v=869005&amp;end_month=12&amp;end_day=31&amp;end_year=2016","Correlation")</f>
        <v>Correlation</v>
      </c>
    </row>
    <row r="4534" spans="1:13" x14ac:dyDescent="0.2">
      <c r="A4534" s="113"/>
      <c r="B4534" s="58" t="s">
        <v>11505</v>
      </c>
      <c r="C4534" s="58" t="s">
        <v>11451</v>
      </c>
      <c r="D4534" s="58" t="s">
        <v>11506</v>
      </c>
      <c r="E4534" s="60" t="b">
        <v>1</v>
      </c>
      <c r="F4534" s="80" t="s">
        <v>1332</v>
      </c>
      <c r="G4534" s="58" t="s">
        <v>11505</v>
      </c>
      <c r="H4534" s="58" t="s">
        <v>11451</v>
      </c>
      <c r="I4534" s="64" t="s">
        <v>11506</v>
      </c>
      <c r="J4534" s="66"/>
      <c r="K4534" s="66"/>
      <c r="L4534" s="68"/>
      <c r="M4534" s="63" t="str">
        <f>HYPERLINK("http://nsgreg.nga.mil/genc/view?v=869015&amp;end_month=12&amp;end_day=31&amp;end_year=2016","Correlation")</f>
        <v>Correlation</v>
      </c>
    </row>
    <row r="4535" spans="1:13" x14ac:dyDescent="0.2">
      <c r="A4535" s="113"/>
      <c r="B4535" s="58" t="s">
        <v>11507</v>
      </c>
      <c r="C4535" s="58" t="s">
        <v>11475</v>
      </c>
      <c r="D4535" s="58" t="s">
        <v>11508</v>
      </c>
      <c r="E4535" s="60" t="b">
        <v>1</v>
      </c>
      <c r="F4535" s="80" t="s">
        <v>1332</v>
      </c>
      <c r="G4535" s="58" t="s">
        <v>11507</v>
      </c>
      <c r="H4535" s="58" t="s">
        <v>11459</v>
      </c>
      <c r="I4535" s="64" t="s">
        <v>11508</v>
      </c>
      <c r="J4535" s="66"/>
      <c r="K4535" s="66"/>
      <c r="L4535" s="68"/>
      <c r="M4535" s="63" t="str">
        <f>HYPERLINK("http://nsgreg.nga.mil/genc/view?v=869019&amp;end_month=12&amp;end_day=31&amp;end_year=2016","Correlation")</f>
        <v>Correlation</v>
      </c>
    </row>
    <row r="4536" spans="1:13" x14ac:dyDescent="0.2">
      <c r="A4536" s="113"/>
      <c r="B4536" s="58" t="s">
        <v>11509</v>
      </c>
      <c r="C4536" s="58" t="s">
        <v>11475</v>
      </c>
      <c r="D4536" s="58" t="s">
        <v>11510</v>
      </c>
      <c r="E4536" s="60" t="b">
        <v>1</v>
      </c>
      <c r="F4536" s="80" t="s">
        <v>1332</v>
      </c>
      <c r="G4536" s="58" t="s">
        <v>11509</v>
      </c>
      <c r="H4536" s="58" t="s">
        <v>11459</v>
      </c>
      <c r="I4536" s="64" t="s">
        <v>11510</v>
      </c>
      <c r="J4536" s="66"/>
      <c r="K4536" s="66"/>
      <c r="L4536" s="68"/>
      <c r="M4536" s="63" t="str">
        <f>HYPERLINK("http://nsgreg.nga.mil/genc/view?v=869016&amp;end_month=12&amp;end_day=31&amp;end_year=2016","Correlation")</f>
        <v>Correlation</v>
      </c>
    </row>
    <row r="4537" spans="1:13" x14ac:dyDescent="0.2">
      <c r="A4537" s="113"/>
      <c r="B4537" s="58" t="s">
        <v>11511</v>
      </c>
      <c r="C4537" s="58" t="s">
        <v>1796</v>
      </c>
      <c r="D4537" s="58" t="s">
        <v>11512</v>
      </c>
      <c r="E4537" s="60" t="b">
        <v>1</v>
      </c>
      <c r="F4537" s="80" t="s">
        <v>1332</v>
      </c>
      <c r="G4537" s="58" t="s">
        <v>11511</v>
      </c>
      <c r="H4537" s="58" t="s">
        <v>1796</v>
      </c>
      <c r="I4537" s="64" t="s">
        <v>11512</v>
      </c>
      <c r="J4537" s="66"/>
      <c r="K4537" s="66"/>
      <c r="L4537" s="68"/>
      <c r="M4537" s="63" t="str">
        <f>HYPERLINK("http://nsgreg.nga.mil/genc/view?v=869008&amp;end_month=12&amp;end_day=31&amp;end_year=2016","Correlation")</f>
        <v>Correlation</v>
      </c>
    </row>
    <row r="4538" spans="1:13" x14ac:dyDescent="0.2">
      <c r="A4538" s="113"/>
      <c r="B4538" s="58" t="s">
        <v>11513</v>
      </c>
      <c r="C4538" s="58" t="s">
        <v>11459</v>
      </c>
      <c r="D4538" s="58" t="s">
        <v>11514</v>
      </c>
      <c r="E4538" s="60" t="b">
        <v>1</v>
      </c>
      <c r="F4538" s="80" t="s">
        <v>1332</v>
      </c>
      <c r="G4538" s="58" t="s">
        <v>11513</v>
      </c>
      <c r="H4538" s="58" t="s">
        <v>11459</v>
      </c>
      <c r="I4538" s="64" t="s">
        <v>11514</v>
      </c>
      <c r="J4538" s="66"/>
      <c r="K4538" s="66"/>
      <c r="L4538" s="68"/>
      <c r="M4538" s="63" t="str">
        <f>HYPERLINK("http://nsgreg.nga.mil/genc/view?v=869007&amp;end_month=12&amp;end_day=31&amp;end_year=2016","Correlation")</f>
        <v>Correlation</v>
      </c>
    </row>
    <row r="4539" spans="1:13" x14ac:dyDescent="0.2">
      <c r="A4539" s="113"/>
      <c r="B4539" s="58" t="s">
        <v>11515</v>
      </c>
      <c r="C4539" s="58" t="s">
        <v>11475</v>
      </c>
      <c r="D4539" s="58" t="s">
        <v>11516</v>
      </c>
      <c r="E4539" s="60" t="b">
        <v>1</v>
      </c>
      <c r="F4539" s="80" t="s">
        <v>1332</v>
      </c>
      <c r="G4539" s="58" t="s">
        <v>11515</v>
      </c>
      <c r="H4539" s="58" t="s">
        <v>11459</v>
      </c>
      <c r="I4539" s="64" t="s">
        <v>11516</v>
      </c>
      <c r="J4539" s="66"/>
      <c r="K4539" s="66"/>
      <c r="L4539" s="68"/>
      <c r="M4539" s="63" t="str">
        <f>HYPERLINK("http://nsgreg.nga.mil/genc/view?v=869009&amp;end_month=12&amp;end_day=31&amp;end_year=2016","Correlation")</f>
        <v>Correlation</v>
      </c>
    </row>
    <row r="4540" spans="1:13" x14ac:dyDescent="0.2">
      <c r="A4540" s="113"/>
      <c r="B4540" s="58" t="s">
        <v>11517</v>
      </c>
      <c r="C4540" s="58" t="s">
        <v>11459</v>
      </c>
      <c r="D4540" s="58" t="s">
        <v>11518</v>
      </c>
      <c r="E4540" s="60" t="b">
        <v>1</v>
      </c>
      <c r="F4540" s="80" t="s">
        <v>1332</v>
      </c>
      <c r="G4540" s="58" t="s">
        <v>11517</v>
      </c>
      <c r="H4540" s="58" t="s">
        <v>11459</v>
      </c>
      <c r="I4540" s="64" t="s">
        <v>11518</v>
      </c>
      <c r="J4540" s="66"/>
      <c r="K4540" s="66"/>
      <c r="L4540" s="68"/>
      <c r="M4540" s="63" t="str">
        <f>HYPERLINK("http://nsgreg.nga.mil/genc/view?v=869010&amp;end_month=12&amp;end_day=31&amp;end_year=2016","Correlation")</f>
        <v>Correlation</v>
      </c>
    </row>
    <row r="4541" spans="1:13" x14ac:dyDescent="0.2">
      <c r="A4541" s="113"/>
      <c r="B4541" s="58" t="s">
        <v>11519</v>
      </c>
      <c r="C4541" s="58" t="s">
        <v>11459</v>
      </c>
      <c r="D4541" s="58" t="s">
        <v>11520</v>
      </c>
      <c r="E4541" s="60" t="b">
        <v>1</v>
      </c>
      <c r="F4541" s="80" t="s">
        <v>1332</v>
      </c>
      <c r="G4541" s="58" t="s">
        <v>11519</v>
      </c>
      <c r="H4541" s="58" t="s">
        <v>11459</v>
      </c>
      <c r="I4541" s="64" t="s">
        <v>11520</v>
      </c>
      <c r="J4541" s="66"/>
      <c r="K4541" s="66"/>
      <c r="L4541" s="68"/>
      <c r="M4541" s="63" t="str">
        <f>HYPERLINK("http://nsgreg.nga.mil/genc/view?v=869011&amp;end_month=12&amp;end_day=31&amp;end_year=2016","Correlation")</f>
        <v>Correlation</v>
      </c>
    </row>
    <row r="4542" spans="1:13" x14ac:dyDescent="0.2">
      <c r="A4542" s="113"/>
      <c r="B4542" s="58" t="s">
        <v>11521</v>
      </c>
      <c r="C4542" s="58" t="s">
        <v>11436</v>
      </c>
      <c r="D4542" s="58" t="s">
        <v>11522</v>
      </c>
      <c r="E4542" s="60" t="b">
        <v>1</v>
      </c>
      <c r="F4542" s="80" t="s">
        <v>1332</v>
      </c>
      <c r="G4542" s="58" t="s">
        <v>11521</v>
      </c>
      <c r="H4542" s="58" t="s">
        <v>11436</v>
      </c>
      <c r="I4542" s="64" t="s">
        <v>11522</v>
      </c>
      <c r="J4542" s="66"/>
      <c r="K4542" s="66"/>
      <c r="L4542" s="68"/>
      <c r="M4542" s="63" t="str">
        <f>HYPERLINK("http://nsgreg.nga.mil/genc/view?v=869013&amp;end_month=12&amp;end_day=31&amp;end_year=2016","Correlation")</f>
        <v>Correlation</v>
      </c>
    </row>
    <row r="4543" spans="1:13" x14ac:dyDescent="0.2">
      <c r="A4543" s="113"/>
      <c r="B4543" s="58" t="s">
        <v>11523</v>
      </c>
      <c r="C4543" s="58" t="s">
        <v>11475</v>
      </c>
      <c r="D4543" s="58" t="s">
        <v>11524</v>
      </c>
      <c r="E4543" s="60" t="b">
        <v>1</v>
      </c>
      <c r="F4543" s="80" t="s">
        <v>1332</v>
      </c>
      <c r="G4543" s="58" t="s">
        <v>11523</v>
      </c>
      <c r="H4543" s="58" t="s">
        <v>11459</v>
      </c>
      <c r="I4543" s="64" t="s">
        <v>11524</v>
      </c>
      <c r="J4543" s="66"/>
      <c r="K4543" s="66"/>
      <c r="L4543" s="68"/>
      <c r="M4543" s="63" t="str">
        <f>HYPERLINK("http://nsgreg.nga.mil/genc/view?v=869021&amp;end_month=12&amp;end_day=31&amp;end_year=2016","Correlation")</f>
        <v>Correlation</v>
      </c>
    </row>
    <row r="4544" spans="1:13" x14ac:dyDescent="0.2">
      <c r="A4544" s="113"/>
      <c r="B4544" s="58" t="s">
        <v>11525</v>
      </c>
      <c r="C4544" s="58" t="s">
        <v>11459</v>
      </c>
      <c r="D4544" s="58" t="s">
        <v>11526</v>
      </c>
      <c r="E4544" s="60" t="b">
        <v>1</v>
      </c>
      <c r="F4544" s="80" t="s">
        <v>1332</v>
      </c>
      <c r="G4544" s="58" t="s">
        <v>11525</v>
      </c>
      <c r="H4544" s="58" t="s">
        <v>11459</v>
      </c>
      <c r="I4544" s="64" t="s">
        <v>11526</v>
      </c>
      <c r="J4544" s="66"/>
      <c r="K4544" s="66"/>
      <c r="L4544" s="68"/>
      <c r="M4544" s="63" t="str">
        <f>HYPERLINK("http://nsgreg.nga.mil/genc/view?v=869017&amp;end_month=12&amp;end_day=31&amp;end_year=2016","Correlation")</f>
        <v>Correlation</v>
      </c>
    </row>
    <row r="4545" spans="1:13" x14ac:dyDescent="0.2">
      <c r="A4545" s="113"/>
      <c r="B4545" s="58" t="s">
        <v>11527</v>
      </c>
      <c r="C4545" s="58" t="s">
        <v>11456</v>
      </c>
      <c r="D4545" s="58" t="s">
        <v>11528</v>
      </c>
      <c r="E4545" s="60" t="b">
        <v>1</v>
      </c>
      <c r="F4545" s="80" t="s">
        <v>1332</v>
      </c>
      <c r="G4545" s="58" t="s">
        <v>11527</v>
      </c>
      <c r="H4545" s="58" t="s">
        <v>11456</v>
      </c>
      <c r="I4545" s="64" t="s">
        <v>11528</v>
      </c>
      <c r="J4545" s="66"/>
      <c r="K4545" s="66"/>
      <c r="L4545" s="68"/>
      <c r="M4545" s="63" t="str">
        <f>HYPERLINK("http://nsgreg.nga.mil/genc/view?v=869018&amp;end_month=12&amp;end_day=31&amp;end_year=2016","Correlation")</f>
        <v>Correlation</v>
      </c>
    </row>
    <row r="4546" spans="1:13" x14ac:dyDescent="0.2">
      <c r="A4546" s="113"/>
      <c r="B4546" s="58" t="s">
        <v>11529</v>
      </c>
      <c r="C4546" s="58" t="s">
        <v>11451</v>
      </c>
      <c r="D4546" s="58" t="s">
        <v>11530</v>
      </c>
      <c r="E4546" s="60" t="b">
        <v>1</v>
      </c>
      <c r="F4546" s="80" t="s">
        <v>1332</v>
      </c>
      <c r="G4546" s="58" t="s">
        <v>11529</v>
      </c>
      <c r="H4546" s="58" t="s">
        <v>11451</v>
      </c>
      <c r="I4546" s="64" t="s">
        <v>11530</v>
      </c>
      <c r="J4546" s="66"/>
      <c r="K4546" s="66"/>
      <c r="L4546" s="68"/>
      <c r="M4546" s="63" t="str">
        <f>HYPERLINK("http://nsgreg.nga.mil/genc/view?v=869020&amp;end_month=12&amp;end_day=31&amp;end_year=2016","Correlation")</f>
        <v>Correlation</v>
      </c>
    </row>
    <row r="4547" spans="1:13" x14ac:dyDescent="0.2">
      <c r="A4547" s="113"/>
      <c r="B4547" s="58" t="s">
        <v>11531</v>
      </c>
      <c r="C4547" s="58" t="s">
        <v>11496</v>
      </c>
      <c r="D4547" s="58" t="s">
        <v>11532</v>
      </c>
      <c r="E4547" s="60" t="b">
        <v>1</v>
      </c>
      <c r="F4547" s="80" t="s">
        <v>1332</v>
      </c>
      <c r="G4547" s="58" t="s">
        <v>11531</v>
      </c>
      <c r="H4547" s="58" t="s">
        <v>1483</v>
      </c>
      <c r="I4547" s="64" t="s">
        <v>11532</v>
      </c>
      <c r="J4547" s="66"/>
      <c r="K4547" s="66"/>
      <c r="L4547" s="68"/>
      <c r="M4547" s="63" t="str">
        <f>HYPERLINK("http://nsgreg.nga.mil/genc/view?v=869014&amp;end_month=12&amp;end_day=31&amp;end_year=2016","Correlation")</f>
        <v>Correlation</v>
      </c>
    </row>
    <row r="4548" spans="1:13" x14ac:dyDescent="0.2">
      <c r="A4548" s="113"/>
      <c r="B4548" s="58" t="s">
        <v>11533</v>
      </c>
      <c r="C4548" s="58" t="s">
        <v>11459</v>
      </c>
      <c r="D4548" s="58" t="s">
        <v>11534</v>
      </c>
      <c r="E4548" s="60" t="b">
        <v>1</v>
      </c>
      <c r="F4548" s="80" t="s">
        <v>1332</v>
      </c>
      <c r="G4548" s="58" t="s">
        <v>11533</v>
      </c>
      <c r="H4548" s="58" t="s">
        <v>11459</v>
      </c>
      <c r="I4548" s="64" t="s">
        <v>11534</v>
      </c>
      <c r="J4548" s="66"/>
      <c r="K4548" s="66"/>
      <c r="L4548" s="68"/>
      <c r="M4548" s="63" t="str">
        <f>HYPERLINK("http://nsgreg.nga.mil/genc/view?v=869022&amp;end_month=12&amp;end_day=31&amp;end_year=2016","Correlation")</f>
        <v>Correlation</v>
      </c>
    </row>
    <row r="4549" spans="1:13" x14ac:dyDescent="0.2">
      <c r="A4549" s="113"/>
      <c r="B4549" s="58" t="s">
        <v>11535</v>
      </c>
      <c r="C4549" s="58" t="s">
        <v>11475</v>
      </c>
      <c r="D4549" s="58" t="s">
        <v>11536</v>
      </c>
      <c r="E4549" s="60" t="b">
        <v>1</v>
      </c>
      <c r="F4549" s="80" t="s">
        <v>1332</v>
      </c>
      <c r="G4549" s="58" t="s">
        <v>11535</v>
      </c>
      <c r="H4549" s="58" t="s">
        <v>11459</v>
      </c>
      <c r="I4549" s="64" t="s">
        <v>11536</v>
      </c>
      <c r="J4549" s="66"/>
      <c r="K4549" s="66"/>
      <c r="L4549" s="68"/>
      <c r="M4549" s="63" t="str">
        <f>HYPERLINK("http://nsgreg.nga.mil/genc/view?v=869024&amp;end_month=12&amp;end_day=31&amp;end_year=2016","Correlation")</f>
        <v>Correlation</v>
      </c>
    </row>
    <row r="4550" spans="1:13" x14ac:dyDescent="0.2">
      <c r="A4550" s="113"/>
      <c r="B4550" s="58" t="s">
        <v>11537</v>
      </c>
      <c r="C4550" s="58" t="s">
        <v>11459</v>
      </c>
      <c r="D4550" s="58" t="s">
        <v>11538</v>
      </c>
      <c r="E4550" s="60" t="b">
        <v>1</v>
      </c>
      <c r="F4550" s="80" t="s">
        <v>1332</v>
      </c>
      <c r="G4550" s="58" t="s">
        <v>11537</v>
      </c>
      <c r="H4550" s="58" t="s">
        <v>11459</v>
      </c>
      <c r="I4550" s="64" t="s">
        <v>11538</v>
      </c>
      <c r="J4550" s="66"/>
      <c r="K4550" s="66"/>
      <c r="L4550" s="68"/>
      <c r="M4550" s="63" t="str">
        <f>HYPERLINK("http://nsgreg.nga.mil/genc/view?v=869025&amp;end_month=12&amp;end_day=31&amp;end_year=2016","Correlation")</f>
        <v>Correlation</v>
      </c>
    </row>
    <row r="4551" spans="1:13" x14ac:dyDescent="0.2">
      <c r="A4551" s="113"/>
      <c r="B4551" s="58" t="s">
        <v>11539</v>
      </c>
      <c r="C4551" s="58" t="s">
        <v>11496</v>
      </c>
      <c r="D4551" s="58" t="s">
        <v>11540</v>
      </c>
      <c r="E4551" s="60" t="b">
        <v>1</v>
      </c>
      <c r="F4551" s="80" t="s">
        <v>1332</v>
      </c>
      <c r="G4551" s="58" t="s">
        <v>11539</v>
      </c>
      <c r="H4551" s="58" t="s">
        <v>1483</v>
      </c>
      <c r="I4551" s="64" t="s">
        <v>11540</v>
      </c>
      <c r="J4551" s="66"/>
      <c r="K4551" s="66"/>
      <c r="L4551" s="68"/>
      <c r="M4551" s="63" t="str">
        <f>HYPERLINK("http://nsgreg.nga.mil/genc/view?v=869023&amp;end_month=12&amp;end_day=31&amp;end_year=2016","Correlation")</f>
        <v>Correlation</v>
      </c>
    </row>
    <row r="4552" spans="1:13" x14ac:dyDescent="0.2">
      <c r="A4552" s="113"/>
      <c r="B4552" s="58" t="s">
        <v>11541</v>
      </c>
      <c r="C4552" s="58" t="s">
        <v>1796</v>
      </c>
      <c r="D4552" s="58" t="s">
        <v>11542</v>
      </c>
      <c r="E4552" s="60" t="b">
        <v>1</v>
      </c>
      <c r="F4552" s="80" t="s">
        <v>1332</v>
      </c>
      <c r="G4552" s="58" t="s">
        <v>11541</v>
      </c>
      <c r="H4552" s="58" t="s">
        <v>1796</v>
      </c>
      <c r="I4552" s="64" t="s">
        <v>11542</v>
      </c>
      <c r="J4552" s="66"/>
      <c r="K4552" s="66"/>
      <c r="L4552" s="68"/>
      <c r="M4552" s="63" t="str">
        <f>HYPERLINK("http://nsgreg.nga.mil/genc/view?v=869031&amp;end_month=12&amp;end_day=31&amp;end_year=2016","Correlation")</f>
        <v>Correlation</v>
      </c>
    </row>
    <row r="4553" spans="1:13" x14ac:dyDescent="0.2">
      <c r="A4553" s="113"/>
      <c r="B4553" s="58" t="s">
        <v>11543</v>
      </c>
      <c r="C4553" s="58" t="s">
        <v>11496</v>
      </c>
      <c r="D4553" s="58" t="s">
        <v>11544</v>
      </c>
      <c r="E4553" s="60" t="b">
        <v>1</v>
      </c>
      <c r="F4553" s="80" t="s">
        <v>1332</v>
      </c>
      <c r="G4553" s="58" t="s">
        <v>11543</v>
      </c>
      <c r="H4553" s="58" t="s">
        <v>1483</v>
      </c>
      <c r="I4553" s="64" t="s">
        <v>11544</v>
      </c>
      <c r="J4553" s="66"/>
      <c r="K4553" s="66"/>
      <c r="L4553" s="68"/>
      <c r="M4553" s="63" t="str">
        <f>HYPERLINK("http://nsgreg.nga.mil/genc/view?v=869026&amp;end_month=12&amp;end_day=31&amp;end_year=2016","Correlation")</f>
        <v>Correlation</v>
      </c>
    </row>
    <row r="4554" spans="1:13" x14ac:dyDescent="0.2">
      <c r="A4554" s="113"/>
      <c r="B4554" s="58" t="s">
        <v>11545</v>
      </c>
      <c r="C4554" s="58" t="s">
        <v>11456</v>
      </c>
      <c r="D4554" s="58" t="s">
        <v>11546</v>
      </c>
      <c r="E4554" s="60" t="b">
        <v>1</v>
      </c>
      <c r="F4554" s="80" t="s">
        <v>1332</v>
      </c>
      <c r="G4554" s="58" t="s">
        <v>11545</v>
      </c>
      <c r="H4554" s="58" t="s">
        <v>11456</v>
      </c>
      <c r="I4554" s="64" t="s">
        <v>11546</v>
      </c>
      <c r="J4554" s="66"/>
      <c r="K4554" s="66"/>
      <c r="L4554" s="68"/>
      <c r="M4554" s="63" t="str">
        <f>HYPERLINK("http://nsgreg.nga.mil/genc/view?v=869028&amp;end_month=12&amp;end_day=31&amp;end_year=2016","Correlation")</f>
        <v>Correlation</v>
      </c>
    </row>
    <row r="4555" spans="1:13" x14ac:dyDescent="0.2">
      <c r="A4555" s="113"/>
      <c r="B4555" s="58" t="s">
        <v>11547</v>
      </c>
      <c r="C4555" s="58" t="s">
        <v>11496</v>
      </c>
      <c r="D4555" s="58" t="s">
        <v>11548</v>
      </c>
      <c r="E4555" s="60" t="b">
        <v>1</v>
      </c>
      <c r="F4555" s="80" t="s">
        <v>1332</v>
      </c>
      <c r="G4555" s="58" t="s">
        <v>11547</v>
      </c>
      <c r="H4555" s="58" t="s">
        <v>1483</v>
      </c>
      <c r="I4555" s="64" t="s">
        <v>11548</v>
      </c>
      <c r="J4555" s="66"/>
      <c r="K4555" s="66"/>
      <c r="L4555" s="68"/>
      <c r="M4555" s="63" t="str">
        <f>HYPERLINK("http://nsgreg.nga.mil/genc/view?v=869030&amp;end_month=12&amp;end_day=31&amp;end_year=2016","Correlation")</f>
        <v>Correlation</v>
      </c>
    </row>
    <row r="4556" spans="1:13" x14ac:dyDescent="0.2">
      <c r="A4556" s="113"/>
      <c r="B4556" s="58" t="s">
        <v>11549</v>
      </c>
      <c r="C4556" s="58" t="s">
        <v>11456</v>
      </c>
      <c r="D4556" s="58" t="s">
        <v>11550</v>
      </c>
      <c r="E4556" s="60" t="b">
        <v>1</v>
      </c>
      <c r="F4556" s="80" t="s">
        <v>1332</v>
      </c>
      <c r="G4556" s="58" t="s">
        <v>11549</v>
      </c>
      <c r="H4556" s="58" t="s">
        <v>11456</v>
      </c>
      <c r="I4556" s="64" t="s">
        <v>11550</v>
      </c>
      <c r="J4556" s="66"/>
      <c r="K4556" s="66"/>
      <c r="L4556" s="68"/>
      <c r="M4556" s="63" t="str">
        <f>HYPERLINK("http://nsgreg.nga.mil/genc/view?v=869032&amp;end_month=12&amp;end_day=31&amp;end_year=2016","Correlation")</f>
        <v>Correlation</v>
      </c>
    </row>
    <row r="4557" spans="1:13" x14ac:dyDescent="0.2">
      <c r="A4557" s="113"/>
      <c r="B4557" s="58" t="s">
        <v>11551</v>
      </c>
      <c r="C4557" s="58" t="s">
        <v>11436</v>
      </c>
      <c r="D4557" s="58" t="s">
        <v>11552</v>
      </c>
      <c r="E4557" s="60" t="b">
        <v>1</v>
      </c>
      <c r="F4557" s="80" t="s">
        <v>1332</v>
      </c>
      <c r="G4557" s="58" t="s">
        <v>11551</v>
      </c>
      <c r="H4557" s="58" t="s">
        <v>11436</v>
      </c>
      <c r="I4557" s="64" t="s">
        <v>11552</v>
      </c>
      <c r="J4557" s="66"/>
      <c r="K4557" s="66"/>
      <c r="L4557" s="68"/>
      <c r="M4557" s="63" t="str">
        <f>HYPERLINK("http://nsgreg.nga.mil/genc/view?v=869027&amp;end_month=12&amp;end_day=31&amp;end_year=2016","Correlation")</f>
        <v>Correlation</v>
      </c>
    </row>
    <row r="4558" spans="1:13" x14ac:dyDescent="0.2">
      <c r="A4558" s="113"/>
      <c r="B4558" s="58" t="s">
        <v>11553</v>
      </c>
      <c r="C4558" s="58" t="s">
        <v>11436</v>
      </c>
      <c r="D4558" s="58" t="s">
        <v>11554</v>
      </c>
      <c r="E4558" s="60" t="b">
        <v>1</v>
      </c>
      <c r="F4558" s="80" t="s">
        <v>1332</v>
      </c>
      <c r="G4558" s="58" t="s">
        <v>11553</v>
      </c>
      <c r="H4558" s="58" t="s">
        <v>11436</v>
      </c>
      <c r="I4558" s="64" t="s">
        <v>11554</v>
      </c>
      <c r="J4558" s="66"/>
      <c r="K4558" s="66"/>
      <c r="L4558" s="68"/>
      <c r="M4558" s="63" t="str">
        <f>HYPERLINK("http://nsgreg.nga.mil/genc/view?v=869029&amp;end_month=12&amp;end_day=31&amp;end_year=2016","Correlation")</f>
        <v>Correlation</v>
      </c>
    </row>
    <row r="4559" spans="1:13" x14ac:dyDescent="0.2">
      <c r="A4559" s="113"/>
      <c r="B4559" s="58" t="s">
        <v>11557</v>
      </c>
      <c r="C4559" s="58" t="s">
        <v>11459</v>
      </c>
      <c r="D4559" s="58" t="s">
        <v>11556</v>
      </c>
      <c r="E4559" s="60" t="b">
        <v>1</v>
      </c>
      <c r="F4559" s="80" t="s">
        <v>1332</v>
      </c>
      <c r="G4559" s="58" t="s">
        <v>11555</v>
      </c>
      <c r="H4559" s="58" t="s">
        <v>11459</v>
      </c>
      <c r="I4559" s="64" t="s">
        <v>11556</v>
      </c>
      <c r="J4559" s="66"/>
      <c r="K4559" s="66"/>
      <c r="L4559" s="68"/>
      <c r="M4559" s="63" t="str">
        <f>HYPERLINK("http://nsgreg.nga.mil/genc/view?v=869033&amp;end_month=12&amp;end_day=31&amp;end_year=2016","Correlation")</f>
        <v>Correlation</v>
      </c>
    </row>
    <row r="4560" spans="1:13" x14ac:dyDescent="0.2">
      <c r="A4560" s="113"/>
      <c r="B4560" s="58" t="s">
        <v>11558</v>
      </c>
      <c r="C4560" s="58" t="s">
        <v>11451</v>
      </c>
      <c r="D4560" s="58" t="s">
        <v>11559</v>
      </c>
      <c r="E4560" s="60" t="b">
        <v>1</v>
      </c>
      <c r="F4560" s="80" t="s">
        <v>1332</v>
      </c>
      <c r="G4560" s="58" t="s">
        <v>11558</v>
      </c>
      <c r="H4560" s="58" t="s">
        <v>11451</v>
      </c>
      <c r="I4560" s="64" t="s">
        <v>11559</v>
      </c>
      <c r="J4560" s="66"/>
      <c r="K4560" s="66"/>
      <c r="L4560" s="68"/>
      <c r="M4560" s="63" t="str">
        <f>HYPERLINK("http://nsgreg.nga.mil/genc/view?v=869034&amp;end_month=12&amp;end_day=31&amp;end_year=2016","Correlation")</f>
        <v>Correlation</v>
      </c>
    </row>
    <row r="4561" spans="1:13" x14ac:dyDescent="0.2">
      <c r="A4561" s="113"/>
      <c r="B4561" s="58" t="s">
        <v>11560</v>
      </c>
      <c r="C4561" s="58" t="s">
        <v>11436</v>
      </c>
      <c r="D4561" s="58" t="s">
        <v>11561</v>
      </c>
      <c r="E4561" s="60" t="b">
        <v>1</v>
      </c>
      <c r="F4561" s="80" t="s">
        <v>1332</v>
      </c>
      <c r="G4561" s="58" t="s">
        <v>11560</v>
      </c>
      <c r="H4561" s="58" t="s">
        <v>11436</v>
      </c>
      <c r="I4561" s="64" t="s">
        <v>11561</v>
      </c>
      <c r="J4561" s="66"/>
      <c r="K4561" s="66"/>
      <c r="L4561" s="68"/>
      <c r="M4561" s="63" t="str">
        <f>HYPERLINK("http://nsgreg.nga.mil/genc/view?v=869035&amp;end_month=12&amp;end_day=31&amp;end_year=2016","Correlation")</f>
        <v>Correlation</v>
      </c>
    </row>
    <row r="4562" spans="1:13" x14ac:dyDescent="0.2">
      <c r="A4562" s="113"/>
      <c r="B4562" s="58" t="s">
        <v>11562</v>
      </c>
      <c r="C4562" s="58" t="s">
        <v>11436</v>
      </c>
      <c r="D4562" s="58" t="s">
        <v>11563</v>
      </c>
      <c r="E4562" s="60" t="b">
        <v>1</v>
      </c>
      <c r="F4562" s="80" t="s">
        <v>1332</v>
      </c>
      <c r="G4562" s="58" t="s">
        <v>11562</v>
      </c>
      <c r="H4562" s="58" t="s">
        <v>11436</v>
      </c>
      <c r="I4562" s="64" t="s">
        <v>11563</v>
      </c>
      <c r="J4562" s="66"/>
      <c r="K4562" s="66"/>
      <c r="L4562" s="68"/>
      <c r="M4562" s="63" t="str">
        <f>HYPERLINK("http://nsgreg.nga.mil/genc/view?v=869037&amp;end_month=12&amp;end_day=31&amp;end_year=2016","Correlation")</f>
        <v>Correlation</v>
      </c>
    </row>
    <row r="4563" spans="1:13" x14ac:dyDescent="0.2">
      <c r="A4563" s="113"/>
      <c r="B4563" s="58" t="s">
        <v>11564</v>
      </c>
      <c r="C4563" s="58" t="s">
        <v>11436</v>
      </c>
      <c r="D4563" s="58" t="s">
        <v>11565</v>
      </c>
      <c r="E4563" s="60" t="b">
        <v>1</v>
      </c>
      <c r="F4563" s="80" t="s">
        <v>1332</v>
      </c>
      <c r="G4563" s="58" t="s">
        <v>11564</v>
      </c>
      <c r="H4563" s="58" t="s">
        <v>11436</v>
      </c>
      <c r="I4563" s="64" t="s">
        <v>11565</v>
      </c>
      <c r="J4563" s="66"/>
      <c r="K4563" s="66"/>
      <c r="L4563" s="68"/>
      <c r="M4563" s="63" t="str">
        <f>HYPERLINK("http://nsgreg.nga.mil/genc/view?v=869038&amp;end_month=12&amp;end_day=31&amp;end_year=2016","Correlation")</f>
        <v>Correlation</v>
      </c>
    </row>
    <row r="4564" spans="1:13" x14ac:dyDescent="0.2">
      <c r="A4564" s="113"/>
      <c r="B4564" s="58" t="s">
        <v>11566</v>
      </c>
      <c r="C4564" s="58" t="s">
        <v>11436</v>
      </c>
      <c r="D4564" s="58" t="s">
        <v>11567</v>
      </c>
      <c r="E4564" s="60" t="b">
        <v>1</v>
      </c>
      <c r="F4564" s="80" t="s">
        <v>1332</v>
      </c>
      <c r="G4564" s="58" t="s">
        <v>11566</v>
      </c>
      <c r="H4564" s="58" t="s">
        <v>11436</v>
      </c>
      <c r="I4564" s="64" t="s">
        <v>11567</v>
      </c>
      <c r="J4564" s="66"/>
      <c r="K4564" s="66"/>
      <c r="L4564" s="68"/>
      <c r="M4564" s="63" t="str">
        <f>HYPERLINK("http://nsgreg.nga.mil/genc/view?v=869042&amp;end_month=12&amp;end_day=31&amp;end_year=2016","Correlation")</f>
        <v>Correlation</v>
      </c>
    </row>
    <row r="4565" spans="1:13" x14ac:dyDescent="0.2">
      <c r="A4565" s="113"/>
      <c r="B4565" s="58" t="s">
        <v>11568</v>
      </c>
      <c r="C4565" s="58" t="s">
        <v>11459</v>
      </c>
      <c r="D4565" s="58" t="s">
        <v>11569</v>
      </c>
      <c r="E4565" s="60" t="b">
        <v>1</v>
      </c>
      <c r="F4565" s="80" t="s">
        <v>1332</v>
      </c>
      <c r="G4565" s="58" t="s">
        <v>11568</v>
      </c>
      <c r="H4565" s="58" t="s">
        <v>11459</v>
      </c>
      <c r="I4565" s="64" t="s">
        <v>11569</v>
      </c>
      <c r="J4565" s="66"/>
      <c r="K4565" s="66"/>
      <c r="L4565" s="68"/>
      <c r="M4565" s="63" t="str">
        <f>HYPERLINK("http://nsgreg.nga.mil/genc/view?v=869043&amp;end_month=12&amp;end_day=31&amp;end_year=2016","Correlation")</f>
        <v>Correlation</v>
      </c>
    </row>
    <row r="4566" spans="1:13" x14ac:dyDescent="0.2">
      <c r="A4566" s="113"/>
      <c r="B4566" s="58" t="s">
        <v>11570</v>
      </c>
      <c r="C4566" s="58" t="s">
        <v>11496</v>
      </c>
      <c r="D4566" s="58" t="s">
        <v>11571</v>
      </c>
      <c r="E4566" s="60" t="b">
        <v>1</v>
      </c>
      <c r="F4566" s="80" t="s">
        <v>1332</v>
      </c>
      <c r="G4566" s="58" t="s">
        <v>11570</v>
      </c>
      <c r="H4566" s="58" t="s">
        <v>1483</v>
      </c>
      <c r="I4566" s="64" t="s">
        <v>11571</v>
      </c>
      <c r="J4566" s="66"/>
      <c r="K4566" s="66"/>
      <c r="L4566" s="68"/>
      <c r="M4566" s="63" t="str">
        <f>HYPERLINK("http://nsgreg.nga.mil/genc/view?v=869045&amp;end_month=12&amp;end_day=31&amp;end_year=2016","Correlation")</f>
        <v>Correlation</v>
      </c>
    </row>
    <row r="4567" spans="1:13" x14ac:dyDescent="0.2">
      <c r="A4567" s="113"/>
      <c r="B4567" s="58" t="s">
        <v>11572</v>
      </c>
      <c r="C4567" s="58" t="s">
        <v>11436</v>
      </c>
      <c r="D4567" s="58" t="s">
        <v>11573</v>
      </c>
      <c r="E4567" s="60" t="b">
        <v>1</v>
      </c>
      <c r="F4567" s="80" t="s">
        <v>1332</v>
      </c>
      <c r="G4567" s="58" t="s">
        <v>11572</v>
      </c>
      <c r="H4567" s="58" t="s">
        <v>11436</v>
      </c>
      <c r="I4567" s="64" t="s">
        <v>11573</v>
      </c>
      <c r="J4567" s="66"/>
      <c r="K4567" s="66"/>
      <c r="L4567" s="68"/>
      <c r="M4567" s="63" t="str">
        <f>HYPERLINK("http://nsgreg.nga.mil/genc/view?v=869036&amp;end_month=12&amp;end_day=31&amp;end_year=2016","Correlation")</f>
        <v>Correlation</v>
      </c>
    </row>
    <row r="4568" spans="1:13" x14ac:dyDescent="0.2">
      <c r="A4568" s="113"/>
      <c r="B4568" s="58" t="s">
        <v>11574</v>
      </c>
      <c r="C4568" s="58" t="s">
        <v>11436</v>
      </c>
      <c r="D4568" s="58" t="s">
        <v>11575</v>
      </c>
      <c r="E4568" s="60" t="b">
        <v>1</v>
      </c>
      <c r="F4568" s="80" t="s">
        <v>1332</v>
      </c>
      <c r="G4568" s="58" t="s">
        <v>11574</v>
      </c>
      <c r="H4568" s="58" t="s">
        <v>11436</v>
      </c>
      <c r="I4568" s="64" t="s">
        <v>11575</v>
      </c>
      <c r="J4568" s="66"/>
      <c r="K4568" s="66"/>
      <c r="L4568" s="68"/>
      <c r="M4568" s="63" t="str">
        <f>HYPERLINK("http://nsgreg.nga.mil/genc/view?v=869039&amp;end_month=12&amp;end_day=31&amp;end_year=2016","Correlation")</f>
        <v>Correlation</v>
      </c>
    </row>
    <row r="4569" spans="1:13" x14ac:dyDescent="0.2">
      <c r="A4569" s="113"/>
      <c r="B4569" s="58" t="s">
        <v>11576</v>
      </c>
      <c r="C4569" s="58" t="s">
        <v>11451</v>
      </c>
      <c r="D4569" s="58" t="s">
        <v>11577</v>
      </c>
      <c r="E4569" s="60" t="b">
        <v>1</v>
      </c>
      <c r="F4569" s="80" t="s">
        <v>1332</v>
      </c>
      <c r="G4569" s="58" t="s">
        <v>11576</v>
      </c>
      <c r="H4569" s="58" t="s">
        <v>11451</v>
      </c>
      <c r="I4569" s="64" t="s">
        <v>11577</v>
      </c>
      <c r="J4569" s="66"/>
      <c r="K4569" s="66"/>
      <c r="L4569" s="68"/>
      <c r="M4569" s="63" t="str">
        <f>HYPERLINK("http://nsgreg.nga.mil/genc/view?v=869040&amp;end_month=12&amp;end_day=31&amp;end_year=2016","Correlation")</f>
        <v>Correlation</v>
      </c>
    </row>
    <row r="4570" spans="1:13" x14ac:dyDescent="0.2">
      <c r="A4570" s="113"/>
      <c r="B4570" s="58" t="s">
        <v>11578</v>
      </c>
      <c r="C4570" s="58" t="s">
        <v>11579</v>
      </c>
      <c r="D4570" s="58" t="s">
        <v>11580</v>
      </c>
      <c r="E4570" s="60" t="b">
        <v>1</v>
      </c>
      <c r="F4570" s="80" t="s">
        <v>1332</v>
      </c>
      <c r="G4570" s="58" t="s">
        <v>11578</v>
      </c>
      <c r="H4570" s="58" t="s">
        <v>11579</v>
      </c>
      <c r="I4570" s="64" t="s">
        <v>11580</v>
      </c>
      <c r="J4570" s="66"/>
      <c r="K4570" s="66"/>
      <c r="L4570" s="68"/>
      <c r="M4570" s="63" t="str">
        <f>HYPERLINK("http://nsgreg.nga.mil/genc/view?v=869041&amp;end_month=12&amp;end_day=31&amp;end_year=2016","Correlation")</f>
        <v>Correlation</v>
      </c>
    </row>
    <row r="4571" spans="1:13" x14ac:dyDescent="0.2">
      <c r="A4571" s="113"/>
      <c r="B4571" s="58" t="s">
        <v>11581</v>
      </c>
      <c r="C4571" s="58" t="s">
        <v>11496</v>
      </c>
      <c r="D4571" s="58" t="s">
        <v>11582</v>
      </c>
      <c r="E4571" s="60" t="b">
        <v>1</v>
      </c>
      <c r="F4571" s="80" t="s">
        <v>1332</v>
      </c>
      <c r="G4571" s="58" t="s">
        <v>11581</v>
      </c>
      <c r="H4571" s="58" t="s">
        <v>1483</v>
      </c>
      <c r="I4571" s="64" t="s">
        <v>11582</v>
      </c>
      <c r="J4571" s="66"/>
      <c r="K4571" s="66"/>
      <c r="L4571" s="68"/>
      <c r="M4571" s="63" t="str">
        <f>HYPERLINK("http://nsgreg.nga.mil/genc/view?v=869044&amp;end_month=12&amp;end_day=31&amp;end_year=2016","Correlation")</f>
        <v>Correlation</v>
      </c>
    </row>
    <row r="4572" spans="1:13" x14ac:dyDescent="0.2">
      <c r="A4572" s="113"/>
      <c r="B4572" s="58" t="s">
        <v>11583</v>
      </c>
      <c r="C4572" s="58" t="s">
        <v>11436</v>
      </c>
      <c r="D4572" s="58" t="s">
        <v>11584</v>
      </c>
      <c r="E4572" s="60" t="b">
        <v>1</v>
      </c>
      <c r="F4572" s="80" t="s">
        <v>1332</v>
      </c>
      <c r="G4572" s="58" t="s">
        <v>11583</v>
      </c>
      <c r="H4572" s="58" t="s">
        <v>11436</v>
      </c>
      <c r="I4572" s="64" t="s">
        <v>11584</v>
      </c>
      <c r="J4572" s="66"/>
      <c r="K4572" s="66"/>
      <c r="L4572" s="68"/>
      <c r="M4572" s="63" t="str">
        <f>HYPERLINK("http://nsgreg.nga.mil/genc/view?v=869046&amp;end_month=12&amp;end_day=31&amp;end_year=2016","Correlation")</f>
        <v>Correlation</v>
      </c>
    </row>
    <row r="4573" spans="1:13" x14ac:dyDescent="0.2">
      <c r="A4573" s="113"/>
      <c r="B4573" s="58" t="s">
        <v>11585</v>
      </c>
      <c r="C4573" s="58" t="s">
        <v>1796</v>
      </c>
      <c r="D4573" s="58" t="s">
        <v>11586</v>
      </c>
      <c r="E4573" s="60" t="b">
        <v>1</v>
      </c>
      <c r="F4573" s="80" t="s">
        <v>1332</v>
      </c>
      <c r="G4573" s="58" t="s">
        <v>11585</v>
      </c>
      <c r="H4573" s="58" t="s">
        <v>1796</v>
      </c>
      <c r="I4573" s="64" t="s">
        <v>11586</v>
      </c>
      <c r="J4573" s="66"/>
      <c r="K4573" s="66"/>
      <c r="L4573" s="68"/>
      <c r="M4573" s="63" t="str">
        <f>HYPERLINK("http://nsgreg.nga.mil/genc/view?v=869049&amp;end_month=12&amp;end_day=31&amp;end_year=2016","Correlation")</f>
        <v>Correlation</v>
      </c>
    </row>
    <row r="4574" spans="1:13" x14ac:dyDescent="0.2">
      <c r="A4574" s="113"/>
      <c r="B4574" s="58" t="s">
        <v>11587</v>
      </c>
      <c r="C4574" s="58" t="s">
        <v>11436</v>
      </c>
      <c r="D4574" s="58" t="s">
        <v>11588</v>
      </c>
      <c r="E4574" s="60" t="b">
        <v>1</v>
      </c>
      <c r="F4574" s="80" t="s">
        <v>1332</v>
      </c>
      <c r="G4574" s="58" t="s">
        <v>11587</v>
      </c>
      <c r="H4574" s="58" t="s">
        <v>11436</v>
      </c>
      <c r="I4574" s="64" t="s">
        <v>11588</v>
      </c>
      <c r="J4574" s="66"/>
      <c r="K4574" s="66"/>
      <c r="L4574" s="68"/>
      <c r="M4574" s="63" t="str">
        <f>HYPERLINK("http://nsgreg.nga.mil/genc/view?v=869047&amp;end_month=12&amp;end_day=31&amp;end_year=2016","Correlation")</f>
        <v>Correlation</v>
      </c>
    </row>
    <row r="4575" spans="1:13" x14ac:dyDescent="0.2">
      <c r="A4575" s="113"/>
      <c r="B4575" s="58" t="s">
        <v>11589</v>
      </c>
      <c r="C4575" s="58" t="s">
        <v>11475</v>
      </c>
      <c r="D4575" s="58" t="s">
        <v>11590</v>
      </c>
      <c r="E4575" s="60" t="b">
        <v>1</v>
      </c>
      <c r="F4575" s="80" t="s">
        <v>1332</v>
      </c>
      <c r="G4575" s="58" t="s">
        <v>11589</v>
      </c>
      <c r="H4575" s="58" t="s">
        <v>11459</v>
      </c>
      <c r="I4575" s="64" t="s">
        <v>11590</v>
      </c>
      <c r="J4575" s="66"/>
      <c r="K4575" s="66"/>
      <c r="L4575" s="68"/>
      <c r="M4575" s="63" t="str">
        <f>HYPERLINK("http://nsgreg.nga.mil/genc/view?v=869048&amp;end_month=12&amp;end_day=31&amp;end_year=2016","Correlation")</f>
        <v>Correlation</v>
      </c>
    </row>
    <row r="4576" spans="1:13" x14ac:dyDescent="0.2">
      <c r="A4576" s="113"/>
      <c r="B4576" s="58" t="s">
        <v>11591</v>
      </c>
      <c r="C4576" s="58" t="s">
        <v>11456</v>
      </c>
      <c r="D4576" s="58" t="s">
        <v>11592</v>
      </c>
      <c r="E4576" s="60" t="b">
        <v>1</v>
      </c>
      <c r="F4576" s="80" t="s">
        <v>1332</v>
      </c>
      <c r="G4576" s="58" t="s">
        <v>11591</v>
      </c>
      <c r="H4576" s="58" t="s">
        <v>11456</v>
      </c>
      <c r="I4576" s="64" t="s">
        <v>11592</v>
      </c>
      <c r="J4576" s="66"/>
      <c r="K4576" s="66"/>
      <c r="L4576" s="68"/>
      <c r="M4576" s="63" t="str">
        <f>HYPERLINK("http://nsgreg.nga.mil/genc/view?v=869050&amp;end_month=12&amp;end_day=31&amp;end_year=2016","Correlation")</f>
        <v>Correlation</v>
      </c>
    </row>
    <row r="4577" spans="1:13" x14ac:dyDescent="0.2">
      <c r="A4577" s="113"/>
      <c r="B4577" s="58" t="s">
        <v>11593</v>
      </c>
      <c r="C4577" s="58" t="s">
        <v>11436</v>
      </c>
      <c r="D4577" s="58" t="s">
        <v>11594</v>
      </c>
      <c r="E4577" s="60" t="b">
        <v>1</v>
      </c>
      <c r="F4577" s="80" t="s">
        <v>1332</v>
      </c>
      <c r="G4577" s="58" t="s">
        <v>11593</v>
      </c>
      <c r="H4577" s="58" t="s">
        <v>11436</v>
      </c>
      <c r="I4577" s="64" t="s">
        <v>11594</v>
      </c>
      <c r="J4577" s="66"/>
      <c r="K4577" s="66"/>
      <c r="L4577" s="68"/>
      <c r="M4577" s="63" t="str">
        <f>HYPERLINK("http://nsgreg.nga.mil/genc/view?v=869051&amp;end_month=12&amp;end_day=31&amp;end_year=2016","Correlation")</f>
        <v>Correlation</v>
      </c>
    </row>
    <row r="4578" spans="1:13" x14ac:dyDescent="0.2">
      <c r="A4578" s="113"/>
      <c r="B4578" s="58" t="s">
        <v>11595</v>
      </c>
      <c r="C4578" s="58" t="s">
        <v>11496</v>
      </c>
      <c r="D4578" s="58" t="s">
        <v>11596</v>
      </c>
      <c r="E4578" s="60" t="b">
        <v>1</v>
      </c>
      <c r="F4578" s="80" t="s">
        <v>1332</v>
      </c>
      <c r="G4578" s="58" t="s">
        <v>11595</v>
      </c>
      <c r="H4578" s="58" t="s">
        <v>1483</v>
      </c>
      <c r="I4578" s="64" t="s">
        <v>11596</v>
      </c>
      <c r="J4578" s="66"/>
      <c r="K4578" s="66"/>
      <c r="L4578" s="68"/>
      <c r="M4578" s="63" t="str">
        <f>HYPERLINK("http://nsgreg.nga.mil/genc/view?v=869052&amp;end_month=12&amp;end_day=31&amp;end_year=2016","Correlation")</f>
        <v>Correlation</v>
      </c>
    </row>
    <row r="4579" spans="1:13" x14ac:dyDescent="0.2">
      <c r="A4579" s="113"/>
      <c r="B4579" s="58" t="s">
        <v>11597</v>
      </c>
      <c r="C4579" s="58" t="s">
        <v>11451</v>
      </c>
      <c r="D4579" s="58" t="s">
        <v>11598</v>
      </c>
      <c r="E4579" s="60" t="b">
        <v>1</v>
      </c>
      <c r="F4579" s="80" t="s">
        <v>1332</v>
      </c>
      <c r="G4579" s="58" t="s">
        <v>11597</v>
      </c>
      <c r="H4579" s="58" t="s">
        <v>11451</v>
      </c>
      <c r="I4579" s="64" t="s">
        <v>11598</v>
      </c>
      <c r="J4579" s="66"/>
      <c r="K4579" s="66"/>
      <c r="L4579" s="68"/>
      <c r="M4579" s="63" t="str">
        <f>HYPERLINK("http://nsgreg.nga.mil/genc/view?v=869053&amp;end_month=12&amp;end_day=31&amp;end_year=2016","Correlation")</f>
        <v>Correlation</v>
      </c>
    </row>
    <row r="4580" spans="1:13" x14ac:dyDescent="0.2">
      <c r="A4580" s="113"/>
      <c r="B4580" s="58" t="s">
        <v>11599</v>
      </c>
      <c r="C4580" s="58" t="s">
        <v>11475</v>
      </c>
      <c r="D4580" s="58" t="s">
        <v>11600</v>
      </c>
      <c r="E4580" s="60" t="b">
        <v>1</v>
      </c>
      <c r="F4580" s="80" t="s">
        <v>1332</v>
      </c>
      <c r="G4580" s="58" t="s">
        <v>11599</v>
      </c>
      <c r="H4580" s="58" t="s">
        <v>11459</v>
      </c>
      <c r="I4580" s="64" t="s">
        <v>11600</v>
      </c>
      <c r="J4580" s="66"/>
      <c r="K4580" s="66"/>
      <c r="L4580" s="68"/>
      <c r="M4580" s="63" t="str">
        <f>HYPERLINK("http://nsgreg.nga.mil/genc/view?v=869054&amp;end_month=12&amp;end_day=31&amp;end_year=2016","Correlation")</f>
        <v>Correlation</v>
      </c>
    </row>
    <row r="4581" spans="1:13" x14ac:dyDescent="0.2">
      <c r="A4581" s="113"/>
      <c r="B4581" s="58" t="s">
        <v>11601</v>
      </c>
      <c r="C4581" s="58" t="s">
        <v>11451</v>
      </c>
      <c r="D4581" s="58" t="s">
        <v>11602</v>
      </c>
      <c r="E4581" s="60" t="b">
        <v>1</v>
      </c>
      <c r="F4581" s="80" t="s">
        <v>1332</v>
      </c>
      <c r="G4581" s="58" t="s">
        <v>11601</v>
      </c>
      <c r="H4581" s="58" t="s">
        <v>11451</v>
      </c>
      <c r="I4581" s="64" t="s">
        <v>11602</v>
      </c>
      <c r="J4581" s="66"/>
      <c r="K4581" s="66"/>
      <c r="L4581" s="68"/>
      <c r="M4581" s="63" t="str">
        <f>HYPERLINK("http://nsgreg.nga.mil/genc/view?v=869058&amp;end_month=12&amp;end_day=31&amp;end_year=2016","Correlation")</f>
        <v>Correlation</v>
      </c>
    </row>
    <row r="4582" spans="1:13" x14ac:dyDescent="0.2">
      <c r="A4582" s="113"/>
      <c r="B4582" s="58" t="s">
        <v>11603</v>
      </c>
      <c r="C4582" s="58" t="s">
        <v>11459</v>
      </c>
      <c r="D4582" s="58" t="s">
        <v>11604</v>
      </c>
      <c r="E4582" s="60" t="b">
        <v>1</v>
      </c>
      <c r="F4582" s="80" t="s">
        <v>1332</v>
      </c>
      <c r="G4582" s="58" t="s">
        <v>11603</v>
      </c>
      <c r="H4582" s="58" t="s">
        <v>11459</v>
      </c>
      <c r="I4582" s="64" t="s">
        <v>11604</v>
      </c>
      <c r="J4582" s="66"/>
      <c r="K4582" s="66"/>
      <c r="L4582" s="68"/>
      <c r="M4582" s="63" t="str">
        <f>HYPERLINK("http://nsgreg.nga.mil/genc/view?v=869055&amp;end_month=12&amp;end_day=31&amp;end_year=2016","Correlation")</f>
        <v>Correlation</v>
      </c>
    </row>
    <row r="4583" spans="1:13" x14ac:dyDescent="0.2">
      <c r="A4583" s="113"/>
      <c r="B4583" s="58" t="s">
        <v>11605</v>
      </c>
      <c r="C4583" s="58" t="s">
        <v>11451</v>
      </c>
      <c r="D4583" s="58" t="s">
        <v>11606</v>
      </c>
      <c r="E4583" s="60" t="b">
        <v>1</v>
      </c>
      <c r="F4583" s="80" t="s">
        <v>1332</v>
      </c>
      <c r="G4583" s="58" t="s">
        <v>11605</v>
      </c>
      <c r="H4583" s="58" t="s">
        <v>11451</v>
      </c>
      <c r="I4583" s="64" t="s">
        <v>11606</v>
      </c>
      <c r="J4583" s="66"/>
      <c r="K4583" s="66"/>
      <c r="L4583" s="68"/>
      <c r="M4583" s="63" t="str">
        <f>HYPERLINK("http://nsgreg.nga.mil/genc/view?v=869062&amp;end_month=12&amp;end_day=31&amp;end_year=2016","Correlation")</f>
        <v>Correlation</v>
      </c>
    </row>
    <row r="4584" spans="1:13" x14ac:dyDescent="0.2">
      <c r="A4584" s="113"/>
      <c r="B4584" s="58" t="s">
        <v>11607</v>
      </c>
      <c r="C4584" s="58" t="s">
        <v>11496</v>
      </c>
      <c r="D4584" s="58" t="s">
        <v>11608</v>
      </c>
      <c r="E4584" s="60" t="b">
        <v>1</v>
      </c>
      <c r="F4584" s="80" t="s">
        <v>1332</v>
      </c>
      <c r="G4584" s="58" t="s">
        <v>11607</v>
      </c>
      <c r="H4584" s="58" t="s">
        <v>1483</v>
      </c>
      <c r="I4584" s="64" t="s">
        <v>11608</v>
      </c>
      <c r="J4584" s="66"/>
      <c r="K4584" s="66"/>
      <c r="L4584" s="68"/>
      <c r="M4584" s="63" t="str">
        <f>HYPERLINK("http://nsgreg.nga.mil/genc/view?v=869056&amp;end_month=12&amp;end_day=31&amp;end_year=2016","Correlation")</f>
        <v>Correlation</v>
      </c>
    </row>
    <row r="4585" spans="1:13" x14ac:dyDescent="0.2">
      <c r="A4585" s="113"/>
      <c r="B4585" s="58" t="s">
        <v>11609</v>
      </c>
      <c r="C4585" s="58" t="s">
        <v>11451</v>
      </c>
      <c r="D4585" s="58" t="s">
        <v>11610</v>
      </c>
      <c r="E4585" s="60" t="b">
        <v>1</v>
      </c>
      <c r="F4585" s="80" t="s">
        <v>1332</v>
      </c>
      <c r="G4585" s="58" t="s">
        <v>11609</v>
      </c>
      <c r="H4585" s="58" t="s">
        <v>11451</v>
      </c>
      <c r="I4585" s="64" t="s">
        <v>11610</v>
      </c>
      <c r="J4585" s="66"/>
      <c r="K4585" s="66"/>
      <c r="L4585" s="68"/>
      <c r="M4585" s="63" t="str">
        <f>HYPERLINK("http://nsgreg.nga.mil/genc/view?v=869067&amp;end_month=12&amp;end_day=31&amp;end_year=2016","Correlation")</f>
        <v>Correlation</v>
      </c>
    </row>
    <row r="4586" spans="1:13" x14ac:dyDescent="0.2">
      <c r="A4586" s="113"/>
      <c r="B4586" s="58" t="s">
        <v>11611</v>
      </c>
      <c r="C4586" s="58" t="s">
        <v>11451</v>
      </c>
      <c r="D4586" s="58" t="s">
        <v>11612</v>
      </c>
      <c r="E4586" s="60" t="b">
        <v>1</v>
      </c>
      <c r="F4586" s="80" t="s">
        <v>1332</v>
      </c>
      <c r="G4586" s="58" t="s">
        <v>11611</v>
      </c>
      <c r="H4586" s="58" t="s">
        <v>11451</v>
      </c>
      <c r="I4586" s="64" t="s">
        <v>11612</v>
      </c>
      <c r="J4586" s="66"/>
      <c r="K4586" s="66"/>
      <c r="L4586" s="68"/>
      <c r="M4586" s="63" t="str">
        <f>HYPERLINK("http://nsgreg.nga.mil/genc/view?v=869066&amp;end_month=12&amp;end_day=31&amp;end_year=2016","Correlation")</f>
        <v>Correlation</v>
      </c>
    </row>
    <row r="4587" spans="1:13" x14ac:dyDescent="0.2">
      <c r="A4587" s="113"/>
      <c r="B4587" s="58" t="s">
        <v>11613</v>
      </c>
      <c r="C4587" s="58" t="s">
        <v>11459</v>
      </c>
      <c r="D4587" s="58" t="s">
        <v>11614</v>
      </c>
      <c r="E4587" s="60" t="b">
        <v>1</v>
      </c>
      <c r="F4587" s="80" t="s">
        <v>1332</v>
      </c>
      <c r="G4587" s="58" t="s">
        <v>11613</v>
      </c>
      <c r="H4587" s="58" t="s">
        <v>11459</v>
      </c>
      <c r="I4587" s="64" t="s">
        <v>11614</v>
      </c>
      <c r="J4587" s="66"/>
      <c r="K4587" s="66"/>
      <c r="L4587" s="68"/>
      <c r="M4587" s="63" t="str">
        <f>HYPERLINK("http://nsgreg.nga.mil/genc/view?v=869064&amp;end_month=12&amp;end_day=31&amp;end_year=2016","Correlation")</f>
        <v>Correlation</v>
      </c>
    </row>
    <row r="4588" spans="1:13" x14ac:dyDescent="0.2">
      <c r="A4588" s="113"/>
      <c r="B4588" s="58" t="s">
        <v>11615</v>
      </c>
      <c r="C4588" s="58" t="s">
        <v>11451</v>
      </c>
      <c r="D4588" s="58" t="s">
        <v>11616</v>
      </c>
      <c r="E4588" s="60" t="b">
        <v>1</v>
      </c>
      <c r="F4588" s="80" t="s">
        <v>1332</v>
      </c>
      <c r="G4588" s="58" t="s">
        <v>11615</v>
      </c>
      <c r="H4588" s="58" t="s">
        <v>11451</v>
      </c>
      <c r="I4588" s="64" t="s">
        <v>11616</v>
      </c>
      <c r="J4588" s="66"/>
      <c r="K4588" s="66"/>
      <c r="L4588" s="68"/>
      <c r="M4588" s="63" t="str">
        <f>HYPERLINK("http://nsgreg.nga.mil/genc/view?v=869057&amp;end_month=12&amp;end_day=31&amp;end_year=2016","Correlation")</f>
        <v>Correlation</v>
      </c>
    </row>
    <row r="4589" spans="1:13" x14ac:dyDescent="0.2">
      <c r="A4589" s="113"/>
      <c r="B4589" s="58" t="s">
        <v>11617</v>
      </c>
      <c r="C4589" s="58" t="s">
        <v>11459</v>
      </c>
      <c r="D4589" s="58" t="s">
        <v>11618</v>
      </c>
      <c r="E4589" s="60" t="b">
        <v>1</v>
      </c>
      <c r="F4589" s="80" t="s">
        <v>1332</v>
      </c>
      <c r="G4589" s="58" t="s">
        <v>11617</v>
      </c>
      <c r="H4589" s="58" t="s">
        <v>11459</v>
      </c>
      <c r="I4589" s="64" t="s">
        <v>11618</v>
      </c>
      <c r="J4589" s="66"/>
      <c r="K4589" s="66"/>
      <c r="L4589" s="68"/>
      <c r="M4589" s="63" t="str">
        <f>HYPERLINK("http://nsgreg.nga.mil/genc/view?v=869059&amp;end_month=12&amp;end_day=31&amp;end_year=2016","Correlation")</f>
        <v>Correlation</v>
      </c>
    </row>
    <row r="4590" spans="1:13" x14ac:dyDescent="0.2">
      <c r="A4590" s="113"/>
      <c r="B4590" s="58" t="s">
        <v>11619</v>
      </c>
      <c r="C4590" s="58" t="s">
        <v>11496</v>
      </c>
      <c r="D4590" s="58" t="s">
        <v>11620</v>
      </c>
      <c r="E4590" s="60" t="b">
        <v>1</v>
      </c>
      <c r="F4590" s="80" t="s">
        <v>1332</v>
      </c>
      <c r="G4590" s="58" t="s">
        <v>11619</v>
      </c>
      <c r="H4590" s="58" t="s">
        <v>1483</v>
      </c>
      <c r="I4590" s="64" t="s">
        <v>11620</v>
      </c>
      <c r="J4590" s="66"/>
      <c r="K4590" s="66"/>
      <c r="L4590" s="68"/>
      <c r="M4590" s="63" t="str">
        <f>HYPERLINK("http://nsgreg.nga.mil/genc/view?v=869065&amp;end_month=12&amp;end_day=31&amp;end_year=2016","Correlation")</f>
        <v>Correlation</v>
      </c>
    </row>
    <row r="4591" spans="1:13" x14ac:dyDescent="0.2">
      <c r="A4591" s="113"/>
      <c r="B4591" s="58" t="s">
        <v>11621</v>
      </c>
      <c r="C4591" s="58" t="s">
        <v>11436</v>
      </c>
      <c r="D4591" s="58" t="s">
        <v>11622</v>
      </c>
      <c r="E4591" s="60" t="b">
        <v>1</v>
      </c>
      <c r="F4591" s="80" t="s">
        <v>1332</v>
      </c>
      <c r="G4591" s="58" t="s">
        <v>11621</v>
      </c>
      <c r="H4591" s="58" t="s">
        <v>11436</v>
      </c>
      <c r="I4591" s="64" t="s">
        <v>11622</v>
      </c>
      <c r="J4591" s="66"/>
      <c r="K4591" s="66"/>
      <c r="L4591" s="68"/>
      <c r="M4591" s="63" t="str">
        <f>HYPERLINK("http://nsgreg.nga.mil/genc/view?v=869061&amp;end_month=12&amp;end_day=31&amp;end_year=2016","Correlation")</f>
        <v>Correlation</v>
      </c>
    </row>
    <row r="4592" spans="1:13" x14ac:dyDescent="0.2">
      <c r="A4592" s="113"/>
      <c r="B4592" s="58" t="s">
        <v>11623</v>
      </c>
      <c r="C4592" s="58" t="s">
        <v>11451</v>
      </c>
      <c r="D4592" s="58" t="s">
        <v>11624</v>
      </c>
      <c r="E4592" s="60" t="b">
        <v>1</v>
      </c>
      <c r="F4592" s="80" t="s">
        <v>1332</v>
      </c>
      <c r="G4592" s="58" t="s">
        <v>11623</v>
      </c>
      <c r="H4592" s="58" t="s">
        <v>11451</v>
      </c>
      <c r="I4592" s="64" t="s">
        <v>11624</v>
      </c>
      <c r="J4592" s="66"/>
      <c r="K4592" s="66"/>
      <c r="L4592" s="68"/>
      <c r="M4592" s="63" t="str">
        <f>HYPERLINK("http://nsgreg.nga.mil/genc/view?v=869060&amp;end_month=12&amp;end_day=31&amp;end_year=2016","Correlation")</f>
        <v>Correlation</v>
      </c>
    </row>
    <row r="4593" spans="1:13" x14ac:dyDescent="0.2">
      <c r="A4593" s="113"/>
      <c r="B4593" s="58" t="s">
        <v>11625</v>
      </c>
      <c r="C4593" s="58" t="s">
        <v>11451</v>
      </c>
      <c r="D4593" s="58" t="s">
        <v>11626</v>
      </c>
      <c r="E4593" s="60" t="b">
        <v>1</v>
      </c>
      <c r="F4593" s="80" t="s">
        <v>1332</v>
      </c>
      <c r="G4593" s="58" t="s">
        <v>11625</v>
      </c>
      <c r="H4593" s="58" t="s">
        <v>11451</v>
      </c>
      <c r="I4593" s="64" t="s">
        <v>11626</v>
      </c>
      <c r="J4593" s="66"/>
      <c r="K4593" s="66"/>
      <c r="L4593" s="68"/>
      <c r="M4593" s="63" t="str">
        <f>HYPERLINK("http://nsgreg.nga.mil/genc/view?v=869063&amp;end_month=12&amp;end_day=31&amp;end_year=2016","Correlation")</f>
        <v>Correlation</v>
      </c>
    </row>
    <row r="4594" spans="1:13" x14ac:dyDescent="0.2">
      <c r="A4594" s="113"/>
      <c r="B4594" s="58" t="s">
        <v>11627</v>
      </c>
      <c r="C4594" s="58" t="s">
        <v>11436</v>
      </c>
      <c r="D4594" s="58" t="s">
        <v>11628</v>
      </c>
      <c r="E4594" s="60" t="b">
        <v>1</v>
      </c>
      <c r="F4594" s="80" t="s">
        <v>1332</v>
      </c>
      <c r="G4594" s="58" t="s">
        <v>11627</v>
      </c>
      <c r="H4594" s="58" t="s">
        <v>11436</v>
      </c>
      <c r="I4594" s="64" t="s">
        <v>11628</v>
      </c>
      <c r="J4594" s="66"/>
      <c r="K4594" s="66"/>
      <c r="L4594" s="68"/>
      <c r="M4594" s="63" t="str">
        <f>HYPERLINK("http://nsgreg.nga.mil/genc/view?v=869071&amp;end_month=12&amp;end_day=31&amp;end_year=2016","Correlation")</f>
        <v>Correlation</v>
      </c>
    </row>
    <row r="4595" spans="1:13" x14ac:dyDescent="0.2">
      <c r="A4595" s="113"/>
      <c r="B4595" s="58" t="s">
        <v>11629</v>
      </c>
      <c r="C4595" s="58" t="s">
        <v>11475</v>
      </c>
      <c r="D4595" s="58" t="s">
        <v>11630</v>
      </c>
      <c r="E4595" s="60" t="b">
        <v>1</v>
      </c>
      <c r="F4595" s="80" t="s">
        <v>1332</v>
      </c>
      <c r="G4595" s="58" t="s">
        <v>11629</v>
      </c>
      <c r="H4595" s="58" t="s">
        <v>11459</v>
      </c>
      <c r="I4595" s="64" t="s">
        <v>11630</v>
      </c>
      <c r="J4595" s="66"/>
      <c r="K4595" s="66"/>
      <c r="L4595" s="68"/>
      <c r="M4595" s="63" t="str">
        <f>HYPERLINK("http://nsgreg.nga.mil/genc/view?v=868979&amp;end_month=12&amp;end_day=31&amp;end_year=2016","Correlation")</f>
        <v>Correlation</v>
      </c>
    </row>
    <row r="4596" spans="1:13" x14ac:dyDescent="0.2">
      <c r="A4596" s="113"/>
      <c r="B4596" s="58" t="s">
        <v>11631</v>
      </c>
      <c r="C4596" s="58" t="s">
        <v>11459</v>
      </c>
      <c r="D4596" s="58" t="s">
        <v>11632</v>
      </c>
      <c r="E4596" s="60" t="b">
        <v>1</v>
      </c>
      <c r="F4596" s="80" t="s">
        <v>1332</v>
      </c>
      <c r="G4596" s="58" t="s">
        <v>11631</v>
      </c>
      <c r="H4596" s="58" t="s">
        <v>11459</v>
      </c>
      <c r="I4596" s="64" t="s">
        <v>11632</v>
      </c>
      <c r="J4596" s="66"/>
      <c r="K4596" s="66"/>
      <c r="L4596" s="68"/>
      <c r="M4596" s="63" t="str">
        <f>HYPERLINK("http://nsgreg.nga.mil/genc/view?v=869069&amp;end_month=12&amp;end_day=31&amp;end_year=2016","Correlation")</f>
        <v>Correlation</v>
      </c>
    </row>
    <row r="4597" spans="1:13" x14ac:dyDescent="0.2">
      <c r="A4597" s="113"/>
      <c r="B4597" s="58" t="s">
        <v>11633</v>
      </c>
      <c r="C4597" s="58" t="s">
        <v>11459</v>
      </c>
      <c r="D4597" s="58" t="s">
        <v>11634</v>
      </c>
      <c r="E4597" s="60" t="b">
        <v>1</v>
      </c>
      <c r="F4597" s="80" t="s">
        <v>1332</v>
      </c>
      <c r="G4597" s="58" t="s">
        <v>11633</v>
      </c>
      <c r="H4597" s="58" t="s">
        <v>11459</v>
      </c>
      <c r="I4597" s="64" t="s">
        <v>11634</v>
      </c>
      <c r="J4597" s="66"/>
      <c r="K4597" s="66"/>
      <c r="L4597" s="68"/>
      <c r="M4597" s="63" t="str">
        <f>HYPERLINK("http://nsgreg.nga.mil/genc/view?v=869068&amp;end_month=12&amp;end_day=31&amp;end_year=2016","Correlation")</f>
        <v>Correlation</v>
      </c>
    </row>
    <row r="4598" spans="1:13" x14ac:dyDescent="0.2">
      <c r="A4598" s="113"/>
      <c r="B4598" s="58" t="s">
        <v>11635</v>
      </c>
      <c r="C4598" s="58" t="s">
        <v>11451</v>
      </c>
      <c r="D4598" s="58" t="s">
        <v>11636</v>
      </c>
      <c r="E4598" s="60" t="b">
        <v>1</v>
      </c>
      <c r="F4598" s="80" t="s">
        <v>1332</v>
      </c>
      <c r="G4598" s="58" t="s">
        <v>11635</v>
      </c>
      <c r="H4598" s="58" t="s">
        <v>11451</v>
      </c>
      <c r="I4598" s="64" t="s">
        <v>11636</v>
      </c>
      <c r="J4598" s="66"/>
      <c r="K4598" s="66"/>
      <c r="L4598" s="68"/>
      <c r="M4598" s="63" t="str">
        <f>HYPERLINK("http://nsgreg.nga.mil/genc/view?v=869070&amp;end_month=12&amp;end_day=31&amp;end_year=2016","Correlation")</f>
        <v>Correlation</v>
      </c>
    </row>
    <row r="4599" spans="1:13" x14ac:dyDescent="0.2">
      <c r="A4599" s="113"/>
      <c r="B4599" s="58" t="s">
        <v>11637</v>
      </c>
      <c r="C4599" s="58" t="s">
        <v>11451</v>
      </c>
      <c r="D4599" s="58" t="s">
        <v>11638</v>
      </c>
      <c r="E4599" s="60" t="b">
        <v>1</v>
      </c>
      <c r="F4599" s="80" t="s">
        <v>1332</v>
      </c>
      <c r="G4599" s="58" t="s">
        <v>11637</v>
      </c>
      <c r="H4599" s="58" t="s">
        <v>11451</v>
      </c>
      <c r="I4599" s="64" t="s">
        <v>11638</v>
      </c>
      <c r="J4599" s="66"/>
      <c r="K4599" s="66"/>
      <c r="L4599" s="68"/>
      <c r="M4599" s="63" t="str">
        <f>HYPERLINK("http://nsgreg.nga.mil/genc/view?v=869072&amp;end_month=12&amp;end_day=31&amp;end_year=2016","Correlation")</f>
        <v>Correlation</v>
      </c>
    </row>
    <row r="4600" spans="1:13" x14ac:dyDescent="0.2">
      <c r="A4600" s="113"/>
      <c r="B4600" s="58" t="s">
        <v>11639</v>
      </c>
      <c r="C4600" s="58" t="s">
        <v>11496</v>
      </c>
      <c r="D4600" s="58" t="s">
        <v>11640</v>
      </c>
      <c r="E4600" s="60" t="b">
        <v>1</v>
      </c>
      <c r="F4600" s="80" t="s">
        <v>1332</v>
      </c>
      <c r="G4600" s="58" t="s">
        <v>11639</v>
      </c>
      <c r="H4600" s="58" t="s">
        <v>1483</v>
      </c>
      <c r="I4600" s="64" t="s">
        <v>11640</v>
      </c>
      <c r="J4600" s="66"/>
      <c r="K4600" s="66"/>
      <c r="L4600" s="68"/>
      <c r="M4600" s="63" t="str">
        <f>HYPERLINK("http://nsgreg.nga.mil/genc/view?v=869073&amp;end_month=12&amp;end_day=31&amp;end_year=2016","Correlation")</f>
        <v>Correlation</v>
      </c>
    </row>
    <row r="4601" spans="1:13" x14ac:dyDescent="0.2">
      <c r="A4601" s="113"/>
      <c r="B4601" s="58" t="s">
        <v>11643</v>
      </c>
      <c r="C4601" s="58" t="s">
        <v>11459</v>
      </c>
      <c r="D4601" s="58" t="s">
        <v>11642</v>
      </c>
      <c r="E4601" s="60" t="b">
        <v>1</v>
      </c>
      <c r="F4601" s="80" t="s">
        <v>1332</v>
      </c>
      <c r="G4601" s="58" t="s">
        <v>11641</v>
      </c>
      <c r="H4601" s="58" t="s">
        <v>11459</v>
      </c>
      <c r="I4601" s="64" t="s">
        <v>11642</v>
      </c>
      <c r="J4601" s="66"/>
      <c r="K4601" s="66"/>
      <c r="L4601" s="68"/>
      <c r="M4601" s="63" t="str">
        <f>HYPERLINK("http://nsgreg.nga.mil/genc/view?v=869074&amp;end_month=12&amp;end_day=31&amp;end_year=2016","Correlation")</f>
        <v>Correlation</v>
      </c>
    </row>
    <row r="4602" spans="1:13" x14ac:dyDescent="0.2">
      <c r="A4602" s="113"/>
      <c r="B4602" s="58" t="s">
        <v>11644</v>
      </c>
      <c r="C4602" s="58" t="s">
        <v>11451</v>
      </c>
      <c r="D4602" s="58" t="s">
        <v>11645</v>
      </c>
      <c r="E4602" s="60" t="b">
        <v>1</v>
      </c>
      <c r="F4602" s="80" t="s">
        <v>1332</v>
      </c>
      <c r="G4602" s="58" t="s">
        <v>11644</v>
      </c>
      <c r="H4602" s="58" t="s">
        <v>11451</v>
      </c>
      <c r="I4602" s="64" t="s">
        <v>11645</v>
      </c>
      <c r="J4602" s="66"/>
      <c r="K4602" s="66"/>
      <c r="L4602" s="68"/>
      <c r="M4602" s="63" t="str">
        <f>HYPERLINK("http://nsgreg.nga.mil/genc/view?v=869076&amp;end_month=12&amp;end_day=31&amp;end_year=2016","Correlation")</f>
        <v>Correlation</v>
      </c>
    </row>
    <row r="4603" spans="1:13" x14ac:dyDescent="0.2">
      <c r="A4603" s="113"/>
      <c r="B4603" s="58" t="s">
        <v>11646</v>
      </c>
      <c r="C4603" s="58" t="s">
        <v>11456</v>
      </c>
      <c r="D4603" s="58" t="s">
        <v>11647</v>
      </c>
      <c r="E4603" s="60" t="b">
        <v>1</v>
      </c>
      <c r="F4603" s="80" t="s">
        <v>1332</v>
      </c>
      <c r="G4603" s="58" t="s">
        <v>11646</v>
      </c>
      <c r="H4603" s="58" t="s">
        <v>11456</v>
      </c>
      <c r="I4603" s="64" t="s">
        <v>11647</v>
      </c>
      <c r="J4603" s="66"/>
      <c r="K4603" s="66"/>
      <c r="L4603" s="68"/>
      <c r="M4603" s="63" t="str">
        <f>HYPERLINK("http://nsgreg.nga.mil/genc/view?v=869075&amp;end_month=12&amp;end_day=31&amp;end_year=2016","Correlation")</f>
        <v>Correlation</v>
      </c>
    </row>
    <row r="4604" spans="1:13" x14ac:dyDescent="0.2">
      <c r="A4604" s="113"/>
      <c r="B4604" s="58" t="s">
        <v>11648</v>
      </c>
      <c r="C4604" s="58" t="s">
        <v>11456</v>
      </c>
      <c r="D4604" s="58" t="s">
        <v>11649</v>
      </c>
      <c r="E4604" s="60" t="b">
        <v>1</v>
      </c>
      <c r="F4604" s="80" t="s">
        <v>1332</v>
      </c>
      <c r="G4604" s="58" t="s">
        <v>11648</v>
      </c>
      <c r="H4604" s="58" t="s">
        <v>11456</v>
      </c>
      <c r="I4604" s="64" t="s">
        <v>11649</v>
      </c>
      <c r="J4604" s="66"/>
      <c r="K4604" s="66"/>
      <c r="L4604" s="68"/>
      <c r="M4604" s="63" t="str">
        <f>HYPERLINK("http://nsgreg.nga.mil/genc/view?v=869077&amp;end_month=12&amp;end_day=31&amp;end_year=2016","Correlation")</f>
        <v>Correlation</v>
      </c>
    </row>
    <row r="4605" spans="1:13" x14ac:dyDescent="0.2">
      <c r="A4605" s="113"/>
      <c r="B4605" s="58" t="s">
        <v>11650</v>
      </c>
      <c r="C4605" s="58" t="s">
        <v>11451</v>
      </c>
      <c r="D4605" s="58" t="s">
        <v>11651</v>
      </c>
      <c r="E4605" s="60" t="b">
        <v>1</v>
      </c>
      <c r="F4605" s="80" t="s">
        <v>1332</v>
      </c>
      <c r="G4605" s="58" t="s">
        <v>11650</v>
      </c>
      <c r="H4605" s="58" t="s">
        <v>11451</v>
      </c>
      <c r="I4605" s="64" t="s">
        <v>11651</v>
      </c>
      <c r="J4605" s="66"/>
      <c r="K4605" s="66"/>
      <c r="L4605" s="68"/>
      <c r="M4605" s="63" t="str">
        <f>HYPERLINK("http://nsgreg.nga.mil/genc/view?v=869080&amp;end_month=12&amp;end_day=31&amp;end_year=2016","Correlation")</f>
        <v>Correlation</v>
      </c>
    </row>
    <row r="4606" spans="1:13" x14ac:dyDescent="0.2">
      <c r="A4606" s="113"/>
      <c r="B4606" s="58" t="s">
        <v>11652</v>
      </c>
      <c r="C4606" s="58" t="s">
        <v>11496</v>
      </c>
      <c r="D4606" s="58" t="s">
        <v>11653</v>
      </c>
      <c r="E4606" s="60" t="b">
        <v>1</v>
      </c>
      <c r="F4606" s="80" t="s">
        <v>1332</v>
      </c>
      <c r="G4606" s="58" t="s">
        <v>11652</v>
      </c>
      <c r="H4606" s="58" t="s">
        <v>1483</v>
      </c>
      <c r="I4606" s="64" t="s">
        <v>11653</v>
      </c>
      <c r="J4606" s="66"/>
      <c r="K4606" s="66"/>
      <c r="L4606" s="68"/>
      <c r="M4606" s="63" t="str">
        <f>HYPERLINK("http://nsgreg.nga.mil/genc/view?v=869078&amp;end_month=12&amp;end_day=31&amp;end_year=2016","Correlation")</f>
        <v>Correlation</v>
      </c>
    </row>
    <row r="4607" spans="1:13" x14ac:dyDescent="0.2">
      <c r="A4607" s="113"/>
      <c r="B4607" s="58" t="s">
        <v>11654</v>
      </c>
      <c r="C4607" s="58" t="s">
        <v>11456</v>
      </c>
      <c r="D4607" s="58" t="s">
        <v>11655</v>
      </c>
      <c r="E4607" s="60" t="b">
        <v>1</v>
      </c>
      <c r="F4607" s="80" t="s">
        <v>1332</v>
      </c>
      <c r="G4607" s="58" t="s">
        <v>11654</v>
      </c>
      <c r="H4607" s="58" t="s">
        <v>11456</v>
      </c>
      <c r="I4607" s="64" t="s">
        <v>11655</v>
      </c>
      <c r="J4607" s="66"/>
      <c r="K4607" s="66"/>
      <c r="L4607" s="68"/>
      <c r="M4607" s="63" t="str">
        <f>HYPERLINK("http://nsgreg.nga.mil/genc/view?v=869082&amp;end_month=12&amp;end_day=31&amp;end_year=2016","Correlation")</f>
        <v>Correlation</v>
      </c>
    </row>
    <row r="4608" spans="1:13" x14ac:dyDescent="0.2">
      <c r="A4608" s="113"/>
      <c r="B4608" s="58" t="s">
        <v>11656</v>
      </c>
      <c r="C4608" s="58" t="s">
        <v>11459</v>
      </c>
      <c r="D4608" s="58" t="s">
        <v>11657</v>
      </c>
      <c r="E4608" s="60" t="b">
        <v>1</v>
      </c>
      <c r="F4608" s="80" t="s">
        <v>1332</v>
      </c>
      <c r="G4608" s="58" t="s">
        <v>11656</v>
      </c>
      <c r="H4608" s="58" t="s">
        <v>11459</v>
      </c>
      <c r="I4608" s="64" t="s">
        <v>11657</v>
      </c>
      <c r="J4608" s="66"/>
      <c r="K4608" s="66"/>
      <c r="L4608" s="68"/>
      <c r="M4608" s="63" t="str">
        <f>HYPERLINK("http://nsgreg.nga.mil/genc/view?v=869081&amp;end_month=12&amp;end_day=31&amp;end_year=2016","Correlation")</f>
        <v>Correlation</v>
      </c>
    </row>
    <row r="4609" spans="1:13" x14ac:dyDescent="0.2">
      <c r="A4609" s="113"/>
      <c r="B4609" s="58" t="s">
        <v>11658</v>
      </c>
      <c r="C4609" s="58" t="s">
        <v>11496</v>
      </c>
      <c r="D4609" s="58" t="s">
        <v>11659</v>
      </c>
      <c r="E4609" s="60" t="b">
        <v>1</v>
      </c>
      <c r="F4609" s="80" t="s">
        <v>1332</v>
      </c>
      <c r="G4609" s="58" t="s">
        <v>11658</v>
      </c>
      <c r="H4609" s="58" t="s">
        <v>1483</v>
      </c>
      <c r="I4609" s="64" t="s">
        <v>11659</v>
      </c>
      <c r="J4609" s="66"/>
      <c r="K4609" s="66"/>
      <c r="L4609" s="68"/>
      <c r="M4609" s="63" t="str">
        <f>HYPERLINK("http://nsgreg.nga.mil/genc/view?v=869083&amp;end_month=12&amp;end_day=31&amp;end_year=2016","Correlation")</f>
        <v>Correlation</v>
      </c>
    </row>
    <row r="4610" spans="1:13" x14ac:dyDescent="0.2">
      <c r="A4610" s="113"/>
      <c r="B4610" s="58" t="s">
        <v>11660</v>
      </c>
      <c r="C4610" s="58" t="s">
        <v>11451</v>
      </c>
      <c r="D4610" s="58" t="s">
        <v>11661</v>
      </c>
      <c r="E4610" s="60" t="b">
        <v>1</v>
      </c>
      <c r="F4610" s="80" t="s">
        <v>1332</v>
      </c>
      <c r="G4610" s="58" t="s">
        <v>11660</v>
      </c>
      <c r="H4610" s="58" t="s">
        <v>11451</v>
      </c>
      <c r="I4610" s="64" t="s">
        <v>11661</v>
      </c>
      <c r="J4610" s="66"/>
      <c r="K4610" s="66"/>
      <c r="L4610" s="68"/>
      <c r="M4610" s="63" t="str">
        <f>HYPERLINK("http://nsgreg.nga.mil/genc/view?v=869084&amp;end_month=12&amp;end_day=31&amp;end_year=2016","Correlation")</f>
        <v>Correlation</v>
      </c>
    </row>
    <row r="4611" spans="1:13" x14ac:dyDescent="0.2">
      <c r="A4611" s="113"/>
      <c r="B4611" s="58" t="s">
        <v>11662</v>
      </c>
      <c r="C4611" s="58" t="s">
        <v>11496</v>
      </c>
      <c r="D4611" s="58" t="s">
        <v>11663</v>
      </c>
      <c r="E4611" s="60" t="b">
        <v>1</v>
      </c>
      <c r="F4611" s="80" t="s">
        <v>1332</v>
      </c>
      <c r="G4611" s="58" t="s">
        <v>11662</v>
      </c>
      <c r="H4611" s="58" t="s">
        <v>1483</v>
      </c>
      <c r="I4611" s="64" t="s">
        <v>11663</v>
      </c>
      <c r="J4611" s="66"/>
      <c r="K4611" s="66"/>
      <c r="L4611" s="68"/>
      <c r="M4611" s="63" t="str">
        <f>HYPERLINK("http://nsgreg.nga.mil/genc/view?v=869085&amp;end_month=12&amp;end_day=31&amp;end_year=2016","Correlation")</f>
        <v>Correlation</v>
      </c>
    </row>
    <row r="4612" spans="1:13" x14ac:dyDescent="0.2">
      <c r="A4612" s="113"/>
      <c r="B4612" s="58" t="s">
        <v>11664</v>
      </c>
      <c r="C4612" s="58" t="s">
        <v>1796</v>
      </c>
      <c r="D4612" s="58" t="s">
        <v>11665</v>
      </c>
      <c r="E4612" s="60" t="b">
        <v>1</v>
      </c>
      <c r="F4612" s="80" t="s">
        <v>1332</v>
      </c>
      <c r="G4612" s="58" t="s">
        <v>11664</v>
      </c>
      <c r="H4612" s="58" t="s">
        <v>1796</v>
      </c>
      <c r="I4612" s="64" t="s">
        <v>11665</v>
      </c>
      <c r="J4612" s="66"/>
      <c r="K4612" s="66"/>
      <c r="L4612" s="68"/>
      <c r="M4612" s="63" t="str">
        <f>HYPERLINK("http://nsgreg.nga.mil/genc/view?v=869079&amp;end_month=12&amp;end_day=31&amp;end_year=2016","Correlation")</f>
        <v>Correlation</v>
      </c>
    </row>
    <row r="4613" spans="1:13" x14ac:dyDescent="0.2">
      <c r="A4613" s="113"/>
      <c r="B4613" s="58" t="s">
        <v>11666</v>
      </c>
      <c r="C4613" s="58" t="s">
        <v>11456</v>
      </c>
      <c r="D4613" s="58" t="s">
        <v>11667</v>
      </c>
      <c r="E4613" s="60" t="b">
        <v>1</v>
      </c>
      <c r="F4613" s="80" t="s">
        <v>1332</v>
      </c>
      <c r="G4613" s="58" t="s">
        <v>11666</v>
      </c>
      <c r="H4613" s="58" t="s">
        <v>11456</v>
      </c>
      <c r="I4613" s="64" t="s">
        <v>11667</v>
      </c>
      <c r="J4613" s="66"/>
      <c r="K4613" s="66"/>
      <c r="L4613" s="68"/>
      <c r="M4613" s="63" t="str">
        <f>HYPERLINK("http://nsgreg.nga.mil/genc/view?v=869086&amp;end_month=12&amp;end_day=31&amp;end_year=2016","Correlation")</f>
        <v>Correlation</v>
      </c>
    </row>
    <row r="4614" spans="1:13" x14ac:dyDescent="0.2">
      <c r="A4614" s="113"/>
      <c r="B4614" s="58" t="s">
        <v>11668</v>
      </c>
      <c r="C4614" s="58" t="s">
        <v>11669</v>
      </c>
      <c r="D4614" s="58" t="s">
        <v>11670</v>
      </c>
      <c r="E4614" s="60" t="b">
        <v>1</v>
      </c>
      <c r="F4614" s="80" t="s">
        <v>1332</v>
      </c>
      <c r="G4614" s="58" t="s">
        <v>11668</v>
      </c>
      <c r="H4614" s="58" t="s">
        <v>11669</v>
      </c>
      <c r="I4614" s="64" t="s">
        <v>11670</v>
      </c>
      <c r="J4614" s="66"/>
      <c r="K4614" s="66"/>
      <c r="L4614" s="68"/>
      <c r="M4614" s="63" t="str">
        <f>HYPERLINK("http://nsgreg.nga.mil/genc/view?v=869087&amp;end_month=12&amp;end_day=31&amp;end_year=2016","Correlation")</f>
        <v>Correlation</v>
      </c>
    </row>
    <row r="4615" spans="1:13" x14ac:dyDescent="0.2">
      <c r="A4615" s="113"/>
      <c r="B4615" s="58" t="s">
        <v>11671</v>
      </c>
      <c r="C4615" s="58" t="s">
        <v>11459</v>
      </c>
      <c r="D4615" s="58" t="s">
        <v>11672</v>
      </c>
      <c r="E4615" s="60" t="b">
        <v>1</v>
      </c>
      <c r="F4615" s="80" t="s">
        <v>1332</v>
      </c>
      <c r="G4615" s="58" t="s">
        <v>11671</v>
      </c>
      <c r="H4615" s="58" t="s">
        <v>11459</v>
      </c>
      <c r="I4615" s="64" t="s">
        <v>11672</v>
      </c>
      <c r="J4615" s="66"/>
      <c r="K4615" s="66"/>
      <c r="L4615" s="68"/>
      <c r="M4615" s="63" t="str">
        <f>HYPERLINK("http://nsgreg.nga.mil/genc/view?v=869088&amp;end_month=12&amp;end_day=31&amp;end_year=2016","Correlation")</f>
        <v>Correlation</v>
      </c>
    </row>
    <row r="4616" spans="1:13" x14ac:dyDescent="0.2">
      <c r="A4616" s="113"/>
      <c r="B4616" s="58" t="s">
        <v>5484</v>
      </c>
      <c r="C4616" s="58" t="s">
        <v>11456</v>
      </c>
      <c r="D4616" s="58" t="s">
        <v>11673</v>
      </c>
      <c r="E4616" s="60" t="b">
        <v>1</v>
      </c>
      <c r="F4616" s="80" t="s">
        <v>1332</v>
      </c>
      <c r="G4616" s="58" t="s">
        <v>5484</v>
      </c>
      <c r="H4616" s="58" t="s">
        <v>11456</v>
      </c>
      <c r="I4616" s="64" t="s">
        <v>11673</v>
      </c>
      <c r="J4616" s="66"/>
      <c r="K4616" s="66"/>
      <c r="L4616" s="68"/>
      <c r="M4616" s="63" t="str">
        <f>HYPERLINK("http://nsgreg.nga.mil/genc/view?v=869089&amp;end_month=12&amp;end_day=31&amp;end_year=2016","Correlation")</f>
        <v>Correlation</v>
      </c>
    </row>
    <row r="4617" spans="1:13" x14ac:dyDescent="0.2">
      <c r="A4617" s="113"/>
      <c r="B4617" s="58" t="s">
        <v>11674</v>
      </c>
      <c r="C4617" s="58" t="s">
        <v>11459</v>
      </c>
      <c r="D4617" s="58" t="s">
        <v>11675</v>
      </c>
      <c r="E4617" s="60" t="b">
        <v>1</v>
      </c>
      <c r="F4617" s="80" t="s">
        <v>1332</v>
      </c>
      <c r="G4617" s="58" t="s">
        <v>11674</v>
      </c>
      <c r="H4617" s="58" t="s">
        <v>11459</v>
      </c>
      <c r="I4617" s="64" t="s">
        <v>11675</v>
      </c>
      <c r="J4617" s="66"/>
      <c r="K4617" s="66"/>
      <c r="L4617" s="68"/>
      <c r="M4617" s="63" t="str">
        <f>HYPERLINK("http://nsgreg.nga.mil/genc/view?v=869091&amp;end_month=12&amp;end_day=31&amp;end_year=2016","Correlation")</f>
        <v>Correlation</v>
      </c>
    </row>
    <row r="4618" spans="1:13" x14ac:dyDescent="0.2">
      <c r="A4618" s="113"/>
      <c r="B4618" s="58" t="s">
        <v>11676</v>
      </c>
      <c r="C4618" s="58" t="s">
        <v>11475</v>
      </c>
      <c r="D4618" s="58" t="s">
        <v>11677</v>
      </c>
      <c r="E4618" s="60" t="b">
        <v>1</v>
      </c>
      <c r="F4618" s="80" t="s">
        <v>1332</v>
      </c>
      <c r="G4618" s="58" t="s">
        <v>11676</v>
      </c>
      <c r="H4618" s="58" t="s">
        <v>11459</v>
      </c>
      <c r="I4618" s="64" t="s">
        <v>11677</v>
      </c>
      <c r="J4618" s="66"/>
      <c r="K4618" s="66"/>
      <c r="L4618" s="68"/>
      <c r="M4618" s="63" t="str">
        <f>HYPERLINK("http://nsgreg.nga.mil/genc/view?v=869098&amp;end_month=12&amp;end_day=31&amp;end_year=2016","Correlation")</f>
        <v>Correlation</v>
      </c>
    </row>
    <row r="4619" spans="1:13" x14ac:dyDescent="0.2">
      <c r="A4619" s="113"/>
      <c r="B4619" s="58" t="s">
        <v>11678</v>
      </c>
      <c r="C4619" s="58" t="s">
        <v>11451</v>
      </c>
      <c r="D4619" s="58" t="s">
        <v>11679</v>
      </c>
      <c r="E4619" s="60" t="b">
        <v>1</v>
      </c>
      <c r="F4619" s="80" t="s">
        <v>1332</v>
      </c>
      <c r="G4619" s="58" t="s">
        <v>11678</v>
      </c>
      <c r="H4619" s="58" t="s">
        <v>11451</v>
      </c>
      <c r="I4619" s="64" t="s">
        <v>11679</v>
      </c>
      <c r="J4619" s="66"/>
      <c r="K4619" s="66"/>
      <c r="L4619" s="68"/>
      <c r="M4619" s="63" t="str">
        <f>HYPERLINK("http://nsgreg.nga.mil/genc/view?v=869096&amp;end_month=12&amp;end_day=31&amp;end_year=2016","Correlation")</f>
        <v>Correlation</v>
      </c>
    </row>
    <row r="4620" spans="1:13" x14ac:dyDescent="0.2">
      <c r="A4620" s="113"/>
      <c r="B4620" s="58" t="s">
        <v>11680</v>
      </c>
      <c r="C4620" s="58" t="s">
        <v>1796</v>
      </c>
      <c r="D4620" s="58" t="s">
        <v>11681</v>
      </c>
      <c r="E4620" s="60" t="b">
        <v>1</v>
      </c>
      <c r="F4620" s="80" t="s">
        <v>1332</v>
      </c>
      <c r="G4620" s="58" t="s">
        <v>11680</v>
      </c>
      <c r="H4620" s="58" t="s">
        <v>1796</v>
      </c>
      <c r="I4620" s="64" t="s">
        <v>11681</v>
      </c>
      <c r="J4620" s="66"/>
      <c r="K4620" s="66"/>
      <c r="L4620" s="68"/>
      <c r="M4620" s="63" t="str">
        <f>HYPERLINK("http://nsgreg.nga.mil/genc/view?v=869092&amp;end_month=12&amp;end_day=31&amp;end_year=2016","Correlation")</f>
        <v>Correlation</v>
      </c>
    </row>
    <row r="4621" spans="1:13" x14ac:dyDescent="0.2">
      <c r="A4621" s="113"/>
      <c r="B4621" s="58" t="s">
        <v>11682</v>
      </c>
      <c r="C4621" s="58" t="s">
        <v>11459</v>
      </c>
      <c r="D4621" s="58" t="s">
        <v>11683</v>
      </c>
      <c r="E4621" s="60" t="b">
        <v>1</v>
      </c>
      <c r="F4621" s="80" t="s">
        <v>1332</v>
      </c>
      <c r="G4621" s="58" t="s">
        <v>11682</v>
      </c>
      <c r="H4621" s="58" t="s">
        <v>11459</v>
      </c>
      <c r="I4621" s="64" t="s">
        <v>11683</v>
      </c>
      <c r="J4621" s="66"/>
      <c r="K4621" s="66"/>
      <c r="L4621" s="68"/>
      <c r="M4621" s="63" t="str">
        <f>HYPERLINK("http://nsgreg.nga.mil/genc/view?v=869090&amp;end_month=12&amp;end_day=31&amp;end_year=2016","Correlation")</f>
        <v>Correlation</v>
      </c>
    </row>
    <row r="4622" spans="1:13" x14ac:dyDescent="0.2">
      <c r="A4622" s="113"/>
      <c r="B4622" s="58" t="s">
        <v>11684</v>
      </c>
      <c r="C4622" s="58" t="s">
        <v>11436</v>
      </c>
      <c r="D4622" s="58" t="s">
        <v>11685</v>
      </c>
      <c r="E4622" s="60" t="b">
        <v>1</v>
      </c>
      <c r="F4622" s="80" t="s">
        <v>1332</v>
      </c>
      <c r="G4622" s="58" t="s">
        <v>11684</v>
      </c>
      <c r="H4622" s="58" t="s">
        <v>11436</v>
      </c>
      <c r="I4622" s="64" t="s">
        <v>11685</v>
      </c>
      <c r="J4622" s="66"/>
      <c r="K4622" s="66"/>
      <c r="L4622" s="68"/>
      <c r="M4622" s="63" t="str">
        <f>HYPERLINK("http://nsgreg.nga.mil/genc/view?v=869094&amp;end_month=12&amp;end_day=31&amp;end_year=2016","Correlation")</f>
        <v>Correlation</v>
      </c>
    </row>
    <row r="4623" spans="1:13" x14ac:dyDescent="0.2">
      <c r="A4623" s="113"/>
      <c r="B4623" s="58" t="s">
        <v>11686</v>
      </c>
      <c r="C4623" s="58" t="s">
        <v>1796</v>
      </c>
      <c r="D4623" s="58" t="s">
        <v>11687</v>
      </c>
      <c r="E4623" s="60" t="b">
        <v>1</v>
      </c>
      <c r="F4623" s="80" t="s">
        <v>1332</v>
      </c>
      <c r="G4623" s="58" t="s">
        <v>11686</v>
      </c>
      <c r="H4623" s="58" t="s">
        <v>1796</v>
      </c>
      <c r="I4623" s="64" t="s">
        <v>11687</v>
      </c>
      <c r="J4623" s="66"/>
      <c r="K4623" s="66"/>
      <c r="L4623" s="68"/>
      <c r="M4623" s="63" t="str">
        <f>HYPERLINK("http://nsgreg.nga.mil/genc/view?v=869099&amp;end_month=12&amp;end_day=31&amp;end_year=2016","Correlation")</f>
        <v>Correlation</v>
      </c>
    </row>
    <row r="4624" spans="1:13" x14ac:dyDescent="0.2">
      <c r="A4624" s="113"/>
      <c r="B4624" s="58" t="s">
        <v>11688</v>
      </c>
      <c r="C4624" s="58" t="s">
        <v>11459</v>
      </c>
      <c r="D4624" s="58" t="s">
        <v>11689</v>
      </c>
      <c r="E4624" s="60" t="b">
        <v>1</v>
      </c>
      <c r="F4624" s="80" t="s">
        <v>1332</v>
      </c>
      <c r="G4624" s="58" t="s">
        <v>11688</v>
      </c>
      <c r="H4624" s="58" t="s">
        <v>11459</v>
      </c>
      <c r="I4624" s="64" t="s">
        <v>11689</v>
      </c>
      <c r="J4624" s="66"/>
      <c r="K4624" s="66"/>
      <c r="L4624" s="68"/>
      <c r="M4624" s="63" t="str">
        <f>HYPERLINK("http://nsgreg.nga.mil/genc/view?v=869093&amp;end_month=12&amp;end_day=31&amp;end_year=2016","Correlation")</f>
        <v>Correlation</v>
      </c>
    </row>
    <row r="4625" spans="1:13" x14ac:dyDescent="0.2">
      <c r="A4625" s="113"/>
      <c r="B4625" s="58" t="s">
        <v>11690</v>
      </c>
      <c r="C4625" s="58" t="s">
        <v>11475</v>
      </c>
      <c r="D4625" s="58" t="s">
        <v>11691</v>
      </c>
      <c r="E4625" s="60" t="b">
        <v>1</v>
      </c>
      <c r="F4625" s="80" t="s">
        <v>1332</v>
      </c>
      <c r="G4625" s="58" t="s">
        <v>11690</v>
      </c>
      <c r="H4625" s="58" t="s">
        <v>11459</v>
      </c>
      <c r="I4625" s="64" t="s">
        <v>11691</v>
      </c>
      <c r="J4625" s="66"/>
      <c r="K4625" s="66"/>
      <c r="L4625" s="68"/>
      <c r="M4625" s="63" t="str">
        <f>HYPERLINK("http://nsgreg.nga.mil/genc/view?v=869095&amp;end_month=12&amp;end_day=31&amp;end_year=2016","Correlation")</f>
        <v>Correlation</v>
      </c>
    </row>
    <row r="4626" spans="1:13" x14ac:dyDescent="0.2">
      <c r="A4626" s="113"/>
      <c r="B4626" s="58" t="s">
        <v>11692</v>
      </c>
      <c r="C4626" s="58" t="s">
        <v>11436</v>
      </c>
      <c r="D4626" s="58" t="s">
        <v>11693</v>
      </c>
      <c r="E4626" s="60" t="b">
        <v>1</v>
      </c>
      <c r="F4626" s="80" t="s">
        <v>1332</v>
      </c>
      <c r="G4626" s="58" t="s">
        <v>11692</v>
      </c>
      <c r="H4626" s="58" t="s">
        <v>11436</v>
      </c>
      <c r="I4626" s="64" t="s">
        <v>11693</v>
      </c>
      <c r="J4626" s="66"/>
      <c r="K4626" s="66"/>
      <c r="L4626" s="68"/>
      <c r="M4626" s="63" t="str">
        <f>HYPERLINK("http://nsgreg.nga.mil/genc/view?v=869097&amp;end_month=12&amp;end_day=31&amp;end_year=2016","Correlation")</f>
        <v>Correlation</v>
      </c>
    </row>
    <row r="4627" spans="1:13" x14ac:dyDescent="0.2">
      <c r="A4627" s="113"/>
      <c r="B4627" s="58" t="s">
        <v>11694</v>
      </c>
      <c r="C4627" s="58" t="s">
        <v>11475</v>
      </c>
      <c r="D4627" s="58" t="s">
        <v>11695</v>
      </c>
      <c r="E4627" s="60" t="b">
        <v>1</v>
      </c>
      <c r="F4627" s="80" t="s">
        <v>1332</v>
      </c>
      <c r="G4627" s="58" t="s">
        <v>11694</v>
      </c>
      <c r="H4627" s="58" t="s">
        <v>11459</v>
      </c>
      <c r="I4627" s="64" t="s">
        <v>11695</v>
      </c>
      <c r="J4627" s="66"/>
      <c r="K4627" s="66"/>
      <c r="L4627" s="68"/>
      <c r="M4627" s="63" t="str">
        <f>HYPERLINK("http://nsgreg.nga.mil/genc/view?v=869112&amp;end_month=12&amp;end_day=31&amp;end_year=2016","Correlation")</f>
        <v>Correlation</v>
      </c>
    </row>
    <row r="4628" spans="1:13" x14ac:dyDescent="0.2">
      <c r="A4628" s="113"/>
      <c r="B4628" s="58" t="s">
        <v>11696</v>
      </c>
      <c r="C4628" s="58" t="s">
        <v>11456</v>
      </c>
      <c r="D4628" s="58" t="s">
        <v>11697</v>
      </c>
      <c r="E4628" s="60" t="b">
        <v>1</v>
      </c>
      <c r="F4628" s="80" t="s">
        <v>1332</v>
      </c>
      <c r="G4628" s="58" t="s">
        <v>11696</v>
      </c>
      <c r="H4628" s="58" t="s">
        <v>11456</v>
      </c>
      <c r="I4628" s="64" t="s">
        <v>11697</v>
      </c>
      <c r="J4628" s="66"/>
      <c r="K4628" s="66"/>
      <c r="L4628" s="68"/>
      <c r="M4628" s="63" t="str">
        <f>HYPERLINK("http://nsgreg.nga.mil/genc/view?v=869103&amp;end_month=12&amp;end_day=31&amp;end_year=2016","Correlation")</f>
        <v>Correlation</v>
      </c>
    </row>
    <row r="4629" spans="1:13" x14ac:dyDescent="0.2">
      <c r="A4629" s="113"/>
      <c r="B4629" s="58" t="s">
        <v>11698</v>
      </c>
      <c r="C4629" s="58" t="s">
        <v>11451</v>
      </c>
      <c r="D4629" s="58" t="s">
        <v>11699</v>
      </c>
      <c r="E4629" s="60" t="b">
        <v>1</v>
      </c>
      <c r="F4629" s="80" t="s">
        <v>1332</v>
      </c>
      <c r="G4629" s="58" t="s">
        <v>11698</v>
      </c>
      <c r="H4629" s="58" t="s">
        <v>11451</v>
      </c>
      <c r="I4629" s="64" t="s">
        <v>11699</v>
      </c>
      <c r="J4629" s="66"/>
      <c r="K4629" s="66"/>
      <c r="L4629" s="68"/>
      <c r="M4629" s="63" t="str">
        <f>HYPERLINK("http://nsgreg.nga.mil/genc/view?v=869115&amp;end_month=12&amp;end_day=31&amp;end_year=2016","Correlation")</f>
        <v>Correlation</v>
      </c>
    </row>
    <row r="4630" spans="1:13" x14ac:dyDescent="0.2">
      <c r="A4630" s="113"/>
      <c r="B4630" s="58" t="s">
        <v>11700</v>
      </c>
      <c r="C4630" s="58" t="s">
        <v>11475</v>
      </c>
      <c r="D4630" s="58" t="s">
        <v>11701</v>
      </c>
      <c r="E4630" s="60" t="b">
        <v>1</v>
      </c>
      <c r="F4630" s="80" t="s">
        <v>1332</v>
      </c>
      <c r="G4630" s="58" t="s">
        <v>11700</v>
      </c>
      <c r="H4630" s="58" t="s">
        <v>11459</v>
      </c>
      <c r="I4630" s="64" t="s">
        <v>11701</v>
      </c>
      <c r="J4630" s="66"/>
      <c r="K4630" s="66"/>
      <c r="L4630" s="68"/>
      <c r="M4630" s="63" t="str">
        <f>HYPERLINK("http://nsgreg.nga.mil/genc/view?v=869116&amp;end_month=12&amp;end_day=31&amp;end_year=2016","Correlation")</f>
        <v>Correlation</v>
      </c>
    </row>
    <row r="4631" spans="1:13" x14ac:dyDescent="0.2">
      <c r="A4631" s="113"/>
      <c r="B4631" s="58" t="s">
        <v>11702</v>
      </c>
      <c r="C4631" s="58" t="s">
        <v>1796</v>
      </c>
      <c r="D4631" s="58" t="s">
        <v>11703</v>
      </c>
      <c r="E4631" s="60" t="b">
        <v>1</v>
      </c>
      <c r="F4631" s="80" t="s">
        <v>1332</v>
      </c>
      <c r="G4631" s="58" t="s">
        <v>11702</v>
      </c>
      <c r="H4631" s="58" t="s">
        <v>1796</v>
      </c>
      <c r="I4631" s="64" t="s">
        <v>11703</v>
      </c>
      <c r="J4631" s="66"/>
      <c r="K4631" s="66"/>
      <c r="L4631" s="68"/>
      <c r="M4631" s="63" t="str">
        <f>HYPERLINK("http://nsgreg.nga.mil/genc/view?v=869109&amp;end_month=12&amp;end_day=31&amp;end_year=2016","Correlation")</f>
        <v>Correlation</v>
      </c>
    </row>
    <row r="4632" spans="1:13" x14ac:dyDescent="0.2">
      <c r="A4632" s="113"/>
      <c r="B4632" s="58" t="s">
        <v>11704</v>
      </c>
      <c r="C4632" s="58" t="s">
        <v>11496</v>
      </c>
      <c r="D4632" s="58" t="s">
        <v>11705</v>
      </c>
      <c r="E4632" s="60" t="b">
        <v>1</v>
      </c>
      <c r="F4632" s="80" t="s">
        <v>1332</v>
      </c>
      <c r="G4632" s="58" t="s">
        <v>11704</v>
      </c>
      <c r="H4632" s="58" t="s">
        <v>1483</v>
      </c>
      <c r="I4632" s="64" t="s">
        <v>11705</v>
      </c>
      <c r="J4632" s="66"/>
      <c r="K4632" s="66"/>
      <c r="L4632" s="68"/>
      <c r="M4632" s="63" t="str">
        <f>HYPERLINK("http://nsgreg.nga.mil/genc/view?v=869104&amp;end_month=12&amp;end_day=31&amp;end_year=2016","Correlation")</f>
        <v>Correlation</v>
      </c>
    </row>
    <row r="4633" spans="1:13" x14ac:dyDescent="0.2">
      <c r="A4633" s="113"/>
      <c r="B4633" s="58" t="s">
        <v>11706</v>
      </c>
      <c r="C4633" s="58" t="s">
        <v>11496</v>
      </c>
      <c r="D4633" s="58" t="s">
        <v>11707</v>
      </c>
      <c r="E4633" s="60" t="b">
        <v>1</v>
      </c>
      <c r="F4633" s="80" t="s">
        <v>1332</v>
      </c>
      <c r="G4633" s="58" t="s">
        <v>11706</v>
      </c>
      <c r="H4633" s="58" t="s">
        <v>1483</v>
      </c>
      <c r="I4633" s="64" t="s">
        <v>11707</v>
      </c>
      <c r="J4633" s="66"/>
      <c r="K4633" s="66"/>
      <c r="L4633" s="68"/>
      <c r="M4633" s="63" t="str">
        <f>HYPERLINK("http://nsgreg.nga.mil/genc/view?v=869111&amp;end_month=12&amp;end_day=31&amp;end_year=2016","Correlation")</f>
        <v>Correlation</v>
      </c>
    </row>
    <row r="4634" spans="1:13" x14ac:dyDescent="0.2">
      <c r="A4634" s="113"/>
      <c r="B4634" s="58" t="s">
        <v>11708</v>
      </c>
      <c r="C4634" s="58" t="s">
        <v>11436</v>
      </c>
      <c r="D4634" s="58" t="s">
        <v>11709</v>
      </c>
      <c r="E4634" s="60" t="b">
        <v>1</v>
      </c>
      <c r="F4634" s="80" t="s">
        <v>1332</v>
      </c>
      <c r="G4634" s="58" t="s">
        <v>11708</v>
      </c>
      <c r="H4634" s="58" t="s">
        <v>11436</v>
      </c>
      <c r="I4634" s="64" t="s">
        <v>11709</v>
      </c>
      <c r="J4634" s="66"/>
      <c r="K4634" s="66"/>
      <c r="L4634" s="68"/>
      <c r="M4634" s="63" t="str">
        <f>HYPERLINK("http://nsgreg.nga.mil/genc/view?v=869100&amp;end_month=12&amp;end_day=31&amp;end_year=2016","Correlation")</f>
        <v>Correlation</v>
      </c>
    </row>
    <row r="4635" spans="1:13" x14ac:dyDescent="0.2">
      <c r="A4635" s="113"/>
      <c r="B4635" s="58" t="s">
        <v>11710</v>
      </c>
      <c r="C4635" s="58" t="s">
        <v>11459</v>
      </c>
      <c r="D4635" s="58" t="s">
        <v>11711</v>
      </c>
      <c r="E4635" s="60" t="b">
        <v>1</v>
      </c>
      <c r="F4635" s="80" t="s">
        <v>1332</v>
      </c>
      <c r="G4635" s="58" t="s">
        <v>11710</v>
      </c>
      <c r="H4635" s="58" t="s">
        <v>11459</v>
      </c>
      <c r="I4635" s="64" t="s">
        <v>11711</v>
      </c>
      <c r="J4635" s="66"/>
      <c r="K4635" s="66"/>
      <c r="L4635" s="68"/>
      <c r="M4635" s="63" t="str">
        <f>HYPERLINK("http://nsgreg.nga.mil/genc/view?v=869102&amp;end_month=12&amp;end_day=31&amp;end_year=2016","Correlation")</f>
        <v>Correlation</v>
      </c>
    </row>
    <row r="4636" spans="1:13" x14ac:dyDescent="0.2">
      <c r="A4636" s="113"/>
      <c r="B4636" s="58" t="s">
        <v>11712</v>
      </c>
      <c r="C4636" s="58" t="s">
        <v>1413</v>
      </c>
      <c r="D4636" s="58" t="s">
        <v>11713</v>
      </c>
      <c r="E4636" s="60" t="b">
        <v>1</v>
      </c>
      <c r="F4636" s="80" t="s">
        <v>1332</v>
      </c>
      <c r="G4636" s="58" t="s">
        <v>11712</v>
      </c>
      <c r="H4636" s="58" t="s">
        <v>1413</v>
      </c>
      <c r="I4636" s="64" t="s">
        <v>11713</v>
      </c>
      <c r="J4636" s="66"/>
      <c r="K4636" s="66"/>
      <c r="L4636" s="68"/>
      <c r="M4636" s="63" t="str">
        <f>HYPERLINK("http://nsgreg.nga.mil/genc/view?v=869106&amp;end_month=12&amp;end_day=31&amp;end_year=2016","Correlation")</f>
        <v>Correlation</v>
      </c>
    </row>
    <row r="4637" spans="1:13" x14ac:dyDescent="0.2">
      <c r="A4637" s="113"/>
      <c r="B4637" s="58" t="s">
        <v>11714</v>
      </c>
      <c r="C4637" s="58" t="s">
        <v>11436</v>
      </c>
      <c r="D4637" s="58" t="s">
        <v>11715</v>
      </c>
      <c r="E4637" s="60" t="b">
        <v>1</v>
      </c>
      <c r="F4637" s="80" t="s">
        <v>1332</v>
      </c>
      <c r="G4637" s="58" t="s">
        <v>11714</v>
      </c>
      <c r="H4637" s="58" t="s">
        <v>11436</v>
      </c>
      <c r="I4637" s="64" t="s">
        <v>11715</v>
      </c>
      <c r="J4637" s="66"/>
      <c r="K4637" s="66"/>
      <c r="L4637" s="68"/>
      <c r="M4637" s="63" t="str">
        <f>HYPERLINK("http://nsgreg.nga.mil/genc/view?v=869107&amp;end_month=12&amp;end_day=31&amp;end_year=2016","Correlation")</f>
        <v>Correlation</v>
      </c>
    </row>
    <row r="4638" spans="1:13" x14ac:dyDescent="0.2">
      <c r="A4638" s="113"/>
      <c r="B4638" s="58" t="s">
        <v>11716</v>
      </c>
      <c r="C4638" s="58" t="s">
        <v>11459</v>
      </c>
      <c r="D4638" s="58" t="s">
        <v>11717</v>
      </c>
      <c r="E4638" s="60" t="b">
        <v>1</v>
      </c>
      <c r="F4638" s="80" t="s">
        <v>1332</v>
      </c>
      <c r="G4638" s="58" t="s">
        <v>11716</v>
      </c>
      <c r="H4638" s="58" t="s">
        <v>11459</v>
      </c>
      <c r="I4638" s="64" t="s">
        <v>11717</v>
      </c>
      <c r="J4638" s="66"/>
      <c r="K4638" s="66"/>
      <c r="L4638" s="68"/>
      <c r="M4638" s="63" t="str">
        <f>HYPERLINK("http://nsgreg.nga.mil/genc/view?v=869108&amp;end_month=12&amp;end_day=31&amp;end_year=2016","Correlation")</f>
        <v>Correlation</v>
      </c>
    </row>
    <row r="4639" spans="1:13" x14ac:dyDescent="0.2">
      <c r="A4639" s="113"/>
      <c r="B4639" s="58" t="s">
        <v>11718</v>
      </c>
      <c r="C4639" s="58" t="s">
        <v>11459</v>
      </c>
      <c r="D4639" s="58" t="s">
        <v>11719</v>
      </c>
      <c r="E4639" s="60" t="b">
        <v>1</v>
      </c>
      <c r="F4639" s="80" t="s">
        <v>1332</v>
      </c>
      <c r="G4639" s="58" t="s">
        <v>11718</v>
      </c>
      <c r="H4639" s="58" t="s">
        <v>11459</v>
      </c>
      <c r="I4639" s="64" t="s">
        <v>11719</v>
      </c>
      <c r="J4639" s="66"/>
      <c r="K4639" s="66"/>
      <c r="L4639" s="68"/>
      <c r="M4639" s="63" t="str">
        <f>HYPERLINK("http://nsgreg.nga.mil/genc/view?v=869110&amp;end_month=12&amp;end_day=31&amp;end_year=2016","Correlation")</f>
        <v>Correlation</v>
      </c>
    </row>
    <row r="4640" spans="1:13" x14ac:dyDescent="0.2">
      <c r="A4640" s="113"/>
      <c r="B4640" s="58" t="s">
        <v>11720</v>
      </c>
      <c r="C4640" s="58" t="s">
        <v>11456</v>
      </c>
      <c r="D4640" s="58" t="s">
        <v>11721</v>
      </c>
      <c r="E4640" s="60" t="b">
        <v>1</v>
      </c>
      <c r="F4640" s="80" t="s">
        <v>1332</v>
      </c>
      <c r="G4640" s="58" t="s">
        <v>11720</v>
      </c>
      <c r="H4640" s="58" t="s">
        <v>11456</v>
      </c>
      <c r="I4640" s="64" t="s">
        <v>11721</v>
      </c>
      <c r="J4640" s="66"/>
      <c r="K4640" s="66"/>
      <c r="L4640" s="68"/>
      <c r="M4640" s="63" t="str">
        <f>HYPERLINK("http://nsgreg.nga.mil/genc/view?v=869114&amp;end_month=12&amp;end_day=31&amp;end_year=2016","Correlation")</f>
        <v>Correlation</v>
      </c>
    </row>
    <row r="4641" spans="1:13" x14ac:dyDescent="0.2">
      <c r="A4641" s="113"/>
      <c r="B4641" s="58" t="s">
        <v>11722</v>
      </c>
      <c r="C4641" s="58" t="s">
        <v>11459</v>
      </c>
      <c r="D4641" s="58" t="s">
        <v>11723</v>
      </c>
      <c r="E4641" s="60" t="b">
        <v>1</v>
      </c>
      <c r="F4641" s="80" t="s">
        <v>1332</v>
      </c>
      <c r="G4641" s="58" t="s">
        <v>11722</v>
      </c>
      <c r="H4641" s="58" t="s">
        <v>11459</v>
      </c>
      <c r="I4641" s="64" t="s">
        <v>11723</v>
      </c>
      <c r="J4641" s="66"/>
      <c r="K4641" s="66"/>
      <c r="L4641" s="68"/>
      <c r="M4641" s="63" t="str">
        <f>HYPERLINK("http://nsgreg.nga.mil/genc/view?v=869101&amp;end_month=12&amp;end_day=31&amp;end_year=2016","Correlation")</f>
        <v>Correlation</v>
      </c>
    </row>
    <row r="4642" spans="1:13" x14ac:dyDescent="0.2">
      <c r="A4642" s="113"/>
      <c r="B4642" s="58" t="s">
        <v>11724</v>
      </c>
      <c r="C4642" s="58" t="s">
        <v>11496</v>
      </c>
      <c r="D4642" s="58" t="s">
        <v>11725</v>
      </c>
      <c r="E4642" s="60" t="b">
        <v>1</v>
      </c>
      <c r="F4642" s="80" t="s">
        <v>1332</v>
      </c>
      <c r="G4642" s="58" t="s">
        <v>11724</v>
      </c>
      <c r="H4642" s="58" t="s">
        <v>1483</v>
      </c>
      <c r="I4642" s="64" t="s">
        <v>11725</v>
      </c>
      <c r="J4642" s="66"/>
      <c r="K4642" s="66"/>
      <c r="L4642" s="68"/>
      <c r="M4642" s="63" t="str">
        <f>HYPERLINK("http://nsgreg.nga.mil/genc/view?v=869117&amp;end_month=12&amp;end_day=31&amp;end_year=2016","Correlation")</f>
        <v>Correlation</v>
      </c>
    </row>
    <row r="4643" spans="1:13" x14ac:dyDescent="0.2">
      <c r="A4643" s="113"/>
      <c r="B4643" s="58" t="s">
        <v>11726</v>
      </c>
      <c r="C4643" s="58" t="s">
        <v>11459</v>
      </c>
      <c r="D4643" s="58" t="s">
        <v>11727</v>
      </c>
      <c r="E4643" s="60" t="b">
        <v>1</v>
      </c>
      <c r="F4643" s="80" t="s">
        <v>1332</v>
      </c>
      <c r="G4643" s="58" t="s">
        <v>11726</v>
      </c>
      <c r="H4643" s="58" t="s">
        <v>11459</v>
      </c>
      <c r="I4643" s="64" t="s">
        <v>11727</v>
      </c>
      <c r="J4643" s="66"/>
      <c r="K4643" s="66"/>
      <c r="L4643" s="68"/>
      <c r="M4643" s="63" t="str">
        <f>HYPERLINK("http://nsgreg.nga.mil/genc/view?v=869105&amp;end_month=12&amp;end_day=31&amp;end_year=2016","Correlation")</f>
        <v>Correlation</v>
      </c>
    </row>
    <row r="4644" spans="1:13" x14ac:dyDescent="0.2">
      <c r="A4644" s="113"/>
      <c r="B4644" s="58" t="s">
        <v>11728</v>
      </c>
      <c r="C4644" s="58" t="s">
        <v>11496</v>
      </c>
      <c r="D4644" s="58" t="s">
        <v>11729</v>
      </c>
      <c r="E4644" s="60" t="b">
        <v>1</v>
      </c>
      <c r="F4644" s="80" t="s">
        <v>1332</v>
      </c>
      <c r="G4644" s="58" t="s">
        <v>11728</v>
      </c>
      <c r="H4644" s="58" t="s">
        <v>1483</v>
      </c>
      <c r="I4644" s="64" t="s">
        <v>11729</v>
      </c>
      <c r="J4644" s="66"/>
      <c r="K4644" s="66"/>
      <c r="L4644" s="68"/>
      <c r="M4644" s="63" t="str">
        <f>HYPERLINK("http://nsgreg.nga.mil/genc/view?v=869113&amp;end_month=12&amp;end_day=31&amp;end_year=2016","Correlation")</f>
        <v>Correlation</v>
      </c>
    </row>
    <row r="4645" spans="1:13" x14ac:dyDescent="0.2">
      <c r="A4645" s="113"/>
      <c r="B4645" s="58" t="s">
        <v>11730</v>
      </c>
      <c r="C4645" s="58" t="s">
        <v>11456</v>
      </c>
      <c r="D4645" s="58" t="s">
        <v>11731</v>
      </c>
      <c r="E4645" s="60" t="b">
        <v>1</v>
      </c>
      <c r="F4645" s="80" t="s">
        <v>1332</v>
      </c>
      <c r="G4645" s="58" t="s">
        <v>11730</v>
      </c>
      <c r="H4645" s="58" t="s">
        <v>11456</v>
      </c>
      <c r="I4645" s="64" t="s">
        <v>11731</v>
      </c>
      <c r="J4645" s="66"/>
      <c r="K4645" s="66"/>
      <c r="L4645" s="68"/>
      <c r="M4645" s="63" t="str">
        <f>HYPERLINK("http://nsgreg.nga.mil/genc/view?v=869118&amp;end_month=12&amp;end_day=31&amp;end_year=2016","Correlation")</f>
        <v>Correlation</v>
      </c>
    </row>
    <row r="4646" spans="1:13" x14ac:dyDescent="0.2">
      <c r="A4646" s="113"/>
      <c r="B4646" s="58" t="s">
        <v>11732</v>
      </c>
      <c r="C4646" s="58" t="s">
        <v>11436</v>
      </c>
      <c r="D4646" s="58" t="s">
        <v>11733</v>
      </c>
      <c r="E4646" s="60" t="b">
        <v>1</v>
      </c>
      <c r="F4646" s="80" t="s">
        <v>1332</v>
      </c>
      <c r="G4646" s="58" t="s">
        <v>11732</v>
      </c>
      <c r="H4646" s="58" t="s">
        <v>11436</v>
      </c>
      <c r="I4646" s="64" t="s">
        <v>11733</v>
      </c>
      <c r="J4646" s="66"/>
      <c r="K4646" s="66"/>
      <c r="L4646" s="68"/>
      <c r="M4646" s="63" t="str">
        <f>HYPERLINK("http://nsgreg.nga.mil/genc/view?v=869119&amp;end_month=12&amp;end_day=31&amp;end_year=2016","Correlation")</f>
        <v>Correlation</v>
      </c>
    </row>
    <row r="4647" spans="1:13" x14ac:dyDescent="0.2">
      <c r="A4647" s="113"/>
      <c r="B4647" s="58" t="s">
        <v>11734</v>
      </c>
      <c r="C4647" s="58" t="s">
        <v>11496</v>
      </c>
      <c r="D4647" s="58" t="s">
        <v>11735</v>
      </c>
      <c r="E4647" s="60" t="b">
        <v>1</v>
      </c>
      <c r="F4647" s="80" t="s">
        <v>1332</v>
      </c>
      <c r="G4647" s="58" t="s">
        <v>11734</v>
      </c>
      <c r="H4647" s="58" t="s">
        <v>1483</v>
      </c>
      <c r="I4647" s="64" t="s">
        <v>11735</v>
      </c>
      <c r="J4647" s="66"/>
      <c r="K4647" s="66"/>
      <c r="L4647" s="68"/>
      <c r="M4647" s="63" t="str">
        <f>HYPERLINK("http://nsgreg.nga.mil/genc/view?v=869120&amp;end_month=12&amp;end_day=31&amp;end_year=2016","Correlation")</f>
        <v>Correlation</v>
      </c>
    </row>
    <row r="4648" spans="1:13" x14ac:dyDescent="0.2">
      <c r="A4648" s="113"/>
      <c r="B4648" s="58" t="s">
        <v>11736</v>
      </c>
      <c r="C4648" s="58" t="s">
        <v>11475</v>
      </c>
      <c r="D4648" s="58" t="s">
        <v>11737</v>
      </c>
      <c r="E4648" s="60" t="b">
        <v>1</v>
      </c>
      <c r="F4648" s="80" t="s">
        <v>1332</v>
      </c>
      <c r="G4648" s="58" t="s">
        <v>11736</v>
      </c>
      <c r="H4648" s="58" t="s">
        <v>11459</v>
      </c>
      <c r="I4648" s="64" t="s">
        <v>11737</v>
      </c>
      <c r="J4648" s="66"/>
      <c r="K4648" s="66"/>
      <c r="L4648" s="68"/>
      <c r="M4648" s="63" t="str">
        <f>HYPERLINK("http://nsgreg.nga.mil/genc/view?v=869121&amp;end_month=12&amp;end_day=31&amp;end_year=2016","Correlation")</f>
        <v>Correlation</v>
      </c>
    </row>
    <row r="4649" spans="1:13" x14ac:dyDescent="0.2">
      <c r="A4649" s="113"/>
      <c r="B4649" s="58" t="s">
        <v>11738</v>
      </c>
      <c r="C4649" s="58" t="s">
        <v>11436</v>
      </c>
      <c r="D4649" s="58" t="s">
        <v>11739</v>
      </c>
      <c r="E4649" s="60" t="b">
        <v>1</v>
      </c>
      <c r="F4649" s="80" t="s">
        <v>1332</v>
      </c>
      <c r="G4649" s="58" t="s">
        <v>11738</v>
      </c>
      <c r="H4649" s="58" t="s">
        <v>11436</v>
      </c>
      <c r="I4649" s="64" t="s">
        <v>11739</v>
      </c>
      <c r="J4649" s="66"/>
      <c r="K4649" s="66"/>
      <c r="L4649" s="68"/>
      <c r="M4649" s="63" t="str">
        <f>HYPERLINK("http://nsgreg.nga.mil/genc/view?v=869122&amp;end_month=12&amp;end_day=31&amp;end_year=2016","Correlation")</f>
        <v>Correlation</v>
      </c>
    </row>
    <row r="4650" spans="1:13" x14ac:dyDescent="0.2">
      <c r="A4650" s="113"/>
      <c r="B4650" s="58" t="s">
        <v>11740</v>
      </c>
      <c r="C4650" s="58" t="s">
        <v>11459</v>
      </c>
      <c r="D4650" s="58" t="s">
        <v>11741</v>
      </c>
      <c r="E4650" s="60" t="b">
        <v>1</v>
      </c>
      <c r="F4650" s="80" t="s">
        <v>1332</v>
      </c>
      <c r="G4650" s="58" t="s">
        <v>11740</v>
      </c>
      <c r="H4650" s="58" t="s">
        <v>11459</v>
      </c>
      <c r="I4650" s="64" t="s">
        <v>11741</v>
      </c>
      <c r="J4650" s="66"/>
      <c r="K4650" s="66"/>
      <c r="L4650" s="68"/>
      <c r="M4650" s="63" t="str">
        <f>HYPERLINK("http://nsgreg.nga.mil/genc/view?v=869127&amp;end_month=12&amp;end_day=31&amp;end_year=2016","Correlation")</f>
        <v>Correlation</v>
      </c>
    </row>
    <row r="4651" spans="1:13" x14ac:dyDescent="0.2">
      <c r="A4651" s="113"/>
      <c r="B4651" s="58" t="s">
        <v>11742</v>
      </c>
      <c r="C4651" s="58" t="s">
        <v>11459</v>
      </c>
      <c r="D4651" s="58" t="s">
        <v>11743</v>
      </c>
      <c r="E4651" s="60" t="b">
        <v>1</v>
      </c>
      <c r="F4651" s="80" t="s">
        <v>1332</v>
      </c>
      <c r="G4651" s="58" t="s">
        <v>11742</v>
      </c>
      <c r="H4651" s="58" t="s">
        <v>11459</v>
      </c>
      <c r="I4651" s="64" t="s">
        <v>11743</v>
      </c>
      <c r="J4651" s="66"/>
      <c r="K4651" s="66"/>
      <c r="L4651" s="68"/>
      <c r="M4651" s="63" t="str">
        <f>HYPERLINK("http://nsgreg.nga.mil/genc/view?v=869123&amp;end_month=12&amp;end_day=31&amp;end_year=2016","Correlation")</f>
        <v>Correlation</v>
      </c>
    </row>
    <row r="4652" spans="1:13" x14ac:dyDescent="0.2">
      <c r="A4652" s="113"/>
      <c r="B4652" s="58" t="s">
        <v>11744</v>
      </c>
      <c r="C4652" s="58" t="s">
        <v>11459</v>
      </c>
      <c r="D4652" s="58" t="s">
        <v>11745</v>
      </c>
      <c r="E4652" s="60" t="b">
        <v>1</v>
      </c>
      <c r="F4652" s="80" t="s">
        <v>1332</v>
      </c>
      <c r="G4652" s="58" t="s">
        <v>11744</v>
      </c>
      <c r="H4652" s="58" t="s">
        <v>11459</v>
      </c>
      <c r="I4652" s="64" t="s">
        <v>11745</v>
      </c>
      <c r="J4652" s="66"/>
      <c r="K4652" s="66"/>
      <c r="L4652" s="68"/>
      <c r="M4652" s="63" t="str">
        <f>HYPERLINK("http://nsgreg.nga.mil/genc/view?v=869124&amp;end_month=12&amp;end_day=31&amp;end_year=2016","Correlation")</f>
        <v>Correlation</v>
      </c>
    </row>
    <row r="4653" spans="1:13" x14ac:dyDescent="0.2">
      <c r="A4653" s="113"/>
      <c r="B4653" s="58" t="s">
        <v>11746</v>
      </c>
      <c r="C4653" s="58" t="s">
        <v>11459</v>
      </c>
      <c r="D4653" s="58" t="s">
        <v>11747</v>
      </c>
      <c r="E4653" s="60" t="b">
        <v>1</v>
      </c>
      <c r="F4653" s="80" t="s">
        <v>1332</v>
      </c>
      <c r="G4653" s="58" t="s">
        <v>11746</v>
      </c>
      <c r="H4653" s="58" t="s">
        <v>11459</v>
      </c>
      <c r="I4653" s="64" t="s">
        <v>11747</v>
      </c>
      <c r="J4653" s="66"/>
      <c r="K4653" s="66"/>
      <c r="L4653" s="68"/>
      <c r="M4653" s="63" t="str">
        <f>HYPERLINK("http://nsgreg.nga.mil/genc/view?v=869125&amp;end_month=12&amp;end_day=31&amp;end_year=2016","Correlation")</f>
        <v>Correlation</v>
      </c>
    </row>
    <row r="4654" spans="1:13" x14ac:dyDescent="0.2">
      <c r="A4654" s="113"/>
      <c r="B4654" s="58" t="s">
        <v>11748</v>
      </c>
      <c r="C4654" s="58" t="s">
        <v>11475</v>
      </c>
      <c r="D4654" s="58" t="s">
        <v>11749</v>
      </c>
      <c r="E4654" s="60" t="b">
        <v>1</v>
      </c>
      <c r="F4654" s="80" t="s">
        <v>1332</v>
      </c>
      <c r="G4654" s="58" t="s">
        <v>11748</v>
      </c>
      <c r="H4654" s="58" t="s">
        <v>11459</v>
      </c>
      <c r="I4654" s="64" t="s">
        <v>11749</v>
      </c>
      <c r="J4654" s="66"/>
      <c r="K4654" s="66"/>
      <c r="L4654" s="68"/>
      <c r="M4654" s="63" t="str">
        <f>HYPERLINK("http://nsgreg.nga.mil/genc/view?v=869126&amp;end_month=12&amp;end_day=31&amp;end_year=2016","Correlation")</f>
        <v>Correlation</v>
      </c>
    </row>
    <row r="4655" spans="1:13" x14ac:dyDescent="0.2">
      <c r="A4655" s="113"/>
      <c r="B4655" s="58" t="s">
        <v>11750</v>
      </c>
      <c r="C4655" s="58" t="s">
        <v>11459</v>
      </c>
      <c r="D4655" s="58" t="s">
        <v>11751</v>
      </c>
      <c r="E4655" s="60" t="b">
        <v>1</v>
      </c>
      <c r="F4655" s="80" t="s">
        <v>1332</v>
      </c>
      <c r="G4655" s="58" t="s">
        <v>11750</v>
      </c>
      <c r="H4655" s="58" t="s">
        <v>11459</v>
      </c>
      <c r="I4655" s="64" t="s">
        <v>11751</v>
      </c>
      <c r="J4655" s="66"/>
      <c r="K4655" s="66"/>
      <c r="L4655" s="68"/>
      <c r="M4655" s="63" t="str">
        <f>HYPERLINK("http://nsgreg.nga.mil/genc/view?v=869132&amp;end_month=12&amp;end_day=31&amp;end_year=2016","Correlation")</f>
        <v>Correlation</v>
      </c>
    </row>
    <row r="4656" spans="1:13" x14ac:dyDescent="0.2">
      <c r="A4656" s="113"/>
      <c r="B4656" s="58" t="s">
        <v>11752</v>
      </c>
      <c r="C4656" s="58" t="s">
        <v>11451</v>
      </c>
      <c r="D4656" s="58" t="s">
        <v>11753</v>
      </c>
      <c r="E4656" s="60" t="b">
        <v>1</v>
      </c>
      <c r="F4656" s="80" t="s">
        <v>1332</v>
      </c>
      <c r="G4656" s="58" t="s">
        <v>11752</v>
      </c>
      <c r="H4656" s="58" t="s">
        <v>11451</v>
      </c>
      <c r="I4656" s="64" t="s">
        <v>11753</v>
      </c>
      <c r="J4656" s="66"/>
      <c r="K4656" s="66"/>
      <c r="L4656" s="68"/>
      <c r="M4656" s="63" t="str">
        <f>HYPERLINK("http://nsgreg.nga.mil/genc/view?v=869131&amp;end_month=12&amp;end_day=31&amp;end_year=2016","Correlation")</f>
        <v>Correlation</v>
      </c>
    </row>
    <row r="4657" spans="1:13" x14ac:dyDescent="0.2">
      <c r="A4657" s="113"/>
      <c r="B4657" s="58" t="s">
        <v>11754</v>
      </c>
      <c r="C4657" s="58" t="s">
        <v>11459</v>
      </c>
      <c r="D4657" s="58" t="s">
        <v>11755</v>
      </c>
      <c r="E4657" s="60" t="b">
        <v>1</v>
      </c>
      <c r="F4657" s="80" t="s">
        <v>1332</v>
      </c>
      <c r="G4657" s="58" t="s">
        <v>11754</v>
      </c>
      <c r="H4657" s="58" t="s">
        <v>11459</v>
      </c>
      <c r="I4657" s="64" t="s">
        <v>11755</v>
      </c>
      <c r="J4657" s="66"/>
      <c r="K4657" s="66"/>
      <c r="L4657" s="68"/>
      <c r="M4657" s="63" t="str">
        <f>HYPERLINK("http://nsgreg.nga.mil/genc/view?v=869128&amp;end_month=12&amp;end_day=31&amp;end_year=2016","Correlation")</f>
        <v>Correlation</v>
      </c>
    </row>
    <row r="4658" spans="1:13" x14ac:dyDescent="0.2">
      <c r="A4658" s="113"/>
      <c r="B4658" s="58" t="s">
        <v>11756</v>
      </c>
      <c r="C4658" s="58" t="s">
        <v>11436</v>
      </c>
      <c r="D4658" s="58" t="s">
        <v>11757</v>
      </c>
      <c r="E4658" s="60" t="b">
        <v>1</v>
      </c>
      <c r="F4658" s="80" t="s">
        <v>1332</v>
      </c>
      <c r="G4658" s="58" t="s">
        <v>11756</v>
      </c>
      <c r="H4658" s="58" t="s">
        <v>11436</v>
      </c>
      <c r="I4658" s="64" t="s">
        <v>11757</v>
      </c>
      <c r="J4658" s="66"/>
      <c r="K4658" s="66"/>
      <c r="L4658" s="68"/>
      <c r="M4658" s="63" t="str">
        <f>HYPERLINK("http://nsgreg.nga.mil/genc/view?v=869133&amp;end_month=12&amp;end_day=31&amp;end_year=2016","Correlation")</f>
        <v>Correlation</v>
      </c>
    </row>
    <row r="4659" spans="1:13" x14ac:dyDescent="0.2">
      <c r="A4659" s="113"/>
      <c r="B4659" s="58" t="s">
        <v>11760</v>
      </c>
      <c r="C4659" s="58" t="s">
        <v>11475</v>
      </c>
      <c r="D4659" s="58" t="s">
        <v>11759</v>
      </c>
      <c r="E4659" s="60" t="b">
        <v>1</v>
      </c>
      <c r="F4659" s="80" t="s">
        <v>1332</v>
      </c>
      <c r="G4659" s="58" t="s">
        <v>11758</v>
      </c>
      <c r="H4659" s="58" t="s">
        <v>11459</v>
      </c>
      <c r="I4659" s="64" t="s">
        <v>11759</v>
      </c>
      <c r="J4659" s="66"/>
      <c r="K4659" s="66"/>
      <c r="L4659" s="68"/>
      <c r="M4659" s="63" t="str">
        <f>HYPERLINK("http://nsgreg.nga.mil/genc/view?v=869130&amp;end_month=12&amp;end_day=31&amp;end_year=2016","Correlation")</f>
        <v>Correlation</v>
      </c>
    </row>
    <row r="4660" spans="1:13" x14ac:dyDescent="0.2">
      <c r="A4660" s="113"/>
      <c r="B4660" s="58" t="s">
        <v>11761</v>
      </c>
      <c r="C4660" s="58" t="s">
        <v>11451</v>
      </c>
      <c r="D4660" s="58" t="s">
        <v>11762</v>
      </c>
      <c r="E4660" s="60" t="b">
        <v>1</v>
      </c>
      <c r="F4660" s="80" t="s">
        <v>1332</v>
      </c>
      <c r="G4660" s="58" t="s">
        <v>11761</v>
      </c>
      <c r="H4660" s="58" t="s">
        <v>11451</v>
      </c>
      <c r="I4660" s="64" t="s">
        <v>11762</v>
      </c>
      <c r="J4660" s="66"/>
      <c r="K4660" s="66"/>
      <c r="L4660" s="68"/>
      <c r="M4660" s="63" t="str">
        <f>HYPERLINK("http://nsgreg.nga.mil/genc/view?v=869134&amp;end_month=12&amp;end_day=31&amp;end_year=2016","Correlation")</f>
        <v>Correlation</v>
      </c>
    </row>
    <row r="4661" spans="1:13" x14ac:dyDescent="0.2">
      <c r="A4661" s="113"/>
      <c r="B4661" s="58" t="s">
        <v>11763</v>
      </c>
      <c r="C4661" s="58" t="s">
        <v>11456</v>
      </c>
      <c r="D4661" s="58" t="s">
        <v>11764</v>
      </c>
      <c r="E4661" s="60" t="b">
        <v>1</v>
      </c>
      <c r="F4661" s="80" t="s">
        <v>1332</v>
      </c>
      <c r="G4661" s="58" t="s">
        <v>11763</v>
      </c>
      <c r="H4661" s="58" t="s">
        <v>11456</v>
      </c>
      <c r="I4661" s="64" t="s">
        <v>11764</v>
      </c>
      <c r="J4661" s="66"/>
      <c r="K4661" s="66"/>
      <c r="L4661" s="68"/>
      <c r="M4661" s="63" t="str">
        <f>HYPERLINK("http://nsgreg.nga.mil/genc/view?v=869129&amp;end_month=12&amp;end_day=31&amp;end_year=2016","Correlation")</f>
        <v>Correlation</v>
      </c>
    </row>
    <row r="4662" spans="1:13" x14ac:dyDescent="0.2">
      <c r="A4662" s="113"/>
      <c r="B4662" s="58" t="s">
        <v>11765</v>
      </c>
      <c r="C4662" s="58" t="s">
        <v>11456</v>
      </c>
      <c r="D4662" s="58" t="s">
        <v>11766</v>
      </c>
      <c r="E4662" s="60" t="b">
        <v>1</v>
      </c>
      <c r="F4662" s="80" t="s">
        <v>1332</v>
      </c>
      <c r="G4662" s="58" t="s">
        <v>11765</v>
      </c>
      <c r="H4662" s="58" t="s">
        <v>11456</v>
      </c>
      <c r="I4662" s="64" t="s">
        <v>11766</v>
      </c>
      <c r="J4662" s="66"/>
      <c r="K4662" s="66"/>
      <c r="L4662" s="68"/>
      <c r="M4662" s="63" t="str">
        <f>HYPERLINK("http://nsgreg.nga.mil/genc/view?v=869135&amp;end_month=12&amp;end_day=31&amp;end_year=2016","Correlation")</f>
        <v>Correlation</v>
      </c>
    </row>
    <row r="4663" spans="1:13" x14ac:dyDescent="0.2">
      <c r="A4663" s="113"/>
      <c r="B4663" s="58" t="s">
        <v>11767</v>
      </c>
      <c r="C4663" s="58" t="s">
        <v>11459</v>
      </c>
      <c r="D4663" s="58" t="s">
        <v>11768</v>
      </c>
      <c r="E4663" s="60" t="b">
        <v>1</v>
      </c>
      <c r="F4663" s="80" t="s">
        <v>1332</v>
      </c>
      <c r="G4663" s="58" t="s">
        <v>11767</v>
      </c>
      <c r="H4663" s="58" t="s">
        <v>11459</v>
      </c>
      <c r="I4663" s="64" t="s">
        <v>11768</v>
      </c>
      <c r="J4663" s="66"/>
      <c r="K4663" s="66"/>
      <c r="L4663" s="68"/>
      <c r="M4663" s="63" t="str">
        <f>HYPERLINK("http://nsgreg.nga.mil/genc/view?v=869136&amp;end_month=12&amp;end_day=31&amp;end_year=2016","Correlation")</f>
        <v>Correlation</v>
      </c>
    </row>
    <row r="4664" spans="1:13" x14ac:dyDescent="0.2">
      <c r="A4664" s="113"/>
      <c r="B4664" s="58" t="s">
        <v>11769</v>
      </c>
      <c r="C4664" s="58" t="s">
        <v>11456</v>
      </c>
      <c r="D4664" s="58" t="s">
        <v>11770</v>
      </c>
      <c r="E4664" s="60" t="b">
        <v>1</v>
      </c>
      <c r="F4664" s="80" t="s">
        <v>1332</v>
      </c>
      <c r="G4664" s="58" t="s">
        <v>11769</v>
      </c>
      <c r="H4664" s="58" t="s">
        <v>11456</v>
      </c>
      <c r="I4664" s="64" t="s">
        <v>11770</v>
      </c>
      <c r="J4664" s="66"/>
      <c r="K4664" s="66"/>
      <c r="L4664" s="68"/>
      <c r="M4664" s="63" t="str">
        <f>HYPERLINK("http://nsgreg.nga.mil/genc/view?v=869148&amp;end_month=12&amp;end_day=31&amp;end_year=2016","Correlation")</f>
        <v>Correlation</v>
      </c>
    </row>
    <row r="4665" spans="1:13" x14ac:dyDescent="0.2">
      <c r="A4665" s="113"/>
      <c r="B4665" s="58" t="s">
        <v>11771</v>
      </c>
      <c r="C4665" s="58" t="s">
        <v>11456</v>
      </c>
      <c r="D4665" s="58" t="s">
        <v>11772</v>
      </c>
      <c r="E4665" s="60" t="b">
        <v>1</v>
      </c>
      <c r="F4665" s="80" t="s">
        <v>1332</v>
      </c>
      <c r="G4665" s="58" t="s">
        <v>11771</v>
      </c>
      <c r="H4665" s="58" t="s">
        <v>11456</v>
      </c>
      <c r="I4665" s="64" t="s">
        <v>11772</v>
      </c>
      <c r="J4665" s="66"/>
      <c r="K4665" s="66"/>
      <c r="L4665" s="68"/>
      <c r="M4665" s="63" t="str">
        <f>HYPERLINK("http://nsgreg.nga.mil/genc/view?v=869137&amp;end_month=12&amp;end_day=31&amp;end_year=2016","Correlation")</f>
        <v>Correlation</v>
      </c>
    </row>
    <row r="4666" spans="1:13" x14ac:dyDescent="0.2">
      <c r="A4666" s="113"/>
      <c r="B4666" s="58" t="s">
        <v>11773</v>
      </c>
      <c r="C4666" s="58" t="s">
        <v>11579</v>
      </c>
      <c r="D4666" s="58" t="s">
        <v>11774</v>
      </c>
      <c r="E4666" s="60" t="b">
        <v>1</v>
      </c>
      <c r="F4666" s="80" t="s">
        <v>1332</v>
      </c>
      <c r="G4666" s="58" t="s">
        <v>11773</v>
      </c>
      <c r="H4666" s="58" t="s">
        <v>11579</v>
      </c>
      <c r="I4666" s="64" t="s">
        <v>11774</v>
      </c>
      <c r="J4666" s="66"/>
      <c r="K4666" s="66"/>
      <c r="L4666" s="68"/>
      <c r="M4666" s="63" t="str">
        <f>HYPERLINK("http://nsgreg.nga.mil/genc/view?v=869140&amp;end_month=12&amp;end_day=31&amp;end_year=2016","Correlation")</f>
        <v>Correlation</v>
      </c>
    </row>
    <row r="4667" spans="1:13" x14ac:dyDescent="0.2">
      <c r="A4667" s="113"/>
      <c r="B4667" s="58" t="s">
        <v>11775</v>
      </c>
      <c r="C4667" s="58" t="s">
        <v>11436</v>
      </c>
      <c r="D4667" s="58" t="s">
        <v>11776</v>
      </c>
      <c r="E4667" s="60" t="b">
        <v>1</v>
      </c>
      <c r="F4667" s="80" t="s">
        <v>1332</v>
      </c>
      <c r="G4667" s="58" t="s">
        <v>11775</v>
      </c>
      <c r="H4667" s="58" t="s">
        <v>11436</v>
      </c>
      <c r="I4667" s="64" t="s">
        <v>11776</v>
      </c>
      <c r="J4667" s="66"/>
      <c r="K4667" s="66"/>
      <c r="L4667" s="68"/>
      <c r="M4667" s="63" t="str">
        <f>HYPERLINK("http://nsgreg.nga.mil/genc/view?v=869139&amp;end_month=12&amp;end_day=31&amp;end_year=2016","Correlation")</f>
        <v>Correlation</v>
      </c>
    </row>
    <row r="4668" spans="1:13" x14ac:dyDescent="0.2">
      <c r="A4668" s="113"/>
      <c r="B4668" s="58" t="s">
        <v>11777</v>
      </c>
      <c r="C4668" s="58" t="s">
        <v>11456</v>
      </c>
      <c r="D4668" s="58" t="s">
        <v>11778</v>
      </c>
      <c r="E4668" s="60" t="b">
        <v>1</v>
      </c>
      <c r="F4668" s="80" t="s">
        <v>1332</v>
      </c>
      <c r="G4668" s="58" t="s">
        <v>11777</v>
      </c>
      <c r="H4668" s="58" t="s">
        <v>11456</v>
      </c>
      <c r="I4668" s="64" t="s">
        <v>11778</v>
      </c>
      <c r="J4668" s="66"/>
      <c r="K4668" s="66"/>
      <c r="L4668" s="68"/>
      <c r="M4668" s="63" t="str">
        <f>HYPERLINK("http://nsgreg.nga.mil/genc/view?v=869142&amp;end_month=12&amp;end_day=31&amp;end_year=2016","Correlation")</f>
        <v>Correlation</v>
      </c>
    </row>
    <row r="4669" spans="1:13" x14ac:dyDescent="0.2">
      <c r="A4669" s="113"/>
      <c r="B4669" s="58" t="s">
        <v>11779</v>
      </c>
      <c r="C4669" s="58" t="s">
        <v>11456</v>
      </c>
      <c r="D4669" s="58" t="s">
        <v>11780</v>
      </c>
      <c r="E4669" s="60" t="b">
        <v>1</v>
      </c>
      <c r="F4669" s="80" t="s">
        <v>1332</v>
      </c>
      <c r="G4669" s="58" t="s">
        <v>11779</v>
      </c>
      <c r="H4669" s="58" t="s">
        <v>11456</v>
      </c>
      <c r="I4669" s="64" t="s">
        <v>11780</v>
      </c>
      <c r="J4669" s="66"/>
      <c r="K4669" s="66"/>
      <c r="L4669" s="68"/>
      <c r="M4669" s="63" t="str">
        <f>HYPERLINK("http://nsgreg.nga.mil/genc/view?v=869144&amp;end_month=12&amp;end_day=31&amp;end_year=2016","Correlation")</f>
        <v>Correlation</v>
      </c>
    </row>
    <row r="4670" spans="1:13" x14ac:dyDescent="0.2">
      <c r="A4670" s="113"/>
      <c r="B4670" s="58" t="s">
        <v>11781</v>
      </c>
      <c r="C4670" s="58" t="s">
        <v>11436</v>
      </c>
      <c r="D4670" s="58" t="s">
        <v>11782</v>
      </c>
      <c r="E4670" s="60" t="b">
        <v>1</v>
      </c>
      <c r="F4670" s="80" t="s">
        <v>1332</v>
      </c>
      <c r="G4670" s="58" t="s">
        <v>11781</v>
      </c>
      <c r="H4670" s="58" t="s">
        <v>11436</v>
      </c>
      <c r="I4670" s="64" t="s">
        <v>11782</v>
      </c>
      <c r="J4670" s="66"/>
      <c r="K4670" s="66"/>
      <c r="L4670" s="68"/>
      <c r="M4670" s="63" t="str">
        <f>HYPERLINK("http://nsgreg.nga.mil/genc/view?v=869195&amp;end_month=12&amp;end_day=31&amp;end_year=2016","Correlation")</f>
        <v>Correlation</v>
      </c>
    </row>
    <row r="4671" spans="1:13" x14ac:dyDescent="0.2">
      <c r="A4671" s="113"/>
      <c r="B4671" s="58" t="s">
        <v>11783</v>
      </c>
      <c r="C4671" s="58" t="s">
        <v>11459</v>
      </c>
      <c r="D4671" s="58" t="s">
        <v>11784</v>
      </c>
      <c r="E4671" s="60" t="b">
        <v>1</v>
      </c>
      <c r="F4671" s="80" t="s">
        <v>1332</v>
      </c>
      <c r="G4671" s="58" t="s">
        <v>11783</v>
      </c>
      <c r="H4671" s="58" t="s">
        <v>11459</v>
      </c>
      <c r="I4671" s="64" t="s">
        <v>11784</v>
      </c>
      <c r="J4671" s="66"/>
      <c r="K4671" s="66"/>
      <c r="L4671" s="68"/>
      <c r="M4671" s="63" t="str">
        <f>HYPERLINK("http://nsgreg.nga.mil/genc/view?v=869146&amp;end_month=12&amp;end_day=31&amp;end_year=2016","Correlation")</f>
        <v>Correlation</v>
      </c>
    </row>
    <row r="4672" spans="1:13" x14ac:dyDescent="0.2">
      <c r="A4672" s="113"/>
      <c r="B4672" s="58" t="s">
        <v>11785</v>
      </c>
      <c r="C4672" s="58" t="s">
        <v>11459</v>
      </c>
      <c r="D4672" s="58" t="s">
        <v>11786</v>
      </c>
      <c r="E4672" s="60" t="b">
        <v>1</v>
      </c>
      <c r="F4672" s="80" t="s">
        <v>1332</v>
      </c>
      <c r="G4672" s="58" t="s">
        <v>11785</v>
      </c>
      <c r="H4672" s="58" t="s">
        <v>11459</v>
      </c>
      <c r="I4672" s="64" t="s">
        <v>11786</v>
      </c>
      <c r="J4672" s="66"/>
      <c r="K4672" s="66"/>
      <c r="L4672" s="68"/>
      <c r="M4672" s="63" t="str">
        <f>HYPERLINK("http://nsgreg.nga.mil/genc/view?v=869149&amp;end_month=12&amp;end_day=31&amp;end_year=2016","Correlation")</f>
        <v>Correlation</v>
      </c>
    </row>
    <row r="4673" spans="1:13" x14ac:dyDescent="0.2">
      <c r="A4673" s="113"/>
      <c r="B4673" s="58" t="s">
        <v>11787</v>
      </c>
      <c r="C4673" s="58" t="s">
        <v>11456</v>
      </c>
      <c r="D4673" s="58" t="s">
        <v>11788</v>
      </c>
      <c r="E4673" s="60" t="b">
        <v>1</v>
      </c>
      <c r="F4673" s="80" t="s">
        <v>1332</v>
      </c>
      <c r="G4673" s="58" t="s">
        <v>11787</v>
      </c>
      <c r="H4673" s="58" t="s">
        <v>11456</v>
      </c>
      <c r="I4673" s="64" t="s">
        <v>11788</v>
      </c>
      <c r="J4673" s="66"/>
      <c r="K4673" s="66"/>
      <c r="L4673" s="68"/>
      <c r="M4673" s="63" t="str">
        <f>HYPERLINK("http://nsgreg.nga.mil/genc/view?v=869152&amp;end_month=12&amp;end_day=31&amp;end_year=2016","Correlation")</f>
        <v>Correlation</v>
      </c>
    </row>
    <row r="4674" spans="1:13" x14ac:dyDescent="0.2">
      <c r="A4674" s="113"/>
      <c r="B4674" s="58" t="s">
        <v>11789</v>
      </c>
      <c r="C4674" s="58" t="s">
        <v>11496</v>
      </c>
      <c r="D4674" s="58" t="s">
        <v>11790</v>
      </c>
      <c r="E4674" s="60" t="b">
        <v>1</v>
      </c>
      <c r="F4674" s="80" t="s">
        <v>1332</v>
      </c>
      <c r="G4674" s="58" t="s">
        <v>11789</v>
      </c>
      <c r="H4674" s="58" t="s">
        <v>1483</v>
      </c>
      <c r="I4674" s="64" t="s">
        <v>11790</v>
      </c>
      <c r="J4674" s="66"/>
      <c r="K4674" s="66"/>
      <c r="L4674" s="68"/>
      <c r="M4674" s="63" t="str">
        <f>HYPERLINK("http://nsgreg.nga.mil/genc/view?v=869153&amp;end_month=12&amp;end_day=31&amp;end_year=2016","Correlation")</f>
        <v>Correlation</v>
      </c>
    </row>
    <row r="4675" spans="1:13" x14ac:dyDescent="0.2">
      <c r="A4675" s="113"/>
      <c r="B4675" s="58" t="s">
        <v>2334</v>
      </c>
      <c r="C4675" s="58" t="s">
        <v>11459</v>
      </c>
      <c r="D4675" s="58" t="s">
        <v>11791</v>
      </c>
      <c r="E4675" s="60" t="b">
        <v>1</v>
      </c>
      <c r="F4675" s="80" t="s">
        <v>1332</v>
      </c>
      <c r="G4675" s="58" t="s">
        <v>2334</v>
      </c>
      <c r="H4675" s="58" t="s">
        <v>11459</v>
      </c>
      <c r="I4675" s="64" t="s">
        <v>11791</v>
      </c>
      <c r="J4675" s="66"/>
      <c r="K4675" s="66"/>
      <c r="L4675" s="68"/>
      <c r="M4675" s="63" t="str">
        <f>HYPERLINK("http://nsgreg.nga.mil/genc/view?v=869158&amp;end_month=12&amp;end_day=31&amp;end_year=2016","Correlation")</f>
        <v>Correlation</v>
      </c>
    </row>
    <row r="4676" spans="1:13" x14ac:dyDescent="0.2">
      <c r="A4676" s="113"/>
      <c r="B4676" s="58" t="s">
        <v>11792</v>
      </c>
      <c r="C4676" s="58" t="s">
        <v>11436</v>
      </c>
      <c r="D4676" s="58" t="s">
        <v>11793</v>
      </c>
      <c r="E4676" s="60" t="b">
        <v>1</v>
      </c>
      <c r="F4676" s="80" t="s">
        <v>1332</v>
      </c>
      <c r="G4676" s="58" t="s">
        <v>11792</v>
      </c>
      <c r="H4676" s="58" t="s">
        <v>11436</v>
      </c>
      <c r="I4676" s="64" t="s">
        <v>11793</v>
      </c>
      <c r="J4676" s="66"/>
      <c r="K4676" s="66"/>
      <c r="L4676" s="68"/>
      <c r="M4676" s="63" t="str">
        <f>HYPERLINK("http://nsgreg.nga.mil/genc/view?v=869138&amp;end_month=12&amp;end_day=31&amp;end_year=2016","Correlation")</f>
        <v>Correlation</v>
      </c>
    </row>
    <row r="4677" spans="1:13" x14ac:dyDescent="0.2">
      <c r="A4677" s="113"/>
      <c r="B4677" s="58" t="s">
        <v>11794</v>
      </c>
      <c r="C4677" s="58" t="s">
        <v>11459</v>
      </c>
      <c r="D4677" s="58" t="s">
        <v>11795</v>
      </c>
      <c r="E4677" s="60" t="b">
        <v>1</v>
      </c>
      <c r="F4677" s="80" t="s">
        <v>1332</v>
      </c>
      <c r="G4677" s="58" t="s">
        <v>11794</v>
      </c>
      <c r="H4677" s="58" t="s">
        <v>11459</v>
      </c>
      <c r="I4677" s="64" t="s">
        <v>11795</v>
      </c>
      <c r="J4677" s="66"/>
      <c r="K4677" s="66"/>
      <c r="L4677" s="68"/>
      <c r="M4677" s="63" t="str">
        <f>HYPERLINK("http://nsgreg.nga.mil/genc/view?v=869154&amp;end_month=12&amp;end_day=31&amp;end_year=2016","Correlation")</f>
        <v>Correlation</v>
      </c>
    </row>
    <row r="4678" spans="1:13" x14ac:dyDescent="0.2">
      <c r="A4678" s="113"/>
      <c r="B4678" s="58" t="s">
        <v>11796</v>
      </c>
      <c r="C4678" s="58" t="s">
        <v>11459</v>
      </c>
      <c r="D4678" s="58" t="s">
        <v>11797</v>
      </c>
      <c r="E4678" s="60" t="b">
        <v>1</v>
      </c>
      <c r="F4678" s="80" t="s">
        <v>1332</v>
      </c>
      <c r="G4678" s="58" t="s">
        <v>11796</v>
      </c>
      <c r="H4678" s="58" t="s">
        <v>11459</v>
      </c>
      <c r="I4678" s="64" t="s">
        <v>11797</v>
      </c>
      <c r="J4678" s="66"/>
      <c r="K4678" s="66"/>
      <c r="L4678" s="68"/>
      <c r="M4678" s="63" t="str">
        <f>HYPERLINK("http://nsgreg.nga.mil/genc/view?v=869143&amp;end_month=12&amp;end_day=31&amp;end_year=2016","Correlation")</f>
        <v>Correlation</v>
      </c>
    </row>
    <row r="4679" spans="1:13" x14ac:dyDescent="0.2">
      <c r="A4679" s="113"/>
      <c r="B4679" s="58" t="s">
        <v>11798</v>
      </c>
      <c r="C4679" s="58" t="s">
        <v>11436</v>
      </c>
      <c r="D4679" s="58" t="s">
        <v>11799</v>
      </c>
      <c r="E4679" s="60" t="b">
        <v>1</v>
      </c>
      <c r="F4679" s="80" t="s">
        <v>1332</v>
      </c>
      <c r="G4679" s="58" t="s">
        <v>11798</v>
      </c>
      <c r="H4679" s="58" t="s">
        <v>11436</v>
      </c>
      <c r="I4679" s="64" t="s">
        <v>11799</v>
      </c>
      <c r="J4679" s="66"/>
      <c r="K4679" s="66"/>
      <c r="L4679" s="68"/>
      <c r="M4679" s="63" t="str">
        <f>HYPERLINK("http://nsgreg.nga.mil/genc/view?v=869150&amp;end_month=12&amp;end_day=31&amp;end_year=2016","Correlation")</f>
        <v>Correlation</v>
      </c>
    </row>
    <row r="4680" spans="1:13" x14ac:dyDescent="0.2">
      <c r="A4680" s="113"/>
      <c r="B4680" s="58" t="s">
        <v>11800</v>
      </c>
      <c r="C4680" s="58" t="s">
        <v>11456</v>
      </c>
      <c r="D4680" s="58" t="s">
        <v>11801</v>
      </c>
      <c r="E4680" s="60" t="b">
        <v>1</v>
      </c>
      <c r="F4680" s="80" t="s">
        <v>1332</v>
      </c>
      <c r="G4680" s="58" t="s">
        <v>11800</v>
      </c>
      <c r="H4680" s="58" t="s">
        <v>11456</v>
      </c>
      <c r="I4680" s="64" t="s">
        <v>11801</v>
      </c>
      <c r="J4680" s="66"/>
      <c r="K4680" s="66"/>
      <c r="L4680" s="68"/>
      <c r="M4680" s="63" t="str">
        <f>HYPERLINK("http://nsgreg.nga.mil/genc/view?v=869162&amp;end_month=12&amp;end_day=31&amp;end_year=2016","Correlation")</f>
        <v>Correlation</v>
      </c>
    </row>
    <row r="4681" spans="1:13" x14ac:dyDescent="0.2">
      <c r="A4681" s="113"/>
      <c r="B4681" s="58" t="s">
        <v>11802</v>
      </c>
      <c r="C4681" s="58" t="s">
        <v>11451</v>
      </c>
      <c r="D4681" s="58" t="s">
        <v>11803</v>
      </c>
      <c r="E4681" s="60" t="b">
        <v>1</v>
      </c>
      <c r="F4681" s="80" t="s">
        <v>1332</v>
      </c>
      <c r="G4681" s="58" t="s">
        <v>11802</v>
      </c>
      <c r="H4681" s="58" t="s">
        <v>11451</v>
      </c>
      <c r="I4681" s="64" t="s">
        <v>11803</v>
      </c>
      <c r="J4681" s="66"/>
      <c r="K4681" s="66"/>
      <c r="L4681" s="68"/>
      <c r="M4681" s="63" t="str">
        <f>HYPERLINK("http://nsgreg.nga.mil/genc/view?v=869165&amp;end_month=12&amp;end_day=31&amp;end_year=2016","Correlation")</f>
        <v>Correlation</v>
      </c>
    </row>
    <row r="4682" spans="1:13" x14ac:dyDescent="0.2">
      <c r="A4682" s="113"/>
      <c r="B4682" s="58" t="s">
        <v>11804</v>
      </c>
      <c r="C4682" s="58" t="s">
        <v>11496</v>
      </c>
      <c r="D4682" s="58" t="s">
        <v>11805</v>
      </c>
      <c r="E4682" s="60" t="b">
        <v>1</v>
      </c>
      <c r="F4682" s="80" t="s">
        <v>1332</v>
      </c>
      <c r="G4682" s="58" t="s">
        <v>11804</v>
      </c>
      <c r="H4682" s="58" t="s">
        <v>1483</v>
      </c>
      <c r="I4682" s="64" t="s">
        <v>11805</v>
      </c>
      <c r="J4682" s="66"/>
      <c r="K4682" s="66"/>
      <c r="L4682" s="68"/>
      <c r="M4682" s="63" t="str">
        <f>HYPERLINK("http://nsgreg.nga.mil/genc/view?v=869160&amp;end_month=12&amp;end_day=31&amp;end_year=2016","Correlation")</f>
        <v>Correlation</v>
      </c>
    </row>
    <row r="4683" spans="1:13" x14ac:dyDescent="0.2">
      <c r="A4683" s="113"/>
      <c r="B4683" s="58" t="s">
        <v>11806</v>
      </c>
      <c r="C4683" s="58" t="s">
        <v>11456</v>
      </c>
      <c r="D4683" s="58" t="s">
        <v>11807</v>
      </c>
      <c r="E4683" s="60" t="b">
        <v>1</v>
      </c>
      <c r="F4683" s="80" t="s">
        <v>1332</v>
      </c>
      <c r="G4683" s="58" t="s">
        <v>11806</v>
      </c>
      <c r="H4683" s="58" t="s">
        <v>11456</v>
      </c>
      <c r="I4683" s="64" t="s">
        <v>11807</v>
      </c>
      <c r="J4683" s="66"/>
      <c r="K4683" s="66"/>
      <c r="L4683" s="68"/>
      <c r="M4683" s="63" t="str">
        <f>HYPERLINK("http://nsgreg.nga.mil/genc/view?v=869145&amp;end_month=12&amp;end_day=31&amp;end_year=2016","Correlation")</f>
        <v>Correlation</v>
      </c>
    </row>
    <row r="4684" spans="1:13" x14ac:dyDescent="0.2">
      <c r="A4684" s="113"/>
      <c r="B4684" s="58" t="s">
        <v>11808</v>
      </c>
      <c r="C4684" s="58" t="s">
        <v>11436</v>
      </c>
      <c r="D4684" s="58" t="s">
        <v>11809</v>
      </c>
      <c r="E4684" s="60" t="b">
        <v>1</v>
      </c>
      <c r="F4684" s="80" t="s">
        <v>1332</v>
      </c>
      <c r="G4684" s="58" t="s">
        <v>11808</v>
      </c>
      <c r="H4684" s="58" t="s">
        <v>11436</v>
      </c>
      <c r="I4684" s="64" t="s">
        <v>11809</v>
      </c>
      <c r="J4684" s="66"/>
      <c r="K4684" s="66"/>
      <c r="L4684" s="68"/>
      <c r="M4684" s="63" t="str">
        <f>HYPERLINK("http://nsgreg.nga.mil/genc/view?v=869157&amp;end_month=12&amp;end_day=31&amp;end_year=2016","Correlation")</f>
        <v>Correlation</v>
      </c>
    </row>
    <row r="4685" spans="1:13" x14ac:dyDescent="0.2">
      <c r="A4685" s="113"/>
      <c r="B4685" s="58" t="s">
        <v>11810</v>
      </c>
      <c r="C4685" s="58" t="s">
        <v>11456</v>
      </c>
      <c r="D4685" s="58" t="s">
        <v>11811</v>
      </c>
      <c r="E4685" s="60" t="b">
        <v>1</v>
      </c>
      <c r="F4685" s="80" t="s">
        <v>1332</v>
      </c>
      <c r="G4685" s="58" t="s">
        <v>11810</v>
      </c>
      <c r="H4685" s="58" t="s">
        <v>11456</v>
      </c>
      <c r="I4685" s="64" t="s">
        <v>11811</v>
      </c>
      <c r="J4685" s="66"/>
      <c r="K4685" s="66"/>
      <c r="L4685" s="68"/>
      <c r="M4685" s="63" t="str">
        <f>HYPERLINK("http://nsgreg.nga.mil/genc/view?v=869147&amp;end_month=12&amp;end_day=31&amp;end_year=2016","Correlation")</f>
        <v>Correlation</v>
      </c>
    </row>
    <row r="4686" spans="1:13" x14ac:dyDescent="0.2">
      <c r="A4686" s="113"/>
      <c r="B4686" s="58" t="s">
        <v>11812</v>
      </c>
      <c r="C4686" s="58" t="s">
        <v>11459</v>
      </c>
      <c r="D4686" s="58" t="s">
        <v>11813</v>
      </c>
      <c r="E4686" s="60" t="b">
        <v>1</v>
      </c>
      <c r="F4686" s="80" t="s">
        <v>1332</v>
      </c>
      <c r="G4686" s="58" t="s">
        <v>11812</v>
      </c>
      <c r="H4686" s="58" t="s">
        <v>11459</v>
      </c>
      <c r="I4686" s="64" t="s">
        <v>11813</v>
      </c>
      <c r="J4686" s="66"/>
      <c r="K4686" s="66"/>
      <c r="L4686" s="68"/>
      <c r="M4686" s="63" t="str">
        <f>HYPERLINK("http://nsgreg.nga.mil/genc/view?v=869161&amp;end_month=12&amp;end_day=31&amp;end_year=2016","Correlation")</f>
        <v>Correlation</v>
      </c>
    </row>
    <row r="4687" spans="1:13" x14ac:dyDescent="0.2">
      <c r="A4687" s="113"/>
      <c r="B4687" s="58" t="s">
        <v>11814</v>
      </c>
      <c r="C4687" s="58" t="s">
        <v>11459</v>
      </c>
      <c r="D4687" s="58" t="s">
        <v>11815</v>
      </c>
      <c r="E4687" s="60" t="b">
        <v>1</v>
      </c>
      <c r="F4687" s="80" t="s">
        <v>1332</v>
      </c>
      <c r="G4687" s="58" t="s">
        <v>11814</v>
      </c>
      <c r="H4687" s="58" t="s">
        <v>11459</v>
      </c>
      <c r="I4687" s="64" t="s">
        <v>11815</v>
      </c>
      <c r="J4687" s="66"/>
      <c r="K4687" s="66"/>
      <c r="L4687" s="68"/>
      <c r="M4687" s="63" t="str">
        <f>HYPERLINK("http://nsgreg.nga.mil/genc/view?v=869156&amp;end_month=12&amp;end_day=31&amp;end_year=2016","Correlation")</f>
        <v>Correlation</v>
      </c>
    </row>
    <row r="4688" spans="1:13" x14ac:dyDescent="0.2">
      <c r="A4688" s="113"/>
      <c r="B4688" s="58" t="s">
        <v>11816</v>
      </c>
      <c r="C4688" s="58" t="s">
        <v>11496</v>
      </c>
      <c r="D4688" s="58" t="s">
        <v>11817</v>
      </c>
      <c r="E4688" s="60" t="b">
        <v>1</v>
      </c>
      <c r="F4688" s="80" t="s">
        <v>1332</v>
      </c>
      <c r="G4688" s="58" t="s">
        <v>11816</v>
      </c>
      <c r="H4688" s="58" t="s">
        <v>1483</v>
      </c>
      <c r="I4688" s="64" t="s">
        <v>11817</v>
      </c>
      <c r="J4688" s="66"/>
      <c r="K4688" s="66"/>
      <c r="L4688" s="68"/>
      <c r="M4688" s="63" t="str">
        <f>HYPERLINK("http://nsgreg.nga.mil/genc/view?v=869141&amp;end_month=12&amp;end_day=31&amp;end_year=2016","Correlation")</f>
        <v>Correlation</v>
      </c>
    </row>
    <row r="4689" spans="1:13" x14ac:dyDescent="0.2">
      <c r="A4689" s="113"/>
      <c r="B4689" s="58" t="s">
        <v>11818</v>
      </c>
      <c r="C4689" s="58" t="s">
        <v>11456</v>
      </c>
      <c r="D4689" s="58" t="s">
        <v>11819</v>
      </c>
      <c r="E4689" s="60" t="b">
        <v>1</v>
      </c>
      <c r="F4689" s="80" t="s">
        <v>1332</v>
      </c>
      <c r="G4689" s="58" t="s">
        <v>11818</v>
      </c>
      <c r="H4689" s="58" t="s">
        <v>11456</v>
      </c>
      <c r="I4689" s="64" t="s">
        <v>11819</v>
      </c>
      <c r="J4689" s="66"/>
      <c r="K4689" s="66"/>
      <c r="L4689" s="68"/>
      <c r="M4689" s="63" t="str">
        <f>HYPERLINK("http://nsgreg.nga.mil/genc/view?v=869151&amp;end_month=12&amp;end_day=31&amp;end_year=2016","Correlation")</f>
        <v>Correlation</v>
      </c>
    </row>
    <row r="4690" spans="1:13" x14ac:dyDescent="0.2">
      <c r="A4690" s="113"/>
      <c r="B4690" s="58" t="s">
        <v>11820</v>
      </c>
      <c r="C4690" s="58" t="s">
        <v>11496</v>
      </c>
      <c r="D4690" s="58" t="s">
        <v>11821</v>
      </c>
      <c r="E4690" s="60" t="b">
        <v>1</v>
      </c>
      <c r="F4690" s="80" t="s">
        <v>1332</v>
      </c>
      <c r="G4690" s="58" t="s">
        <v>11820</v>
      </c>
      <c r="H4690" s="58" t="s">
        <v>1483</v>
      </c>
      <c r="I4690" s="64" t="s">
        <v>11821</v>
      </c>
      <c r="J4690" s="66"/>
      <c r="K4690" s="66"/>
      <c r="L4690" s="68"/>
      <c r="M4690" s="63" t="str">
        <f>HYPERLINK("http://nsgreg.nga.mil/genc/view?v=869155&amp;end_month=12&amp;end_day=31&amp;end_year=2016","Correlation")</f>
        <v>Correlation</v>
      </c>
    </row>
    <row r="4691" spans="1:13" x14ac:dyDescent="0.2">
      <c r="A4691" s="113"/>
      <c r="B4691" s="58" t="s">
        <v>11822</v>
      </c>
      <c r="C4691" s="58" t="s">
        <v>11451</v>
      </c>
      <c r="D4691" s="58" t="s">
        <v>11823</v>
      </c>
      <c r="E4691" s="60" t="b">
        <v>1</v>
      </c>
      <c r="F4691" s="80" t="s">
        <v>1332</v>
      </c>
      <c r="G4691" s="58" t="s">
        <v>11822</v>
      </c>
      <c r="H4691" s="58" t="s">
        <v>11451</v>
      </c>
      <c r="I4691" s="64" t="s">
        <v>11823</v>
      </c>
      <c r="J4691" s="66"/>
      <c r="K4691" s="66"/>
      <c r="L4691" s="68"/>
      <c r="M4691" s="63" t="str">
        <f>HYPERLINK("http://nsgreg.nga.mil/genc/view?v=869159&amp;end_month=12&amp;end_day=31&amp;end_year=2016","Correlation")</f>
        <v>Correlation</v>
      </c>
    </row>
    <row r="4692" spans="1:13" x14ac:dyDescent="0.2">
      <c r="A4692" s="113"/>
      <c r="B4692" s="58" t="s">
        <v>11824</v>
      </c>
      <c r="C4692" s="58" t="s">
        <v>11475</v>
      </c>
      <c r="D4692" s="58" t="s">
        <v>11825</v>
      </c>
      <c r="E4692" s="60" t="b">
        <v>1</v>
      </c>
      <c r="F4692" s="80" t="s">
        <v>1332</v>
      </c>
      <c r="G4692" s="58" t="s">
        <v>11824</v>
      </c>
      <c r="H4692" s="58" t="s">
        <v>11459</v>
      </c>
      <c r="I4692" s="64" t="s">
        <v>11825</v>
      </c>
      <c r="J4692" s="66"/>
      <c r="K4692" s="66"/>
      <c r="L4692" s="68"/>
      <c r="M4692" s="63" t="str">
        <f>HYPERLINK("http://nsgreg.nga.mil/genc/view?v=869163&amp;end_month=12&amp;end_day=31&amp;end_year=2016","Correlation")</f>
        <v>Correlation</v>
      </c>
    </row>
    <row r="4693" spans="1:13" x14ac:dyDescent="0.2">
      <c r="A4693" s="113"/>
      <c r="B4693" s="58" t="s">
        <v>11826</v>
      </c>
      <c r="C4693" s="58" t="s">
        <v>11459</v>
      </c>
      <c r="D4693" s="58" t="s">
        <v>11827</v>
      </c>
      <c r="E4693" s="60" t="b">
        <v>1</v>
      </c>
      <c r="F4693" s="80" t="s">
        <v>1332</v>
      </c>
      <c r="G4693" s="58" t="s">
        <v>11826</v>
      </c>
      <c r="H4693" s="58" t="s">
        <v>11459</v>
      </c>
      <c r="I4693" s="64" t="s">
        <v>11827</v>
      </c>
      <c r="J4693" s="66"/>
      <c r="K4693" s="66"/>
      <c r="L4693" s="68"/>
      <c r="M4693" s="63" t="str">
        <f>HYPERLINK("http://nsgreg.nga.mil/genc/view?v=869164&amp;end_month=12&amp;end_day=31&amp;end_year=2016","Correlation")</f>
        <v>Correlation</v>
      </c>
    </row>
    <row r="4694" spans="1:13" x14ac:dyDescent="0.2">
      <c r="A4694" s="113"/>
      <c r="B4694" s="58" t="s">
        <v>11828</v>
      </c>
      <c r="C4694" s="58" t="s">
        <v>11456</v>
      </c>
      <c r="D4694" s="58" t="s">
        <v>11829</v>
      </c>
      <c r="E4694" s="60" t="b">
        <v>1</v>
      </c>
      <c r="F4694" s="80" t="s">
        <v>1332</v>
      </c>
      <c r="G4694" s="58" t="s">
        <v>11828</v>
      </c>
      <c r="H4694" s="58" t="s">
        <v>11456</v>
      </c>
      <c r="I4694" s="64" t="s">
        <v>11829</v>
      </c>
      <c r="J4694" s="66"/>
      <c r="K4694" s="66"/>
      <c r="L4694" s="68"/>
      <c r="M4694" s="63" t="str">
        <f>HYPERLINK("http://nsgreg.nga.mil/genc/view?v=869166&amp;end_month=12&amp;end_day=31&amp;end_year=2016","Correlation")</f>
        <v>Correlation</v>
      </c>
    </row>
    <row r="4695" spans="1:13" x14ac:dyDescent="0.2">
      <c r="A4695" s="113"/>
      <c r="B4695" s="58" t="s">
        <v>11830</v>
      </c>
      <c r="C4695" s="58" t="s">
        <v>11459</v>
      </c>
      <c r="D4695" s="58" t="s">
        <v>11831</v>
      </c>
      <c r="E4695" s="60" t="b">
        <v>1</v>
      </c>
      <c r="F4695" s="80" t="s">
        <v>1332</v>
      </c>
      <c r="G4695" s="58" t="s">
        <v>11830</v>
      </c>
      <c r="H4695" s="58" t="s">
        <v>11459</v>
      </c>
      <c r="I4695" s="64" t="s">
        <v>11831</v>
      </c>
      <c r="J4695" s="66"/>
      <c r="K4695" s="66"/>
      <c r="L4695" s="68"/>
      <c r="M4695" s="63" t="str">
        <f>HYPERLINK("http://nsgreg.nga.mil/genc/view?v=869167&amp;end_month=12&amp;end_day=31&amp;end_year=2016","Correlation")</f>
        <v>Correlation</v>
      </c>
    </row>
    <row r="4696" spans="1:13" x14ac:dyDescent="0.2">
      <c r="A4696" s="113"/>
      <c r="B4696" s="58" t="s">
        <v>11832</v>
      </c>
      <c r="C4696" s="58" t="s">
        <v>11459</v>
      </c>
      <c r="D4696" s="58" t="s">
        <v>11833</v>
      </c>
      <c r="E4696" s="60" t="b">
        <v>1</v>
      </c>
      <c r="F4696" s="80" t="s">
        <v>1332</v>
      </c>
      <c r="G4696" s="58" t="s">
        <v>11832</v>
      </c>
      <c r="H4696" s="58" t="s">
        <v>11459</v>
      </c>
      <c r="I4696" s="64" t="s">
        <v>11833</v>
      </c>
      <c r="J4696" s="66"/>
      <c r="K4696" s="66"/>
      <c r="L4696" s="68"/>
      <c r="M4696" s="63" t="str">
        <f>HYPERLINK("http://nsgreg.nga.mil/genc/view?v=869168&amp;end_month=12&amp;end_day=31&amp;end_year=2016","Correlation")</f>
        <v>Correlation</v>
      </c>
    </row>
    <row r="4697" spans="1:13" x14ac:dyDescent="0.2">
      <c r="A4697" s="113"/>
      <c r="B4697" s="58" t="s">
        <v>11834</v>
      </c>
      <c r="C4697" s="58" t="s">
        <v>11459</v>
      </c>
      <c r="D4697" s="58" t="s">
        <v>11835</v>
      </c>
      <c r="E4697" s="60" t="b">
        <v>1</v>
      </c>
      <c r="F4697" s="80" t="s">
        <v>1332</v>
      </c>
      <c r="G4697" s="58" t="s">
        <v>11834</v>
      </c>
      <c r="H4697" s="58" t="s">
        <v>11459</v>
      </c>
      <c r="I4697" s="64" t="s">
        <v>11835</v>
      </c>
      <c r="J4697" s="66"/>
      <c r="K4697" s="66"/>
      <c r="L4697" s="68"/>
      <c r="M4697" s="63" t="str">
        <f>HYPERLINK("http://nsgreg.nga.mil/genc/view?v=869169&amp;end_month=12&amp;end_day=31&amp;end_year=2016","Correlation")</f>
        <v>Correlation</v>
      </c>
    </row>
    <row r="4698" spans="1:13" x14ac:dyDescent="0.2">
      <c r="A4698" s="113"/>
      <c r="B4698" s="58" t="s">
        <v>11836</v>
      </c>
      <c r="C4698" s="58" t="s">
        <v>11475</v>
      </c>
      <c r="D4698" s="58" t="s">
        <v>11837</v>
      </c>
      <c r="E4698" s="60" t="b">
        <v>1</v>
      </c>
      <c r="F4698" s="80" t="s">
        <v>1332</v>
      </c>
      <c r="G4698" s="58" t="s">
        <v>11836</v>
      </c>
      <c r="H4698" s="58" t="s">
        <v>11459</v>
      </c>
      <c r="I4698" s="64" t="s">
        <v>11837</v>
      </c>
      <c r="J4698" s="66"/>
      <c r="K4698" s="66"/>
      <c r="L4698" s="68"/>
      <c r="M4698" s="63" t="str">
        <f>HYPERLINK("http://nsgreg.nga.mil/genc/view?v=869170&amp;end_month=12&amp;end_day=31&amp;end_year=2016","Correlation")</f>
        <v>Correlation</v>
      </c>
    </row>
    <row r="4699" spans="1:13" x14ac:dyDescent="0.2">
      <c r="A4699" s="113"/>
      <c r="B4699" s="58" t="s">
        <v>11838</v>
      </c>
      <c r="C4699" s="58" t="s">
        <v>11451</v>
      </c>
      <c r="D4699" s="58" t="s">
        <v>11839</v>
      </c>
      <c r="E4699" s="60" t="b">
        <v>1</v>
      </c>
      <c r="F4699" s="80" t="s">
        <v>1332</v>
      </c>
      <c r="G4699" s="58" t="s">
        <v>11838</v>
      </c>
      <c r="H4699" s="58" t="s">
        <v>11451</v>
      </c>
      <c r="I4699" s="64" t="s">
        <v>11839</v>
      </c>
      <c r="J4699" s="66"/>
      <c r="K4699" s="66"/>
      <c r="L4699" s="68"/>
      <c r="M4699" s="63" t="str">
        <f>HYPERLINK("http://nsgreg.nga.mil/genc/view?v=869172&amp;end_month=12&amp;end_day=31&amp;end_year=2016","Correlation")</f>
        <v>Correlation</v>
      </c>
    </row>
    <row r="4700" spans="1:13" x14ac:dyDescent="0.2">
      <c r="A4700" s="113"/>
      <c r="B4700" s="58" t="s">
        <v>11840</v>
      </c>
      <c r="C4700" s="58" t="s">
        <v>11456</v>
      </c>
      <c r="D4700" s="58" t="s">
        <v>11841</v>
      </c>
      <c r="E4700" s="60" t="b">
        <v>1</v>
      </c>
      <c r="F4700" s="80" t="s">
        <v>1332</v>
      </c>
      <c r="G4700" s="58" t="s">
        <v>11840</v>
      </c>
      <c r="H4700" s="58" t="s">
        <v>11456</v>
      </c>
      <c r="I4700" s="64" t="s">
        <v>11841</v>
      </c>
      <c r="J4700" s="66"/>
      <c r="K4700" s="66"/>
      <c r="L4700" s="68"/>
      <c r="M4700" s="63" t="str">
        <f>HYPERLINK("http://nsgreg.nga.mil/genc/view?v=869171&amp;end_month=12&amp;end_day=31&amp;end_year=2016","Correlation")</f>
        <v>Correlation</v>
      </c>
    </row>
    <row r="4701" spans="1:13" x14ac:dyDescent="0.2">
      <c r="A4701" s="113"/>
      <c r="B4701" s="58" t="s">
        <v>11842</v>
      </c>
      <c r="C4701" s="58" t="s">
        <v>11475</v>
      </c>
      <c r="D4701" s="58" t="s">
        <v>11843</v>
      </c>
      <c r="E4701" s="60" t="b">
        <v>1</v>
      </c>
      <c r="F4701" s="80" t="s">
        <v>1332</v>
      </c>
      <c r="G4701" s="58" t="s">
        <v>11842</v>
      </c>
      <c r="H4701" s="58" t="s">
        <v>11459</v>
      </c>
      <c r="I4701" s="64" t="s">
        <v>11843</v>
      </c>
      <c r="J4701" s="66"/>
      <c r="K4701" s="66"/>
      <c r="L4701" s="68"/>
      <c r="M4701" s="63" t="str">
        <f>HYPERLINK("http://nsgreg.nga.mil/genc/view?v=869173&amp;end_month=12&amp;end_day=31&amp;end_year=2016","Correlation")</f>
        <v>Correlation</v>
      </c>
    </row>
    <row r="4702" spans="1:13" x14ac:dyDescent="0.2">
      <c r="A4702" s="113"/>
      <c r="B4702" s="58" t="s">
        <v>11844</v>
      </c>
      <c r="C4702" s="58" t="s">
        <v>11456</v>
      </c>
      <c r="D4702" s="58" t="s">
        <v>11845</v>
      </c>
      <c r="E4702" s="60" t="b">
        <v>1</v>
      </c>
      <c r="F4702" s="80" t="s">
        <v>1332</v>
      </c>
      <c r="G4702" s="58" t="s">
        <v>11844</v>
      </c>
      <c r="H4702" s="58" t="s">
        <v>11456</v>
      </c>
      <c r="I4702" s="64" t="s">
        <v>11845</v>
      </c>
      <c r="J4702" s="66"/>
      <c r="K4702" s="66"/>
      <c r="L4702" s="68"/>
      <c r="M4702" s="63" t="str">
        <f>HYPERLINK("http://nsgreg.nga.mil/genc/view?v=869180&amp;end_month=12&amp;end_day=31&amp;end_year=2016","Correlation")</f>
        <v>Correlation</v>
      </c>
    </row>
    <row r="4703" spans="1:13" x14ac:dyDescent="0.2">
      <c r="A4703" s="113"/>
      <c r="B4703" s="58" t="s">
        <v>11846</v>
      </c>
      <c r="C4703" s="58" t="s">
        <v>11579</v>
      </c>
      <c r="D4703" s="58" t="s">
        <v>11847</v>
      </c>
      <c r="E4703" s="60" t="b">
        <v>1</v>
      </c>
      <c r="F4703" s="80" t="s">
        <v>1332</v>
      </c>
      <c r="G4703" s="58" t="s">
        <v>11846</v>
      </c>
      <c r="H4703" s="58" t="s">
        <v>11579</v>
      </c>
      <c r="I4703" s="64" t="s">
        <v>11847</v>
      </c>
      <c r="J4703" s="66"/>
      <c r="K4703" s="66"/>
      <c r="L4703" s="68"/>
      <c r="M4703" s="63" t="str">
        <f>HYPERLINK("http://nsgreg.nga.mil/genc/view?v=869183&amp;end_month=12&amp;end_day=31&amp;end_year=2016","Correlation")</f>
        <v>Correlation</v>
      </c>
    </row>
    <row r="4704" spans="1:13" x14ac:dyDescent="0.2">
      <c r="A4704" s="113"/>
      <c r="B4704" s="58" t="s">
        <v>11848</v>
      </c>
      <c r="C4704" s="58" t="s">
        <v>11456</v>
      </c>
      <c r="D4704" s="58" t="s">
        <v>11849</v>
      </c>
      <c r="E4704" s="60" t="b">
        <v>1</v>
      </c>
      <c r="F4704" s="80" t="s">
        <v>1332</v>
      </c>
      <c r="G4704" s="58" t="s">
        <v>11848</v>
      </c>
      <c r="H4704" s="58" t="s">
        <v>11456</v>
      </c>
      <c r="I4704" s="64" t="s">
        <v>11849</v>
      </c>
      <c r="J4704" s="66"/>
      <c r="K4704" s="66"/>
      <c r="L4704" s="68"/>
      <c r="M4704" s="63" t="str">
        <f>HYPERLINK("http://nsgreg.nga.mil/genc/view?v=869181&amp;end_month=12&amp;end_day=31&amp;end_year=2016","Correlation")</f>
        <v>Correlation</v>
      </c>
    </row>
    <row r="4705" spans="1:13" x14ac:dyDescent="0.2">
      <c r="A4705" s="113"/>
      <c r="B4705" s="58" t="s">
        <v>11850</v>
      </c>
      <c r="C4705" s="58" t="s">
        <v>11451</v>
      </c>
      <c r="D4705" s="58" t="s">
        <v>11851</v>
      </c>
      <c r="E4705" s="60" t="b">
        <v>1</v>
      </c>
      <c r="F4705" s="80" t="s">
        <v>1332</v>
      </c>
      <c r="G4705" s="58" t="s">
        <v>11850</v>
      </c>
      <c r="H4705" s="58" t="s">
        <v>11451</v>
      </c>
      <c r="I4705" s="64" t="s">
        <v>11851</v>
      </c>
      <c r="J4705" s="66"/>
      <c r="K4705" s="66"/>
      <c r="L4705" s="68"/>
      <c r="M4705" s="63" t="str">
        <f>HYPERLINK("http://nsgreg.nga.mil/genc/view?v=869177&amp;end_month=12&amp;end_day=31&amp;end_year=2016","Correlation")</f>
        <v>Correlation</v>
      </c>
    </row>
    <row r="4706" spans="1:13" x14ac:dyDescent="0.2">
      <c r="A4706" s="113"/>
      <c r="B4706" s="58" t="s">
        <v>11852</v>
      </c>
      <c r="C4706" s="58" t="s">
        <v>11451</v>
      </c>
      <c r="D4706" s="58" t="s">
        <v>11853</v>
      </c>
      <c r="E4706" s="60" t="b">
        <v>1</v>
      </c>
      <c r="F4706" s="80" t="s">
        <v>1332</v>
      </c>
      <c r="G4706" s="58" t="s">
        <v>11852</v>
      </c>
      <c r="H4706" s="58" t="s">
        <v>11451</v>
      </c>
      <c r="I4706" s="64" t="s">
        <v>11853</v>
      </c>
      <c r="J4706" s="66"/>
      <c r="K4706" s="66"/>
      <c r="L4706" s="68"/>
      <c r="M4706" s="63" t="str">
        <f>HYPERLINK("http://nsgreg.nga.mil/genc/view?v=869185&amp;end_month=12&amp;end_day=31&amp;end_year=2016","Correlation")</f>
        <v>Correlation</v>
      </c>
    </row>
    <row r="4707" spans="1:13" x14ac:dyDescent="0.2">
      <c r="A4707" s="113"/>
      <c r="B4707" s="58" t="s">
        <v>11854</v>
      </c>
      <c r="C4707" s="58" t="s">
        <v>11459</v>
      </c>
      <c r="D4707" s="58" t="s">
        <v>11855</v>
      </c>
      <c r="E4707" s="60" t="b">
        <v>1</v>
      </c>
      <c r="F4707" s="80" t="s">
        <v>1332</v>
      </c>
      <c r="G4707" s="58" t="s">
        <v>11854</v>
      </c>
      <c r="H4707" s="58" t="s">
        <v>11459</v>
      </c>
      <c r="I4707" s="64" t="s">
        <v>11855</v>
      </c>
      <c r="J4707" s="66"/>
      <c r="K4707" s="66"/>
      <c r="L4707" s="68"/>
      <c r="M4707" s="63" t="str">
        <f>HYPERLINK("http://nsgreg.nga.mil/genc/view?v=869190&amp;end_month=12&amp;end_day=31&amp;end_year=2016","Correlation")</f>
        <v>Correlation</v>
      </c>
    </row>
    <row r="4708" spans="1:13" x14ac:dyDescent="0.2">
      <c r="A4708" s="113"/>
      <c r="B4708" s="58" t="s">
        <v>11856</v>
      </c>
      <c r="C4708" s="58" t="s">
        <v>11496</v>
      </c>
      <c r="D4708" s="58" t="s">
        <v>11857</v>
      </c>
      <c r="E4708" s="60" t="b">
        <v>1</v>
      </c>
      <c r="F4708" s="80" t="s">
        <v>1332</v>
      </c>
      <c r="G4708" s="58" t="s">
        <v>11856</v>
      </c>
      <c r="H4708" s="58" t="s">
        <v>1483</v>
      </c>
      <c r="I4708" s="64" t="s">
        <v>11857</v>
      </c>
      <c r="J4708" s="66"/>
      <c r="K4708" s="66"/>
      <c r="L4708" s="68"/>
      <c r="M4708" s="63" t="str">
        <f>HYPERLINK("http://nsgreg.nga.mil/genc/view?v=869174&amp;end_month=12&amp;end_day=31&amp;end_year=2016","Correlation")</f>
        <v>Correlation</v>
      </c>
    </row>
    <row r="4709" spans="1:13" x14ac:dyDescent="0.2">
      <c r="A4709" s="113"/>
      <c r="B4709" s="58" t="s">
        <v>11858</v>
      </c>
      <c r="C4709" s="58" t="s">
        <v>11459</v>
      </c>
      <c r="D4709" s="58" t="s">
        <v>11859</v>
      </c>
      <c r="E4709" s="60" t="b">
        <v>1</v>
      </c>
      <c r="F4709" s="80" t="s">
        <v>1332</v>
      </c>
      <c r="G4709" s="58" t="s">
        <v>11858</v>
      </c>
      <c r="H4709" s="58" t="s">
        <v>11459</v>
      </c>
      <c r="I4709" s="64" t="s">
        <v>11859</v>
      </c>
      <c r="J4709" s="66"/>
      <c r="K4709" s="66"/>
      <c r="L4709" s="68"/>
      <c r="M4709" s="63" t="str">
        <f>HYPERLINK("http://nsgreg.nga.mil/genc/view?v=869175&amp;end_month=12&amp;end_day=31&amp;end_year=2016","Correlation")</f>
        <v>Correlation</v>
      </c>
    </row>
    <row r="4710" spans="1:13" x14ac:dyDescent="0.2">
      <c r="A4710" s="113"/>
      <c r="B4710" s="58" t="s">
        <v>11860</v>
      </c>
      <c r="C4710" s="58" t="s">
        <v>11436</v>
      </c>
      <c r="D4710" s="58" t="s">
        <v>11861</v>
      </c>
      <c r="E4710" s="60" t="b">
        <v>1</v>
      </c>
      <c r="F4710" s="80" t="s">
        <v>1332</v>
      </c>
      <c r="G4710" s="58" t="s">
        <v>11860</v>
      </c>
      <c r="H4710" s="58" t="s">
        <v>11436</v>
      </c>
      <c r="I4710" s="64" t="s">
        <v>11861</v>
      </c>
      <c r="J4710" s="66"/>
      <c r="K4710" s="66"/>
      <c r="L4710" s="68"/>
      <c r="M4710" s="63" t="str">
        <f>HYPERLINK("http://nsgreg.nga.mil/genc/view?v=869176&amp;end_month=12&amp;end_day=31&amp;end_year=2016","Correlation")</f>
        <v>Correlation</v>
      </c>
    </row>
    <row r="4711" spans="1:13" x14ac:dyDescent="0.2">
      <c r="A4711" s="113"/>
      <c r="B4711" s="58" t="s">
        <v>11862</v>
      </c>
      <c r="C4711" s="58" t="s">
        <v>11436</v>
      </c>
      <c r="D4711" s="58" t="s">
        <v>11863</v>
      </c>
      <c r="E4711" s="60" t="b">
        <v>1</v>
      </c>
      <c r="F4711" s="80" t="s">
        <v>1332</v>
      </c>
      <c r="G4711" s="58" t="s">
        <v>11862</v>
      </c>
      <c r="H4711" s="58" t="s">
        <v>11436</v>
      </c>
      <c r="I4711" s="64" t="s">
        <v>11863</v>
      </c>
      <c r="J4711" s="66"/>
      <c r="K4711" s="66"/>
      <c r="L4711" s="68"/>
      <c r="M4711" s="63" t="str">
        <f>HYPERLINK("http://nsgreg.nga.mil/genc/view?v=869182&amp;end_month=12&amp;end_day=31&amp;end_year=2016","Correlation")</f>
        <v>Correlation</v>
      </c>
    </row>
    <row r="4712" spans="1:13" x14ac:dyDescent="0.2">
      <c r="A4712" s="113"/>
      <c r="B4712" s="58" t="s">
        <v>11864</v>
      </c>
      <c r="C4712" s="58" t="s">
        <v>11451</v>
      </c>
      <c r="D4712" s="58" t="s">
        <v>11865</v>
      </c>
      <c r="E4712" s="60" t="b">
        <v>1</v>
      </c>
      <c r="F4712" s="80" t="s">
        <v>1332</v>
      </c>
      <c r="G4712" s="58" t="s">
        <v>11864</v>
      </c>
      <c r="H4712" s="58" t="s">
        <v>11451</v>
      </c>
      <c r="I4712" s="64" t="s">
        <v>11865</v>
      </c>
      <c r="J4712" s="66"/>
      <c r="K4712" s="66"/>
      <c r="L4712" s="68"/>
      <c r="M4712" s="63" t="str">
        <f>HYPERLINK("http://nsgreg.nga.mil/genc/view?v=869192&amp;end_month=12&amp;end_day=31&amp;end_year=2016","Correlation")</f>
        <v>Correlation</v>
      </c>
    </row>
    <row r="4713" spans="1:13" x14ac:dyDescent="0.2">
      <c r="A4713" s="113"/>
      <c r="B4713" s="58" t="s">
        <v>11866</v>
      </c>
      <c r="C4713" s="58" t="s">
        <v>11496</v>
      </c>
      <c r="D4713" s="58" t="s">
        <v>11867</v>
      </c>
      <c r="E4713" s="60" t="b">
        <v>1</v>
      </c>
      <c r="F4713" s="80" t="s">
        <v>1332</v>
      </c>
      <c r="G4713" s="58" t="s">
        <v>11866</v>
      </c>
      <c r="H4713" s="58" t="s">
        <v>1483</v>
      </c>
      <c r="I4713" s="64" t="s">
        <v>11867</v>
      </c>
      <c r="J4713" s="66"/>
      <c r="K4713" s="66"/>
      <c r="L4713" s="68"/>
      <c r="M4713" s="63" t="str">
        <f>HYPERLINK("http://nsgreg.nga.mil/genc/view?v=869193&amp;end_month=12&amp;end_day=31&amp;end_year=2016","Correlation")</f>
        <v>Correlation</v>
      </c>
    </row>
    <row r="4714" spans="1:13" x14ac:dyDescent="0.2">
      <c r="A4714" s="113"/>
      <c r="B4714" s="58" t="s">
        <v>11868</v>
      </c>
      <c r="C4714" s="58" t="s">
        <v>11456</v>
      </c>
      <c r="D4714" s="58" t="s">
        <v>11869</v>
      </c>
      <c r="E4714" s="60" t="b">
        <v>1</v>
      </c>
      <c r="F4714" s="80" t="s">
        <v>1332</v>
      </c>
      <c r="G4714" s="58" t="s">
        <v>11868</v>
      </c>
      <c r="H4714" s="58" t="s">
        <v>11456</v>
      </c>
      <c r="I4714" s="64" t="s">
        <v>11869</v>
      </c>
      <c r="J4714" s="66"/>
      <c r="K4714" s="66"/>
      <c r="L4714" s="68"/>
      <c r="M4714" s="63" t="str">
        <f>HYPERLINK("http://nsgreg.nga.mil/genc/view?v=869178&amp;end_month=12&amp;end_day=31&amp;end_year=2016","Correlation")</f>
        <v>Correlation</v>
      </c>
    </row>
    <row r="4715" spans="1:13" x14ac:dyDescent="0.2">
      <c r="A4715" s="113"/>
      <c r="B4715" s="58" t="s">
        <v>11870</v>
      </c>
      <c r="C4715" s="58" t="s">
        <v>11459</v>
      </c>
      <c r="D4715" s="58" t="s">
        <v>11871</v>
      </c>
      <c r="E4715" s="60" t="b">
        <v>1</v>
      </c>
      <c r="F4715" s="80" t="s">
        <v>1332</v>
      </c>
      <c r="G4715" s="58" t="s">
        <v>11870</v>
      </c>
      <c r="H4715" s="58" t="s">
        <v>11459</v>
      </c>
      <c r="I4715" s="64" t="s">
        <v>11871</v>
      </c>
      <c r="J4715" s="66"/>
      <c r="K4715" s="66"/>
      <c r="L4715" s="68"/>
      <c r="M4715" s="63" t="str">
        <f>HYPERLINK("http://nsgreg.nga.mil/genc/view?v=869179&amp;end_month=12&amp;end_day=31&amp;end_year=2016","Correlation")</f>
        <v>Correlation</v>
      </c>
    </row>
    <row r="4716" spans="1:13" x14ac:dyDescent="0.2">
      <c r="A4716" s="113"/>
      <c r="B4716" s="58" t="s">
        <v>11872</v>
      </c>
      <c r="C4716" s="58" t="s">
        <v>11459</v>
      </c>
      <c r="D4716" s="58" t="s">
        <v>11873</v>
      </c>
      <c r="E4716" s="60" t="b">
        <v>1</v>
      </c>
      <c r="F4716" s="80" t="s">
        <v>1332</v>
      </c>
      <c r="G4716" s="58" t="s">
        <v>11872</v>
      </c>
      <c r="H4716" s="58" t="s">
        <v>11459</v>
      </c>
      <c r="I4716" s="64" t="s">
        <v>11873</v>
      </c>
      <c r="J4716" s="66"/>
      <c r="K4716" s="66"/>
      <c r="L4716" s="68"/>
      <c r="M4716" s="63" t="str">
        <f>HYPERLINK("http://nsgreg.nga.mil/genc/view?v=869186&amp;end_month=12&amp;end_day=31&amp;end_year=2016","Correlation")</f>
        <v>Correlation</v>
      </c>
    </row>
    <row r="4717" spans="1:13" x14ac:dyDescent="0.2">
      <c r="A4717" s="113"/>
      <c r="B4717" s="58" t="s">
        <v>11874</v>
      </c>
      <c r="C4717" s="58" t="s">
        <v>11456</v>
      </c>
      <c r="D4717" s="58" t="s">
        <v>11875</v>
      </c>
      <c r="E4717" s="60" t="b">
        <v>1</v>
      </c>
      <c r="F4717" s="80" t="s">
        <v>1332</v>
      </c>
      <c r="G4717" s="58" t="s">
        <v>11874</v>
      </c>
      <c r="H4717" s="58" t="s">
        <v>11456</v>
      </c>
      <c r="I4717" s="64" t="s">
        <v>11875</v>
      </c>
      <c r="J4717" s="66"/>
      <c r="K4717" s="66"/>
      <c r="L4717" s="68"/>
      <c r="M4717" s="63" t="str">
        <f>HYPERLINK("http://nsgreg.nga.mil/genc/view?v=869189&amp;end_month=12&amp;end_day=31&amp;end_year=2016","Correlation")</f>
        <v>Correlation</v>
      </c>
    </row>
    <row r="4718" spans="1:13" x14ac:dyDescent="0.2">
      <c r="A4718" s="113"/>
      <c r="B4718" s="58" t="s">
        <v>11876</v>
      </c>
      <c r="C4718" s="58" t="s">
        <v>11459</v>
      </c>
      <c r="D4718" s="58" t="s">
        <v>11877</v>
      </c>
      <c r="E4718" s="60" t="b">
        <v>1</v>
      </c>
      <c r="F4718" s="80" t="s">
        <v>1332</v>
      </c>
      <c r="G4718" s="58" t="s">
        <v>11876</v>
      </c>
      <c r="H4718" s="58" t="s">
        <v>11459</v>
      </c>
      <c r="I4718" s="64" t="s">
        <v>11877</v>
      </c>
      <c r="J4718" s="66"/>
      <c r="K4718" s="66"/>
      <c r="L4718" s="68"/>
      <c r="M4718" s="63" t="str">
        <f>HYPERLINK("http://nsgreg.nga.mil/genc/view?v=869187&amp;end_month=12&amp;end_day=31&amp;end_year=2016","Correlation")</f>
        <v>Correlation</v>
      </c>
    </row>
    <row r="4719" spans="1:13" x14ac:dyDescent="0.2">
      <c r="A4719" s="113"/>
      <c r="B4719" s="58" t="s">
        <v>11878</v>
      </c>
      <c r="C4719" s="58" t="s">
        <v>11456</v>
      </c>
      <c r="D4719" s="58" t="s">
        <v>11879</v>
      </c>
      <c r="E4719" s="60" t="b">
        <v>1</v>
      </c>
      <c r="F4719" s="80" t="s">
        <v>1332</v>
      </c>
      <c r="G4719" s="58" t="s">
        <v>11878</v>
      </c>
      <c r="H4719" s="58" t="s">
        <v>11456</v>
      </c>
      <c r="I4719" s="64" t="s">
        <v>11879</v>
      </c>
      <c r="J4719" s="66"/>
      <c r="K4719" s="66"/>
      <c r="L4719" s="68"/>
      <c r="M4719" s="63" t="str">
        <f>HYPERLINK("http://nsgreg.nga.mil/genc/view?v=869184&amp;end_month=12&amp;end_day=31&amp;end_year=2016","Correlation")</f>
        <v>Correlation</v>
      </c>
    </row>
    <row r="4720" spans="1:13" x14ac:dyDescent="0.2">
      <c r="A4720" s="113"/>
      <c r="B4720" s="58" t="s">
        <v>11880</v>
      </c>
      <c r="C4720" s="58" t="s">
        <v>11496</v>
      </c>
      <c r="D4720" s="58" t="s">
        <v>11881</v>
      </c>
      <c r="E4720" s="60" t="b">
        <v>1</v>
      </c>
      <c r="F4720" s="80" t="s">
        <v>1332</v>
      </c>
      <c r="G4720" s="58" t="s">
        <v>11880</v>
      </c>
      <c r="H4720" s="58" t="s">
        <v>1483</v>
      </c>
      <c r="I4720" s="64" t="s">
        <v>11881</v>
      </c>
      <c r="J4720" s="66"/>
      <c r="K4720" s="66"/>
      <c r="L4720" s="68"/>
      <c r="M4720" s="63" t="str">
        <f>HYPERLINK("http://nsgreg.nga.mil/genc/view?v=869188&amp;end_month=12&amp;end_day=31&amp;end_year=2016","Correlation")</f>
        <v>Correlation</v>
      </c>
    </row>
    <row r="4721" spans="1:13" x14ac:dyDescent="0.2">
      <c r="A4721" s="113"/>
      <c r="B4721" s="58" t="s">
        <v>11882</v>
      </c>
      <c r="C4721" s="58" t="s">
        <v>11475</v>
      </c>
      <c r="D4721" s="58" t="s">
        <v>11883</v>
      </c>
      <c r="E4721" s="60" t="b">
        <v>1</v>
      </c>
      <c r="F4721" s="80" t="s">
        <v>1332</v>
      </c>
      <c r="G4721" s="58" t="s">
        <v>11882</v>
      </c>
      <c r="H4721" s="58" t="s">
        <v>11459</v>
      </c>
      <c r="I4721" s="64" t="s">
        <v>11883</v>
      </c>
      <c r="J4721" s="66"/>
      <c r="K4721" s="66"/>
      <c r="L4721" s="68"/>
      <c r="M4721" s="63" t="str">
        <f>HYPERLINK("http://nsgreg.nga.mil/genc/view?v=869191&amp;end_month=12&amp;end_day=31&amp;end_year=2016","Correlation")</f>
        <v>Correlation</v>
      </c>
    </row>
    <row r="4722" spans="1:13" x14ac:dyDescent="0.2">
      <c r="A4722" s="114"/>
      <c r="B4722" s="71" t="s">
        <v>11884</v>
      </c>
      <c r="C4722" s="71" t="s">
        <v>11459</v>
      </c>
      <c r="D4722" s="71" t="s">
        <v>11885</v>
      </c>
      <c r="E4722" s="73" t="b">
        <v>1</v>
      </c>
      <c r="F4722" s="81" t="s">
        <v>1332</v>
      </c>
      <c r="G4722" s="71" t="s">
        <v>11884</v>
      </c>
      <c r="H4722" s="71" t="s">
        <v>11459</v>
      </c>
      <c r="I4722" s="74" t="s">
        <v>11885</v>
      </c>
      <c r="J4722" s="76"/>
      <c r="K4722" s="76"/>
      <c r="L4722" s="82"/>
      <c r="M4722" s="77" t="str">
        <f>HYPERLINK("http://nsgreg.nga.mil/genc/view?v=869194&amp;end_month=12&amp;end_day=31&amp;end_year=2016","Correlation")</f>
        <v>Correlation</v>
      </c>
    </row>
    <row r="4723" spans="1:13" x14ac:dyDescent="0.2">
      <c r="A4723" s="112" t="s">
        <v>245</v>
      </c>
      <c r="B4723" s="50" t="s">
        <v>249</v>
      </c>
      <c r="C4723" s="50" t="s">
        <v>12555</v>
      </c>
      <c r="D4723" s="50" t="s">
        <v>250</v>
      </c>
      <c r="E4723" s="52" t="b">
        <v>1</v>
      </c>
      <c r="F4723" s="78" t="s">
        <v>241</v>
      </c>
      <c r="G4723" s="89"/>
      <c r="H4723" s="89"/>
      <c r="I4723" s="55"/>
      <c r="J4723" s="53" t="s">
        <v>242</v>
      </c>
      <c r="K4723" s="53" t="s">
        <v>243</v>
      </c>
      <c r="L4723" s="54" t="s">
        <v>244</v>
      </c>
      <c r="M4723" s="56" t="str">
        <f>HYPERLINK("http://nsgreg.nga.mil/genc/view?v=872287&amp;end_month=12&amp;end_day=31&amp;end_year=2016","Correlation")</f>
        <v>Correlation</v>
      </c>
    </row>
    <row r="4724" spans="1:13" x14ac:dyDescent="0.2">
      <c r="A4724" s="113"/>
      <c r="B4724" s="58" t="s">
        <v>689</v>
      </c>
      <c r="C4724" s="58" t="s">
        <v>12555</v>
      </c>
      <c r="D4724" s="58" t="s">
        <v>690</v>
      </c>
      <c r="E4724" s="60" t="b">
        <v>1</v>
      </c>
      <c r="F4724" s="80" t="s">
        <v>685</v>
      </c>
      <c r="G4724" s="88"/>
      <c r="H4724" s="88"/>
      <c r="I4724" s="66"/>
      <c r="J4724" s="64" t="s">
        <v>686</v>
      </c>
      <c r="K4724" s="64" t="s">
        <v>687</v>
      </c>
      <c r="L4724" s="65" t="s">
        <v>688</v>
      </c>
      <c r="M4724" s="63" t="str">
        <f>HYPERLINK("http://nsgreg.nga.mil/genc/view?v=872288&amp;end_month=12&amp;end_day=31&amp;end_year=2016","Correlation")</f>
        <v>Correlation</v>
      </c>
    </row>
    <row r="4725" spans="1:13" x14ac:dyDescent="0.2">
      <c r="A4725" s="113"/>
      <c r="B4725" s="58" t="s">
        <v>754</v>
      </c>
      <c r="C4725" s="58" t="s">
        <v>12555</v>
      </c>
      <c r="D4725" s="58" t="s">
        <v>755</v>
      </c>
      <c r="E4725" s="60" t="b">
        <v>1</v>
      </c>
      <c r="F4725" s="80" t="s">
        <v>750</v>
      </c>
      <c r="G4725" s="88"/>
      <c r="H4725" s="88"/>
      <c r="I4725" s="66"/>
      <c r="J4725" s="64" t="s">
        <v>751</v>
      </c>
      <c r="K4725" s="64" t="s">
        <v>752</v>
      </c>
      <c r="L4725" s="65" t="s">
        <v>753</v>
      </c>
      <c r="M4725" s="63" t="str">
        <f>HYPERLINK("http://nsgreg.nga.mil/genc/view?v=872289&amp;end_month=12&amp;end_day=31&amp;end_year=2016","Correlation")</f>
        <v>Correlation</v>
      </c>
    </row>
    <row r="4726" spans="1:13" x14ac:dyDescent="0.2">
      <c r="A4726" s="113"/>
      <c r="B4726" s="58" t="s">
        <v>764</v>
      </c>
      <c r="C4726" s="58" t="s">
        <v>12555</v>
      </c>
      <c r="D4726" s="58" t="s">
        <v>765</v>
      </c>
      <c r="E4726" s="60" t="b">
        <v>1</v>
      </c>
      <c r="F4726" s="80" t="s">
        <v>760</v>
      </c>
      <c r="G4726" s="88"/>
      <c r="H4726" s="88"/>
      <c r="I4726" s="66"/>
      <c r="J4726" s="64" t="s">
        <v>761</v>
      </c>
      <c r="K4726" s="64" t="s">
        <v>762</v>
      </c>
      <c r="L4726" s="65" t="s">
        <v>763</v>
      </c>
      <c r="M4726" s="63" t="str">
        <f>HYPERLINK("http://nsgreg.nga.mil/genc/view?v=872283&amp;end_month=12&amp;end_day=31&amp;end_year=2016","Correlation")</f>
        <v>Correlation</v>
      </c>
    </row>
    <row r="4727" spans="1:13" x14ac:dyDescent="0.2">
      <c r="A4727" s="113"/>
      <c r="B4727" s="58" t="s">
        <v>786</v>
      </c>
      <c r="C4727" s="58" t="s">
        <v>12555</v>
      </c>
      <c r="D4727" s="58" t="s">
        <v>787</v>
      </c>
      <c r="E4727" s="60" t="b">
        <v>1</v>
      </c>
      <c r="F4727" s="80" t="s">
        <v>782</v>
      </c>
      <c r="G4727" s="88"/>
      <c r="H4727" s="88"/>
      <c r="I4727" s="66"/>
      <c r="J4727" s="64" t="s">
        <v>783</v>
      </c>
      <c r="K4727" s="64" t="s">
        <v>784</v>
      </c>
      <c r="L4727" s="65" t="s">
        <v>785</v>
      </c>
      <c r="M4727" s="63" t="str">
        <f>HYPERLINK("http://nsgreg.nga.mil/genc/view?v=872290&amp;end_month=12&amp;end_day=31&amp;end_year=2016","Correlation")</f>
        <v>Correlation</v>
      </c>
    </row>
    <row r="4728" spans="1:13" x14ac:dyDescent="0.2">
      <c r="A4728" s="113"/>
      <c r="B4728" s="58" t="s">
        <v>927</v>
      </c>
      <c r="C4728" s="58" t="s">
        <v>12555</v>
      </c>
      <c r="D4728" s="58" t="s">
        <v>928</v>
      </c>
      <c r="E4728" s="60" t="b">
        <v>1</v>
      </c>
      <c r="F4728" s="80" t="s">
        <v>923</v>
      </c>
      <c r="G4728" s="88"/>
      <c r="H4728" s="88"/>
      <c r="I4728" s="66"/>
      <c r="J4728" s="64" t="s">
        <v>924</v>
      </c>
      <c r="K4728" s="64" t="s">
        <v>925</v>
      </c>
      <c r="L4728" s="65" t="s">
        <v>926</v>
      </c>
      <c r="M4728" s="63" t="str">
        <f>HYPERLINK("http://nsgreg.nga.mil/genc/view?v=872284&amp;end_month=12&amp;end_day=31&amp;end_year=2016","Correlation")</f>
        <v>Correlation</v>
      </c>
    </row>
    <row r="4729" spans="1:13" x14ac:dyDescent="0.2">
      <c r="A4729" s="113"/>
      <c r="B4729" s="58" t="s">
        <v>970</v>
      </c>
      <c r="C4729" s="58" t="s">
        <v>12555</v>
      </c>
      <c r="D4729" s="58" t="s">
        <v>971</v>
      </c>
      <c r="E4729" s="60" t="b">
        <v>1</v>
      </c>
      <c r="F4729" s="80" t="s">
        <v>966</v>
      </c>
      <c r="G4729" s="88"/>
      <c r="H4729" s="88"/>
      <c r="I4729" s="66"/>
      <c r="J4729" s="64" t="s">
        <v>967</v>
      </c>
      <c r="K4729" s="64" t="s">
        <v>968</v>
      </c>
      <c r="L4729" s="65" t="s">
        <v>969</v>
      </c>
      <c r="M4729" s="63" t="str">
        <f>HYPERLINK("http://nsgreg.nga.mil/genc/view?v=872285&amp;end_month=12&amp;end_day=31&amp;end_year=2016","Correlation")</f>
        <v>Correlation</v>
      </c>
    </row>
    <row r="4730" spans="1:13" x14ac:dyDescent="0.2">
      <c r="A4730" s="113"/>
      <c r="B4730" s="58" t="s">
        <v>1032</v>
      </c>
      <c r="C4730" s="58" t="s">
        <v>12555</v>
      </c>
      <c r="D4730" s="58" t="s">
        <v>1033</v>
      </c>
      <c r="E4730" s="60" t="b">
        <v>1</v>
      </c>
      <c r="F4730" s="80" t="s">
        <v>1028</v>
      </c>
      <c r="G4730" s="88"/>
      <c r="H4730" s="88"/>
      <c r="I4730" s="66"/>
      <c r="J4730" s="64" t="s">
        <v>1029</v>
      </c>
      <c r="K4730" s="64" t="s">
        <v>1030</v>
      </c>
      <c r="L4730" s="65" t="s">
        <v>1031</v>
      </c>
      <c r="M4730" s="63" t="str">
        <f>HYPERLINK("http://nsgreg.nga.mil/genc/view?v=872291&amp;end_month=12&amp;end_day=31&amp;end_year=2016","Correlation")</f>
        <v>Correlation</v>
      </c>
    </row>
    <row r="4731" spans="1:13" x14ac:dyDescent="0.2">
      <c r="A4731" s="114"/>
      <c r="B4731" s="71" t="s">
        <v>1383</v>
      </c>
      <c r="C4731" s="71" t="s">
        <v>12555</v>
      </c>
      <c r="D4731" s="71" t="s">
        <v>1384</v>
      </c>
      <c r="E4731" s="73" t="b">
        <v>1</v>
      </c>
      <c r="F4731" s="81" t="s">
        <v>1379</v>
      </c>
      <c r="G4731" s="90"/>
      <c r="H4731" s="90"/>
      <c r="I4731" s="76"/>
      <c r="J4731" s="74" t="s">
        <v>1380</v>
      </c>
      <c r="K4731" s="74" t="s">
        <v>1381</v>
      </c>
      <c r="L4731" s="75" t="s">
        <v>1382</v>
      </c>
      <c r="M4731" s="77" t="str">
        <f>HYPERLINK("http://nsgreg.nga.mil/genc/view?v=872286&amp;end_month=12&amp;end_day=31&amp;end_year=2016","Correlation")</f>
        <v>Correlation</v>
      </c>
    </row>
    <row r="4732" spans="1:13" x14ac:dyDescent="0.2">
      <c r="A4732" s="112" t="s">
        <v>1341</v>
      </c>
      <c r="B4732" s="50" t="s">
        <v>11886</v>
      </c>
      <c r="C4732" s="50" t="s">
        <v>1763</v>
      </c>
      <c r="D4732" s="50" t="s">
        <v>11887</v>
      </c>
      <c r="E4732" s="52" t="b">
        <v>1</v>
      </c>
      <c r="F4732" s="78" t="s">
        <v>1337</v>
      </c>
      <c r="G4732" s="50" t="s">
        <v>11886</v>
      </c>
      <c r="H4732" s="50" t="s">
        <v>1763</v>
      </c>
      <c r="I4732" s="53" t="s">
        <v>11887</v>
      </c>
      <c r="J4732" s="55"/>
      <c r="K4732" s="55"/>
      <c r="L4732" s="79"/>
      <c r="M4732" s="56" t="str">
        <f>HYPERLINK("http://nsgreg.nga.mil/genc/view?v=872293&amp;end_month=12&amp;end_day=31&amp;end_year=2016","Correlation")</f>
        <v>Correlation</v>
      </c>
    </row>
    <row r="4733" spans="1:13" x14ac:dyDescent="0.2">
      <c r="A4733" s="113"/>
      <c r="B4733" s="58" t="s">
        <v>11888</v>
      </c>
      <c r="C4733" s="58" t="s">
        <v>1763</v>
      </c>
      <c r="D4733" s="58" t="s">
        <v>11889</v>
      </c>
      <c r="E4733" s="60" t="b">
        <v>1</v>
      </c>
      <c r="F4733" s="80" t="s">
        <v>1337</v>
      </c>
      <c r="G4733" s="58" t="s">
        <v>11888</v>
      </c>
      <c r="H4733" s="58" t="s">
        <v>1763</v>
      </c>
      <c r="I4733" s="64" t="s">
        <v>11889</v>
      </c>
      <c r="J4733" s="66"/>
      <c r="K4733" s="66"/>
      <c r="L4733" s="68"/>
      <c r="M4733" s="63" t="str">
        <f>HYPERLINK("http://nsgreg.nga.mil/genc/view?v=872292&amp;end_month=12&amp;end_day=31&amp;end_year=2016","Correlation")</f>
        <v>Correlation</v>
      </c>
    </row>
    <row r="4734" spans="1:13" x14ac:dyDescent="0.2">
      <c r="A4734" s="113"/>
      <c r="B4734" s="58" t="s">
        <v>180</v>
      </c>
      <c r="C4734" s="58" t="s">
        <v>12556</v>
      </c>
      <c r="D4734" s="58" t="s">
        <v>181</v>
      </c>
      <c r="E4734" s="60" t="b">
        <v>1</v>
      </c>
      <c r="F4734" s="80" t="s">
        <v>176</v>
      </c>
      <c r="G4734" s="88"/>
      <c r="H4734" s="88"/>
      <c r="I4734" s="66"/>
      <c r="J4734" s="64" t="s">
        <v>177</v>
      </c>
      <c r="K4734" s="64" t="s">
        <v>178</v>
      </c>
      <c r="L4734" s="65" t="s">
        <v>179</v>
      </c>
      <c r="M4734" s="63" t="str">
        <f>HYPERLINK("http://nsgreg.nga.mil/genc/view?v=872295&amp;end_month=12&amp;end_day=31&amp;end_year=2016","Correlation")</f>
        <v>Correlation</v>
      </c>
    </row>
    <row r="4735" spans="1:13" x14ac:dyDescent="0.2">
      <c r="A4735" s="113"/>
      <c r="B4735" s="58" t="s">
        <v>11890</v>
      </c>
      <c r="C4735" s="58" t="s">
        <v>1763</v>
      </c>
      <c r="D4735" s="58" t="s">
        <v>11891</v>
      </c>
      <c r="E4735" s="60" t="b">
        <v>1</v>
      </c>
      <c r="F4735" s="80" t="s">
        <v>1337</v>
      </c>
      <c r="G4735" s="58" t="s">
        <v>11890</v>
      </c>
      <c r="H4735" s="58" t="s">
        <v>1763</v>
      </c>
      <c r="I4735" s="64" t="s">
        <v>11891</v>
      </c>
      <c r="J4735" s="66"/>
      <c r="K4735" s="66"/>
      <c r="L4735" s="68"/>
      <c r="M4735" s="63" t="str">
        <f>HYPERLINK("http://nsgreg.nga.mil/genc/view?v=872296&amp;end_month=12&amp;end_day=31&amp;end_year=2016","Correlation")</f>
        <v>Correlation</v>
      </c>
    </row>
    <row r="4736" spans="1:13" x14ac:dyDescent="0.2">
      <c r="A4736" s="113"/>
      <c r="B4736" s="58" t="s">
        <v>11892</v>
      </c>
      <c r="C4736" s="58" t="s">
        <v>1763</v>
      </c>
      <c r="D4736" s="58" t="s">
        <v>11893</v>
      </c>
      <c r="E4736" s="60" t="b">
        <v>1</v>
      </c>
      <c r="F4736" s="80" t="s">
        <v>1337</v>
      </c>
      <c r="G4736" s="58" t="s">
        <v>11892</v>
      </c>
      <c r="H4736" s="58" t="s">
        <v>1763</v>
      </c>
      <c r="I4736" s="64" t="s">
        <v>11893</v>
      </c>
      <c r="J4736" s="66"/>
      <c r="K4736" s="66"/>
      <c r="L4736" s="68"/>
      <c r="M4736" s="63" t="str">
        <f>HYPERLINK("http://nsgreg.nga.mil/genc/view?v=872294&amp;end_month=12&amp;end_day=31&amp;end_year=2016","Correlation")</f>
        <v>Correlation</v>
      </c>
    </row>
    <row r="4737" spans="1:13" x14ac:dyDescent="0.2">
      <c r="A4737" s="113"/>
      <c r="B4737" s="58" t="s">
        <v>11894</v>
      </c>
      <c r="C4737" s="58" t="s">
        <v>1763</v>
      </c>
      <c r="D4737" s="58" t="s">
        <v>11895</v>
      </c>
      <c r="E4737" s="60" t="b">
        <v>1</v>
      </c>
      <c r="F4737" s="80" t="s">
        <v>1337</v>
      </c>
      <c r="G4737" s="58" t="s">
        <v>11894</v>
      </c>
      <c r="H4737" s="58" t="s">
        <v>1763</v>
      </c>
      <c r="I4737" s="64" t="s">
        <v>11895</v>
      </c>
      <c r="J4737" s="66"/>
      <c r="K4737" s="66"/>
      <c r="L4737" s="68"/>
      <c r="M4737" s="63" t="str">
        <f>HYPERLINK("http://nsgreg.nga.mil/genc/view?v=872297&amp;end_month=12&amp;end_day=31&amp;end_year=2016","Correlation")</f>
        <v>Correlation</v>
      </c>
    </row>
    <row r="4738" spans="1:13" x14ac:dyDescent="0.2">
      <c r="A4738" s="113"/>
      <c r="B4738" s="58" t="s">
        <v>11896</v>
      </c>
      <c r="C4738" s="58" t="s">
        <v>1763</v>
      </c>
      <c r="D4738" s="58" t="s">
        <v>11897</v>
      </c>
      <c r="E4738" s="60" t="b">
        <v>1</v>
      </c>
      <c r="F4738" s="80" t="s">
        <v>1337</v>
      </c>
      <c r="G4738" s="58" t="s">
        <v>11896</v>
      </c>
      <c r="H4738" s="58" t="s">
        <v>1763</v>
      </c>
      <c r="I4738" s="64" t="s">
        <v>11897</v>
      </c>
      <c r="J4738" s="66"/>
      <c r="K4738" s="66"/>
      <c r="L4738" s="68"/>
      <c r="M4738" s="63" t="str">
        <f>HYPERLINK("http://nsgreg.nga.mil/genc/view?v=872298&amp;end_month=12&amp;end_day=31&amp;end_year=2016","Correlation")</f>
        <v>Correlation</v>
      </c>
    </row>
    <row r="4739" spans="1:13" x14ac:dyDescent="0.2">
      <c r="A4739" s="113"/>
      <c r="B4739" s="58" t="s">
        <v>11898</v>
      </c>
      <c r="C4739" s="58" t="s">
        <v>1763</v>
      </c>
      <c r="D4739" s="58" t="s">
        <v>11899</v>
      </c>
      <c r="E4739" s="60" t="b">
        <v>1</v>
      </c>
      <c r="F4739" s="80" t="s">
        <v>1337</v>
      </c>
      <c r="G4739" s="58" t="s">
        <v>11898</v>
      </c>
      <c r="H4739" s="58" t="s">
        <v>1763</v>
      </c>
      <c r="I4739" s="64" t="s">
        <v>11899</v>
      </c>
      <c r="J4739" s="66"/>
      <c r="K4739" s="66"/>
      <c r="L4739" s="68"/>
      <c r="M4739" s="63" t="str">
        <f>HYPERLINK("http://nsgreg.nga.mil/genc/view?v=872299&amp;end_month=12&amp;end_day=31&amp;end_year=2016","Correlation")</f>
        <v>Correlation</v>
      </c>
    </row>
    <row r="4740" spans="1:13" x14ac:dyDescent="0.2">
      <c r="A4740" s="113"/>
      <c r="B4740" s="58" t="s">
        <v>11900</v>
      </c>
      <c r="C4740" s="58" t="s">
        <v>1763</v>
      </c>
      <c r="D4740" s="58" t="s">
        <v>11901</v>
      </c>
      <c r="E4740" s="60" t="b">
        <v>1</v>
      </c>
      <c r="F4740" s="80" t="s">
        <v>1337</v>
      </c>
      <c r="G4740" s="58" t="s">
        <v>11900</v>
      </c>
      <c r="H4740" s="58" t="s">
        <v>1763</v>
      </c>
      <c r="I4740" s="64" t="s">
        <v>11901</v>
      </c>
      <c r="J4740" s="66"/>
      <c r="K4740" s="66"/>
      <c r="L4740" s="68"/>
      <c r="M4740" s="63" t="str">
        <f>HYPERLINK("http://nsgreg.nga.mil/genc/view?v=872301&amp;end_month=12&amp;end_day=31&amp;end_year=2016","Correlation")</f>
        <v>Correlation</v>
      </c>
    </row>
    <row r="4741" spans="1:13" x14ac:dyDescent="0.2">
      <c r="A4741" s="113"/>
      <c r="B4741" s="58" t="s">
        <v>11902</v>
      </c>
      <c r="C4741" s="58" t="s">
        <v>1796</v>
      </c>
      <c r="D4741" s="58" t="s">
        <v>11903</v>
      </c>
      <c r="E4741" s="60" t="b">
        <v>1</v>
      </c>
      <c r="F4741" s="80" t="s">
        <v>1337</v>
      </c>
      <c r="G4741" s="58" t="s">
        <v>11902</v>
      </c>
      <c r="H4741" s="58" t="s">
        <v>1796</v>
      </c>
      <c r="I4741" s="64" t="s">
        <v>11903</v>
      </c>
      <c r="J4741" s="66"/>
      <c r="K4741" s="66"/>
      <c r="L4741" s="68"/>
      <c r="M4741" s="63" t="str">
        <f>HYPERLINK("http://nsgreg.nga.mil/genc/view?v=872300&amp;end_month=12&amp;end_day=31&amp;end_year=2016","Correlation")</f>
        <v>Correlation</v>
      </c>
    </row>
    <row r="4742" spans="1:13" x14ac:dyDescent="0.2">
      <c r="A4742" s="113"/>
      <c r="B4742" s="58" t="s">
        <v>11904</v>
      </c>
      <c r="C4742" s="58" t="s">
        <v>1763</v>
      </c>
      <c r="D4742" s="58" t="s">
        <v>11905</v>
      </c>
      <c r="E4742" s="60" t="b">
        <v>1</v>
      </c>
      <c r="F4742" s="80" t="s">
        <v>1337</v>
      </c>
      <c r="G4742" s="58" t="s">
        <v>11904</v>
      </c>
      <c r="H4742" s="58" t="s">
        <v>1763</v>
      </c>
      <c r="I4742" s="64" t="s">
        <v>11905</v>
      </c>
      <c r="J4742" s="66"/>
      <c r="K4742" s="66"/>
      <c r="L4742" s="68"/>
      <c r="M4742" s="63" t="str">
        <f>HYPERLINK("http://nsgreg.nga.mil/genc/view?v=872302&amp;end_month=12&amp;end_day=31&amp;end_year=2016","Correlation")</f>
        <v>Correlation</v>
      </c>
    </row>
    <row r="4743" spans="1:13" x14ac:dyDescent="0.2">
      <c r="A4743" s="113"/>
      <c r="B4743" s="58" t="s">
        <v>11906</v>
      </c>
      <c r="C4743" s="58" t="s">
        <v>1763</v>
      </c>
      <c r="D4743" s="58" t="s">
        <v>11907</v>
      </c>
      <c r="E4743" s="60" t="b">
        <v>1</v>
      </c>
      <c r="F4743" s="80" t="s">
        <v>1337</v>
      </c>
      <c r="G4743" s="58" t="s">
        <v>11906</v>
      </c>
      <c r="H4743" s="58" t="s">
        <v>1763</v>
      </c>
      <c r="I4743" s="64" t="s">
        <v>11907</v>
      </c>
      <c r="J4743" s="66"/>
      <c r="K4743" s="66"/>
      <c r="L4743" s="68"/>
      <c r="M4743" s="63" t="str">
        <f>HYPERLINK("http://nsgreg.nga.mil/genc/view?v=872303&amp;end_month=12&amp;end_day=31&amp;end_year=2016","Correlation")</f>
        <v>Correlation</v>
      </c>
    </row>
    <row r="4744" spans="1:13" x14ac:dyDescent="0.2">
      <c r="A4744" s="113"/>
      <c r="B4744" s="58" t="s">
        <v>641</v>
      </c>
      <c r="C4744" s="58" t="s">
        <v>12556</v>
      </c>
      <c r="D4744" s="58" t="s">
        <v>642</v>
      </c>
      <c r="E4744" s="60" t="b">
        <v>1</v>
      </c>
      <c r="F4744" s="80" t="s">
        <v>637</v>
      </c>
      <c r="G4744" s="88"/>
      <c r="H4744" s="88"/>
      <c r="I4744" s="66"/>
      <c r="J4744" s="64" t="s">
        <v>638</v>
      </c>
      <c r="K4744" s="64" t="s">
        <v>639</v>
      </c>
      <c r="L4744" s="65" t="s">
        <v>640</v>
      </c>
      <c r="M4744" s="63" t="str">
        <f>HYPERLINK("http://nsgreg.nga.mil/genc/view?v=872304&amp;end_month=12&amp;end_day=31&amp;end_year=2016","Correlation")</f>
        <v>Correlation</v>
      </c>
    </row>
    <row r="4745" spans="1:13" x14ac:dyDescent="0.2">
      <c r="A4745" s="113"/>
      <c r="B4745" s="58" t="s">
        <v>11908</v>
      </c>
      <c r="C4745" s="58" t="s">
        <v>1763</v>
      </c>
      <c r="D4745" s="58" t="s">
        <v>11909</v>
      </c>
      <c r="E4745" s="60" t="b">
        <v>1</v>
      </c>
      <c r="F4745" s="80" t="s">
        <v>1337</v>
      </c>
      <c r="G4745" s="58" t="s">
        <v>11908</v>
      </c>
      <c r="H4745" s="58" t="s">
        <v>1763</v>
      </c>
      <c r="I4745" s="64" t="s">
        <v>11909</v>
      </c>
      <c r="J4745" s="66"/>
      <c r="K4745" s="66"/>
      <c r="L4745" s="68"/>
      <c r="M4745" s="63" t="str">
        <f>HYPERLINK("http://nsgreg.nga.mil/genc/view?v=872305&amp;end_month=12&amp;end_day=31&amp;end_year=2016","Correlation")</f>
        <v>Correlation</v>
      </c>
    </row>
    <row r="4746" spans="1:13" x14ac:dyDescent="0.2">
      <c r="A4746" s="113"/>
      <c r="B4746" s="58" t="s">
        <v>11910</v>
      </c>
      <c r="C4746" s="58" t="s">
        <v>1763</v>
      </c>
      <c r="D4746" s="58" t="s">
        <v>11911</v>
      </c>
      <c r="E4746" s="60" t="b">
        <v>1</v>
      </c>
      <c r="F4746" s="80" t="s">
        <v>1337</v>
      </c>
      <c r="G4746" s="58" t="s">
        <v>11910</v>
      </c>
      <c r="H4746" s="58" t="s">
        <v>1763</v>
      </c>
      <c r="I4746" s="64" t="s">
        <v>11911</v>
      </c>
      <c r="J4746" s="66"/>
      <c r="K4746" s="66"/>
      <c r="L4746" s="68"/>
      <c r="M4746" s="63" t="str">
        <f>HYPERLINK("http://nsgreg.nga.mil/genc/view?v=872307&amp;end_month=12&amp;end_day=31&amp;end_year=2016","Correlation")</f>
        <v>Correlation</v>
      </c>
    </row>
    <row r="4747" spans="1:13" x14ac:dyDescent="0.2">
      <c r="A4747" s="113"/>
      <c r="B4747" s="58" t="s">
        <v>11912</v>
      </c>
      <c r="C4747" s="58" t="s">
        <v>1763</v>
      </c>
      <c r="D4747" s="58" t="s">
        <v>11913</v>
      </c>
      <c r="E4747" s="60" t="b">
        <v>1</v>
      </c>
      <c r="F4747" s="80" t="s">
        <v>1337</v>
      </c>
      <c r="G4747" s="58" t="s">
        <v>11912</v>
      </c>
      <c r="H4747" s="58" t="s">
        <v>1763</v>
      </c>
      <c r="I4747" s="64" t="s">
        <v>11913</v>
      </c>
      <c r="J4747" s="66"/>
      <c r="K4747" s="66"/>
      <c r="L4747" s="68"/>
      <c r="M4747" s="63" t="str">
        <f>HYPERLINK("http://nsgreg.nga.mil/genc/view?v=872308&amp;end_month=12&amp;end_day=31&amp;end_year=2016","Correlation")</f>
        <v>Correlation</v>
      </c>
    </row>
    <row r="4748" spans="1:13" x14ac:dyDescent="0.2">
      <c r="A4748" s="113"/>
      <c r="B4748" s="58" t="s">
        <v>11914</v>
      </c>
      <c r="C4748" s="58" t="s">
        <v>1763</v>
      </c>
      <c r="D4748" s="58" t="s">
        <v>11915</v>
      </c>
      <c r="E4748" s="60" t="b">
        <v>1</v>
      </c>
      <c r="F4748" s="80" t="s">
        <v>1337</v>
      </c>
      <c r="G4748" s="58" t="s">
        <v>11914</v>
      </c>
      <c r="H4748" s="58" t="s">
        <v>1763</v>
      </c>
      <c r="I4748" s="64" t="s">
        <v>11915</v>
      </c>
      <c r="J4748" s="66"/>
      <c r="K4748" s="66"/>
      <c r="L4748" s="68"/>
      <c r="M4748" s="63" t="str">
        <f>HYPERLINK("http://nsgreg.nga.mil/genc/view?v=872309&amp;end_month=12&amp;end_day=31&amp;end_year=2016","Correlation")</f>
        <v>Correlation</v>
      </c>
    </row>
    <row r="4749" spans="1:13" x14ac:dyDescent="0.2">
      <c r="A4749" s="113"/>
      <c r="B4749" s="58" t="s">
        <v>11916</v>
      </c>
      <c r="C4749" s="58" t="s">
        <v>1763</v>
      </c>
      <c r="D4749" s="58" t="s">
        <v>11917</v>
      </c>
      <c r="E4749" s="60" t="b">
        <v>1</v>
      </c>
      <c r="F4749" s="80" t="s">
        <v>1337</v>
      </c>
      <c r="G4749" s="58" t="s">
        <v>11916</v>
      </c>
      <c r="H4749" s="58" t="s">
        <v>1763</v>
      </c>
      <c r="I4749" s="64" t="s">
        <v>11917</v>
      </c>
      <c r="J4749" s="66"/>
      <c r="K4749" s="66"/>
      <c r="L4749" s="68"/>
      <c r="M4749" s="63" t="str">
        <f>HYPERLINK("http://nsgreg.nga.mil/genc/view?v=872306&amp;end_month=12&amp;end_day=31&amp;end_year=2016","Correlation")</f>
        <v>Correlation</v>
      </c>
    </row>
    <row r="4750" spans="1:13" x14ac:dyDescent="0.2">
      <c r="A4750" s="113"/>
      <c r="B4750" s="58" t="s">
        <v>11918</v>
      </c>
      <c r="C4750" s="58" t="s">
        <v>1763</v>
      </c>
      <c r="D4750" s="58" t="s">
        <v>11919</v>
      </c>
      <c r="E4750" s="60" t="b">
        <v>1</v>
      </c>
      <c r="F4750" s="80" t="s">
        <v>1337</v>
      </c>
      <c r="G4750" s="58" t="s">
        <v>11918</v>
      </c>
      <c r="H4750" s="58" t="s">
        <v>1763</v>
      </c>
      <c r="I4750" s="64" t="s">
        <v>11919</v>
      </c>
      <c r="J4750" s="66"/>
      <c r="K4750" s="66"/>
      <c r="L4750" s="68"/>
      <c r="M4750" s="63" t="str">
        <f>HYPERLINK("http://nsgreg.nga.mil/genc/view?v=872310&amp;end_month=12&amp;end_day=31&amp;end_year=2016","Correlation")</f>
        <v>Correlation</v>
      </c>
    </row>
    <row r="4751" spans="1:13" x14ac:dyDescent="0.2">
      <c r="A4751" s="113"/>
      <c r="B4751" s="58" t="s">
        <v>11920</v>
      </c>
      <c r="C4751" s="58" t="s">
        <v>1763</v>
      </c>
      <c r="D4751" s="58" t="s">
        <v>11921</v>
      </c>
      <c r="E4751" s="60" t="b">
        <v>1</v>
      </c>
      <c r="F4751" s="80" t="s">
        <v>1337</v>
      </c>
      <c r="G4751" s="58" t="s">
        <v>11920</v>
      </c>
      <c r="H4751" s="58" t="s">
        <v>1763</v>
      </c>
      <c r="I4751" s="64" t="s">
        <v>11921</v>
      </c>
      <c r="J4751" s="66"/>
      <c r="K4751" s="66"/>
      <c r="L4751" s="68"/>
      <c r="M4751" s="63" t="str">
        <f>HYPERLINK("http://nsgreg.nga.mil/genc/view?v=872311&amp;end_month=12&amp;end_day=31&amp;end_year=2016","Correlation")</f>
        <v>Correlation</v>
      </c>
    </row>
    <row r="4752" spans="1:13" x14ac:dyDescent="0.2">
      <c r="A4752" s="113"/>
      <c r="B4752" s="58" t="s">
        <v>11922</v>
      </c>
      <c r="C4752" s="58" t="s">
        <v>1763</v>
      </c>
      <c r="D4752" s="58" t="s">
        <v>11923</v>
      </c>
      <c r="E4752" s="60" t="b">
        <v>1</v>
      </c>
      <c r="F4752" s="80" t="s">
        <v>1337</v>
      </c>
      <c r="G4752" s="58" t="s">
        <v>11922</v>
      </c>
      <c r="H4752" s="58" t="s">
        <v>1763</v>
      </c>
      <c r="I4752" s="64" t="s">
        <v>11923</v>
      </c>
      <c r="J4752" s="66"/>
      <c r="K4752" s="66"/>
      <c r="L4752" s="68"/>
      <c r="M4752" s="63" t="str">
        <f>HYPERLINK("http://nsgreg.nga.mil/genc/view?v=872312&amp;end_month=12&amp;end_day=31&amp;end_year=2016","Correlation")</f>
        <v>Correlation</v>
      </c>
    </row>
    <row r="4753" spans="1:13" x14ac:dyDescent="0.2">
      <c r="A4753" s="113"/>
      <c r="B4753" s="58" t="s">
        <v>11924</v>
      </c>
      <c r="C4753" s="58" t="s">
        <v>1763</v>
      </c>
      <c r="D4753" s="58" t="s">
        <v>11925</v>
      </c>
      <c r="E4753" s="60" t="b">
        <v>1</v>
      </c>
      <c r="F4753" s="80" t="s">
        <v>1337</v>
      </c>
      <c r="G4753" s="58" t="s">
        <v>11924</v>
      </c>
      <c r="H4753" s="58" t="s">
        <v>1763</v>
      </c>
      <c r="I4753" s="64" t="s">
        <v>11925</v>
      </c>
      <c r="J4753" s="66"/>
      <c r="K4753" s="66"/>
      <c r="L4753" s="68"/>
      <c r="M4753" s="63" t="str">
        <f>HYPERLINK("http://nsgreg.nga.mil/genc/view?v=872315&amp;end_month=12&amp;end_day=31&amp;end_year=2016","Correlation")</f>
        <v>Correlation</v>
      </c>
    </row>
    <row r="4754" spans="1:13" x14ac:dyDescent="0.2">
      <c r="A4754" s="113"/>
      <c r="B4754" s="58" t="s">
        <v>6420</v>
      </c>
      <c r="C4754" s="58" t="s">
        <v>1763</v>
      </c>
      <c r="D4754" s="58" t="s">
        <v>11926</v>
      </c>
      <c r="E4754" s="60" t="b">
        <v>1</v>
      </c>
      <c r="F4754" s="80" t="s">
        <v>1337</v>
      </c>
      <c r="G4754" s="58" t="s">
        <v>6420</v>
      </c>
      <c r="H4754" s="58" t="s">
        <v>1763</v>
      </c>
      <c r="I4754" s="64" t="s">
        <v>11926</v>
      </c>
      <c r="J4754" s="66"/>
      <c r="K4754" s="66"/>
      <c r="L4754" s="68"/>
      <c r="M4754" s="63" t="str">
        <f>HYPERLINK("http://nsgreg.nga.mil/genc/view?v=872314&amp;end_month=12&amp;end_day=31&amp;end_year=2016","Correlation")</f>
        <v>Correlation</v>
      </c>
    </row>
    <row r="4755" spans="1:13" x14ac:dyDescent="0.2">
      <c r="A4755" s="113"/>
      <c r="B4755" s="58" t="s">
        <v>11927</v>
      </c>
      <c r="C4755" s="58" t="s">
        <v>1763</v>
      </c>
      <c r="D4755" s="58" t="s">
        <v>11928</v>
      </c>
      <c r="E4755" s="60" t="b">
        <v>1</v>
      </c>
      <c r="F4755" s="80" t="s">
        <v>1337</v>
      </c>
      <c r="G4755" s="58" t="s">
        <v>11927</v>
      </c>
      <c r="H4755" s="58" t="s">
        <v>1763</v>
      </c>
      <c r="I4755" s="64" t="s">
        <v>11928</v>
      </c>
      <c r="J4755" s="66"/>
      <c r="K4755" s="66"/>
      <c r="L4755" s="68"/>
      <c r="M4755" s="63" t="str">
        <f>HYPERLINK("http://nsgreg.nga.mil/genc/view?v=872313&amp;end_month=12&amp;end_day=31&amp;end_year=2016","Correlation")</f>
        <v>Correlation</v>
      </c>
    </row>
    <row r="4756" spans="1:13" x14ac:dyDescent="0.2">
      <c r="A4756" s="113"/>
      <c r="B4756" s="58" t="s">
        <v>11929</v>
      </c>
      <c r="C4756" s="58" t="s">
        <v>1763</v>
      </c>
      <c r="D4756" s="58" t="s">
        <v>11930</v>
      </c>
      <c r="E4756" s="60" t="b">
        <v>1</v>
      </c>
      <c r="F4756" s="80" t="s">
        <v>1337</v>
      </c>
      <c r="G4756" s="58" t="s">
        <v>11929</v>
      </c>
      <c r="H4756" s="58" t="s">
        <v>1763</v>
      </c>
      <c r="I4756" s="64" t="s">
        <v>11930</v>
      </c>
      <c r="J4756" s="66"/>
      <c r="K4756" s="66"/>
      <c r="L4756" s="68"/>
      <c r="M4756" s="63" t="str">
        <f>HYPERLINK("http://nsgreg.nga.mil/genc/view?v=872316&amp;end_month=12&amp;end_day=31&amp;end_year=2016","Correlation")</f>
        <v>Correlation</v>
      </c>
    </row>
    <row r="4757" spans="1:13" x14ac:dyDescent="0.2">
      <c r="A4757" s="113"/>
      <c r="B4757" s="58" t="s">
        <v>11931</v>
      </c>
      <c r="C4757" s="58" t="s">
        <v>1763</v>
      </c>
      <c r="D4757" s="58" t="s">
        <v>11932</v>
      </c>
      <c r="E4757" s="60" t="b">
        <v>1</v>
      </c>
      <c r="F4757" s="80" t="s">
        <v>1337</v>
      </c>
      <c r="G4757" s="58" t="s">
        <v>11931</v>
      </c>
      <c r="H4757" s="58" t="s">
        <v>1763</v>
      </c>
      <c r="I4757" s="64" t="s">
        <v>11932</v>
      </c>
      <c r="J4757" s="66"/>
      <c r="K4757" s="66"/>
      <c r="L4757" s="68"/>
      <c r="M4757" s="63" t="str">
        <f>HYPERLINK("http://nsgreg.nga.mil/genc/view?v=872317&amp;end_month=12&amp;end_day=31&amp;end_year=2016","Correlation")</f>
        <v>Correlation</v>
      </c>
    </row>
    <row r="4758" spans="1:13" x14ac:dyDescent="0.2">
      <c r="A4758" s="113"/>
      <c r="B4758" s="58" t="s">
        <v>11933</v>
      </c>
      <c r="C4758" s="58" t="s">
        <v>1763</v>
      </c>
      <c r="D4758" s="58" t="s">
        <v>11934</v>
      </c>
      <c r="E4758" s="60" t="b">
        <v>1</v>
      </c>
      <c r="F4758" s="80" t="s">
        <v>1337</v>
      </c>
      <c r="G4758" s="58" t="s">
        <v>11933</v>
      </c>
      <c r="H4758" s="58" t="s">
        <v>1763</v>
      </c>
      <c r="I4758" s="64" t="s">
        <v>11934</v>
      </c>
      <c r="J4758" s="66"/>
      <c r="K4758" s="66"/>
      <c r="L4758" s="68"/>
      <c r="M4758" s="63" t="str">
        <f>HYPERLINK("http://nsgreg.nga.mil/genc/view?v=872320&amp;end_month=12&amp;end_day=31&amp;end_year=2016","Correlation")</f>
        <v>Correlation</v>
      </c>
    </row>
    <row r="4759" spans="1:13" x14ac:dyDescent="0.2">
      <c r="A4759" s="113"/>
      <c r="B4759" s="58" t="s">
        <v>11935</v>
      </c>
      <c r="C4759" s="58" t="s">
        <v>1763</v>
      </c>
      <c r="D4759" s="58" t="s">
        <v>11936</v>
      </c>
      <c r="E4759" s="60" t="b">
        <v>1</v>
      </c>
      <c r="F4759" s="80" t="s">
        <v>1337</v>
      </c>
      <c r="G4759" s="58" t="s">
        <v>11935</v>
      </c>
      <c r="H4759" s="58" t="s">
        <v>1763</v>
      </c>
      <c r="I4759" s="64" t="s">
        <v>11936</v>
      </c>
      <c r="J4759" s="66"/>
      <c r="K4759" s="66"/>
      <c r="L4759" s="68"/>
      <c r="M4759" s="63" t="str">
        <f>HYPERLINK("http://nsgreg.nga.mil/genc/view?v=872318&amp;end_month=12&amp;end_day=31&amp;end_year=2016","Correlation")</f>
        <v>Correlation</v>
      </c>
    </row>
    <row r="4760" spans="1:13" x14ac:dyDescent="0.2">
      <c r="A4760" s="113"/>
      <c r="B4760" s="58" t="s">
        <v>2524</v>
      </c>
      <c r="C4760" s="58" t="s">
        <v>1763</v>
      </c>
      <c r="D4760" s="58" t="s">
        <v>11937</v>
      </c>
      <c r="E4760" s="60" t="b">
        <v>1</v>
      </c>
      <c r="F4760" s="80" t="s">
        <v>1337</v>
      </c>
      <c r="G4760" s="58" t="s">
        <v>2524</v>
      </c>
      <c r="H4760" s="58" t="s">
        <v>1763</v>
      </c>
      <c r="I4760" s="64" t="s">
        <v>11937</v>
      </c>
      <c r="J4760" s="66"/>
      <c r="K4760" s="66"/>
      <c r="L4760" s="68"/>
      <c r="M4760" s="63" t="str">
        <f>HYPERLINK("http://nsgreg.nga.mil/genc/view?v=872321&amp;end_month=12&amp;end_day=31&amp;end_year=2016","Correlation")</f>
        <v>Correlation</v>
      </c>
    </row>
    <row r="4761" spans="1:13" x14ac:dyDescent="0.2">
      <c r="A4761" s="113"/>
      <c r="B4761" s="58" t="s">
        <v>11938</v>
      </c>
      <c r="C4761" s="58" t="s">
        <v>1763</v>
      </c>
      <c r="D4761" s="58" t="s">
        <v>11939</v>
      </c>
      <c r="E4761" s="60" t="b">
        <v>1</v>
      </c>
      <c r="F4761" s="80" t="s">
        <v>1337</v>
      </c>
      <c r="G4761" s="58" t="s">
        <v>11938</v>
      </c>
      <c r="H4761" s="58" t="s">
        <v>1763</v>
      </c>
      <c r="I4761" s="64" t="s">
        <v>11939</v>
      </c>
      <c r="J4761" s="66"/>
      <c r="K4761" s="66"/>
      <c r="L4761" s="68"/>
      <c r="M4761" s="63" t="str">
        <f>HYPERLINK("http://nsgreg.nga.mil/genc/view?v=872324&amp;end_month=12&amp;end_day=31&amp;end_year=2016","Correlation")</f>
        <v>Correlation</v>
      </c>
    </row>
    <row r="4762" spans="1:13" x14ac:dyDescent="0.2">
      <c r="A4762" s="113"/>
      <c r="B4762" s="58" t="s">
        <v>11940</v>
      </c>
      <c r="C4762" s="58" t="s">
        <v>1763</v>
      </c>
      <c r="D4762" s="58" t="s">
        <v>11941</v>
      </c>
      <c r="E4762" s="60" t="b">
        <v>1</v>
      </c>
      <c r="F4762" s="80" t="s">
        <v>1337</v>
      </c>
      <c r="G4762" s="58" t="s">
        <v>11940</v>
      </c>
      <c r="H4762" s="58" t="s">
        <v>1763</v>
      </c>
      <c r="I4762" s="64" t="s">
        <v>11941</v>
      </c>
      <c r="J4762" s="66"/>
      <c r="K4762" s="66"/>
      <c r="L4762" s="68"/>
      <c r="M4762" s="63" t="str">
        <f>HYPERLINK("http://nsgreg.nga.mil/genc/view?v=872328&amp;end_month=12&amp;end_day=31&amp;end_year=2016","Correlation")</f>
        <v>Correlation</v>
      </c>
    </row>
    <row r="4763" spans="1:13" x14ac:dyDescent="0.2">
      <c r="A4763" s="113"/>
      <c r="B4763" s="58" t="s">
        <v>11942</v>
      </c>
      <c r="C4763" s="58" t="s">
        <v>1763</v>
      </c>
      <c r="D4763" s="58" t="s">
        <v>11943</v>
      </c>
      <c r="E4763" s="60" t="b">
        <v>1</v>
      </c>
      <c r="F4763" s="80" t="s">
        <v>1337</v>
      </c>
      <c r="G4763" s="58" t="s">
        <v>11942</v>
      </c>
      <c r="H4763" s="58" t="s">
        <v>1763</v>
      </c>
      <c r="I4763" s="64" t="s">
        <v>11943</v>
      </c>
      <c r="J4763" s="66"/>
      <c r="K4763" s="66"/>
      <c r="L4763" s="68"/>
      <c r="M4763" s="63" t="str">
        <f>HYPERLINK("http://nsgreg.nga.mil/genc/view?v=872325&amp;end_month=12&amp;end_day=31&amp;end_year=2016","Correlation")</f>
        <v>Correlation</v>
      </c>
    </row>
    <row r="4764" spans="1:13" x14ac:dyDescent="0.2">
      <c r="A4764" s="113"/>
      <c r="B4764" s="58" t="s">
        <v>11944</v>
      </c>
      <c r="C4764" s="58" t="s">
        <v>1763</v>
      </c>
      <c r="D4764" s="58" t="s">
        <v>11945</v>
      </c>
      <c r="E4764" s="60" t="b">
        <v>1</v>
      </c>
      <c r="F4764" s="80" t="s">
        <v>1337</v>
      </c>
      <c r="G4764" s="58" t="s">
        <v>11944</v>
      </c>
      <c r="H4764" s="58" t="s">
        <v>1763</v>
      </c>
      <c r="I4764" s="64" t="s">
        <v>11945</v>
      </c>
      <c r="J4764" s="66"/>
      <c r="K4764" s="66"/>
      <c r="L4764" s="68"/>
      <c r="M4764" s="63" t="str">
        <f>HYPERLINK("http://nsgreg.nga.mil/genc/view?v=872326&amp;end_month=12&amp;end_day=31&amp;end_year=2016","Correlation")</f>
        <v>Correlation</v>
      </c>
    </row>
    <row r="4765" spans="1:13" x14ac:dyDescent="0.2">
      <c r="A4765" s="113"/>
      <c r="B4765" s="58" t="s">
        <v>11946</v>
      </c>
      <c r="C4765" s="58" t="s">
        <v>1763</v>
      </c>
      <c r="D4765" s="58" t="s">
        <v>11947</v>
      </c>
      <c r="E4765" s="60" t="b">
        <v>1</v>
      </c>
      <c r="F4765" s="80" t="s">
        <v>1337</v>
      </c>
      <c r="G4765" s="58" t="s">
        <v>11946</v>
      </c>
      <c r="H4765" s="58" t="s">
        <v>1763</v>
      </c>
      <c r="I4765" s="64" t="s">
        <v>11947</v>
      </c>
      <c r="J4765" s="66"/>
      <c r="K4765" s="66"/>
      <c r="L4765" s="68"/>
      <c r="M4765" s="63" t="str">
        <f>HYPERLINK("http://nsgreg.nga.mil/genc/view?v=872327&amp;end_month=12&amp;end_day=31&amp;end_year=2016","Correlation")</f>
        <v>Correlation</v>
      </c>
    </row>
    <row r="4766" spans="1:13" x14ac:dyDescent="0.2">
      <c r="A4766" s="113"/>
      <c r="B4766" s="58" t="s">
        <v>11948</v>
      </c>
      <c r="C4766" s="58" t="s">
        <v>1763</v>
      </c>
      <c r="D4766" s="58" t="s">
        <v>11949</v>
      </c>
      <c r="E4766" s="60" t="b">
        <v>1</v>
      </c>
      <c r="F4766" s="80" t="s">
        <v>1337</v>
      </c>
      <c r="G4766" s="58" t="s">
        <v>11948</v>
      </c>
      <c r="H4766" s="58" t="s">
        <v>1763</v>
      </c>
      <c r="I4766" s="64" t="s">
        <v>11949</v>
      </c>
      <c r="J4766" s="66"/>
      <c r="K4766" s="66"/>
      <c r="L4766" s="68"/>
      <c r="M4766" s="63" t="str">
        <f>HYPERLINK("http://nsgreg.nga.mil/genc/view?v=872329&amp;end_month=12&amp;end_day=31&amp;end_year=2016","Correlation")</f>
        <v>Correlation</v>
      </c>
    </row>
    <row r="4767" spans="1:13" x14ac:dyDescent="0.2">
      <c r="A4767" s="113"/>
      <c r="B4767" s="58" t="s">
        <v>11950</v>
      </c>
      <c r="C4767" s="58" t="s">
        <v>1763</v>
      </c>
      <c r="D4767" s="58" t="s">
        <v>11951</v>
      </c>
      <c r="E4767" s="60" t="b">
        <v>1</v>
      </c>
      <c r="F4767" s="80" t="s">
        <v>1337</v>
      </c>
      <c r="G4767" s="58" t="s">
        <v>11950</v>
      </c>
      <c r="H4767" s="58" t="s">
        <v>1763</v>
      </c>
      <c r="I4767" s="64" t="s">
        <v>11951</v>
      </c>
      <c r="J4767" s="66"/>
      <c r="K4767" s="66"/>
      <c r="L4767" s="68"/>
      <c r="M4767" s="63" t="str">
        <f>HYPERLINK("http://nsgreg.nga.mil/genc/view?v=872322&amp;end_month=12&amp;end_day=31&amp;end_year=2016","Correlation")</f>
        <v>Correlation</v>
      </c>
    </row>
    <row r="4768" spans="1:13" x14ac:dyDescent="0.2">
      <c r="A4768" s="113"/>
      <c r="B4768" s="58" t="s">
        <v>11952</v>
      </c>
      <c r="C4768" s="58" t="s">
        <v>1763</v>
      </c>
      <c r="D4768" s="58" t="s">
        <v>11953</v>
      </c>
      <c r="E4768" s="60" t="b">
        <v>1</v>
      </c>
      <c r="F4768" s="80" t="s">
        <v>1337</v>
      </c>
      <c r="G4768" s="58" t="s">
        <v>11952</v>
      </c>
      <c r="H4768" s="58" t="s">
        <v>1763</v>
      </c>
      <c r="I4768" s="64" t="s">
        <v>11953</v>
      </c>
      <c r="J4768" s="66"/>
      <c r="K4768" s="66"/>
      <c r="L4768" s="68"/>
      <c r="M4768" s="63" t="str">
        <f>HYPERLINK("http://nsgreg.nga.mil/genc/view?v=872323&amp;end_month=12&amp;end_day=31&amp;end_year=2016","Correlation")</f>
        <v>Correlation</v>
      </c>
    </row>
    <row r="4769" spans="1:13" x14ac:dyDescent="0.2">
      <c r="A4769" s="113"/>
      <c r="B4769" s="58" t="s">
        <v>1010</v>
      </c>
      <c r="C4769" s="58" t="s">
        <v>12556</v>
      </c>
      <c r="D4769" s="58" t="s">
        <v>1011</v>
      </c>
      <c r="E4769" s="60" t="b">
        <v>1</v>
      </c>
      <c r="F4769" s="80" t="s">
        <v>1006</v>
      </c>
      <c r="G4769" s="88"/>
      <c r="H4769" s="88"/>
      <c r="I4769" s="66"/>
      <c r="J4769" s="64" t="s">
        <v>1007</v>
      </c>
      <c r="K4769" s="64" t="s">
        <v>1008</v>
      </c>
      <c r="L4769" s="65" t="s">
        <v>1009</v>
      </c>
      <c r="M4769" s="63" t="str">
        <f>HYPERLINK("http://nsgreg.nga.mil/genc/view?v=872319&amp;end_month=12&amp;end_day=31&amp;end_year=2016","Correlation")</f>
        <v>Correlation</v>
      </c>
    </row>
    <row r="4770" spans="1:13" x14ac:dyDescent="0.2">
      <c r="A4770" s="113"/>
      <c r="B4770" s="58" t="s">
        <v>11954</v>
      </c>
      <c r="C4770" s="58" t="s">
        <v>1763</v>
      </c>
      <c r="D4770" s="58" t="s">
        <v>11955</v>
      </c>
      <c r="E4770" s="60" t="b">
        <v>1</v>
      </c>
      <c r="F4770" s="80" t="s">
        <v>1337</v>
      </c>
      <c r="G4770" s="58" t="s">
        <v>11954</v>
      </c>
      <c r="H4770" s="58" t="s">
        <v>1763</v>
      </c>
      <c r="I4770" s="64" t="s">
        <v>11955</v>
      </c>
      <c r="J4770" s="66"/>
      <c r="K4770" s="66"/>
      <c r="L4770" s="68"/>
      <c r="M4770" s="63" t="str">
        <f>HYPERLINK("http://nsgreg.nga.mil/genc/view?v=872330&amp;end_month=12&amp;end_day=31&amp;end_year=2016","Correlation")</f>
        <v>Correlation</v>
      </c>
    </row>
    <row r="4771" spans="1:13" x14ac:dyDescent="0.2">
      <c r="A4771" s="113"/>
      <c r="B4771" s="58" t="s">
        <v>11956</v>
      </c>
      <c r="C4771" s="58" t="s">
        <v>1763</v>
      </c>
      <c r="D4771" s="58" t="s">
        <v>11957</v>
      </c>
      <c r="E4771" s="60" t="b">
        <v>1</v>
      </c>
      <c r="F4771" s="80" t="s">
        <v>1337</v>
      </c>
      <c r="G4771" s="58" t="s">
        <v>11956</v>
      </c>
      <c r="H4771" s="58" t="s">
        <v>1763</v>
      </c>
      <c r="I4771" s="64" t="s">
        <v>11957</v>
      </c>
      <c r="J4771" s="66"/>
      <c r="K4771" s="66"/>
      <c r="L4771" s="68"/>
      <c r="M4771" s="63" t="str">
        <f>HYPERLINK("http://nsgreg.nga.mil/genc/view?v=872331&amp;end_month=12&amp;end_day=31&amp;end_year=2016","Correlation")</f>
        <v>Correlation</v>
      </c>
    </row>
    <row r="4772" spans="1:13" x14ac:dyDescent="0.2">
      <c r="A4772" s="113"/>
      <c r="B4772" s="58" t="s">
        <v>11958</v>
      </c>
      <c r="C4772" s="58" t="s">
        <v>1763</v>
      </c>
      <c r="D4772" s="58" t="s">
        <v>11959</v>
      </c>
      <c r="E4772" s="60" t="b">
        <v>1</v>
      </c>
      <c r="F4772" s="80" t="s">
        <v>1337</v>
      </c>
      <c r="G4772" s="58" t="s">
        <v>11958</v>
      </c>
      <c r="H4772" s="58" t="s">
        <v>1763</v>
      </c>
      <c r="I4772" s="64" t="s">
        <v>11959</v>
      </c>
      <c r="J4772" s="66"/>
      <c r="K4772" s="66"/>
      <c r="L4772" s="68"/>
      <c r="M4772" s="63" t="str">
        <f>HYPERLINK("http://nsgreg.nga.mil/genc/view?v=872332&amp;end_month=12&amp;end_day=31&amp;end_year=2016","Correlation")</f>
        <v>Correlation</v>
      </c>
    </row>
    <row r="4773" spans="1:13" x14ac:dyDescent="0.2">
      <c r="A4773" s="113"/>
      <c r="B4773" s="58" t="s">
        <v>11960</v>
      </c>
      <c r="C4773" s="58" t="s">
        <v>1763</v>
      </c>
      <c r="D4773" s="58" t="s">
        <v>11961</v>
      </c>
      <c r="E4773" s="60" t="b">
        <v>1</v>
      </c>
      <c r="F4773" s="80" t="s">
        <v>1337</v>
      </c>
      <c r="G4773" s="58" t="s">
        <v>11960</v>
      </c>
      <c r="H4773" s="58" t="s">
        <v>1763</v>
      </c>
      <c r="I4773" s="64" t="s">
        <v>11961</v>
      </c>
      <c r="J4773" s="66"/>
      <c r="K4773" s="66"/>
      <c r="L4773" s="68"/>
      <c r="M4773" s="63" t="str">
        <f>HYPERLINK("http://nsgreg.nga.mil/genc/view?v=872333&amp;end_month=12&amp;end_day=31&amp;end_year=2016","Correlation")</f>
        <v>Correlation</v>
      </c>
    </row>
    <row r="4774" spans="1:13" x14ac:dyDescent="0.2">
      <c r="A4774" s="113"/>
      <c r="B4774" s="58" t="s">
        <v>1083</v>
      </c>
      <c r="C4774" s="58" t="s">
        <v>12556</v>
      </c>
      <c r="D4774" s="58" t="s">
        <v>1084</v>
      </c>
      <c r="E4774" s="60" t="b">
        <v>1</v>
      </c>
      <c r="F4774" s="80" t="s">
        <v>1079</v>
      </c>
      <c r="G4774" s="88"/>
      <c r="H4774" s="88"/>
      <c r="I4774" s="66"/>
      <c r="J4774" s="64" t="s">
        <v>1080</v>
      </c>
      <c r="K4774" s="64" t="s">
        <v>1081</v>
      </c>
      <c r="L4774" s="65" t="s">
        <v>1082</v>
      </c>
      <c r="M4774" s="63" t="str">
        <f>HYPERLINK("http://nsgreg.nga.mil/genc/view?v=872334&amp;end_month=12&amp;end_day=31&amp;end_year=2016","Correlation")</f>
        <v>Correlation</v>
      </c>
    </row>
    <row r="4775" spans="1:13" x14ac:dyDescent="0.2">
      <c r="A4775" s="113"/>
      <c r="B4775" s="58" t="s">
        <v>11962</v>
      </c>
      <c r="C4775" s="58" t="s">
        <v>1763</v>
      </c>
      <c r="D4775" s="58" t="s">
        <v>11963</v>
      </c>
      <c r="E4775" s="60" t="b">
        <v>1</v>
      </c>
      <c r="F4775" s="80" t="s">
        <v>1337</v>
      </c>
      <c r="G4775" s="58" t="s">
        <v>11962</v>
      </c>
      <c r="H4775" s="58" t="s">
        <v>1763</v>
      </c>
      <c r="I4775" s="64" t="s">
        <v>11963</v>
      </c>
      <c r="J4775" s="66"/>
      <c r="K4775" s="66"/>
      <c r="L4775" s="68"/>
      <c r="M4775" s="63" t="str">
        <f>HYPERLINK("http://nsgreg.nga.mil/genc/view?v=872335&amp;end_month=12&amp;end_day=31&amp;end_year=2016","Correlation")</f>
        <v>Correlation</v>
      </c>
    </row>
    <row r="4776" spans="1:13" x14ac:dyDescent="0.2">
      <c r="A4776" s="113"/>
      <c r="B4776" s="58" t="s">
        <v>11964</v>
      </c>
      <c r="C4776" s="58" t="s">
        <v>1763</v>
      </c>
      <c r="D4776" s="58" t="s">
        <v>11965</v>
      </c>
      <c r="E4776" s="60" t="b">
        <v>1</v>
      </c>
      <c r="F4776" s="80" t="s">
        <v>1337</v>
      </c>
      <c r="G4776" s="58" t="s">
        <v>11964</v>
      </c>
      <c r="H4776" s="58" t="s">
        <v>1763</v>
      </c>
      <c r="I4776" s="64" t="s">
        <v>11965</v>
      </c>
      <c r="J4776" s="66"/>
      <c r="K4776" s="66"/>
      <c r="L4776" s="68"/>
      <c r="M4776" s="63" t="str">
        <f>HYPERLINK("http://nsgreg.nga.mil/genc/view?v=872336&amp;end_month=12&amp;end_day=31&amp;end_year=2016","Correlation")</f>
        <v>Correlation</v>
      </c>
    </row>
    <row r="4777" spans="1:13" x14ac:dyDescent="0.2">
      <c r="A4777" s="113"/>
      <c r="B4777" s="58" t="s">
        <v>11966</v>
      </c>
      <c r="C4777" s="58" t="s">
        <v>1763</v>
      </c>
      <c r="D4777" s="58" t="s">
        <v>11967</v>
      </c>
      <c r="E4777" s="60" t="b">
        <v>1</v>
      </c>
      <c r="F4777" s="80" t="s">
        <v>1337</v>
      </c>
      <c r="G4777" s="58" t="s">
        <v>11966</v>
      </c>
      <c r="H4777" s="58" t="s">
        <v>1763</v>
      </c>
      <c r="I4777" s="64" t="s">
        <v>11967</v>
      </c>
      <c r="J4777" s="66"/>
      <c r="K4777" s="66"/>
      <c r="L4777" s="68"/>
      <c r="M4777" s="63" t="str">
        <f>HYPERLINK("http://nsgreg.nga.mil/genc/view?v=872337&amp;end_month=12&amp;end_day=31&amp;end_year=2016","Correlation")</f>
        <v>Correlation</v>
      </c>
    </row>
    <row r="4778" spans="1:13" x14ac:dyDescent="0.2">
      <c r="A4778" s="113"/>
      <c r="B4778" s="58" t="s">
        <v>11968</v>
      </c>
      <c r="C4778" s="58" t="s">
        <v>1763</v>
      </c>
      <c r="D4778" s="58" t="s">
        <v>11969</v>
      </c>
      <c r="E4778" s="60" t="b">
        <v>1</v>
      </c>
      <c r="F4778" s="80" t="s">
        <v>1337</v>
      </c>
      <c r="G4778" s="58" t="s">
        <v>11968</v>
      </c>
      <c r="H4778" s="58" t="s">
        <v>1763</v>
      </c>
      <c r="I4778" s="64" t="s">
        <v>11969</v>
      </c>
      <c r="J4778" s="66"/>
      <c r="K4778" s="66"/>
      <c r="L4778" s="68"/>
      <c r="M4778" s="63" t="str">
        <f>HYPERLINK("http://nsgreg.nga.mil/genc/view?v=872338&amp;end_month=12&amp;end_day=31&amp;end_year=2016","Correlation")</f>
        <v>Correlation</v>
      </c>
    </row>
    <row r="4779" spans="1:13" x14ac:dyDescent="0.2">
      <c r="A4779" s="113"/>
      <c r="B4779" s="58" t="s">
        <v>11970</v>
      </c>
      <c r="C4779" s="58" t="s">
        <v>1763</v>
      </c>
      <c r="D4779" s="58" t="s">
        <v>11971</v>
      </c>
      <c r="E4779" s="60" t="b">
        <v>1</v>
      </c>
      <c r="F4779" s="80" t="s">
        <v>1337</v>
      </c>
      <c r="G4779" s="58" t="s">
        <v>11970</v>
      </c>
      <c r="H4779" s="58" t="s">
        <v>1763</v>
      </c>
      <c r="I4779" s="64" t="s">
        <v>11971</v>
      </c>
      <c r="J4779" s="66"/>
      <c r="K4779" s="66"/>
      <c r="L4779" s="68"/>
      <c r="M4779" s="63" t="str">
        <f>HYPERLINK("http://nsgreg.nga.mil/genc/view?v=872339&amp;end_month=12&amp;end_day=31&amp;end_year=2016","Correlation")</f>
        <v>Correlation</v>
      </c>
    </row>
    <row r="4780" spans="1:13" x14ac:dyDescent="0.2">
      <c r="A4780" s="113"/>
      <c r="B4780" s="58" t="s">
        <v>251</v>
      </c>
      <c r="C4780" s="58" t="s">
        <v>12556</v>
      </c>
      <c r="D4780" s="58" t="s">
        <v>252</v>
      </c>
      <c r="E4780" s="67" t="b">
        <v>0</v>
      </c>
      <c r="F4780" s="80" t="s">
        <v>241</v>
      </c>
      <c r="G4780" s="88"/>
      <c r="H4780" s="88"/>
      <c r="I4780" s="66"/>
      <c r="J4780" s="64" t="s">
        <v>242</v>
      </c>
      <c r="K4780" s="64" t="s">
        <v>243</v>
      </c>
      <c r="L4780" s="65" t="s">
        <v>244</v>
      </c>
      <c r="M4780" s="63" t="str">
        <f>HYPERLINK("http://nsgreg.nga.mil/genc/view?v=872340&amp;end_month=12&amp;end_day=31&amp;end_year=2016","Correlation")</f>
        <v>Correlation</v>
      </c>
    </row>
    <row r="4781" spans="1:13" x14ac:dyDescent="0.2">
      <c r="A4781" s="113"/>
      <c r="B4781" s="58" t="s">
        <v>251</v>
      </c>
      <c r="C4781" s="58" t="s">
        <v>12556</v>
      </c>
      <c r="D4781" s="58" t="s">
        <v>252</v>
      </c>
      <c r="E4781" s="67" t="b">
        <v>0</v>
      </c>
      <c r="F4781" s="80" t="s">
        <v>685</v>
      </c>
      <c r="G4781" s="88"/>
      <c r="H4781" s="88"/>
      <c r="I4781" s="66"/>
      <c r="J4781" s="64" t="s">
        <v>686</v>
      </c>
      <c r="K4781" s="64" t="s">
        <v>687</v>
      </c>
      <c r="L4781" s="65" t="s">
        <v>688</v>
      </c>
      <c r="M4781" s="63" t="str">
        <f>HYPERLINK("http://nsgreg.nga.mil/genc/view?v=872341&amp;end_month=12&amp;end_day=31&amp;end_year=2016","Correlation")</f>
        <v>Correlation</v>
      </c>
    </row>
    <row r="4782" spans="1:13" x14ac:dyDescent="0.2">
      <c r="A4782" s="113"/>
      <c r="B4782" s="58" t="s">
        <v>251</v>
      </c>
      <c r="C4782" s="58" t="s">
        <v>12556</v>
      </c>
      <c r="D4782" s="58" t="s">
        <v>252</v>
      </c>
      <c r="E4782" s="67" t="b">
        <v>0</v>
      </c>
      <c r="F4782" s="80" t="s">
        <v>750</v>
      </c>
      <c r="G4782" s="88"/>
      <c r="H4782" s="88"/>
      <c r="I4782" s="66"/>
      <c r="J4782" s="64" t="s">
        <v>751</v>
      </c>
      <c r="K4782" s="64" t="s">
        <v>752</v>
      </c>
      <c r="L4782" s="65" t="s">
        <v>753</v>
      </c>
      <c r="M4782" s="63" t="str">
        <f>HYPERLINK("http://nsgreg.nga.mil/genc/view?v=872342&amp;end_month=12&amp;end_day=31&amp;end_year=2016","Correlation")</f>
        <v>Correlation</v>
      </c>
    </row>
    <row r="4783" spans="1:13" x14ac:dyDescent="0.2">
      <c r="A4783" s="113"/>
      <c r="B4783" s="58" t="s">
        <v>251</v>
      </c>
      <c r="C4783" s="58" t="s">
        <v>12556</v>
      </c>
      <c r="D4783" s="58" t="s">
        <v>252</v>
      </c>
      <c r="E4783" s="67" t="b">
        <v>0</v>
      </c>
      <c r="F4783" s="80" t="s">
        <v>760</v>
      </c>
      <c r="G4783" s="88"/>
      <c r="H4783" s="88"/>
      <c r="I4783" s="66"/>
      <c r="J4783" s="64" t="s">
        <v>761</v>
      </c>
      <c r="K4783" s="64" t="s">
        <v>762</v>
      </c>
      <c r="L4783" s="65" t="s">
        <v>763</v>
      </c>
      <c r="M4783" s="63" t="str">
        <f>HYPERLINK("http://nsgreg.nga.mil/genc/view?v=872343&amp;end_month=12&amp;end_day=31&amp;end_year=2016","Correlation")</f>
        <v>Correlation</v>
      </c>
    </row>
    <row r="4784" spans="1:13" x14ac:dyDescent="0.2">
      <c r="A4784" s="113"/>
      <c r="B4784" s="58" t="s">
        <v>251</v>
      </c>
      <c r="C4784" s="58" t="s">
        <v>12556</v>
      </c>
      <c r="D4784" s="58" t="s">
        <v>252</v>
      </c>
      <c r="E4784" s="67" t="b">
        <v>0</v>
      </c>
      <c r="F4784" s="80" t="s">
        <v>782</v>
      </c>
      <c r="G4784" s="88"/>
      <c r="H4784" s="88"/>
      <c r="I4784" s="66"/>
      <c r="J4784" s="64" t="s">
        <v>783</v>
      </c>
      <c r="K4784" s="64" t="s">
        <v>784</v>
      </c>
      <c r="L4784" s="65" t="s">
        <v>785</v>
      </c>
      <c r="M4784" s="63" t="str">
        <f>HYPERLINK("http://nsgreg.nga.mil/genc/view?v=872344&amp;end_month=12&amp;end_day=31&amp;end_year=2016","Correlation")</f>
        <v>Correlation</v>
      </c>
    </row>
    <row r="4785" spans="1:13" x14ac:dyDescent="0.2">
      <c r="A4785" s="113"/>
      <c r="B4785" s="58" t="s">
        <v>251</v>
      </c>
      <c r="C4785" s="58" t="s">
        <v>12556</v>
      </c>
      <c r="D4785" s="58" t="s">
        <v>252</v>
      </c>
      <c r="E4785" s="67" t="b">
        <v>0</v>
      </c>
      <c r="F4785" s="80" t="s">
        <v>923</v>
      </c>
      <c r="G4785" s="88"/>
      <c r="H4785" s="88"/>
      <c r="I4785" s="66"/>
      <c r="J4785" s="64" t="s">
        <v>924</v>
      </c>
      <c r="K4785" s="64" t="s">
        <v>925</v>
      </c>
      <c r="L4785" s="65" t="s">
        <v>926</v>
      </c>
      <c r="M4785" s="63" t="str">
        <f>HYPERLINK("http://nsgreg.nga.mil/genc/view?v=872345&amp;end_month=12&amp;end_day=31&amp;end_year=2016","Correlation")</f>
        <v>Correlation</v>
      </c>
    </row>
    <row r="4786" spans="1:13" x14ac:dyDescent="0.2">
      <c r="A4786" s="113"/>
      <c r="B4786" s="58" t="s">
        <v>251</v>
      </c>
      <c r="C4786" s="58" t="s">
        <v>12556</v>
      </c>
      <c r="D4786" s="58" t="s">
        <v>252</v>
      </c>
      <c r="E4786" s="67" t="b">
        <v>0</v>
      </c>
      <c r="F4786" s="80" t="s">
        <v>966</v>
      </c>
      <c r="G4786" s="88"/>
      <c r="H4786" s="88"/>
      <c r="I4786" s="66"/>
      <c r="J4786" s="64" t="s">
        <v>967</v>
      </c>
      <c r="K4786" s="64" t="s">
        <v>968</v>
      </c>
      <c r="L4786" s="65" t="s">
        <v>969</v>
      </c>
      <c r="M4786" s="63" t="str">
        <f>HYPERLINK("http://nsgreg.nga.mil/genc/view?v=872346&amp;end_month=12&amp;end_day=31&amp;end_year=2016","Correlation")</f>
        <v>Correlation</v>
      </c>
    </row>
    <row r="4787" spans="1:13" x14ac:dyDescent="0.2">
      <c r="A4787" s="113"/>
      <c r="B4787" s="58" t="s">
        <v>251</v>
      </c>
      <c r="C4787" s="58" t="s">
        <v>12556</v>
      </c>
      <c r="D4787" s="58" t="s">
        <v>252</v>
      </c>
      <c r="E4787" s="67" t="b">
        <v>0</v>
      </c>
      <c r="F4787" s="80" t="s">
        <v>1028</v>
      </c>
      <c r="G4787" s="88"/>
      <c r="H4787" s="88"/>
      <c r="I4787" s="66"/>
      <c r="J4787" s="64" t="s">
        <v>1029</v>
      </c>
      <c r="K4787" s="64" t="s">
        <v>1030</v>
      </c>
      <c r="L4787" s="65" t="s">
        <v>1031</v>
      </c>
      <c r="M4787" s="63" t="str">
        <f>HYPERLINK("http://nsgreg.nga.mil/genc/view?v=872347&amp;end_month=12&amp;end_day=31&amp;end_year=2016","Correlation")</f>
        <v>Correlation</v>
      </c>
    </row>
    <row r="4788" spans="1:13" x14ac:dyDescent="0.2">
      <c r="A4788" s="113"/>
      <c r="B4788" s="58" t="s">
        <v>251</v>
      </c>
      <c r="C4788" s="58" t="s">
        <v>12556</v>
      </c>
      <c r="D4788" s="58" t="s">
        <v>252</v>
      </c>
      <c r="E4788" s="67" t="b">
        <v>0</v>
      </c>
      <c r="F4788" s="80" t="s">
        <v>1379</v>
      </c>
      <c r="G4788" s="88"/>
      <c r="H4788" s="88"/>
      <c r="I4788" s="66"/>
      <c r="J4788" s="64" t="s">
        <v>1380</v>
      </c>
      <c r="K4788" s="64" t="s">
        <v>1381</v>
      </c>
      <c r="L4788" s="65" t="s">
        <v>1382</v>
      </c>
      <c r="M4788" s="63" t="str">
        <f>HYPERLINK("http://nsgreg.nga.mil/genc/view?v=872348&amp;end_month=12&amp;end_day=31&amp;end_year=2016","Correlation")</f>
        <v>Correlation</v>
      </c>
    </row>
    <row r="4789" spans="1:13" x14ac:dyDescent="0.2">
      <c r="A4789" s="113"/>
      <c r="B4789" s="58" t="s">
        <v>11972</v>
      </c>
      <c r="C4789" s="58" t="s">
        <v>1763</v>
      </c>
      <c r="D4789" s="58" t="s">
        <v>11973</v>
      </c>
      <c r="E4789" s="60" t="b">
        <v>1</v>
      </c>
      <c r="F4789" s="80" t="s">
        <v>1337</v>
      </c>
      <c r="G4789" s="58" t="s">
        <v>11972</v>
      </c>
      <c r="H4789" s="58" t="s">
        <v>1763</v>
      </c>
      <c r="I4789" s="64" t="s">
        <v>11973</v>
      </c>
      <c r="J4789" s="66"/>
      <c r="K4789" s="66"/>
      <c r="L4789" s="68"/>
      <c r="M4789" s="63" t="str">
        <f>HYPERLINK("http://nsgreg.nga.mil/genc/view?v=872349&amp;end_month=12&amp;end_day=31&amp;end_year=2016","Correlation")</f>
        <v>Correlation</v>
      </c>
    </row>
    <row r="4790" spans="1:13" x14ac:dyDescent="0.2">
      <c r="A4790" s="113"/>
      <c r="B4790" s="58" t="s">
        <v>11974</v>
      </c>
      <c r="C4790" s="58" t="s">
        <v>1763</v>
      </c>
      <c r="D4790" s="58" t="s">
        <v>11975</v>
      </c>
      <c r="E4790" s="60" t="b">
        <v>1</v>
      </c>
      <c r="F4790" s="80" t="s">
        <v>1337</v>
      </c>
      <c r="G4790" s="58" t="s">
        <v>11974</v>
      </c>
      <c r="H4790" s="58" t="s">
        <v>1763</v>
      </c>
      <c r="I4790" s="64" t="s">
        <v>11975</v>
      </c>
      <c r="J4790" s="66"/>
      <c r="K4790" s="66"/>
      <c r="L4790" s="68"/>
      <c r="M4790" s="63" t="str">
        <f>HYPERLINK("http://nsgreg.nga.mil/genc/view?v=872352&amp;end_month=12&amp;end_day=31&amp;end_year=2016","Correlation")</f>
        <v>Correlation</v>
      </c>
    </row>
    <row r="4791" spans="1:13" x14ac:dyDescent="0.2">
      <c r="A4791" s="113"/>
      <c r="B4791" s="58" t="s">
        <v>11976</v>
      </c>
      <c r="C4791" s="58" t="s">
        <v>1763</v>
      </c>
      <c r="D4791" s="58" t="s">
        <v>11977</v>
      </c>
      <c r="E4791" s="60" t="b">
        <v>1</v>
      </c>
      <c r="F4791" s="80" t="s">
        <v>1337</v>
      </c>
      <c r="G4791" s="58" t="s">
        <v>11976</v>
      </c>
      <c r="H4791" s="58" t="s">
        <v>1763</v>
      </c>
      <c r="I4791" s="64" t="s">
        <v>11977</v>
      </c>
      <c r="J4791" s="66"/>
      <c r="K4791" s="66"/>
      <c r="L4791" s="68"/>
      <c r="M4791" s="63" t="str">
        <f>HYPERLINK("http://nsgreg.nga.mil/genc/view?v=872350&amp;end_month=12&amp;end_day=31&amp;end_year=2016","Correlation")</f>
        <v>Correlation</v>
      </c>
    </row>
    <row r="4792" spans="1:13" x14ac:dyDescent="0.2">
      <c r="A4792" s="113"/>
      <c r="B4792" s="58" t="s">
        <v>1377</v>
      </c>
      <c r="C4792" s="58" t="s">
        <v>12556</v>
      </c>
      <c r="D4792" s="58" t="s">
        <v>1378</v>
      </c>
      <c r="E4792" s="60" t="b">
        <v>1</v>
      </c>
      <c r="F4792" s="80" t="s">
        <v>1373</v>
      </c>
      <c r="G4792" s="88"/>
      <c r="H4792" s="88"/>
      <c r="I4792" s="66"/>
      <c r="J4792" s="64" t="s">
        <v>1374</v>
      </c>
      <c r="K4792" s="64" t="s">
        <v>1375</v>
      </c>
      <c r="L4792" s="65" t="s">
        <v>1376</v>
      </c>
      <c r="M4792" s="63" t="str">
        <f>HYPERLINK("http://nsgreg.nga.mil/genc/view?v=872351&amp;end_month=12&amp;end_day=31&amp;end_year=2016","Correlation")</f>
        <v>Correlation</v>
      </c>
    </row>
    <row r="4793" spans="1:13" x14ac:dyDescent="0.2">
      <c r="A4793" s="113"/>
      <c r="B4793" s="58" t="s">
        <v>11978</v>
      </c>
      <c r="C4793" s="58" t="s">
        <v>1763</v>
      </c>
      <c r="D4793" s="58" t="s">
        <v>11979</v>
      </c>
      <c r="E4793" s="60" t="b">
        <v>1</v>
      </c>
      <c r="F4793" s="80" t="s">
        <v>1337</v>
      </c>
      <c r="G4793" s="58" t="s">
        <v>11978</v>
      </c>
      <c r="H4793" s="58" t="s">
        <v>1763</v>
      </c>
      <c r="I4793" s="64" t="s">
        <v>11979</v>
      </c>
      <c r="J4793" s="66"/>
      <c r="K4793" s="66"/>
      <c r="L4793" s="68"/>
      <c r="M4793" s="63" t="str">
        <f>HYPERLINK("http://nsgreg.nga.mil/genc/view?v=872353&amp;end_month=12&amp;end_day=31&amp;end_year=2016","Correlation")</f>
        <v>Correlation</v>
      </c>
    </row>
    <row r="4794" spans="1:13" x14ac:dyDescent="0.2">
      <c r="A4794" s="113"/>
      <c r="B4794" s="58" t="s">
        <v>11980</v>
      </c>
      <c r="C4794" s="58" t="s">
        <v>1763</v>
      </c>
      <c r="D4794" s="58" t="s">
        <v>11981</v>
      </c>
      <c r="E4794" s="60" t="b">
        <v>1</v>
      </c>
      <c r="F4794" s="80" t="s">
        <v>1337</v>
      </c>
      <c r="G4794" s="58" t="s">
        <v>11980</v>
      </c>
      <c r="H4794" s="58" t="s">
        <v>1763</v>
      </c>
      <c r="I4794" s="64" t="s">
        <v>11981</v>
      </c>
      <c r="J4794" s="66"/>
      <c r="K4794" s="66"/>
      <c r="L4794" s="68"/>
      <c r="M4794" s="63" t="str">
        <f>HYPERLINK("http://nsgreg.nga.mil/genc/view?v=872355&amp;end_month=12&amp;end_day=31&amp;end_year=2016","Correlation")</f>
        <v>Correlation</v>
      </c>
    </row>
    <row r="4795" spans="1:13" x14ac:dyDescent="0.2">
      <c r="A4795" s="113"/>
      <c r="B4795" s="58" t="s">
        <v>11982</v>
      </c>
      <c r="C4795" s="58" t="s">
        <v>1763</v>
      </c>
      <c r="D4795" s="58" t="s">
        <v>11983</v>
      </c>
      <c r="E4795" s="60" t="b">
        <v>1</v>
      </c>
      <c r="F4795" s="80" t="s">
        <v>1337</v>
      </c>
      <c r="G4795" s="58" t="s">
        <v>11982</v>
      </c>
      <c r="H4795" s="58" t="s">
        <v>1763</v>
      </c>
      <c r="I4795" s="64" t="s">
        <v>11983</v>
      </c>
      <c r="J4795" s="66"/>
      <c r="K4795" s="66"/>
      <c r="L4795" s="68"/>
      <c r="M4795" s="63" t="str">
        <f>HYPERLINK("http://nsgreg.nga.mil/genc/view?v=872354&amp;end_month=12&amp;end_day=31&amp;end_year=2016","Correlation")</f>
        <v>Correlation</v>
      </c>
    </row>
    <row r="4796" spans="1:13" x14ac:dyDescent="0.2">
      <c r="A4796" s="114"/>
      <c r="B4796" s="71" t="s">
        <v>11984</v>
      </c>
      <c r="C4796" s="71" t="s">
        <v>1763</v>
      </c>
      <c r="D4796" s="71" t="s">
        <v>11985</v>
      </c>
      <c r="E4796" s="73" t="b">
        <v>1</v>
      </c>
      <c r="F4796" s="81" t="s">
        <v>1337</v>
      </c>
      <c r="G4796" s="71" t="s">
        <v>11984</v>
      </c>
      <c r="H4796" s="71" t="s">
        <v>1763</v>
      </c>
      <c r="I4796" s="74" t="s">
        <v>11985</v>
      </c>
      <c r="J4796" s="76"/>
      <c r="K4796" s="76"/>
      <c r="L4796" s="82"/>
      <c r="M4796" s="77" t="str">
        <f>HYPERLINK("http://nsgreg.nga.mil/genc/view?v=872356&amp;end_month=12&amp;end_day=31&amp;end_year=2016","Correlation")</f>
        <v>Correlation</v>
      </c>
    </row>
    <row r="4797" spans="1:13" x14ac:dyDescent="0.2">
      <c r="A4797" s="112" t="s">
        <v>1346</v>
      </c>
      <c r="B4797" s="50" t="s">
        <v>11986</v>
      </c>
      <c r="C4797" s="50" t="s">
        <v>2294</v>
      </c>
      <c r="D4797" s="50" t="s">
        <v>11987</v>
      </c>
      <c r="E4797" s="52" t="b">
        <v>1</v>
      </c>
      <c r="F4797" s="78" t="s">
        <v>1346</v>
      </c>
      <c r="G4797" s="50" t="s">
        <v>11986</v>
      </c>
      <c r="H4797" s="50" t="s">
        <v>2294</v>
      </c>
      <c r="I4797" s="53" t="s">
        <v>11987</v>
      </c>
      <c r="J4797" s="55"/>
      <c r="K4797" s="55"/>
      <c r="L4797" s="79"/>
      <c r="M4797" s="56" t="str">
        <f>HYPERLINK("http://nsgreg.nga.mil/genc/view?v=872357&amp;end_month=12&amp;end_day=31&amp;end_year=2016","Correlation")</f>
        <v>Correlation</v>
      </c>
    </row>
    <row r="4798" spans="1:13" x14ac:dyDescent="0.2">
      <c r="A4798" s="113"/>
      <c r="B4798" s="58" t="s">
        <v>11988</v>
      </c>
      <c r="C4798" s="58" t="s">
        <v>2294</v>
      </c>
      <c r="D4798" s="58" t="s">
        <v>11989</v>
      </c>
      <c r="E4798" s="60" t="b">
        <v>1</v>
      </c>
      <c r="F4798" s="80" t="s">
        <v>1346</v>
      </c>
      <c r="G4798" s="58" t="s">
        <v>11988</v>
      </c>
      <c r="H4798" s="58" t="s">
        <v>2294</v>
      </c>
      <c r="I4798" s="64" t="s">
        <v>11989</v>
      </c>
      <c r="J4798" s="66"/>
      <c r="K4798" s="66"/>
      <c r="L4798" s="68"/>
      <c r="M4798" s="63" t="str">
        <f>HYPERLINK("http://nsgreg.nga.mil/genc/view?v=872358&amp;end_month=12&amp;end_day=31&amp;end_year=2016","Correlation")</f>
        <v>Correlation</v>
      </c>
    </row>
    <row r="4799" spans="1:13" x14ac:dyDescent="0.2">
      <c r="A4799" s="113"/>
      <c r="B4799" s="58" t="s">
        <v>11990</v>
      </c>
      <c r="C4799" s="58" t="s">
        <v>2294</v>
      </c>
      <c r="D4799" s="58" t="s">
        <v>11991</v>
      </c>
      <c r="E4799" s="60" t="b">
        <v>1</v>
      </c>
      <c r="F4799" s="80" t="s">
        <v>1346</v>
      </c>
      <c r="G4799" s="58" t="s">
        <v>11990</v>
      </c>
      <c r="H4799" s="58" t="s">
        <v>2294</v>
      </c>
      <c r="I4799" s="64" t="s">
        <v>11991</v>
      </c>
      <c r="J4799" s="66"/>
      <c r="K4799" s="66"/>
      <c r="L4799" s="68"/>
      <c r="M4799" s="63" t="str">
        <f>HYPERLINK("http://nsgreg.nga.mil/genc/view?v=872359&amp;end_month=12&amp;end_day=31&amp;end_year=2016","Correlation")</f>
        <v>Correlation</v>
      </c>
    </row>
    <row r="4800" spans="1:13" x14ac:dyDescent="0.2">
      <c r="A4800" s="113"/>
      <c r="B4800" s="58" t="s">
        <v>11992</v>
      </c>
      <c r="C4800" s="58" t="s">
        <v>2294</v>
      </c>
      <c r="D4800" s="58" t="s">
        <v>11993</v>
      </c>
      <c r="E4800" s="60" t="b">
        <v>1</v>
      </c>
      <c r="F4800" s="80" t="s">
        <v>1346</v>
      </c>
      <c r="G4800" s="58" t="s">
        <v>11992</v>
      </c>
      <c r="H4800" s="58" t="s">
        <v>2294</v>
      </c>
      <c r="I4800" s="64" t="s">
        <v>11993</v>
      </c>
      <c r="J4800" s="66"/>
      <c r="K4800" s="66"/>
      <c r="L4800" s="68"/>
      <c r="M4800" s="63" t="str">
        <f>HYPERLINK("http://nsgreg.nga.mil/genc/view?v=872360&amp;end_month=12&amp;end_day=31&amp;end_year=2016","Correlation")</f>
        <v>Correlation</v>
      </c>
    </row>
    <row r="4801" spans="1:13" x14ac:dyDescent="0.2">
      <c r="A4801" s="113"/>
      <c r="B4801" s="58" t="s">
        <v>11994</v>
      </c>
      <c r="C4801" s="58" t="s">
        <v>2294</v>
      </c>
      <c r="D4801" s="58" t="s">
        <v>11995</v>
      </c>
      <c r="E4801" s="60" t="b">
        <v>1</v>
      </c>
      <c r="F4801" s="80" t="s">
        <v>1346</v>
      </c>
      <c r="G4801" s="58" t="s">
        <v>11994</v>
      </c>
      <c r="H4801" s="58" t="s">
        <v>2294</v>
      </c>
      <c r="I4801" s="64" t="s">
        <v>11995</v>
      </c>
      <c r="J4801" s="66"/>
      <c r="K4801" s="66"/>
      <c r="L4801" s="68"/>
      <c r="M4801" s="63" t="str">
        <f>HYPERLINK("http://nsgreg.nga.mil/genc/view?v=872361&amp;end_month=12&amp;end_day=31&amp;end_year=2016","Correlation")</f>
        <v>Correlation</v>
      </c>
    </row>
    <row r="4802" spans="1:13" x14ac:dyDescent="0.2">
      <c r="A4802" s="113"/>
      <c r="B4802" s="58" t="s">
        <v>11996</v>
      </c>
      <c r="C4802" s="58" t="s">
        <v>2294</v>
      </c>
      <c r="D4802" s="58" t="s">
        <v>11997</v>
      </c>
      <c r="E4802" s="60" t="b">
        <v>1</v>
      </c>
      <c r="F4802" s="80" t="s">
        <v>1346</v>
      </c>
      <c r="G4802" s="58" t="s">
        <v>11996</v>
      </c>
      <c r="H4802" s="58" t="s">
        <v>2294</v>
      </c>
      <c r="I4802" s="64" t="s">
        <v>11997</v>
      </c>
      <c r="J4802" s="66"/>
      <c r="K4802" s="66"/>
      <c r="L4802" s="68"/>
      <c r="M4802" s="63" t="str">
        <f>HYPERLINK("http://nsgreg.nga.mil/genc/view?v=872363&amp;end_month=12&amp;end_day=31&amp;end_year=2016","Correlation")</f>
        <v>Correlation</v>
      </c>
    </row>
    <row r="4803" spans="1:13" x14ac:dyDescent="0.2">
      <c r="A4803" s="113"/>
      <c r="B4803" s="58" t="s">
        <v>11904</v>
      </c>
      <c r="C4803" s="58" t="s">
        <v>2294</v>
      </c>
      <c r="D4803" s="58" t="s">
        <v>11998</v>
      </c>
      <c r="E4803" s="60" t="b">
        <v>1</v>
      </c>
      <c r="F4803" s="80" t="s">
        <v>1346</v>
      </c>
      <c r="G4803" s="58" t="s">
        <v>11904</v>
      </c>
      <c r="H4803" s="58" t="s">
        <v>2294</v>
      </c>
      <c r="I4803" s="64" t="s">
        <v>11998</v>
      </c>
      <c r="J4803" s="66"/>
      <c r="K4803" s="66"/>
      <c r="L4803" s="68"/>
      <c r="M4803" s="63" t="str">
        <f>HYPERLINK("http://nsgreg.nga.mil/genc/view?v=872362&amp;end_month=12&amp;end_day=31&amp;end_year=2016","Correlation")</f>
        <v>Correlation</v>
      </c>
    </row>
    <row r="4804" spans="1:13" x14ac:dyDescent="0.2">
      <c r="A4804" s="113"/>
      <c r="B4804" s="58" t="s">
        <v>11999</v>
      </c>
      <c r="C4804" s="58" t="s">
        <v>2294</v>
      </c>
      <c r="D4804" s="58" t="s">
        <v>12000</v>
      </c>
      <c r="E4804" s="60" t="b">
        <v>1</v>
      </c>
      <c r="F4804" s="80" t="s">
        <v>1346</v>
      </c>
      <c r="G4804" s="58" t="s">
        <v>11999</v>
      </c>
      <c r="H4804" s="58" t="s">
        <v>2294</v>
      </c>
      <c r="I4804" s="64" t="s">
        <v>12000</v>
      </c>
      <c r="J4804" s="66"/>
      <c r="K4804" s="66"/>
      <c r="L4804" s="68"/>
      <c r="M4804" s="63" t="str">
        <f>HYPERLINK("http://nsgreg.nga.mil/genc/view?v=872364&amp;end_month=12&amp;end_day=31&amp;end_year=2016","Correlation")</f>
        <v>Correlation</v>
      </c>
    </row>
    <row r="4805" spans="1:13" x14ac:dyDescent="0.2">
      <c r="A4805" s="113"/>
      <c r="B4805" s="58" t="s">
        <v>12001</v>
      </c>
      <c r="C4805" s="58" t="s">
        <v>2294</v>
      </c>
      <c r="D4805" s="58" t="s">
        <v>12002</v>
      </c>
      <c r="E4805" s="60" t="b">
        <v>1</v>
      </c>
      <c r="F4805" s="80" t="s">
        <v>1346</v>
      </c>
      <c r="G4805" s="58" t="s">
        <v>12001</v>
      </c>
      <c r="H4805" s="58" t="s">
        <v>2294</v>
      </c>
      <c r="I4805" s="64" t="s">
        <v>12002</v>
      </c>
      <c r="J4805" s="66"/>
      <c r="K4805" s="66"/>
      <c r="L4805" s="68"/>
      <c r="M4805" s="63" t="str">
        <f>HYPERLINK("http://nsgreg.nga.mil/genc/view?v=872365&amp;end_month=12&amp;end_day=31&amp;end_year=2016","Correlation")</f>
        <v>Correlation</v>
      </c>
    </row>
    <row r="4806" spans="1:13" x14ac:dyDescent="0.2">
      <c r="A4806" s="113"/>
      <c r="B4806" s="58" t="s">
        <v>12003</v>
      </c>
      <c r="C4806" s="58" t="s">
        <v>2294</v>
      </c>
      <c r="D4806" s="58" t="s">
        <v>12004</v>
      </c>
      <c r="E4806" s="60" t="b">
        <v>1</v>
      </c>
      <c r="F4806" s="80" t="s">
        <v>1346</v>
      </c>
      <c r="G4806" s="58" t="s">
        <v>12003</v>
      </c>
      <c r="H4806" s="58" t="s">
        <v>2294</v>
      </c>
      <c r="I4806" s="64" t="s">
        <v>12004</v>
      </c>
      <c r="J4806" s="66"/>
      <c r="K4806" s="66"/>
      <c r="L4806" s="68"/>
      <c r="M4806" s="63" t="str">
        <f>HYPERLINK("http://nsgreg.nga.mil/genc/view?v=872366&amp;end_month=12&amp;end_day=31&amp;end_year=2016","Correlation")</f>
        <v>Correlation</v>
      </c>
    </row>
    <row r="4807" spans="1:13" x14ac:dyDescent="0.2">
      <c r="A4807" s="113"/>
      <c r="B4807" s="58" t="s">
        <v>12005</v>
      </c>
      <c r="C4807" s="58" t="s">
        <v>2294</v>
      </c>
      <c r="D4807" s="58" t="s">
        <v>12006</v>
      </c>
      <c r="E4807" s="60" t="b">
        <v>1</v>
      </c>
      <c r="F4807" s="80" t="s">
        <v>1346</v>
      </c>
      <c r="G4807" s="58" t="s">
        <v>12005</v>
      </c>
      <c r="H4807" s="58" t="s">
        <v>2294</v>
      </c>
      <c r="I4807" s="64" t="s">
        <v>12006</v>
      </c>
      <c r="J4807" s="66"/>
      <c r="K4807" s="66"/>
      <c r="L4807" s="68"/>
      <c r="M4807" s="63" t="str">
        <f>HYPERLINK("http://nsgreg.nga.mil/genc/view?v=872367&amp;end_month=12&amp;end_day=31&amp;end_year=2016","Correlation")</f>
        <v>Correlation</v>
      </c>
    </row>
    <row r="4808" spans="1:13" x14ac:dyDescent="0.2">
      <c r="A4808" s="113"/>
      <c r="B4808" s="58" t="s">
        <v>1708</v>
      </c>
      <c r="C4808" s="58" t="s">
        <v>2294</v>
      </c>
      <c r="D4808" s="58" t="s">
        <v>12007</v>
      </c>
      <c r="E4808" s="60" t="b">
        <v>1</v>
      </c>
      <c r="F4808" s="80" t="s">
        <v>1346</v>
      </c>
      <c r="G4808" s="58" t="s">
        <v>1708</v>
      </c>
      <c r="H4808" s="58" t="s">
        <v>2294</v>
      </c>
      <c r="I4808" s="64" t="s">
        <v>12007</v>
      </c>
      <c r="J4808" s="66"/>
      <c r="K4808" s="66"/>
      <c r="L4808" s="68"/>
      <c r="M4808" s="63" t="str">
        <f>HYPERLINK("http://nsgreg.nga.mil/genc/view?v=872368&amp;end_month=12&amp;end_day=31&amp;end_year=2016","Correlation")</f>
        <v>Correlation</v>
      </c>
    </row>
    <row r="4809" spans="1:13" x14ac:dyDescent="0.2">
      <c r="A4809" s="113"/>
      <c r="B4809" s="58" t="s">
        <v>12008</v>
      </c>
      <c r="C4809" s="58" t="s">
        <v>2294</v>
      </c>
      <c r="D4809" s="58" t="s">
        <v>12009</v>
      </c>
      <c r="E4809" s="60" t="b">
        <v>1</v>
      </c>
      <c r="F4809" s="80" t="s">
        <v>1346</v>
      </c>
      <c r="G4809" s="58" t="s">
        <v>12008</v>
      </c>
      <c r="H4809" s="58" t="s">
        <v>2294</v>
      </c>
      <c r="I4809" s="64" t="s">
        <v>12009</v>
      </c>
      <c r="J4809" s="66"/>
      <c r="K4809" s="66"/>
      <c r="L4809" s="68"/>
      <c r="M4809" s="63" t="str">
        <f>HYPERLINK("http://nsgreg.nga.mil/genc/view?v=872370&amp;end_month=12&amp;end_day=31&amp;end_year=2016","Correlation")</f>
        <v>Correlation</v>
      </c>
    </row>
    <row r="4810" spans="1:13" x14ac:dyDescent="0.2">
      <c r="A4810" s="113"/>
      <c r="B4810" s="58" t="s">
        <v>12010</v>
      </c>
      <c r="C4810" s="58" t="s">
        <v>2294</v>
      </c>
      <c r="D4810" s="58" t="s">
        <v>12011</v>
      </c>
      <c r="E4810" s="60" t="b">
        <v>1</v>
      </c>
      <c r="F4810" s="80" t="s">
        <v>1346</v>
      </c>
      <c r="G4810" s="58" t="s">
        <v>12010</v>
      </c>
      <c r="H4810" s="58" t="s">
        <v>2294</v>
      </c>
      <c r="I4810" s="64" t="s">
        <v>12011</v>
      </c>
      <c r="J4810" s="66"/>
      <c r="K4810" s="66"/>
      <c r="L4810" s="68"/>
      <c r="M4810" s="63" t="str">
        <f>HYPERLINK("http://nsgreg.nga.mil/genc/view?v=872369&amp;end_month=12&amp;end_day=31&amp;end_year=2016","Correlation")</f>
        <v>Correlation</v>
      </c>
    </row>
    <row r="4811" spans="1:13" x14ac:dyDescent="0.2">
      <c r="A4811" s="113"/>
      <c r="B4811" s="58" t="s">
        <v>12012</v>
      </c>
      <c r="C4811" s="58" t="s">
        <v>2294</v>
      </c>
      <c r="D4811" s="58" t="s">
        <v>12013</v>
      </c>
      <c r="E4811" s="60" t="b">
        <v>1</v>
      </c>
      <c r="F4811" s="80" t="s">
        <v>1346</v>
      </c>
      <c r="G4811" s="58" t="s">
        <v>12012</v>
      </c>
      <c r="H4811" s="58" t="s">
        <v>2294</v>
      </c>
      <c r="I4811" s="64" t="s">
        <v>12013</v>
      </c>
      <c r="J4811" s="66"/>
      <c r="K4811" s="66"/>
      <c r="L4811" s="68"/>
      <c r="M4811" s="63" t="str">
        <f>HYPERLINK("http://nsgreg.nga.mil/genc/view?v=872371&amp;end_month=12&amp;end_day=31&amp;end_year=2016","Correlation")</f>
        <v>Correlation</v>
      </c>
    </row>
    <row r="4812" spans="1:13" x14ac:dyDescent="0.2">
      <c r="A4812" s="113"/>
      <c r="B4812" s="58" t="s">
        <v>3298</v>
      </c>
      <c r="C4812" s="58" t="s">
        <v>2294</v>
      </c>
      <c r="D4812" s="58" t="s">
        <v>12014</v>
      </c>
      <c r="E4812" s="60" t="b">
        <v>1</v>
      </c>
      <c r="F4812" s="80" t="s">
        <v>1346</v>
      </c>
      <c r="G4812" s="58" t="s">
        <v>3298</v>
      </c>
      <c r="H4812" s="58" t="s">
        <v>2294</v>
      </c>
      <c r="I4812" s="64" t="s">
        <v>12014</v>
      </c>
      <c r="J4812" s="66"/>
      <c r="K4812" s="66"/>
      <c r="L4812" s="68"/>
      <c r="M4812" s="63" t="str">
        <f>HYPERLINK("http://nsgreg.nga.mil/genc/view?v=872372&amp;end_month=12&amp;end_day=31&amp;end_year=2016","Correlation")</f>
        <v>Correlation</v>
      </c>
    </row>
    <row r="4813" spans="1:13" x14ac:dyDescent="0.2">
      <c r="A4813" s="113"/>
      <c r="B4813" s="58" t="s">
        <v>12015</v>
      </c>
      <c r="C4813" s="58" t="s">
        <v>2294</v>
      </c>
      <c r="D4813" s="58" t="s">
        <v>12016</v>
      </c>
      <c r="E4813" s="60" t="b">
        <v>1</v>
      </c>
      <c r="F4813" s="80" t="s">
        <v>1346</v>
      </c>
      <c r="G4813" s="58" t="s">
        <v>12015</v>
      </c>
      <c r="H4813" s="58" t="s">
        <v>2294</v>
      </c>
      <c r="I4813" s="64" t="s">
        <v>12016</v>
      </c>
      <c r="J4813" s="66"/>
      <c r="K4813" s="66"/>
      <c r="L4813" s="68"/>
      <c r="M4813" s="63" t="str">
        <f>HYPERLINK("http://nsgreg.nga.mil/genc/view?v=872373&amp;end_month=12&amp;end_day=31&amp;end_year=2016","Correlation")</f>
        <v>Correlation</v>
      </c>
    </row>
    <row r="4814" spans="1:13" x14ac:dyDescent="0.2">
      <c r="A4814" s="113"/>
      <c r="B4814" s="58" t="s">
        <v>12017</v>
      </c>
      <c r="C4814" s="58" t="s">
        <v>2294</v>
      </c>
      <c r="D4814" s="58" t="s">
        <v>12018</v>
      </c>
      <c r="E4814" s="60" t="b">
        <v>1</v>
      </c>
      <c r="F4814" s="80" t="s">
        <v>1346</v>
      </c>
      <c r="G4814" s="58" t="s">
        <v>12017</v>
      </c>
      <c r="H4814" s="58" t="s">
        <v>2294</v>
      </c>
      <c r="I4814" s="64" t="s">
        <v>12018</v>
      </c>
      <c r="J4814" s="66"/>
      <c r="K4814" s="66"/>
      <c r="L4814" s="68"/>
      <c r="M4814" s="63" t="str">
        <f>HYPERLINK("http://nsgreg.nga.mil/genc/view?v=872374&amp;end_month=12&amp;end_day=31&amp;end_year=2016","Correlation")</f>
        <v>Correlation</v>
      </c>
    </row>
    <row r="4815" spans="1:13" x14ac:dyDescent="0.2">
      <c r="A4815" s="114"/>
      <c r="B4815" s="71" t="s">
        <v>12019</v>
      </c>
      <c r="C4815" s="71" t="s">
        <v>2294</v>
      </c>
      <c r="D4815" s="71" t="s">
        <v>12020</v>
      </c>
      <c r="E4815" s="73" t="b">
        <v>1</v>
      </c>
      <c r="F4815" s="81" t="s">
        <v>1346</v>
      </c>
      <c r="G4815" s="71" t="s">
        <v>12019</v>
      </c>
      <c r="H4815" s="71" t="s">
        <v>2294</v>
      </c>
      <c r="I4815" s="74" t="s">
        <v>12020</v>
      </c>
      <c r="J4815" s="76"/>
      <c r="K4815" s="76"/>
      <c r="L4815" s="82"/>
      <c r="M4815" s="77" t="str">
        <f>HYPERLINK("http://nsgreg.nga.mil/genc/view?v=872375&amp;end_month=12&amp;end_day=31&amp;end_year=2016","Correlation")</f>
        <v>Correlation</v>
      </c>
    </row>
    <row r="4816" spans="1:13" x14ac:dyDescent="0.2">
      <c r="A4816" s="112" t="s">
        <v>1350</v>
      </c>
      <c r="B4816" s="50" t="s">
        <v>12021</v>
      </c>
      <c r="C4816" s="50" t="s">
        <v>1728</v>
      </c>
      <c r="D4816" s="50" t="s">
        <v>12022</v>
      </c>
      <c r="E4816" s="52" t="b">
        <v>1</v>
      </c>
      <c r="F4816" s="78" t="s">
        <v>1350</v>
      </c>
      <c r="G4816" s="50" t="s">
        <v>12021</v>
      </c>
      <c r="H4816" s="50" t="s">
        <v>1413</v>
      </c>
      <c r="I4816" s="53" t="s">
        <v>12022</v>
      </c>
      <c r="J4816" s="55"/>
      <c r="K4816" s="55"/>
      <c r="L4816" s="79"/>
      <c r="M4816" s="56" t="str">
        <f>HYPERLINK("http://nsgreg.nga.mil/genc/view?v=872376&amp;end_month=12&amp;end_day=31&amp;end_year=2016","Correlation")</f>
        <v>Correlation</v>
      </c>
    </row>
    <row r="4817" spans="1:13" x14ac:dyDescent="0.2">
      <c r="A4817" s="113"/>
      <c r="B4817" s="58" t="s">
        <v>12023</v>
      </c>
      <c r="C4817" s="58" t="s">
        <v>1728</v>
      </c>
      <c r="D4817" s="58" t="s">
        <v>12024</v>
      </c>
      <c r="E4817" s="60" t="b">
        <v>1</v>
      </c>
      <c r="F4817" s="80" t="s">
        <v>1350</v>
      </c>
      <c r="G4817" s="58" t="s">
        <v>12023</v>
      </c>
      <c r="H4817" s="58" t="s">
        <v>1413</v>
      </c>
      <c r="I4817" s="64" t="s">
        <v>12024</v>
      </c>
      <c r="J4817" s="66"/>
      <c r="K4817" s="66"/>
      <c r="L4817" s="68"/>
      <c r="M4817" s="63" t="str">
        <f>HYPERLINK("http://nsgreg.nga.mil/genc/view?v=872377&amp;end_month=12&amp;end_day=31&amp;end_year=2016","Correlation")</f>
        <v>Correlation</v>
      </c>
    </row>
    <row r="4818" spans="1:13" x14ac:dyDescent="0.2">
      <c r="A4818" s="113"/>
      <c r="B4818" s="58" t="s">
        <v>12025</v>
      </c>
      <c r="C4818" s="58" t="s">
        <v>1728</v>
      </c>
      <c r="D4818" s="58" t="s">
        <v>12026</v>
      </c>
      <c r="E4818" s="60" t="b">
        <v>1</v>
      </c>
      <c r="F4818" s="80" t="s">
        <v>1350</v>
      </c>
      <c r="G4818" s="58" t="s">
        <v>12025</v>
      </c>
      <c r="H4818" s="58" t="s">
        <v>1413</v>
      </c>
      <c r="I4818" s="64" t="s">
        <v>12026</v>
      </c>
      <c r="J4818" s="66"/>
      <c r="K4818" s="66"/>
      <c r="L4818" s="68"/>
      <c r="M4818" s="63" t="str">
        <f>HYPERLINK("http://nsgreg.nga.mil/genc/view?v=872378&amp;end_month=12&amp;end_day=31&amp;end_year=2016","Correlation")</f>
        <v>Correlation</v>
      </c>
    </row>
    <row r="4819" spans="1:13" x14ac:dyDescent="0.2">
      <c r="A4819" s="113"/>
      <c r="B4819" s="58" t="s">
        <v>12027</v>
      </c>
      <c r="C4819" s="58" t="s">
        <v>1728</v>
      </c>
      <c r="D4819" s="58" t="s">
        <v>12028</v>
      </c>
      <c r="E4819" s="60" t="b">
        <v>1</v>
      </c>
      <c r="F4819" s="80" t="s">
        <v>1350</v>
      </c>
      <c r="G4819" s="58" t="s">
        <v>12027</v>
      </c>
      <c r="H4819" s="58" t="s">
        <v>1413</v>
      </c>
      <c r="I4819" s="64" t="s">
        <v>12028</v>
      </c>
      <c r="J4819" s="66"/>
      <c r="K4819" s="66"/>
      <c r="L4819" s="68"/>
      <c r="M4819" s="63" t="str">
        <f>HYPERLINK("http://nsgreg.nga.mil/genc/view?v=872379&amp;end_month=12&amp;end_day=31&amp;end_year=2016","Correlation")</f>
        <v>Correlation</v>
      </c>
    </row>
    <row r="4820" spans="1:13" x14ac:dyDescent="0.2">
      <c r="A4820" s="113"/>
      <c r="B4820" s="58" t="s">
        <v>12029</v>
      </c>
      <c r="C4820" s="58" t="s">
        <v>1728</v>
      </c>
      <c r="D4820" s="58" t="s">
        <v>12030</v>
      </c>
      <c r="E4820" s="60" t="b">
        <v>1</v>
      </c>
      <c r="F4820" s="80" t="s">
        <v>1350</v>
      </c>
      <c r="G4820" s="58" t="s">
        <v>12029</v>
      </c>
      <c r="H4820" s="58" t="s">
        <v>1413</v>
      </c>
      <c r="I4820" s="64" t="s">
        <v>12030</v>
      </c>
      <c r="J4820" s="66"/>
      <c r="K4820" s="66"/>
      <c r="L4820" s="68"/>
      <c r="M4820" s="63" t="str">
        <f>HYPERLINK("http://nsgreg.nga.mil/genc/view?v=872380&amp;end_month=12&amp;end_day=31&amp;end_year=2016","Correlation")</f>
        <v>Correlation</v>
      </c>
    </row>
    <row r="4821" spans="1:13" x14ac:dyDescent="0.2">
      <c r="A4821" s="113"/>
      <c r="B4821" s="58" t="s">
        <v>12031</v>
      </c>
      <c r="C4821" s="58" t="s">
        <v>1728</v>
      </c>
      <c r="D4821" s="58" t="s">
        <v>12032</v>
      </c>
      <c r="E4821" s="60" t="b">
        <v>1</v>
      </c>
      <c r="F4821" s="80" t="s">
        <v>1350</v>
      </c>
      <c r="G4821" s="58" t="s">
        <v>12031</v>
      </c>
      <c r="H4821" s="58" t="s">
        <v>1413</v>
      </c>
      <c r="I4821" s="64" t="s">
        <v>12032</v>
      </c>
      <c r="J4821" s="66"/>
      <c r="K4821" s="66"/>
      <c r="L4821" s="68"/>
      <c r="M4821" s="63" t="str">
        <f>HYPERLINK("http://nsgreg.nga.mil/genc/view?v=872381&amp;end_month=12&amp;end_day=31&amp;end_year=2016","Correlation")</f>
        <v>Correlation</v>
      </c>
    </row>
    <row r="4822" spans="1:13" x14ac:dyDescent="0.2">
      <c r="A4822" s="113"/>
      <c r="B4822" s="58" t="s">
        <v>12033</v>
      </c>
      <c r="C4822" s="58" t="s">
        <v>1728</v>
      </c>
      <c r="D4822" s="58" t="s">
        <v>12034</v>
      </c>
      <c r="E4822" s="60" t="b">
        <v>1</v>
      </c>
      <c r="F4822" s="80" t="s">
        <v>1350</v>
      </c>
      <c r="G4822" s="58" t="s">
        <v>12033</v>
      </c>
      <c r="H4822" s="58" t="s">
        <v>1413</v>
      </c>
      <c r="I4822" s="64" t="s">
        <v>12034</v>
      </c>
      <c r="J4822" s="66"/>
      <c r="K4822" s="66"/>
      <c r="L4822" s="68"/>
      <c r="M4822" s="63" t="str">
        <f>HYPERLINK("http://nsgreg.nga.mil/genc/view?v=872382&amp;end_month=12&amp;end_day=31&amp;end_year=2016","Correlation")</f>
        <v>Correlation</v>
      </c>
    </row>
    <row r="4823" spans="1:13" x14ac:dyDescent="0.2">
      <c r="A4823" s="113"/>
      <c r="B4823" s="58" t="s">
        <v>12037</v>
      </c>
      <c r="C4823" s="58" t="s">
        <v>2408</v>
      </c>
      <c r="D4823" s="58" t="s">
        <v>12036</v>
      </c>
      <c r="E4823" s="60" t="b">
        <v>1</v>
      </c>
      <c r="F4823" s="80" t="s">
        <v>1350</v>
      </c>
      <c r="G4823" s="58" t="s">
        <v>12035</v>
      </c>
      <c r="H4823" s="58" t="s">
        <v>2408</v>
      </c>
      <c r="I4823" s="64" t="s">
        <v>12036</v>
      </c>
      <c r="J4823" s="66"/>
      <c r="K4823" s="66"/>
      <c r="L4823" s="68"/>
      <c r="M4823" s="63" t="str">
        <f>HYPERLINK("http://nsgreg.nga.mil/genc/view?v=872383&amp;end_month=12&amp;end_day=31&amp;end_year=2016","Correlation")</f>
        <v>Correlation</v>
      </c>
    </row>
    <row r="4824" spans="1:13" x14ac:dyDescent="0.2">
      <c r="A4824" s="113"/>
      <c r="B4824" s="58" t="s">
        <v>12038</v>
      </c>
      <c r="C4824" s="58" t="s">
        <v>1728</v>
      </c>
      <c r="D4824" s="58" t="s">
        <v>12039</v>
      </c>
      <c r="E4824" s="60" t="b">
        <v>1</v>
      </c>
      <c r="F4824" s="80" t="s">
        <v>1350</v>
      </c>
      <c r="G4824" s="58" t="s">
        <v>12038</v>
      </c>
      <c r="H4824" s="58" t="s">
        <v>1413</v>
      </c>
      <c r="I4824" s="64" t="s">
        <v>12039</v>
      </c>
      <c r="J4824" s="66"/>
      <c r="K4824" s="66"/>
      <c r="L4824" s="68"/>
      <c r="M4824" s="63" t="str">
        <f>HYPERLINK("http://nsgreg.nga.mil/genc/view?v=872384&amp;end_month=12&amp;end_day=31&amp;end_year=2016","Correlation")</f>
        <v>Correlation</v>
      </c>
    </row>
    <row r="4825" spans="1:13" x14ac:dyDescent="0.2">
      <c r="A4825" s="113"/>
      <c r="B4825" s="58" t="s">
        <v>12040</v>
      </c>
      <c r="C4825" s="58" t="s">
        <v>1728</v>
      </c>
      <c r="D4825" s="58" t="s">
        <v>12041</v>
      </c>
      <c r="E4825" s="60" t="b">
        <v>1</v>
      </c>
      <c r="F4825" s="80" t="s">
        <v>1350</v>
      </c>
      <c r="G4825" s="58" t="s">
        <v>12040</v>
      </c>
      <c r="H4825" s="58" t="s">
        <v>1413</v>
      </c>
      <c r="I4825" s="64" t="s">
        <v>12041</v>
      </c>
      <c r="J4825" s="66"/>
      <c r="K4825" s="66"/>
      <c r="L4825" s="68"/>
      <c r="M4825" s="63" t="str">
        <f>HYPERLINK("http://nsgreg.nga.mil/genc/view?v=872385&amp;end_month=12&amp;end_day=31&amp;end_year=2016","Correlation")</f>
        <v>Correlation</v>
      </c>
    </row>
    <row r="4826" spans="1:13" x14ac:dyDescent="0.2">
      <c r="A4826" s="113"/>
      <c r="B4826" s="58" t="s">
        <v>12042</v>
      </c>
      <c r="C4826" s="58" t="s">
        <v>1728</v>
      </c>
      <c r="D4826" s="58" t="s">
        <v>12043</v>
      </c>
      <c r="E4826" s="60" t="b">
        <v>1</v>
      </c>
      <c r="F4826" s="80" t="s">
        <v>1350</v>
      </c>
      <c r="G4826" s="58" t="s">
        <v>12042</v>
      </c>
      <c r="H4826" s="58" t="s">
        <v>1413</v>
      </c>
      <c r="I4826" s="64" t="s">
        <v>12043</v>
      </c>
      <c r="J4826" s="66"/>
      <c r="K4826" s="66"/>
      <c r="L4826" s="68"/>
      <c r="M4826" s="63" t="str">
        <f>HYPERLINK("http://nsgreg.nga.mil/genc/view?v=872386&amp;end_month=12&amp;end_day=31&amp;end_year=2016","Correlation")</f>
        <v>Correlation</v>
      </c>
    </row>
    <row r="4827" spans="1:13" x14ac:dyDescent="0.2">
      <c r="A4827" s="113"/>
      <c r="B4827" s="58" t="s">
        <v>12044</v>
      </c>
      <c r="C4827" s="58" t="s">
        <v>1681</v>
      </c>
      <c r="D4827" s="58" t="s">
        <v>12045</v>
      </c>
      <c r="E4827" s="60" t="b">
        <v>1</v>
      </c>
      <c r="F4827" s="80" t="s">
        <v>1350</v>
      </c>
      <c r="G4827" s="58" t="s">
        <v>12044</v>
      </c>
      <c r="H4827" s="58" t="s">
        <v>1681</v>
      </c>
      <c r="I4827" s="64" t="s">
        <v>12045</v>
      </c>
      <c r="J4827" s="66"/>
      <c r="K4827" s="66"/>
      <c r="L4827" s="68"/>
      <c r="M4827" s="63" t="str">
        <f>HYPERLINK("http://nsgreg.nga.mil/genc/view?v=872387&amp;end_month=12&amp;end_day=31&amp;end_year=2016","Correlation")</f>
        <v>Correlation</v>
      </c>
    </row>
    <row r="4828" spans="1:13" x14ac:dyDescent="0.2">
      <c r="A4828" s="113"/>
      <c r="B4828" s="58" t="s">
        <v>12044</v>
      </c>
      <c r="C4828" s="58" t="s">
        <v>1728</v>
      </c>
      <c r="D4828" s="58" t="s">
        <v>12046</v>
      </c>
      <c r="E4828" s="60" t="b">
        <v>1</v>
      </c>
      <c r="F4828" s="80" t="s">
        <v>1350</v>
      </c>
      <c r="G4828" s="58" t="s">
        <v>12044</v>
      </c>
      <c r="H4828" s="58" t="s">
        <v>1413</v>
      </c>
      <c r="I4828" s="64" t="s">
        <v>12046</v>
      </c>
      <c r="J4828" s="66"/>
      <c r="K4828" s="66"/>
      <c r="L4828" s="68"/>
      <c r="M4828" s="63" t="str">
        <f>HYPERLINK("http://nsgreg.nga.mil/genc/view?v=872388&amp;end_month=12&amp;end_day=31&amp;end_year=2016","Correlation")</f>
        <v>Correlation</v>
      </c>
    </row>
    <row r="4829" spans="1:13" x14ac:dyDescent="0.2">
      <c r="A4829" s="114"/>
      <c r="B4829" s="71" t="s">
        <v>12047</v>
      </c>
      <c r="C4829" s="71" t="s">
        <v>1728</v>
      </c>
      <c r="D4829" s="71" t="s">
        <v>12048</v>
      </c>
      <c r="E4829" s="73" t="b">
        <v>1</v>
      </c>
      <c r="F4829" s="81" t="s">
        <v>1350</v>
      </c>
      <c r="G4829" s="71" t="s">
        <v>12047</v>
      </c>
      <c r="H4829" s="71" t="s">
        <v>1413</v>
      </c>
      <c r="I4829" s="74" t="s">
        <v>12048</v>
      </c>
      <c r="J4829" s="76"/>
      <c r="K4829" s="76"/>
      <c r="L4829" s="82"/>
      <c r="M4829" s="77" t="str">
        <f>HYPERLINK("http://nsgreg.nga.mil/genc/view?v=872389&amp;end_month=12&amp;end_day=31&amp;end_year=2016","Correlation")</f>
        <v>Correlation</v>
      </c>
    </row>
    <row r="4830" spans="1:13" x14ac:dyDescent="0.2">
      <c r="A4830" s="112" t="s">
        <v>1354</v>
      </c>
      <c r="B4830" s="50" t="s">
        <v>12049</v>
      </c>
      <c r="C4830" s="50" t="s">
        <v>1413</v>
      </c>
      <c r="D4830" s="50" t="s">
        <v>12050</v>
      </c>
      <c r="E4830" s="52" t="b">
        <v>1</v>
      </c>
      <c r="F4830" s="78" t="s">
        <v>1354</v>
      </c>
      <c r="G4830" s="50" t="s">
        <v>12049</v>
      </c>
      <c r="H4830" s="50" t="s">
        <v>1413</v>
      </c>
      <c r="I4830" s="53" t="s">
        <v>12050</v>
      </c>
      <c r="J4830" s="55"/>
      <c r="K4830" s="55"/>
      <c r="L4830" s="79"/>
      <c r="M4830" s="56" t="str">
        <f>HYPERLINK("http://nsgreg.nga.mil/genc/view?v=872484&amp;end_month=12&amp;end_day=31&amp;end_year=2016","Correlation")</f>
        <v>Correlation</v>
      </c>
    </row>
    <row r="4831" spans="1:13" x14ac:dyDescent="0.2">
      <c r="A4831" s="113"/>
      <c r="B4831" s="58" t="s">
        <v>12053</v>
      </c>
      <c r="C4831" s="58" t="s">
        <v>1413</v>
      </c>
      <c r="D4831" s="58" t="s">
        <v>12052</v>
      </c>
      <c r="E4831" s="60" t="b">
        <v>1</v>
      </c>
      <c r="F4831" s="80" t="s">
        <v>1354</v>
      </c>
      <c r="G4831" s="58" t="s">
        <v>12051</v>
      </c>
      <c r="H4831" s="58" t="s">
        <v>1413</v>
      </c>
      <c r="I4831" s="64" t="s">
        <v>12052</v>
      </c>
      <c r="J4831" s="66"/>
      <c r="K4831" s="66"/>
      <c r="L4831" s="68"/>
      <c r="M4831" s="63" t="str">
        <f>HYPERLINK("http://nsgreg.nga.mil/genc/view?v=872485&amp;end_month=12&amp;end_day=31&amp;end_year=2016","Correlation")</f>
        <v>Correlation</v>
      </c>
    </row>
    <row r="4832" spans="1:13" x14ac:dyDescent="0.2">
      <c r="A4832" s="113"/>
      <c r="B4832" s="58" t="s">
        <v>12054</v>
      </c>
      <c r="C4832" s="58" t="s">
        <v>1413</v>
      </c>
      <c r="D4832" s="58" t="s">
        <v>12055</v>
      </c>
      <c r="E4832" s="60" t="b">
        <v>1</v>
      </c>
      <c r="F4832" s="80" t="s">
        <v>1354</v>
      </c>
      <c r="G4832" s="58" t="s">
        <v>12054</v>
      </c>
      <c r="H4832" s="58" t="s">
        <v>1413</v>
      </c>
      <c r="I4832" s="64" t="s">
        <v>12055</v>
      </c>
      <c r="J4832" s="66"/>
      <c r="K4832" s="66"/>
      <c r="L4832" s="68"/>
      <c r="M4832" s="63" t="str">
        <f>HYPERLINK("http://nsgreg.nga.mil/genc/view?v=872486&amp;end_month=12&amp;end_day=31&amp;end_year=2016","Correlation")</f>
        <v>Correlation</v>
      </c>
    </row>
    <row r="4833" spans="1:13" x14ac:dyDescent="0.2">
      <c r="A4833" s="113"/>
      <c r="B4833" s="58" t="s">
        <v>12058</v>
      </c>
      <c r="C4833" s="58" t="s">
        <v>1413</v>
      </c>
      <c r="D4833" s="58" t="s">
        <v>12057</v>
      </c>
      <c r="E4833" s="60" t="b">
        <v>1</v>
      </c>
      <c r="F4833" s="80" t="s">
        <v>1354</v>
      </c>
      <c r="G4833" s="58" t="s">
        <v>12056</v>
      </c>
      <c r="H4833" s="58" t="s">
        <v>1413</v>
      </c>
      <c r="I4833" s="64" t="s">
        <v>12057</v>
      </c>
      <c r="J4833" s="66"/>
      <c r="K4833" s="66"/>
      <c r="L4833" s="68"/>
      <c r="M4833" s="63" t="str">
        <f>HYPERLINK("http://nsgreg.nga.mil/genc/view?v=872487&amp;end_month=12&amp;end_day=31&amp;end_year=2016","Correlation")</f>
        <v>Correlation</v>
      </c>
    </row>
    <row r="4834" spans="1:13" x14ac:dyDescent="0.2">
      <c r="A4834" s="113"/>
      <c r="B4834" s="58" t="s">
        <v>12061</v>
      </c>
      <c r="C4834" s="58" t="s">
        <v>1413</v>
      </c>
      <c r="D4834" s="58" t="s">
        <v>12060</v>
      </c>
      <c r="E4834" s="60" t="b">
        <v>1</v>
      </c>
      <c r="F4834" s="80" t="s">
        <v>1354</v>
      </c>
      <c r="G4834" s="58" t="s">
        <v>12059</v>
      </c>
      <c r="H4834" s="58" t="s">
        <v>1413</v>
      </c>
      <c r="I4834" s="64" t="s">
        <v>12060</v>
      </c>
      <c r="J4834" s="66"/>
      <c r="K4834" s="66"/>
      <c r="L4834" s="68"/>
      <c r="M4834" s="63" t="str">
        <f>HYPERLINK("http://nsgreg.nga.mil/genc/view?v=872488&amp;end_month=12&amp;end_day=31&amp;end_year=2016","Correlation")</f>
        <v>Correlation</v>
      </c>
    </row>
    <row r="4835" spans="1:13" x14ac:dyDescent="0.2">
      <c r="A4835" s="114"/>
      <c r="B4835" s="71" t="s">
        <v>12062</v>
      </c>
      <c r="C4835" s="71" t="s">
        <v>1413</v>
      </c>
      <c r="D4835" s="71" t="s">
        <v>12063</v>
      </c>
      <c r="E4835" s="73" t="b">
        <v>1</v>
      </c>
      <c r="F4835" s="81" t="s">
        <v>1354</v>
      </c>
      <c r="G4835" s="71" t="s">
        <v>12062</v>
      </c>
      <c r="H4835" s="71" t="s">
        <v>1413</v>
      </c>
      <c r="I4835" s="74" t="s">
        <v>12063</v>
      </c>
      <c r="J4835" s="76"/>
      <c r="K4835" s="76"/>
      <c r="L4835" s="82"/>
      <c r="M4835" s="77" t="str">
        <f>HYPERLINK("http://nsgreg.nga.mil/genc/view?v=872489&amp;end_month=12&amp;end_day=31&amp;end_year=2016","Correlation")</f>
        <v>Correlation</v>
      </c>
    </row>
    <row r="4836" spans="1:13" x14ac:dyDescent="0.2">
      <c r="A4836" s="112" t="s">
        <v>1367</v>
      </c>
      <c r="B4836" s="50" t="s">
        <v>2450</v>
      </c>
      <c r="C4836" s="50" t="s">
        <v>1763</v>
      </c>
      <c r="D4836" s="50" t="s">
        <v>12064</v>
      </c>
      <c r="E4836" s="52" t="b">
        <v>1</v>
      </c>
      <c r="F4836" s="78" t="s">
        <v>1363</v>
      </c>
      <c r="G4836" s="50" t="s">
        <v>2450</v>
      </c>
      <c r="H4836" s="50" t="s">
        <v>1763</v>
      </c>
      <c r="I4836" s="53" t="s">
        <v>12064</v>
      </c>
      <c r="J4836" s="55"/>
      <c r="K4836" s="55"/>
      <c r="L4836" s="79"/>
      <c r="M4836" s="56" t="str">
        <f>HYPERLINK("http://nsgreg.nga.mil/genc/view?v=872420&amp;end_month=12&amp;end_day=31&amp;end_year=2016","Correlation")</f>
        <v>Correlation</v>
      </c>
    </row>
    <row r="4837" spans="1:13" x14ac:dyDescent="0.2">
      <c r="A4837" s="113"/>
      <c r="B4837" s="58" t="s">
        <v>12065</v>
      </c>
      <c r="C4837" s="58" t="s">
        <v>1763</v>
      </c>
      <c r="D4837" s="58" t="s">
        <v>12066</v>
      </c>
      <c r="E4837" s="60" t="b">
        <v>1</v>
      </c>
      <c r="F4837" s="80" t="s">
        <v>1363</v>
      </c>
      <c r="G4837" s="58" t="s">
        <v>12065</v>
      </c>
      <c r="H4837" s="58" t="s">
        <v>1763</v>
      </c>
      <c r="I4837" s="64" t="s">
        <v>12066</v>
      </c>
      <c r="J4837" s="66"/>
      <c r="K4837" s="66"/>
      <c r="L4837" s="68"/>
      <c r="M4837" s="63" t="str">
        <f>HYPERLINK("http://nsgreg.nga.mil/genc/view?v=872397&amp;end_month=12&amp;end_day=31&amp;end_year=2016","Correlation")</f>
        <v>Correlation</v>
      </c>
    </row>
    <row r="4838" spans="1:13" x14ac:dyDescent="0.2">
      <c r="A4838" s="113"/>
      <c r="B4838" s="58" t="s">
        <v>12067</v>
      </c>
      <c r="C4838" s="58" t="s">
        <v>1763</v>
      </c>
      <c r="D4838" s="58" t="s">
        <v>12068</v>
      </c>
      <c r="E4838" s="60" t="b">
        <v>1</v>
      </c>
      <c r="F4838" s="80" t="s">
        <v>1363</v>
      </c>
      <c r="G4838" s="58" t="s">
        <v>12067</v>
      </c>
      <c r="H4838" s="58" t="s">
        <v>1763</v>
      </c>
      <c r="I4838" s="64" t="s">
        <v>12068</v>
      </c>
      <c r="J4838" s="66"/>
      <c r="K4838" s="66"/>
      <c r="L4838" s="68"/>
      <c r="M4838" s="63" t="str">
        <f>HYPERLINK("http://nsgreg.nga.mil/genc/view?v=872398&amp;end_month=12&amp;end_day=31&amp;end_year=2016","Correlation")</f>
        <v>Correlation</v>
      </c>
    </row>
    <row r="4839" spans="1:13" x14ac:dyDescent="0.2">
      <c r="A4839" s="113"/>
      <c r="B4839" s="58" t="s">
        <v>12069</v>
      </c>
      <c r="C4839" s="58" t="s">
        <v>1763</v>
      </c>
      <c r="D4839" s="58" t="s">
        <v>12070</v>
      </c>
      <c r="E4839" s="60" t="b">
        <v>1</v>
      </c>
      <c r="F4839" s="80" t="s">
        <v>1363</v>
      </c>
      <c r="G4839" s="58" t="s">
        <v>12069</v>
      </c>
      <c r="H4839" s="58" t="s">
        <v>1763</v>
      </c>
      <c r="I4839" s="64" t="s">
        <v>12070</v>
      </c>
      <c r="J4839" s="66"/>
      <c r="K4839" s="66"/>
      <c r="L4839" s="68"/>
      <c r="M4839" s="63" t="str">
        <f>HYPERLINK("http://nsgreg.nga.mil/genc/view?v=872399&amp;end_month=12&amp;end_day=31&amp;end_year=2016","Correlation")</f>
        <v>Correlation</v>
      </c>
    </row>
    <row r="4840" spans="1:13" x14ac:dyDescent="0.2">
      <c r="A4840" s="113"/>
      <c r="B4840" s="58" t="s">
        <v>12071</v>
      </c>
      <c r="C4840" s="58" t="s">
        <v>1763</v>
      </c>
      <c r="D4840" s="58" t="s">
        <v>12072</v>
      </c>
      <c r="E4840" s="60" t="b">
        <v>1</v>
      </c>
      <c r="F4840" s="80" t="s">
        <v>1363</v>
      </c>
      <c r="G4840" s="58" t="s">
        <v>12071</v>
      </c>
      <c r="H4840" s="58" t="s">
        <v>1763</v>
      </c>
      <c r="I4840" s="64" t="s">
        <v>12072</v>
      </c>
      <c r="J4840" s="66"/>
      <c r="K4840" s="66"/>
      <c r="L4840" s="68"/>
      <c r="M4840" s="63" t="str">
        <f>HYPERLINK("http://nsgreg.nga.mil/genc/view?v=872400&amp;end_month=12&amp;end_day=31&amp;end_year=2016","Correlation")</f>
        <v>Correlation</v>
      </c>
    </row>
    <row r="4841" spans="1:13" x14ac:dyDescent="0.2">
      <c r="A4841" s="113"/>
      <c r="B4841" s="58" t="s">
        <v>3143</v>
      </c>
      <c r="C4841" s="58" t="s">
        <v>1763</v>
      </c>
      <c r="D4841" s="58" t="s">
        <v>12073</v>
      </c>
      <c r="E4841" s="60" t="b">
        <v>1</v>
      </c>
      <c r="F4841" s="80" t="s">
        <v>1363</v>
      </c>
      <c r="G4841" s="58" t="s">
        <v>3143</v>
      </c>
      <c r="H4841" s="58" t="s">
        <v>1763</v>
      </c>
      <c r="I4841" s="64" t="s">
        <v>12073</v>
      </c>
      <c r="J4841" s="66"/>
      <c r="K4841" s="66"/>
      <c r="L4841" s="68"/>
      <c r="M4841" s="63" t="str">
        <f>HYPERLINK("http://nsgreg.nga.mil/genc/view?v=872401&amp;end_month=12&amp;end_day=31&amp;end_year=2016","Correlation")</f>
        <v>Correlation</v>
      </c>
    </row>
    <row r="4842" spans="1:13" x14ac:dyDescent="0.2">
      <c r="A4842" s="113"/>
      <c r="B4842" s="58" t="s">
        <v>12074</v>
      </c>
      <c r="C4842" s="58" t="s">
        <v>1763</v>
      </c>
      <c r="D4842" s="58" t="s">
        <v>12075</v>
      </c>
      <c r="E4842" s="60" t="b">
        <v>1</v>
      </c>
      <c r="F4842" s="80" t="s">
        <v>1363</v>
      </c>
      <c r="G4842" s="58" t="s">
        <v>12074</v>
      </c>
      <c r="H4842" s="58" t="s">
        <v>1763</v>
      </c>
      <c r="I4842" s="64" t="s">
        <v>12075</v>
      </c>
      <c r="J4842" s="66"/>
      <c r="K4842" s="66"/>
      <c r="L4842" s="68"/>
      <c r="M4842" s="63" t="str">
        <f>HYPERLINK("http://nsgreg.nga.mil/genc/view?v=872402&amp;end_month=12&amp;end_day=31&amp;end_year=2016","Correlation")</f>
        <v>Correlation</v>
      </c>
    </row>
    <row r="4843" spans="1:13" x14ac:dyDescent="0.2">
      <c r="A4843" s="113"/>
      <c r="B4843" s="58" t="s">
        <v>12076</v>
      </c>
      <c r="C4843" s="58" t="s">
        <v>1763</v>
      </c>
      <c r="D4843" s="58" t="s">
        <v>12077</v>
      </c>
      <c r="E4843" s="60" t="b">
        <v>1</v>
      </c>
      <c r="F4843" s="80" t="s">
        <v>1363</v>
      </c>
      <c r="G4843" s="58" t="s">
        <v>12076</v>
      </c>
      <c r="H4843" s="58" t="s">
        <v>1763</v>
      </c>
      <c r="I4843" s="64" t="s">
        <v>12077</v>
      </c>
      <c r="J4843" s="66"/>
      <c r="K4843" s="66"/>
      <c r="L4843" s="68"/>
      <c r="M4843" s="63" t="str">
        <f>HYPERLINK("http://nsgreg.nga.mil/genc/view?v=872403&amp;end_month=12&amp;end_day=31&amp;end_year=2016","Correlation")</f>
        <v>Correlation</v>
      </c>
    </row>
    <row r="4844" spans="1:13" x14ac:dyDescent="0.2">
      <c r="A4844" s="113"/>
      <c r="B4844" s="58" t="s">
        <v>12078</v>
      </c>
      <c r="C4844" s="58" t="s">
        <v>1763</v>
      </c>
      <c r="D4844" s="58" t="s">
        <v>12079</v>
      </c>
      <c r="E4844" s="60" t="b">
        <v>1</v>
      </c>
      <c r="F4844" s="80" t="s">
        <v>1363</v>
      </c>
      <c r="G4844" s="58" t="s">
        <v>12078</v>
      </c>
      <c r="H4844" s="58" t="s">
        <v>1763</v>
      </c>
      <c r="I4844" s="64" t="s">
        <v>12079</v>
      </c>
      <c r="J4844" s="66"/>
      <c r="K4844" s="66"/>
      <c r="L4844" s="68"/>
      <c r="M4844" s="63" t="str">
        <f>HYPERLINK("http://nsgreg.nga.mil/genc/view?v=872419&amp;end_month=12&amp;end_day=31&amp;end_year=2016","Correlation")</f>
        <v>Correlation</v>
      </c>
    </row>
    <row r="4845" spans="1:13" x14ac:dyDescent="0.2">
      <c r="A4845" s="113"/>
      <c r="B4845" s="58" t="s">
        <v>12080</v>
      </c>
      <c r="C4845" s="58" t="s">
        <v>12083</v>
      </c>
      <c r="D4845" s="58" t="s">
        <v>12082</v>
      </c>
      <c r="E4845" s="60" t="b">
        <v>1</v>
      </c>
      <c r="F4845" s="80" t="s">
        <v>1363</v>
      </c>
      <c r="G4845" s="58" t="s">
        <v>12080</v>
      </c>
      <c r="H4845" s="58" t="s">
        <v>12081</v>
      </c>
      <c r="I4845" s="64" t="s">
        <v>12082</v>
      </c>
      <c r="J4845" s="66"/>
      <c r="K4845" s="66"/>
      <c r="L4845" s="68"/>
      <c r="M4845" s="63" t="str">
        <f>HYPERLINK("http://nsgreg.nga.mil/genc/view?v=872417&amp;end_month=12&amp;end_day=31&amp;end_year=2016","Correlation")</f>
        <v>Correlation</v>
      </c>
    </row>
    <row r="4846" spans="1:13" x14ac:dyDescent="0.2">
      <c r="A4846" s="113"/>
      <c r="B4846" s="58" t="s">
        <v>12084</v>
      </c>
      <c r="C4846" s="58" t="s">
        <v>3140</v>
      </c>
      <c r="D4846" s="58" t="s">
        <v>12085</v>
      </c>
      <c r="E4846" s="60" t="b">
        <v>1</v>
      </c>
      <c r="F4846" s="80" t="s">
        <v>1363</v>
      </c>
      <c r="G4846" s="58" t="s">
        <v>12084</v>
      </c>
      <c r="H4846" s="58" t="s">
        <v>3140</v>
      </c>
      <c r="I4846" s="64" t="s">
        <v>12085</v>
      </c>
      <c r="J4846" s="66"/>
      <c r="K4846" s="66"/>
      <c r="L4846" s="68"/>
      <c r="M4846" s="63" t="str">
        <f>HYPERLINK("http://nsgreg.nga.mil/genc/view?v=872396&amp;end_month=12&amp;end_day=31&amp;end_year=2016","Correlation")</f>
        <v>Correlation</v>
      </c>
    </row>
    <row r="4847" spans="1:13" x14ac:dyDescent="0.2">
      <c r="A4847" s="113"/>
      <c r="B4847" s="58" t="s">
        <v>12086</v>
      </c>
      <c r="C4847" s="58" t="s">
        <v>1763</v>
      </c>
      <c r="D4847" s="58" t="s">
        <v>12087</v>
      </c>
      <c r="E4847" s="60" t="b">
        <v>1</v>
      </c>
      <c r="F4847" s="80" t="s">
        <v>1363</v>
      </c>
      <c r="G4847" s="58" t="s">
        <v>12086</v>
      </c>
      <c r="H4847" s="58" t="s">
        <v>1763</v>
      </c>
      <c r="I4847" s="64" t="s">
        <v>12087</v>
      </c>
      <c r="J4847" s="66"/>
      <c r="K4847" s="66"/>
      <c r="L4847" s="68"/>
      <c r="M4847" s="63" t="str">
        <f>HYPERLINK("http://nsgreg.nga.mil/genc/view?v=872404&amp;end_month=12&amp;end_day=31&amp;end_year=2016","Correlation")</f>
        <v>Correlation</v>
      </c>
    </row>
    <row r="4848" spans="1:13" x14ac:dyDescent="0.2">
      <c r="A4848" s="113"/>
      <c r="B4848" s="58" t="s">
        <v>12088</v>
      </c>
      <c r="C4848" s="58" t="s">
        <v>1763</v>
      </c>
      <c r="D4848" s="58" t="s">
        <v>12089</v>
      </c>
      <c r="E4848" s="60" t="b">
        <v>1</v>
      </c>
      <c r="F4848" s="80" t="s">
        <v>1363</v>
      </c>
      <c r="G4848" s="58" t="s">
        <v>12088</v>
      </c>
      <c r="H4848" s="58" t="s">
        <v>1763</v>
      </c>
      <c r="I4848" s="64" t="s">
        <v>12089</v>
      </c>
      <c r="J4848" s="66"/>
      <c r="K4848" s="66"/>
      <c r="L4848" s="68"/>
      <c r="M4848" s="63" t="str">
        <f>HYPERLINK("http://nsgreg.nga.mil/genc/view?v=872405&amp;end_month=12&amp;end_day=31&amp;end_year=2016","Correlation")</f>
        <v>Correlation</v>
      </c>
    </row>
    <row r="4849" spans="1:13" x14ac:dyDescent="0.2">
      <c r="A4849" s="113"/>
      <c r="B4849" s="58" t="s">
        <v>12090</v>
      </c>
      <c r="C4849" s="58" t="s">
        <v>1763</v>
      </c>
      <c r="D4849" s="58" t="s">
        <v>12091</v>
      </c>
      <c r="E4849" s="60" t="b">
        <v>1</v>
      </c>
      <c r="F4849" s="80" t="s">
        <v>1363</v>
      </c>
      <c r="G4849" s="58" t="s">
        <v>12090</v>
      </c>
      <c r="H4849" s="58" t="s">
        <v>1763</v>
      </c>
      <c r="I4849" s="64" t="s">
        <v>12091</v>
      </c>
      <c r="J4849" s="66"/>
      <c r="K4849" s="66"/>
      <c r="L4849" s="68"/>
      <c r="M4849" s="63" t="str">
        <f>HYPERLINK("http://nsgreg.nga.mil/genc/view?v=872406&amp;end_month=12&amp;end_day=31&amp;end_year=2016","Correlation")</f>
        <v>Correlation</v>
      </c>
    </row>
    <row r="4850" spans="1:13" x14ac:dyDescent="0.2">
      <c r="A4850" s="113"/>
      <c r="B4850" s="58" t="s">
        <v>12092</v>
      </c>
      <c r="C4850" s="58" t="s">
        <v>1763</v>
      </c>
      <c r="D4850" s="58" t="s">
        <v>12093</v>
      </c>
      <c r="E4850" s="60" t="b">
        <v>1</v>
      </c>
      <c r="F4850" s="80" t="s">
        <v>1363</v>
      </c>
      <c r="G4850" s="58" t="s">
        <v>12092</v>
      </c>
      <c r="H4850" s="58" t="s">
        <v>1763</v>
      </c>
      <c r="I4850" s="64" t="s">
        <v>12093</v>
      </c>
      <c r="J4850" s="66"/>
      <c r="K4850" s="66"/>
      <c r="L4850" s="68"/>
      <c r="M4850" s="63" t="str">
        <f>HYPERLINK("http://nsgreg.nga.mil/genc/view?v=872407&amp;end_month=12&amp;end_day=31&amp;end_year=2016","Correlation")</f>
        <v>Correlation</v>
      </c>
    </row>
    <row r="4851" spans="1:13" x14ac:dyDescent="0.2">
      <c r="A4851" s="113"/>
      <c r="B4851" s="58" t="s">
        <v>12094</v>
      </c>
      <c r="C4851" s="58" t="s">
        <v>1763</v>
      </c>
      <c r="D4851" s="58" t="s">
        <v>12095</v>
      </c>
      <c r="E4851" s="60" t="b">
        <v>1</v>
      </c>
      <c r="F4851" s="80" t="s">
        <v>1363</v>
      </c>
      <c r="G4851" s="58" t="s">
        <v>12094</v>
      </c>
      <c r="H4851" s="58" t="s">
        <v>1763</v>
      </c>
      <c r="I4851" s="64" t="s">
        <v>12095</v>
      </c>
      <c r="J4851" s="66"/>
      <c r="K4851" s="66"/>
      <c r="L4851" s="68"/>
      <c r="M4851" s="63" t="str">
        <f>HYPERLINK("http://nsgreg.nga.mil/genc/view?v=872408&amp;end_month=12&amp;end_day=31&amp;end_year=2016","Correlation")</f>
        <v>Correlation</v>
      </c>
    </row>
    <row r="4852" spans="1:13" x14ac:dyDescent="0.2">
      <c r="A4852" s="113"/>
      <c r="B4852" s="58" t="s">
        <v>12096</v>
      </c>
      <c r="C4852" s="58" t="s">
        <v>1763</v>
      </c>
      <c r="D4852" s="58" t="s">
        <v>12097</v>
      </c>
      <c r="E4852" s="60" t="b">
        <v>1</v>
      </c>
      <c r="F4852" s="80" t="s">
        <v>1363</v>
      </c>
      <c r="G4852" s="58" t="s">
        <v>12096</v>
      </c>
      <c r="H4852" s="58" t="s">
        <v>1763</v>
      </c>
      <c r="I4852" s="64" t="s">
        <v>12097</v>
      </c>
      <c r="J4852" s="66"/>
      <c r="K4852" s="66"/>
      <c r="L4852" s="68"/>
      <c r="M4852" s="63" t="str">
        <f>HYPERLINK("http://nsgreg.nga.mil/genc/view?v=872409&amp;end_month=12&amp;end_day=31&amp;end_year=2016","Correlation")</f>
        <v>Correlation</v>
      </c>
    </row>
    <row r="4853" spans="1:13" x14ac:dyDescent="0.2">
      <c r="A4853" s="113"/>
      <c r="B4853" s="58" t="s">
        <v>12098</v>
      </c>
      <c r="C4853" s="58" t="s">
        <v>1763</v>
      </c>
      <c r="D4853" s="58" t="s">
        <v>12099</v>
      </c>
      <c r="E4853" s="60" t="b">
        <v>1</v>
      </c>
      <c r="F4853" s="80" t="s">
        <v>1363</v>
      </c>
      <c r="G4853" s="58" t="s">
        <v>12098</v>
      </c>
      <c r="H4853" s="58" t="s">
        <v>1763</v>
      </c>
      <c r="I4853" s="64" t="s">
        <v>12099</v>
      </c>
      <c r="J4853" s="66"/>
      <c r="K4853" s="66"/>
      <c r="L4853" s="68"/>
      <c r="M4853" s="63" t="str">
        <f>HYPERLINK("http://nsgreg.nga.mil/genc/view?v=872410&amp;end_month=12&amp;end_day=31&amp;end_year=2016","Correlation")</f>
        <v>Correlation</v>
      </c>
    </row>
    <row r="4854" spans="1:13" x14ac:dyDescent="0.2">
      <c r="A4854" s="113"/>
      <c r="B4854" s="58" t="s">
        <v>12100</v>
      </c>
      <c r="C4854" s="58" t="s">
        <v>1763</v>
      </c>
      <c r="D4854" s="58" t="s">
        <v>12101</v>
      </c>
      <c r="E4854" s="60" t="b">
        <v>1</v>
      </c>
      <c r="F4854" s="80" t="s">
        <v>1363</v>
      </c>
      <c r="G4854" s="58" t="s">
        <v>12100</v>
      </c>
      <c r="H4854" s="58" t="s">
        <v>1763</v>
      </c>
      <c r="I4854" s="64" t="s">
        <v>12101</v>
      </c>
      <c r="J4854" s="66"/>
      <c r="K4854" s="66"/>
      <c r="L4854" s="68"/>
      <c r="M4854" s="63" t="str">
        <f>HYPERLINK("http://nsgreg.nga.mil/genc/view?v=872411&amp;end_month=12&amp;end_day=31&amp;end_year=2016","Correlation")</f>
        <v>Correlation</v>
      </c>
    </row>
    <row r="4855" spans="1:13" x14ac:dyDescent="0.2">
      <c r="A4855" s="113"/>
      <c r="B4855" s="58" t="s">
        <v>3189</v>
      </c>
      <c r="C4855" s="58" t="s">
        <v>1763</v>
      </c>
      <c r="D4855" s="58" t="s">
        <v>12102</v>
      </c>
      <c r="E4855" s="60" t="b">
        <v>1</v>
      </c>
      <c r="F4855" s="80" t="s">
        <v>1363</v>
      </c>
      <c r="G4855" s="58" t="s">
        <v>3189</v>
      </c>
      <c r="H4855" s="58" t="s">
        <v>1763</v>
      </c>
      <c r="I4855" s="64" t="s">
        <v>12102</v>
      </c>
      <c r="J4855" s="66"/>
      <c r="K4855" s="66"/>
      <c r="L4855" s="68"/>
      <c r="M4855" s="63" t="str">
        <f>HYPERLINK("http://nsgreg.nga.mil/genc/view?v=872412&amp;end_month=12&amp;end_day=31&amp;end_year=2016","Correlation")</f>
        <v>Correlation</v>
      </c>
    </row>
    <row r="4856" spans="1:13" x14ac:dyDescent="0.2">
      <c r="A4856" s="113"/>
      <c r="B4856" s="58" t="s">
        <v>12103</v>
      </c>
      <c r="C4856" s="58" t="s">
        <v>1763</v>
      </c>
      <c r="D4856" s="58" t="s">
        <v>12104</v>
      </c>
      <c r="E4856" s="60" t="b">
        <v>1</v>
      </c>
      <c r="F4856" s="80" t="s">
        <v>1363</v>
      </c>
      <c r="G4856" s="58" t="s">
        <v>12103</v>
      </c>
      <c r="H4856" s="58" t="s">
        <v>1763</v>
      </c>
      <c r="I4856" s="64" t="s">
        <v>12104</v>
      </c>
      <c r="J4856" s="66"/>
      <c r="K4856" s="66"/>
      <c r="L4856" s="68"/>
      <c r="M4856" s="63" t="str">
        <f>HYPERLINK("http://nsgreg.nga.mil/genc/view?v=872413&amp;end_month=12&amp;end_day=31&amp;end_year=2016","Correlation")</f>
        <v>Correlation</v>
      </c>
    </row>
    <row r="4857" spans="1:13" x14ac:dyDescent="0.2">
      <c r="A4857" s="113"/>
      <c r="B4857" s="58" t="s">
        <v>12105</v>
      </c>
      <c r="C4857" s="58" t="s">
        <v>1763</v>
      </c>
      <c r="D4857" s="58" t="s">
        <v>12106</v>
      </c>
      <c r="E4857" s="60" t="b">
        <v>1</v>
      </c>
      <c r="F4857" s="80" t="s">
        <v>1363</v>
      </c>
      <c r="G4857" s="58" t="s">
        <v>12105</v>
      </c>
      <c r="H4857" s="58" t="s">
        <v>1763</v>
      </c>
      <c r="I4857" s="64" t="s">
        <v>12106</v>
      </c>
      <c r="J4857" s="66"/>
      <c r="K4857" s="66"/>
      <c r="L4857" s="68"/>
      <c r="M4857" s="63" t="str">
        <f>HYPERLINK("http://nsgreg.nga.mil/genc/view?v=872414&amp;end_month=12&amp;end_day=31&amp;end_year=2016","Correlation")</f>
        <v>Correlation</v>
      </c>
    </row>
    <row r="4858" spans="1:13" x14ac:dyDescent="0.2">
      <c r="A4858" s="113"/>
      <c r="B4858" s="58" t="s">
        <v>12107</v>
      </c>
      <c r="C4858" s="58" t="s">
        <v>1763</v>
      </c>
      <c r="D4858" s="58" t="s">
        <v>12108</v>
      </c>
      <c r="E4858" s="60" t="b">
        <v>1</v>
      </c>
      <c r="F4858" s="80" t="s">
        <v>1363</v>
      </c>
      <c r="G4858" s="58" t="s">
        <v>12107</v>
      </c>
      <c r="H4858" s="58" t="s">
        <v>1763</v>
      </c>
      <c r="I4858" s="64" t="s">
        <v>12108</v>
      </c>
      <c r="J4858" s="66"/>
      <c r="K4858" s="66"/>
      <c r="L4858" s="68"/>
      <c r="M4858" s="63" t="str">
        <f>HYPERLINK("http://nsgreg.nga.mil/genc/view?v=872418&amp;end_month=12&amp;end_day=31&amp;end_year=2016","Correlation")</f>
        <v>Correlation</v>
      </c>
    </row>
    <row r="4859" spans="1:13" x14ac:dyDescent="0.2">
      <c r="A4859" s="113"/>
      <c r="B4859" s="58" t="s">
        <v>12109</v>
      </c>
      <c r="C4859" s="58" t="s">
        <v>1763</v>
      </c>
      <c r="D4859" s="58" t="s">
        <v>12110</v>
      </c>
      <c r="E4859" s="60" t="b">
        <v>1</v>
      </c>
      <c r="F4859" s="80" t="s">
        <v>1363</v>
      </c>
      <c r="G4859" s="58" t="s">
        <v>12109</v>
      </c>
      <c r="H4859" s="58" t="s">
        <v>1763</v>
      </c>
      <c r="I4859" s="64" t="s">
        <v>12110</v>
      </c>
      <c r="J4859" s="66"/>
      <c r="K4859" s="66"/>
      <c r="L4859" s="68"/>
      <c r="M4859" s="63" t="str">
        <f>HYPERLINK("http://nsgreg.nga.mil/genc/view?v=872415&amp;end_month=12&amp;end_day=31&amp;end_year=2016","Correlation")</f>
        <v>Correlation</v>
      </c>
    </row>
    <row r="4860" spans="1:13" x14ac:dyDescent="0.2">
      <c r="A4860" s="114"/>
      <c r="B4860" s="71" t="s">
        <v>12111</v>
      </c>
      <c r="C4860" s="71" t="s">
        <v>1763</v>
      </c>
      <c r="D4860" s="71" t="s">
        <v>12112</v>
      </c>
      <c r="E4860" s="73" t="b">
        <v>1</v>
      </c>
      <c r="F4860" s="81" t="s">
        <v>1363</v>
      </c>
      <c r="G4860" s="71" t="s">
        <v>12111</v>
      </c>
      <c r="H4860" s="71" t="s">
        <v>1763</v>
      </c>
      <c r="I4860" s="74" t="s">
        <v>12112</v>
      </c>
      <c r="J4860" s="76"/>
      <c r="K4860" s="76"/>
      <c r="L4860" s="82"/>
      <c r="M4860" s="77" t="str">
        <f>HYPERLINK("http://nsgreg.nga.mil/genc/view?v=872416&amp;end_month=12&amp;end_day=31&amp;end_year=2016","Correlation")</f>
        <v>Correlation</v>
      </c>
    </row>
    <row r="4861" spans="1:13" x14ac:dyDescent="0.2">
      <c r="A4861" s="112" t="s">
        <v>1050</v>
      </c>
      <c r="B4861" s="50" t="s">
        <v>12113</v>
      </c>
      <c r="C4861" s="50" t="s">
        <v>1413</v>
      </c>
      <c r="D4861" s="50" t="s">
        <v>12114</v>
      </c>
      <c r="E4861" s="52" t="b">
        <v>1</v>
      </c>
      <c r="F4861" s="78" t="s">
        <v>1368</v>
      </c>
      <c r="G4861" s="50" t="s">
        <v>12113</v>
      </c>
      <c r="H4861" s="50" t="s">
        <v>1413</v>
      </c>
      <c r="I4861" s="53" t="s">
        <v>12114</v>
      </c>
      <c r="J4861" s="55"/>
      <c r="K4861" s="55"/>
      <c r="L4861" s="79"/>
      <c r="M4861" s="56" t="str">
        <f>HYPERLINK("http://nsgreg.nga.mil/genc/view?v=872454&amp;end_month=12&amp;end_day=31&amp;end_year=2016","Correlation")</f>
        <v>Correlation</v>
      </c>
    </row>
    <row r="4862" spans="1:13" x14ac:dyDescent="0.2">
      <c r="A4862" s="113"/>
      <c r="B4862" s="58" t="s">
        <v>12115</v>
      </c>
      <c r="C4862" s="58" t="s">
        <v>1413</v>
      </c>
      <c r="D4862" s="58" t="s">
        <v>12116</v>
      </c>
      <c r="E4862" s="60" t="b">
        <v>1</v>
      </c>
      <c r="F4862" s="80" t="s">
        <v>1368</v>
      </c>
      <c r="G4862" s="58" t="s">
        <v>12115</v>
      </c>
      <c r="H4862" s="58" t="s">
        <v>1413</v>
      </c>
      <c r="I4862" s="64" t="s">
        <v>12116</v>
      </c>
      <c r="J4862" s="66"/>
      <c r="K4862" s="66"/>
      <c r="L4862" s="68"/>
      <c r="M4862" s="63" t="str">
        <f>HYPERLINK("http://nsgreg.nga.mil/genc/view?v=872463&amp;end_month=12&amp;end_day=31&amp;end_year=2016","Correlation")</f>
        <v>Correlation</v>
      </c>
    </row>
    <row r="4863" spans="1:13" x14ac:dyDescent="0.2">
      <c r="A4863" s="113"/>
      <c r="B4863" s="58" t="s">
        <v>12117</v>
      </c>
      <c r="C4863" s="58" t="s">
        <v>1413</v>
      </c>
      <c r="D4863" s="58" t="s">
        <v>12118</v>
      </c>
      <c r="E4863" s="60" t="b">
        <v>1</v>
      </c>
      <c r="F4863" s="80" t="s">
        <v>1368</v>
      </c>
      <c r="G4863" s="58" t="s">
        <v>12117</v>
      </c>
      <c r="H4863" s="58" t="s">
        <v>1413</v>
      </c>
      <c r="I4863" s="64" t="s">
        <v>12118</v>
      </c>
      <c r="J4863" s="66"/>
      <c r="K4863" s="66"/>
      <c r="L4863" s="68"/>
      <c r="M4863" s="63" t="str">
        <f>HYPERLINK("http://nsgreg.nga.mil/genc/view?v=872462&amp;end_month=12&amp;end_day=31&amp;end_year=2016","Correlation")</f>
        <v>Correlation</v>
      </c>
    </row>
    <row r="4864" spans="1:13" x14ac:dyDescent="0.2">
      <c r="A4864" s="113"/>
      <c r="B4864" s="58" t="s">
        <v>12119</v>
      </c>
      <c r="C4864" s="58" t="s">
        <v>1413</v>
      </c>
      <c r="D4864" s="58" t="s">
        <v>12120</v>
      </c>
      <c r="E4864" s="60" t="b">
        <v>1</v>
      </c>
      <c r="F4864" s="80" t="s">
        <v>1368</v>
      </c>
      <c r="G4864" s="58" t="s">
        <v>12119</v>
      </c>
      <c r="H4864" s="58" t="s">
        <v>1413</v>
      </c>
      <c r="I4864" s="64" t="s">
        <v>12120</v>
      </c>
      <c r="J4864" s="66"/>
      <c r="K4864" s="66"/>
      <c r="L4864" s="68"/>
      <c r="M4864" s="63" t="str">
        <f>HYPERLINK("http://nsgreg.nga.mil/genc/view?v=872464&amp;end_month=12&amp;end_day=31&amp;end_year=2016","Correlation")</f>
        <v>Correlation</v>
      </c>
    </row>
    <row r="4865" spans="1:13" x14ac:dyDescent="0.2">
      <c r="A4865" s="113"/>
      <c r="B4865" s="58" t="s">
        <v>12121</v>
      </c>
      <c r="C4865" s="58" t="s">
        <v>1413</v>
      </c>
      <c r="D4865" s="58" t="s">
        <v>12122</v>
      </c>
      <c r="E4865" s="60" t="b">
        <v>1</v>
      </c>
      <c r="F4865" s="80" t="s">
        <v>1368</v>
      </c>
      <c r="G4865" s="58" t="s">
        <v>12121</v>
      </c>
      <c r="H4865" s="58" t="s">
        <v>1413</v>
      </c>
      <c r="I4865" s="64" t="s">
        <v>12122</v>
      </c>
      <c r="J4865" s="66"/>
      <c r="K4865" s="66"/>
      <c r="L4865" s="68"/>
      <c r="M4865" s="63" t="str">
        <f>HYPERLINK("http://nsgreg.nga.mil/genc/view?v=872465&amp;end_month=12&amp;end_day=31&amp;end_year=2016","Correlation")</f>
        <v>Correlation</v>
      </c>
    </row>
    <row r="4866" spans="1:13" x14ac:dyDescent="0.2">
      <c r="A4866" s="113"/>
      <c r="B4866" s="58" t="s">
        <v>12125</v>
      </c>
      <c r="C4866" s="58" t="s">
        <v>1413</v>
      </c>
      <c r="D4866" s="58" t="s">
        <v>12124</v>
      </c>
      <c r="E4866" s="60" t="b">
        <v>1</v>
      </c>
      <c r="F4866" s="80" t="s">
        <v>1368</v>
      </c>
      <c r="G4866" s="58" t="s">
        <v>12123</v>
      </c>
      <c r="H4866" s="58" t="s">
        <v>1413</v>
      </c>
      <c r="I4866" s="64" t="s">
        <v>12124</v>
      </c>
      <c r="J4866" s="66"/>
      <c r="K4866" s="66"/>
      <c r="L4866" s="68"/>
      <c r="M4866" s="63" t="str">
        <f>HYPERLINK("http://nsgreg.nga.mil/genc/view?v=872453&amp;end_month=12&amp;end_day=31&amp;end_year=2016","Correlation")</f>
        <v>Correlation</v>
      </c>
    </row>
    <row r="4867" spans="1:13" x14ac:dyDescent="0.2">
      <c r="A4867" s="113"/>
      <c r="B4867" s="58" t="s">
        <v>12126</v>
      </c>
      <c r="C4867" s="58" t="s">
        <v>1413</v>
      </c>
      <c r="D4867" s="58" t="s">
        <v>12127</v>
      </c>
      <c r="E4867" s="60" t="b">
        <v>1</v>
      </c>
      <c r="F4867" s="80" t="s">
        <v>1368</v>
      </c>
      <c r="G4867" s="58" t="s">
        <v>12126</v>
      </c>
      <c r="H4867" s="58" t="s">
        <v>1413</v>
      </c>
      <c r="I4867" s="64" t="s">
        <v>12127</v>
      </c>
      <c r="J4867" s="66"/>
      <c r="K4867" s="66"/>
      <c r="L4867" s="68"/>
      <c r="M4867" s="63" t="str">
        <f>HYPERLINK("http://nsgreg.nga.mil/genc/view?v=872459&amp;end_month=12&amp;end_day=31&amp;end_year=2016","Correlation")</f>
        <v>Correlation</v>
      </c>
    </row>
    <row r="4868" spans="1:13" x14ac:dyDescent="0.2">
      <c r="A4868" s="113"/>
      <c r="B4868" s="58" t="s">
        <v>12128</v>
      </c>
      <c r="C4868" s="58" t="s">
        <v>1413</v>
      </c>
      <c r="D4868" s="58" t="s">
        <v>12129</v>
      </c>
      <c r="E4868" s="60" t="b">
        <v>1</v>
      </c>
      <c r="F4868" s="80" t="s">
        <v>1368</v>
      </c>
      <c r="G4868" s="58" t="s">
        <v>12128</v>
      </c>
      <c r="H4868" s="58" t="s">
        <v>1413</v>
      </c>
      <c r="I4868" s="64" t="s">
        <v>12129</v>
      </c>
      <c r="J4868" s="66"/>
      <c r="K4868" s="66"/>
      <c r="L4868" s="68"/>
      <c r="M4868" s="63" t="str">
        <f>HYPERLINK("http://nsgreg.nga.mil/genc/view?v=872443&amp;end_month=12&amp;end_day=31&amp;end_year=2016","Correlation")</f>
        <v>Correlation</v>
      </c>
    </row>
    <row r="4869" spans="1:13" x14ac:dyDescent="0.2">
      <c r="A4869" s="113"/>
      <c r="B4869" s="58" t="s">
        <v>12130</v>
      </c>
      <c r="C4869" s="58" t="s">
        <v>1413</v>
      </c>
      <c r="D4869" s="58" t="s">
        <v>12131</v>
      </c>
      <c r="E4869" s="60" t="b">
        <v>1</v>
      </c>
      <c r="F4869" s="80" t="s">
        <v>1368</v>
      </c>
      <c r="G4869" s="58" t="s">
        <v>12130</v>
      </c>
      <c r="H4869" s="58" t="s">
        <v>1413</v>
      </c>
      <c r="I4869" s="64" t="s">
        <v>12131</v>
      </c>
      <c r="J4869" s="66"/>
      <c r="K4869" s="66"/>
      <c r="L4869" s="68"/>
      <c r="M4869" s="63" t="str">
        <f>HYPERLINK("http://nsgreg.nga.mil/genc/view?v=872466&amp;end_month=12&amp;end_day=31&amp;end_year=2016","Correlation")</f>
        <v>Correlation</v>
      </c>
    </row>
    <row r="4870" spans="1:13" x14ac:dyDescent="0.2">
      <c r="A4870" s="113"/>
      <c r="B4870" s="58" t="s">
        <v>12132</v>
      </c>
      <c r="C4870" s="58" t="s">
        <v>1413</v>
      </c>
      <c r="D4870" s="58" t="s">
        <v>12133</v>
      </c>
      <c r="E4870" s="60" t="b">
        <v>1</v>
      </c>
      <c r="F4870" s="80" t="s">
        <v>1368</v>
      </c>
      <c r="G4870" s="58" t="s">
        <v>12132</v>
      </c>
      <c r="H4870" s="58" t="s">
        <v>1413</v>
      </c>
      <c r="I4870" s="64" t="s">
        <v>12133</v>
      </c>
      <c r="J4870" s="66"/>
      <c r="K4870" s="66"/>
      <c r="L4870" s="68"/>
      <c r="M4870" s="63" t="str">
        <f>HYPERLINK("http://nsgreg.nga.mil/genc/view?v=872467&amp;end_month=12&amp;end_day=31&amp;end_year=2016","Correlation")</f>
        <v>Correlation</v>
      </c>
    </row>
    <row r="4871" spans="1:13" x14ac:dyDescent="0.2">
      <c r="A4871" s="113"/>
      <c r="B4871" s="58" t="s">
        <v>12134</v>
      </c>
      <c r="C4871" s="58" t="s">
        <v>1413</v>
      </c>
      <c r="D4871" s="58" t="s">
        <v>12135</v>
      </c>
      <c r="E4871" s="60" t="b">
        <v>1</v>
      </c>
      <c r="F4871" s="80" t="s">
        <v>1368</v>
      </c>
      <c r="G4871" s="58" t="s">
        <v>12134</v>
      </c>
      <c r="H4871" s="58" t="s">
        <v>1413</v>
      </c>
      <c r="I4871" s="64" t="s">
        <v>12135</v>
      </c>
      <c r="J4871" s="66"/>
      <c r="K4871" s="66"/>
      <c r="L4871" s="68"/>
      <c r="M4871" s="63" t="str">
        <f>HYPERLINK("http://nsgreg.nga.mil/genc/view?v=872451&amp;end_month=12&amp;end_day=31&amp;end_year=2016","Correlation")</f>
        <v>Correlation</v>
      </c>
    </row>
    <row r="4872" spans="1:13" x14ac:dyDescent="0.2">
      <c r="A4872" s="113"/>
      <c r="B4872" s="58" t="s">
        <v>12136</v>
      </c>
      <c r="C4872" s="58" t="s">
        <v>1413</v>
      </c>
      <c r="D4872" s="58" t="s">
        <v>12137</v>
      </c>
      <c r="E4872" s="60" t="b">
        <v>1</v>
      </c>
      <c r="F4872" s="80" t="s">
        <v>1368</v>
      </c>
      <c r="G4872" s="58" t="s">
        <v>12136</v>
      </c>
      <c r="H4872" s="58" t="s">
        <v>1413</v>
      </c>
      <c r="I4872" s="64" t="s">
        <v>12137</v>
      </c>
      <c r="J4872" s="66"/>
      <c r="K4872" s="66"/>
      <c r="L4872" s="68"/>
      <c r="M4872" s="63" t="str">
        <f>HYPERLINK("http://nsgreg.nga.mil/genc/view?v=872468&amp;end_month=12&amp;end_day=31&amp;end_year=2016","Correlation")</f>
        <v>Correlation</v>
      </c>
    </row>
    <row r="4873" spans="1:13" x14ac:dyDescent="0.2">
      <c r="A4873" s="113"/>
      <c r="B4873" s="58" t="s">
        <v>12140</v>
      </c>
      <c r="C4873" s="58" t="s">
        <v>1816</v>
      </c>
      <c r="D4873" s="58" t="s">
        <v>12139</v>
      </c>
      <c r="E4873" s="60" t="b">
        <v>1</v>
      </c>
      <c r="F4873" s="80" t="s">
        <v>1368</v>
      </c>
      <c r="G4873" s="58" t="s">
        <v>12138</v>
      </c>
      <c r="H4873" s="58" t="s">
        <v>1816</v>
      </c>
      <c r="I4873" s="64" t="s">
        <v>12139</v>
      </c>
      <c r="J4873" s="66"/>
      <c r="K4873" s="66"/>
      <c r="L4873" s="68"/>
      <c r="M4873" s="63" t="str">
        <f>HYPERLINK("http://nsgreg.nga.mil/genc/view?v=872479&amp;end_month=12&amp;end_day=31&amp;end_year=2016","Correlation")</f>
        <v>Correlation</v>
      </c>
    </row>
    <row r="4874" spans="1:13" x14ac:dyDescent="0.2">
      <c r="A4874" s="113"/>
      <c r="B4874" s="58" t="s">
        <v>12141</v>
      </c>
      <c r="C4874" s="58" t="s">
        <v>1413</v>
      </c>
      <c r="D4874" s="58" t="s">
        <v>12142</v>
      </c>
      <c r="E4874" s="60" t="b">
        <v>1</v>
      </c>
      <c r="F4874" s="80" t="s">
        <v>1368</v>
      </c>
      <c r="G4874" s="58" t="s">
        <v>12141</v>
      </c>
      <c r="H4874" s="58" t="s">
        <v>1413</v>
      </c>
      <c r="I4874" s="64" t="s">
        <v>12142</v>
      </c>
      <c r="J4874" s="66"/>
      <c r="K4874" s="66"/>
      <c r="L4874" s="68"/>
      <c r="M4874" s="63" t="str">
        <f>HYPERLINK("http://nsgreg.nga.mil/genc/view?v=872424&amp;end_month=12&amp;end_day=31&amp;end_year=2016","Correlation")</f>
        <v>Correlation</v>
      </c>
    </row>
    <row r="4875" spans="1:13" x14ac:dyDescent="0.2">
      <c r="A4875" s="113"/>
      <c r="B4875" s="58" t="s">
        <v>12143</v>
      </c>
      <c r="C4875" s="58" t="s">
        <v>1413</v>
      </c>
      <c r="D4875" s="58" t="s">
        <v>12144</v>
      </c>
      <c r="E4875" s="60" t="b">
        <v>1</v>
      </c>
      <c r="F4875" s="80" t="s">
        <v>1368</v>
      </c>
      <c r="G4875" s="58" t="s">
        <v>12143</v>
      </c>
      <c r="H4875" s="58" t="s">
        <v>1413</v>
      </c>
      <c r="I4875" s="64" t="s">
        <v>12144</v>
      </c>
      <c r="J4875" s="66"/>
      <c r="K4875" s="66"/>
      <c r="L4875" s="68"/>
      <c r="M4875" s="63" t="str">
        <f>HYPERLINK("http://nsgreg.nga.mil/genc/view?v=872445&amp;end_month=12&amp;end_day=31&amp;end_year=2016","Correlation")</f>
        <v>Correlation</v>
      </c>
    </row>
    <row r="4876" spans="1:13" x14ac:dyDescent="0.2">
      <c r="A4876" s="113"/>
      <c r="B4876" s="58" t="s">
        <v>12145</v>
      </c>
      <c r="C4876" s="58" t="s">
        <v>1413</v>
      </c>
      <c r="D4876" s="58" t="s">
        <v>12146</v>
      </c>
      <c r="E4876" s="60" t="b">
        <v>1</v>
      </c>
      <c r="F4876" s="80" t="s">
        <v>1368</v>
      </c>
      <c r="G4876" s="58" t="s">
        <v>12145</v>
      </c>
      <c r="H4876" s="58" t="s">
        <v>1413</v>
      </c>
      <c r="I4876" s="64" t="s">
        <v>12146</v>
      </c>
      <c r="J4876" s="66"/>
      <c r="K4876" s="66"/>
      <c r="L4876" s="68"/>
      <c r="M4876" s="63" t="str">
        <f>HYPERLINK("http://nsgreg.nga.mil/genc/view?v=872477&amp;end_month=12&amp;end_day=31&amp;end_year=2016","Correlation")</f>
        <v>Correlation</v>
      </c>
    </row>
    <row r="4877" spans="1:13" x14ac:dyDescent="0.2">
      <c r="A4877" s="113"/>
      <c r="B4877" s="58" t="s">
        <v>12149</v>
      </c>
      <c r="C4877" s="58" t="s">
        <v>1816</v>
      </c>
      <c r="D4877" s="58" t="s">
        <v>12148</v>
      </c>
      <c r="E4877" s="60" t="b">
        <v>1</v>
      </c>
      <c r="F4877" s="80" t="s">
        <v>1368</v>
      </c>
      <c r="G4877" s="58" t="s">
        <v>12147</v>
      </c>
      <c r="H4877" s="58" t="s">
        <v>1816</v>
      </c>
      <c r="I4877" s="64" t="s">
        <v>12148</v>
      </c>
      <c r="J4877" s="66"/>
      <c r="K4877" s="66"/>
      <c r="L4877" s="68"/>
      <c r="M4877" s="63" t="str">
        <f>HYPERLINK("http://nsgreg.nga.mil/genc/view?v=872480&amp;end_month=12&amp;end_day=31&amp;end_year=2016","Correlation")</f>
        <v>Correlation</v>
      </c>
    </row>
    <row r="4878" spans="1:13" x14ac:dyDescent="0.2">
      <c r="A4878" s="113"/>
      <c r="B4878" s="58" t="s">
        <v>12150</v>
      </c>
      <c r="C4878" s="58" t="s">
        <v>1413</v>
      </c>
      <c r="D4878" s="58" t="s">
        <v>12151</v>
      </c>
      <c r="E4878" s="60" t="b">
        <v>1</v>
      </c>
      <c r="F4878" s="80" t="s">
        <v>1368</v>
      </c>
      <c r="G4878" s="58" t="s">
        <v>12150</v>
      </c>
      <c r="H4878" s="58" t="s">
        <v>1413</v>
      </c>
      <c r="I4878" s="64" t="s">
        <v>12151</v>
      </c>
      <c r="J4878" s="66"/>
      <c r="K4878" s="66"/>
      <c r="L4878" s="68"/>
      <c r="M4878" s="63" t="str">
        <f>HYPERLINK("http://nsgreg.nga.mil/genc/view?v=872476&amp;end_month=12&amp;end_day=31&amp;end_year=2016","Correlation")</f>
        <v>Correlation</v>
      </c>
    </row>
    <row r="4879" spans="1:13" x14ac:dyDescent="0.2">
      <c r="A4879" s="113"/>
      <c r="B4879" s="58" t="s">
        <v>12154</v>
      </c>
      <c r="C4879" s="58" t="s">
        <v>1413</v>
      </c>
      <c r="D4879" s="58" t="s">
        <v>12153</v>
      </c>
      <c r="E4879" s="60" t="b">
        <v>1</v>
      </c>
      <c r="F4879" s="80" t="s">
        <v>1368</v>
      </c>
      <c r="G4879" s="58" t="s">
        <v>12152</v>
      </c>
      <c r="H4879" s="58" t="s">
        <v>1413</v>
      </c>
      <c r="I4879" s="64" t="s">
        <v>12153</v>
      </c>
      <c r="J4879" s="66"/>
      <c r="K4879" s="66"/>
      <c r="L4879" s="68"/>
      <c r="M4879" s="63" t="str">
        <f>HYPERLINK("http://nsgreg.nga.mil/genc/view?v=872450&amp;end_month=12&amp;end_day=31&amp;end_year=2016","Correlation")</f>
        <v>Correlation</v>
      </c>
    </row>
    <row r="4880" spans="1:13" x14ac:dyDescent="0.2">
      <c r="A4880" s="113"/>
      <c r="B4880" s="58" t="s">
        <v>12157</v>
      </c>
      <c r="C4880" s="58" t="s">
        <v>1413</v>
      </c>
      <c r="D4880" s="58" t="s">
        <v>12156</v>
      </c>
      <c r="E4880" s="60" t="b">
        <v>1</v>
      </c>
      <c r="F4880" s="80" t="s">
        <v>1368</v>
      </c>
      <c r="G4880" s="58" t="s">
        <v>12155</v>
      </c>
      <c r="H4880" s="58" t="s">
        <v>1413</v>
      </c>
      <c r="I4880" s="64" t="s">
        <v>12156</v>
      </c>
      <c r="J4880" s="66"/>
      <c r="K4880" s="66"/>
      <c r="L4880" s="68"/>
      <c r="M4880" s="63" t="str">
        <f>HYPERLINK("http://nsgreg.nga.mil/genc/view?v=872455&amp;end_month=12&amp;end_day=31&amp;end_year=2016","Correlation")</f>
        <v>Correlation</v>
      </c>
    </row>
    <row r="4881" spans="1:13" x14ac:dyDescent="0.2">
      <c r="A4881" s="113"/>
      <c r="B4881" s="58" t="s">
        <v>12158</v>
      </c>
      <c r="C4881" s="58" t="s">
        <v>1413</v>
      </c>
      <c r="D4881" s="58" t="s">
        <v>12159</v>
      </c>
      <c r="E4881" s="60" t="b">
        <v>1</v>
      </c>
      <c r="F4881" s="80" t="s">
        <v>1368</v>
      </c>
      <c r="G4881" s="58" t="s">
        <v>12158</v>
      </c>
      <c r="H4881" s="58" t="s">
        <v>1413</v>
      </c>
      <c r="I4881" s="64" t="s">
        <v>12159</v>
      </c>
      <c r="J4881" s="66"/>
      <c r="K4881" s="66"/>
      <c r="L4881" s="68"/>
      <c r="M4881" s="63" t="str">
        <f>HYPERLINK("http://nsgreg.nga.mil/genc/view?v=872442&amp;end_month=12&amp;end_day=31&amp;end_year=2016","Correlation")</f>
        <v>Correlation</v>
      </c>
    </row>
    <row r="4882" spans="1:13" x14ac:dyDescent="0.2">
      <c r="A4882" s="113"/>
      <c r="B4882" s="58" t="s">
        <v>12160</v>
      </c>
      <c r="C4882" s="58" t="s">
        <v>1413</v>
      </c>
      <c r="D4882" s="58" t="s">
        <v>12161</v>
      </c>
      <c r="E4882" s="60" t="b">
        <v>1</v>
      </c>
      <c r="F4882" s="80" t="s">
        <v>1368</v>
      </c>
      <c r="G4882" s="58" t="s">
        <v>12160</v>
      </c>
      <c r="H4882" s="58" t="s">
        <v>1413</v>
      </c>
      <c r="I4882" s="64" t="s">
        <v>12161</v>
      </c>
      <c r="J4882" s="66"/>
      <c r="K4882" s="66"/>
      <c r="L4882" s="68"/>
      <c r="M4882" s="63" t="str">
        <f>HYPERLINK("http://nsgreg.nga.mil/genc/view?v=872423&amp;end_month=12&amp;end_day=31&amp;end_year=2016","Correlation")</f>
        <v>Correlation</v>
      </c>
    </row>
    <row r="4883" spans="1:13" x14ac:dyDescent="0.2">
      <c r="A4883" s="113"/>
      <c r="B4883" s="58" t="s">
        <v>12162</v>
      </c>
      <c r="C4883" s="58" t="s">
        <v>1413</v>
      </c>
      <c r="D4883" s="58" t="s">
        <v>12163</v>
      </c>
      <c r="E4883" s="60" t="b">
        <v>1</v>
      </c>
      <c r="F4883" s="80" t="s">
        <v>1368</v>
      </c>
      <c r="G4883" s="58" t="s">
        <v>12162</v>
      </c>
      <c r="H4883" s="58" t="s">
        <v>1413</v>
      </c>
      <c r="I4883" s="64" t="s">
        <v>12163</v>
      </c>
      <c r="J4883" s="66"/>
      <c r="K4883" s="66"/>
      <c r="L4883" s="68"/>
      <c r="M4883" s="63" t="str">
        <f>HYPERLINK("http://nsgreg.nga.mil/genc/view?v=872469&amp;end_month=12&amp;end_day=31&amp;end_year=2016","Correlation")</f>
        <v>Correlation</v>
      </c>
    </row>
    <row r="4884" spans="1:13" x14ac:dyDescent="0.2">
      <c r="A4884" s="113"/>
      <c r="B4884" s="58" t="s">
        <v>12166</v>
      </c>
      <c r="C4884" s="58" t="s">
        <v>1816</v>
      </c>
      <c r="D4884" s="58" t="s">
        <v>12165</v>
      </c>
      <c r="E4884" s="60" t="b">
        <v>1</v>
      </c>
      <c r="F4884" s="80" t="s">
        <v>1368</v>
      </c>
      <c r="G4884" s="58" t="s">
        <v>12164</v>
      </c>
      <c r="H4884" s="58" t="s">
        <v>1816</v>
      </c>
      <c r="I4884" s="64" t="s">
        <v>12165</v>
      </c>
      <c r="J4884" s="66"/>
      <c r="K4884" s="66"/>
      <c r="L4884" s="68"/>
      <c r="M4884" s="63" t="str">
        <f>HYPERLINK("http://nsgreg.nga.mil/genc/view?v=872482&amp;end_month=12&amp;end_day=31&amp;end_year=2016","Correlation")</f>
        <v>Correlation</v>
      </c>
    </row>
    <row r="4885" spans="1:13" x14ac:dyDescent="0.2">
      <c r="A4885" s="113"/>
      <c r="B4885" s="58" t="s">
        <v>12167</v>
      </c>
      <c r="C4885" s="58" t="s">
        <v>1413</v>
      </c>
      <c r="D4885" s="58" t="s">
        <v>12168</v>
      </c>
      <c r="E4885" s="60" t="b">
        <v>1</v>
      </c>
      <c r="F4885" s="80" t="s">
        <v>1368</v>
      </c>
      <c r="G4885" s="58" t="s">
        <v>12167</v>
      </c>
      <c r="H4885" s="58" t="s">
        <v>1413</v>
      </c>
      <c r="I4885" s="64" t="s">
        <v>12168</v>
      </c>
      <c r="J4885" s="66"/>
      <c r="K4885" s="66"/>
      <c r="L4885" s="68"/>
      <c r="M4885" s="63" t="str">
        <f>HYPERLINK("http://nsgreg.nga.mil/genc/view?v=872470&amp;end_month=12&amp;end_day=31&amp;end_year=2016","Correlation")</f>
        <v>Correlation</v>
      </c>
    </row>
    <row r="4886" spans="1:13" x14ac:dyDescent="0.2">
      <c r="A4886" s="113"/>
      <c r="B4886" s="58" t="s">
        <v>12171</v>
      </c>
      <c r="C4886" s="58" t="s">
        <v>1816</v>
      </c>
      <c r="D4886" s="58" t="s">
        <v>12170</v>
      </c>
      <c r="E4886" s="60" t="b">
        <v>1</v>
      </c>
      <c r="F4886" s="80" t="s">
        <v>1368</v>
      </c>
      <c r="G4886" s="58" t="s">
        <v>12169</v>
      </c>
      <c r="H4886" s="58" t="s">
        <v>1816</v>
      </c>
      <c r="I4886" s="64" t="s">
        <v>12170</v>
      </c>
      <c r="J4886" s="66"/>
      <c r="K4886" s="66"/>
      <c r="L4886" s="68"/>
      <c r="M4886" s="63" t="str">
        <f>HYPERLINK("http://nsgreg.nga.mil/genc/view?v=872481&amp;end_month=12&amp;end_day=31&amp;end_year=2016","Correlation")</f>
        <v>Correlation</v>
      </c>
    </row>
    <row r="4887" spans="1:13" x14ac:dyDescent="0.2">
      <c r="A4887" s="113"/>
      <c r="B4887" s="58" t="s">
        <v>12172</v>
      </c>
      <c r="C4887" s="58" t="s">
        <v>1413</v>
      </c>
      <c r="D4887" s="58" t="s">
        <v>12173</v>
      </c>
      <c r="E4887" s="60" t="b">
        <v>1</v>
      </c>
      <c r="F4887" s="80" t="s">
        <v>1368</v>
      </c>
      <c r="G4887" s="58" t="s">
        <v>12172</v>
      </c>
      <c r="H4887" s="58" t="s">
        <v>1413</v>
      </c>
      <c r="I4887" s="64" t="s">
        <v>12173</v>
      </c>
      <c r="J4887" s="66"/>
      <c r="K4887" s="66"/>
      <c r="L4887" s="68"/>
      <c r="M4887" s="63" t="str">
        <f>HYPERLINK("http://nsgreg.nga.mil/genc/view?v=872435&amp;end_month=12&amp;end_day=31&amp;end_year=2016","Correlation")</f>
        <v>Correlation</v>
      </c>
    </row>
    <row r="4888" spans="1:13" x14ac:dyDescent="0.2">
      <c r="A4888" s="113"/>
      <c r="B4888" s="58" t="s">
        <v>12174</v>
      </c>
      <c r="C4888" s="58" t="s">
        <v>1413</v>
      </c>
      <c r="D4888" s="58" t="s">
        <v>12175</v>
      </c>
      <c r="E4888" s="60" t="b">
        <v>1</v>
      </c>
      <c r="F4888" s="80" t="s">
        <v>1368</v>
      </c>
      <c r="G4888" s="58" t="s">
        <v>12174</v>
      </c>
      <c r="H4888" s="58" t="s">
        <v>1413</v>
      </c>
      <c r="I4888" s="64" t="s">
        <v>12175</v>
      </c>
      <c r="J4888" s="66"/>
      <c r="K4888" s="66"/>
      <c r="L4888" s="68"/>
      <c r="M4888" s="63" t="str">
        <f>HYPERLINK("http://nsgreg.nga.mil/genc/view?v=872478&amp;end_month=12&amp;end_day=31&amp;end_year=2016","Correlation")</f>
        <v>Correlation</v>
      </c>
    </row>
    <row r="4889" spans="1:13" x14ac:dyDescent="0.2">
      <c r="A4889" s="113"/>
      <c r="B4889" s="58" t="s">
        <v>12176</v>
      </c>
      <c r="C4889" s="58" t="s">
        <v>1413</v>
      </c>
      <c r="D4889" s="58" t="s">
        <v>12177</v>
      </c>
      <c r="E4889" s="60" t="b">
        <v>1</v>
      </c>
      <c r="F4889" s="80" t="s">
        <v>1368</v>
      </c>
      <c r="G4889" s="58" t="s">
        <v>12176</v>
      </c>
      <c r="H4889" s="58" t="s">
        <v>1413</v>
      </c>
      <c r="I4889" s="64" t="s">
        <v>12177</v>
      </c>
      <c r="J4889" s="66"/>
      <c r="K4889" s="66"/>
      <c r="L4889" s="68"/>
      <c r="M4889" s="63" t="str">
        <f>HYPERLINK("http://nsgreg.nga.mil/genc/view?v=872430&amp;end_month=12&amp;end_day=31&amp;end_year=2016","Correlation")</f>
        <v>Correlation</v>
      </c>
    </row>
    <row r="4890" spans="1:13" x14ac:dyDescent="0.2">
      <c r="A4890" s="113"/>
      <c r="B4890" s="58" t="s">
        <v>12180</v>
      </c>
      <c r="C4890" s="58" t="s">
        <v>1816</v>
      </c>
      <c r="D4890" s="58" t="s">
        <v>12179</v>
      </c>
      <c r="E4890" s="60" t="b">
        <v>1</v>
      </c>
      <c r="F4890" s="80" t="s">
        <v>1368</v>
      </c>
      <c r="G4890" s="58" t="s">
        <v>12178</v>
      </c>
      <c r="H4890" s="58" t="s">
        <v>1816</v>
      </c>
      <c r="I4890" s="64" t="s">
        <v>12179</v>
      </c>
      <c r="J4890" s="66"/>
      <c r="K4890" s="66"/>
      <c r="L4890" s="68"/>
      <c r="M4890" s="63" t="str">
        <f>HYPERLINK("http://nsgreg.nga.mil/genc/view?v=872483&amp;end_month=12&amp;end_day=31&amp;end_year=2016","Correlation")</f>
        <v>Correlation</v>
      </c>
    </row>
    <row r="4891" spans="1:13" x14ac:dyDescent="0.2">
      <c r="A4891" s="113"/>
      <c r="B4891" s="58" t="s">
        <v>12181</v>
      </c>
      <c r="C4891" s="58" t="s">
        <v>1413</v>
      </c>
      <c r="D4891" s="58" t="s">
        <v>12182</v>
      </c>
      <c r="E4891" s="60" t="b">
        <v>1</v>
      </c>
      <c r="F4891" s="80" t="s">
        <v>1368</v>
      </c>
      <c r="G4891" s="58" t="s">
        <v>12181</v>
      </c>
      <c r="H4891" s="58" t="s">
        <v>1413</v>
      </c>
      <c r="I4891" s="64" t="s">
        <v>12182</v>
      </c>
      <c r="J4891" s="66"/>
      <c r="K4891" s="66"/>
      <c r="L4891" s="68"/>
      <c r="M4891" s="63" t="str">
        <f>HYPERLINK("http://nsgreg.nga.mil/genc/view?v=872471&amp;end_month=12&amp;end_day=31&amp;end_year=2016","Correlation")</f>
        <v>Correlation</v>
      </c>
    </row>
    <row r="4892" spans="1:13" x14ac:dyDescent="0.2">
      <c r="A4892" s="113"/>
      <c r="B4892" s="58" t="s">
        <v>12183</v>
      </c>
      <c r="C4892" s="58" t="s">
        <v>1413</v>
      </c>
      <c r="D4892" s="58" t="s">
        <v>12184</v>
      </c>
      <c r="E4892" s="60" t="b">
        <v>1</v>
      </c>
      <c r="F4892" s="80" t="s">
        <v>1368</v>
      </c>
      <c r="G4892" s="58" t="s">
        <v>12183</v>
      </c>
      <c r="H4892" s="58" t="s">
        <v>1413</v>
      </c>
      <c r="I4892" s="64" t="s">
        <v>12184</v>
      </c>
      <c r="J4892" s="66"/>
      <c r="K4892" s="66"/>
      <c r="L4892" s="68"/>
      <c r="M4892" s="63" t="str">
        <f>HYPERLINK("http://nsgreg.nga.mil/genc/view?v=872446&amp;end_month=12&amp;end_day=31&amp;end_year=2016","Correlation")</f>
        <v>Correlation</v>
      </c>
    </row>
    <row r="4893" spans="1:13" x14ac:dyDescent="0.2">
      <c r="A4893" s="113"/>
      <c r="B4893" s="58" t="s">
        <v>12185</v>
      </c>
      <c r="C4893" s="58" t="s">
        <v>1413</v>
      </c>
      <c r="D4893" s="58" t="s">
        <v>12186</v>
      </c>
      <c r="E4893" s="60" t="b">
        <v>1</v>
      </c>
      <c r="F4893" s="80" t="s">
        <v>1368</v>
      </c>
      <c r="G4893" s="58" t="s">
        <v>12185</v>
      </c>
      <c r="H4893" s="58" t="s">
        <v>1413</v>
      </c>
      <c r="I4893" s="64" t="s">
        <v>12186</v>
      </c>
      <c r="J4893" s="66"/>
      <c r="K4893" s="66"/>
      <c r="L4893" s="68"/>
      <c r="M4893" s="63" t="str">
        <f>HYPERLINK("http://nsgreg.nga.mil/genc/view?v=872457&amp;end_month=12&amp;end_day=31&amp;end_year=2016","Correlation")</f>
        <v>Correlation</v>
      </c>
    </row>
    <row r="4894" spans="1:13" x14ac:dyDescent="0.2">
      <c r="A4894" s="113"/>
      <c r="B4894" s="58" t="s">
        <v>12187</v>
      </c>
      <c r="C4894" s="58" t="s">
        <v>1413</v>
      </c>
      <c r="D4894" s="58" t="s">
        <v>12188</v>
      </c>
      <c r="E4894" s="60" t="b">
        <v>1</v>
      </c>
      <c r="F4894" s="80" t="s">
        <v>1368</v>
      </c>
      <c r="G4894" s="58" t="s">
        <v>12187</v>
      </c>
      <c r="H4894" s="58" t="s">
        <v>1413</v>
      </c>
      <c r="I4894" s="64" t="s">
        <v>12188</v>
      </c>
      <c r="J4894" s="66"/>
      <c r="K4894" s="66"/>
      <c r="L4894" s="68"/>
      <c r="M4894" s="63" t="str">
        <f>HYPERLINK("http://nsgreg.nga.mil/genc/view?v=872440&amp;end_month=12&amp;end_day=31&amp;end_year=2016","Correlation")</f>
        <v>Correlation</v>
      </c>
    </row>
    <row r="4895" spans="1:13" x14ac:dyDescent="0.2">
      <c r="A4895" s="113"/>
      <c r="B4895" s="58" t="s">
        <v>12189</v>
      </c>
      <c r="C4895" s="58" t="s">
        <v>1413</v>
      </c>
      <c r="D4895" s="58" t="s">
        <v>12190</v>
      </c>
      <c r="E4895" s="60" t="b">
        <v>1</v>
      </c>
      <c r="F4895" s="80" t="s">
        <v>1368</v>
      </c>
      <c r="G4895" s="58" t="s">
        <v>12189</v>
      </c>
      <c r="H4895" s="58" t="s">
        <v>1413</v>
      </c>
      <c r="I4895" s="64" t="s">
        <v>12190</v>
      </c>
      <c r="J4895" s="66"/>
      <c r="K4895" s="66"/>
      <c r="L4895" s="68"/>
      <c r="M4895" s="63" t="str">
        <f>HYPERLINK("http://nsgreg.nga.mil/genc/view?v=872421&amp;end_month=12&amp;end_day=31&amp;end_year=2016","Correlation")</f>
        <v>Correlation</v>
      </c>
    </row>
    <row r="4896" spans="1:13" x14ac:dyDescent="0.2">
      <c r="A4896" s="113"/>
      <c r="B4896" s="58" t="s">
        <v>12193</v>
      </c>
      <c r="C4896" s="58" t="s">
        <v>1413</v>
      </c>
      <c r="D4896" s="58" t="s">
        <v>12192</v>
      </c>
      <c r="E4896" s="60" t="b">
        <v>1</v>
      </c>
      <c r="F4896" s="80" t="s">
        <v>1368</v>
      </c>
      <c r="G4896" s="58" t="s">
        <v>12191</v>
      </c>
      <c r="H4896" s="58" t="s">
        <v>1413</v>
      </c>
      <c r="I4896" s="64" t="s">
        <v>12192</v>
      </c>
      <c r="J4896" s="66"/>
      <c r="K4896" s="66"/>
      <c r="L4896" s="68"/>
      <c r="M4896" s="63" t="str">
        <f>HYPERLINK("http://nsgreg.nga.mil/genc/view?v=872447&amp;end_month=12&amp;end_day=31&amp;end_year=2016","Correlation")</f>
        <v>Correlation</v>
      </c>
    </row>
    <row r="4897" spans="1:13" x14ac:dyDescent="0.2">
      <c r="A4897" s="113"/>
      <c r="B4897" s="58" t="s">
        <v>12194</v>
      </c>
      <c r="C4897" s="58" t="s">
        <v>1413</v>
      </c>
      <c r="D4897" s="58" t="s">
        <v>12195</v>
      </c>
      <c r="E4897" s="60" t="b">
        <v>1</v>
      </c>
      <c r="F4897" s="80" t="s">
        <v>1368</v>
      </c>
      <c r="G4897" s="58" t="s">
        <v>12194</v>
      </c>
      <c r="H4897" s="58" t="s">
        <v>1413</v>
      </c>
      <c r="I4897" s="64" t="s">
        <v>12195</v>
      </c>
      <c r="J4897" s="66"/>
      <c r="K4897" s="66"/>
      <c r="L4897" s="68"/>
      <c r="M4897" s="63" t="str">
        <f>HYPERLINK("http://nsgreg.nga.mil/genc/view?v=872428&amp;end_month=12&amp;end_day=31&amp;end_year=2016","Correlation")</f>
        <v>Correlation</v>
      </c>
    </row>
    <row r="4898" spans="1:13" x14ac:dyDescent="0.2">
      <c r="A4898" s="113"/>
      <c r="B4898" s="58" t="s">
        <v>12196</v>
      </c>
      <c r="C4898" s="58" t="s">
        <v>1413</v>
      </c>
      <c r="D4898" s="58" t="s">
        <v>12197</v>
      </c>
      <c r="E4898" s="60" t="b">
        <v>1</v>
      </c>
      <c r="F4898" s="80" t="s">
        <v>1368</v>
      </c>
      <c r="G4898" s="58" t="s">
        <v>12196</v>
      </c>
      <c r="H4898" s="58" t="s">
        <v>1413</v>
      </c>
      <c r="I4898" s="64" t="s">
        <v>12197</v>
      </c>
      <c r="J4898" s="66"/>
      <c r="K4898" s="66"/>
      <c r="L4898" s="68"/>
      <c r="M4898" s="63" t="str">
        <f>HYPERLINK("http://nsgreg.nga.mil/genc/view?v=872422&amp;end_month=12&amp;end_day=31&amp;end_year=2016","Correlation")</f>
        <v>Correlation</v>
      </c>
    </row>
    <row r="4899" spans="1:13" x14ac:dyDescent="0.2">
      <c r="A4899" s="113"/>
      <c r="B4899" s="58" t="s">
        <v>12198</v>
      </c>
      <c r="C4899" s="58" t="s">
        <v>1413</v>
      </c>
      <c r="D4899" s="58" t="s">
        <v>12199</v>
      </c>
      <c r="E4899" s="60" t="b">
        <v>1</v>
      </c>
      <c r="F4899" s="80" t="s">
        <v>1368</v>
      </c>
      <c r="G4899" s="58" t="s">
        <v>12198</v>
      </c>
      <c r="H4899" s="58" t="s">
        <v>1413</v>
      </c>
      <c r="I4899" s="64" t="s">
        <v>12199</v>
      </c>
      <c r="J4899" s="66"/>
      <c r="K4899" s="66"/>
      <c r="L4899" s="68"/>
      <c r="M4899" s="63" t="str">
        <f>HYPERLINK("http://nsgreg.nga.mil/genc/view?v=872452&amp;end_month=12&amp;end_day=31&amp;end_year=2016","Correlation")</f>
        <v>Correlation</v>
      </c>
    </row>
    <row r="4900" spans="1:13" x14ac:dyDescent="0.2">
      <c r="A4900" s="113"/>
      <c r="B4900" s="58" t="s">
        <v>12202</v>
      </c>
      <c r="C4900" s="58" t="s">
        <v>1413</v>
      </c>
      <c r="D4900" s="58" t="s">
        <v>12201</v>
      </c>
      <c r="E4900" s="60" t="b">
        <v>1</v>
      </c>
      <c r="F4900" s="80" t="s">
        <v>1368</v>
      </c>
      <c r="G4900" s="58" t="s">
        <v>12200</v>
      </c>
      <c r="H4900" s="58" t="s">
        <v>1413</v>
      </c>
      <c r="I4900" s="64" t="s">
        <v>12201</v>
      </c>
      <c r="J4900" s="66"/>
      <c r="K4900" s="66"/>
      <c r="L4900" s="68"/>
      <c r="M4900" s="63" t="str">
        <f>HYPERLINK("http://nsgreg.nga.mil/genc/view?v=872472&amp;end_month=12&amp;end_day=31&amp;end_year=2016","Correlation")</f>
        <v>Correlation</v>
      </c>
    </row>
    <row r="4901" spans="1:13" x14ac:dyDescent="0.2">
      <c r="A4901" s="113"/>
      <c r="B4901" s="58" t="s">
        <v>12203</v>
      </c>
      <c r="C4901" s="58" t="s">
        <v>1413</v>
      </c>
      <c r="D4901" s="58" t="s">
        <v>12204</v>
      </c>
      <c r="E4901" s="60" t="b">
        <v>1</v>
      </c>
      <c r="F4901" s="80" t="s">
        <v>1368</v>
      </c>
      <c r="G4901" s="58" t="s">
        <v>12203</v>
      </c>
      <c r="H4901" s="58" t="s">
        <v>1413</v>
      </c>
      <c r="I4901" s="64" t="s">
        <v>12204</v>
      </c>
      <c r="J4901" s="66"/>
      <c r="K4901" s="66"/>
      <c r="L4901" s="68"/>
      <c r="M4901" s="63" t="str">
        <f>HYPERLINK("http://nsgreg.nga.mil/genc/view?v=872434&amp;end_month=12&amp;end_day=31&amp;end_year=2016","Correlation")</f>
        <v>Correlation</v>
      </c>
    </row>
    <row r="4902" spans="1:13" x14ac:dyDescent="0.2">
      <c r="A4902" s="113"/>
      <c r="B4902" s="58" t="s">
        <v>12205</v>
      </c>
      <c r="C4902" s="58" t="s">
        <v>1413</v>
      </c>
      <c r="D4902" s="58" t="s">
        <v>12206</v>
      </c>
      <c r="E4902" s="60" t="b">
        <v>1</v>
      </c>
      <c r="F4902" s="80" t="s">
        <v>1368</v>
      </c>
      <c r="G4902" s="58" t="s">
        <v>12205</v>
      </c>
      <c r="H4902" s="58" t="s">
        <v>1413</v>
      </c>
      <c r="I4902" s="64" t="s">
        <v>12206</v>
      </c>
      <c r="J4902" s="66"/>
      <c r="K4902" s="66"/>
      <c r="L4902" s="68"/>
      <c r="M4902" s="63" t="str">
        <f>HYPERLINK("http://nsgreg.nga.mil/genc/view?v=872431&amp;end_month=12&amp;end_day=31&amp;end_year=2016","Correlation")</f>
        <v>Correlation</v>
      </c>
    </row>
    <row r="4903" spans="1:13" x14ac:dyDescent="0.2">
      <c r="A4903" s="113"/>
      <c r="B4903" s="58" t="s">
        <v>12207</v>
      </c>
      <c r="C4903" s="58" t="s">
        <v>1413</v>
      </c>
      <c r="D4903" s="58" t="s">
        <v>12208</v>
      </c>
      <c r="E4903" s="60" t="b">
        <v>1</v>
      </c>
      <c r="F4903" s="80" t="s">
        <v>1368</v>
      </c>
      <c r="G4903" s="58" t="s">
        <v>12207</v>
      </c>
      <c r="H4903" s="58" t="s">
        <v>1413</v>
      </c>
      <c r="I4903" s="64" t="s">
        <v>12208</v>
      </c>
      <c r="J4903" s="66"/>
      <c r="K4903" s="66"/>
      <c r="L4903" s="68"/>
      <c r="M4903" s="63" t="str">
        <f>HYPERLINK("http://nsgreg.nga.mil/genc/view?v=872448&amp;end_month=12&amp;end_day=31&amp;end_year=2016","Correlation")</f>
        <v>Correlation</v>
      </c>
    </row>
    <row r="4904" spans="1:13" x14ac:dyDescent="0.2">
      <c r="A4904" s="113"/>
      <c r="B4904" s="58" t="s">
        <v>12209</v>
      </c>
      <c r="C4904" s="58" t="s">
        <v>1413</v>
      </c>
      <c r="D4904" s="58" t="s">
        <v>12210</v>
      </c>
      <c r="E4904" s="60" t="b">
        <v>1</v>
      </c>
      <c r="F4904" s="80" t="s">
        <v>1368</v>
      </c>
      <c r="G4904" s="58" t="s">
        <v>12209</v>
      </c>
      <c r="H4904" s="58" t="s">
        <v>1413</v>
      </c>
      <c r="I4904" s="64" t="s">
        <v>12210</v>
      </c>
      <c r="J4904" s="66"/>
      <c r="K4904" s="66"/>
      <c r="L4904" s="68"/>
      <c r="M4904" s="63" t="str">
        <f>HYPERLINK("http://nsgreg.nga.mil/genc/view?v=872473&amp;end_month=12&amp;end_day=31&amp;end_year=2016","Correlation")</f>
        <v>Correlation</v>
      </c>
    </row>
    <row r="4905" spans="1:13" x14ac:dyDescent="0.2">
      <c r="A4905" s="113"/>
      <c r="B4905" s="58" t="s">
        <v>12211</v>
      </c>
      <c r="C4905" s="58" t="s">
        <v>1413</v>
      </c>
      <c r="D4905" s="58" t="s">
        <v>12212</v>
      </c>
      <c r="E4905" s="60" t="b">
        <v>1</v>
      </c>
      <c r="F4905" s="80" t="s">
        <v>1368</v>
      </c>
      <c r="G4905" s="58" t="s">
        <v>12211</v>
      </c>
      <c r="H4905" s="58" t="s">
        <v>1413</v>
      </c>
      <c r="I4905" s="64" t="s">
        <v>12212</v>
      </c>
      <c r="J4905" s="66"/>
      <c r="K4905" s="66"/>
      <c r="L4905" s="68"/>
      <c r="M4905" s="63" t="str">
        <f>HYPERLINK("http://nsgreg.nga.mil/genc/view?v=872444&amp;end_month=12&amp;end_day=31&amp;end_year=2016","Correlation")</f>
        <v>Correlation</v>
      </c>
    </row>
    <row r="4906" spans="1:13" x14ac:dyDescent="0.2">
      <c r="A4906" s="113"/>
      <c r="B4906" s="58" t="s">
        <v>12213</v>
      </c>
      <c r="C4906" s="58" t="s">
        <v>1413</v>
      </c>
      <c r="D4906" s="58" t="s">
        <v>12214</v>
      </c>
      <c r="E4906" s="60" t="b">
        <v>1</v>
      </c>
      <c r="F4906" s="80" t="s">
        <v>1368</v>
      </c>
      <c r="G4906" s="58" t="s">
        <v>12213</v>
      </c>
      <c r="H4906" s="58" t="s">
        <v>1413</v>
      </c>
      <c r="I4906" s="64" t="s">
        <v>12214</v>
      </c>
      <c r="J4906" s="66"/>
      <c r="K4906" s="66"/>
      <c r="L4906" s="68"/>
      <c r="M4906" s="63" t="str">
        <f>HYPERLINK("http://nsgreg.nga.mil/genc/view?v=872436&amp;end_month=12&amp;end_day=31&amp;end_year=2016","Correlation")</f>
        <v>Correlation</v>
      </c>
    </row>
    <row r="4907" spans="1:13" x14ac:dyDescent="0.2">
      <c r="A4907" s="113"/>
      <c r="B4907" s="58" t="s">
        <v>12215</v>
      </c>
      <c r="C4907" s="58" t="s">
        <v>1413</v>
      </c>
      <c r="D4907" s="58" t="s">
        <v>12216</v>
      </c>
      <c r="E4907" s="60" t="b">
        <v>1</v>
      </c>
      <c r="F4907" s="80" t="s">
        <v>1368</v>
      </c>
      <c r="G4907" s="58" t="s">
        <v>12215</v>
      </c>
      <c r="H4907" s="58" t="s">
        <v>1413</v>
      </c>
      <c r="I4907" s="64" t="s">
        <v>12216</v>
      </c>
      <c r="J4907" s="66"/>
      <c r="K4907" s="66"/>
      <c r="L4907" s="68"/>
      <c r="M4907" s="63" t="str">
        <f>HYPERLINK("http://nsgreg.nga.mil/genc/view?v=872439&amp;end_month=12&amp;end_day=31&amp;end_year=2016","Correlation")</f>
        <v>Correlation</v>
      </c>
    </row>
    <row r="4908" spans="1:13" x14ac:dyDescent="0.2">
      <c r="A4908" s="113"/>
      <c r="B4908" s="58" t="s">
        <v>12217</v>
      </c>
      <c r="C4908" s="58" t="s">
        <v>1413</v>
      </c>
      <c r="D4908" s="58" t="s">
        <v>12218</v>
      </c>
      <c r="E4908" s="60" t="b">
        <v>1</v>
      </c>
      <c r="F4908" s="80" t="s">
        <v>1368</v>
      </c>
      <c r="G4908" s="58" t="s">
        <v>12217</v>
      </c>
      <c r="H4908" s="58" t="s">
        <v>1413</v>
      </c>
      <c r="I4908" s="64" t="s">
        <v>12218</v>
      </c>
      <c r="J4908" s="66"/>
      <c r="K4908" s="66"/>
      <c r="L4908" s="68"/>
      <c r="M4908" s="63" t="str">
        <f>HYPERLINK("http://nsgreg.nga.mil/genc/view?v=872441&amp;end_month=12&amp;end_day=31&amp;end_year=2016","Correlation")</f>
        <v>Correlation</v>
      </c>
    </row>
    <row r="4909" spans="1:13" x14ac:dyDescent="0.2">
      <c r="A4909" s="113"/>
      <c r="B4909" s="58" t="s">
        <v>12219</v>
      </c>
      <c r="C4909" s="58" t="s">
        <v>1413</v>
      </c>
      <c r="D4909" s="58" t="s">
        <v>12220</v>
      </c>
      <c r="E4909" s="60" t="b">
        <v>1</v>
      </c>
      <c r="F4909" s="80" t="s">
        <v>1368</v>
      </c>
      <c r="G4909" s="58" t="s">
        <v>12219</v>
      </c>
      <c r="H4909" s="58" t="s">
        <v>1413</v>
      </c>
      <c r="I4909" s="64" t="s">
        <v>12220</v>
      </c>
      <c r="J4909" s="66"/>
      <c r="K4909" s="66"/>
      <c r="L4909" s="68"/>
      <c r="M4909" s="63" t="str">
        <f>HYPERLINK("http://nsgreg.nga.mil/genc/view?v=872429&amp;end_month=12&amp;end_day=31&amp;end_year=2016","Correlation")</f>
        <v>Correlation</v>
      </c>
    </row>
    <row r="4910" spans="1:13" x14ac:dyDescent="0.2">
      <c r="A4910" s="113"/>
      <c r="B4910" s="58" t="s">
        <v>12221</v>
      </c>
      <c r="C4910" s="58" t="s">
        <v>1413</v>
      </c>
      <c r="D4910" s="58" t="s">
        <v>12222</v>
      </c>
      <c r="E4910" s="60" t="b">
        <v>1</v>
      </c>
      <c r="F4910" s="80" t="s">
        <v>1368</v>
      </c>
      <c r="G4910" s="58" t="s">
        <v>12221</v>
      </c>
      <c r="H4910" s="58" t="s">
        <v>1413</v>
      </c>
      <c r="I4910" s="64" t="s">
        <v>12222</v>
      </c>
      <c r="J4910" s="66"/>
      <c r="K4910" s="66"/>
      <c r="L4910" s="68"/>
      <c r="M4910" s="63" t="str">
        <f>HYPERLINK("http://nsgreg.nga.mil/genc/view?v=872437&amp;end_month=12&amp;end_day=31&amp;end_year=2016","Correlation")</f>
        <v>Correlation</v>
      </c>
    </row>
    <row r="4911" spans="1:13" x14ac:dyDescent="0.2">
      <c r="A4911" s="113"/>
      <c r="B4911" s="58" t="s">
        <v>12223</v>
      </c>
      <c r="C4911" s="58" t="s">
        <v>1413</v>
      </c>
      <c r="D4911" s="58" t="s">
        <v>12224</v>
      </c>
      <c r="E4911" s="60" t="b">
        <v>1</v>
      </c>
      <c r="F4911" s="80" t="s">
        <v>1368</v>
      </c>
      <c r="G4911" s="58" t="s">
        <v>12223</v>
      </c>
      <c r="H4911" s="58" t="s">
        <v>1413</v>
      </c>
      <c r="I4911" s="64" t="s">
        <v>12224</v>
      </c>
      <c r="J4911" s="66"/>
      <c r="K4911" s="66"/>
      <c r="L4911" s="68"/>
      <c r="M4911" s="63" t="str">
        <f>HYPERLINK("http://nsgreg.nga.mil/genc/view?v=872461&amp;end_month=12&amp;end_day=31&amp;end_year=2016","Correlation")</f>
        <v>Correlation</v>
      </c>
    </row>
    <row r="4912" spans="1:13" x14ac:dyDescent="0.2">
      <c r="A4912" s="113"/>
      <c r="B4912" s="58" t="s">
        <v>12225</v>
      </c>
      <c r="C4912" s="58" t="s">
        <v>1413</v>
      </c>
      <c r="D4912" s="58" t="s">
        <v>12226</v>
      </c>
      <c r="E4912" s="60" t="b">
        <v>1</v>
      </c>
      <c r="F4912" s="80" t="s">
        <v>1368</v>
      </c>
      <c r="G4912" s="58" t="s">
        <v>12225</v>
      </c>
      <c r="H4912" s="58" t="s">
        <v>1413</v>
      </c>
      <c r="I4912" s="64" t="s">
        <v>12226</v>
      </c>
      <c r="J4912" s="66"/>
      <c r="K4912" s="66"/>
      <c r="L4912" s="68"/>
      <c r="M4912" s="63" t="str">
        <f>HYPERLINK("http://nsgreg.nga.mil/genc/view?v=872425&amp;end_month=12&amp;end_day=31&amp;end_year=2016","Correlation")</f>
        <v>Correlation</v>
      </c>
    </row>
    <row r="4913" spans="1:13" x14ac:dyDescent="0.2">
      <c r="A4913" s="113"/>
      <c r="B4913" s="58" t="s">
        <v>12227</v>
      </c>
      <c r="C4913" s="58" t="s">
        <v>1413</v>
      </c>
      <c r="D4913" s="58" t="s">
        <v>12228</v>
      </c>
      <c r="E4913" s="60" t="b">
        <v>1</v>
      </c>
      <c r="F4913" s="80" t="s">
        <v>1368</v>
      </c>
      <c r="G4913" s="58" t="s">
        <v>12227</v>
      </c>
      <c r="H4913" s="58" t="s">
        <v>1413</v>
      </c>
      <c r="I4913" s="64" t="s">
        <v>12228</v>
      </c>
      <c r="J4913" s="66"/>
      <c r="K4913" s="66"/>
      <c r="L4913" s="68"/>
      <c r="M4913" s="63" t="str">
        <f>HYPERLINK("http://nsgreg.nga.mil/genc/view?v=872449&amp;end_month=12&amp;end_day=31&amp;end_year=2016","Correlation")</f>
        <v>Correlation</v>
      </c>
    </row>
    <row r="4914" spans="1:13" x14ac:dyDescent="0.2">
      <c r="A4914" s="113"/>
      <c r="B4914" s="58" t="s">
        <v>12229</v>
      </c>
      <c r="C4914" s="58" t="s">
        <v>1413</v>
      </c>
      <c r="D4914" s="58" t="s">
        <v>12230</v>
      </c>
      <c r="E4914" s="60" t="b">
        <v>1</v>
      </c>
      <c r="F4914" s="80" t="s">
        <v>1368</v>
      </c>
      <c r="G4914" s="58" t="s">
        <v>12229</v>
      </c>
      <c r="H4914" s="58" t="s">
        <v>1413</v>
      </c>
      <c r="I4914" s="64" t="s">
        <v>12230</v>
      </c>
      <c r="J4914" s="66"/>
      <c r="K4914" s="66"/>
      <c r="L4914" s="68"/>
      <c r="M4914" s="63" t="str">
        <f>HYPERLINK("http://nsgreg.nga.mil/genc/view?v=872432&amp;end_month=12&amp;end_day=31&amp;end_year=2016","Correlation")</f>
        <v>Correlation</v>
      </c>
    </row>
    <row r="4915" spans="1:13" x14ac:dyDescent="0.2">
      <c r="A4915" s="113"/>
      <c r="B4915" s="58" t="s">
        <v>12231</v>
      </c>
      <c r="C4915" s="58" t="s">
        <v>1413</v>
      </c>
      <c r="D4915" s="58" t="s">
        <v>12232</v>
      </c>
      <c r="E4915" s="60" t="b">
        <v>1</v>
      </c>
      <c r="F4915" s="80" t="s">
        <v>1368</v>
      </c>
      <c r="G4915" s="58" t="s">
        <v>12231</v>
      </c>
      <c r="H4915" s="58" t="s">
        <v>1413</v>
      </c>
      <c r="I4915" s="64" t="s">
        <v>12232</v>
      </c>
      <c r="J4915" s="66"/>
      <c r="K4915" s="66"/>
      <c r="L4915" s="68"/>
      <c r="M4915" s="63" t="str">
        <f>HYPERLINK("http://nsgreg.nga.mil/genc/view?v=872474&amp;end_month=12&amp;end_day=31&amp;end_year=2016","Correlation")</f>
        <v>Correlation</v>
      </c>
    </row>
    <row r="4916" spans="1:13" x14ac:dyDescent="0.2">
      <c r="A4916" s="113"/>
      <c r="B4916" s="58" t="s">
        <v>12233</v>
      </c>
      <c r="C4916" s="58" t="s">
        <v>1413</v>
      </c>
      <c r="D4916" s="58" t="s">
        <v>12234</v>
      </c>
      <c r="E4916" s="60" t="b">
        <v>1</v>
      </c>
      <c r="F4916" s="80" t="s">
        <v>1368</v>
      </c>
      <c r="G4916" s="58" t="s">
        <v>12233</v>
      </c>
      <c r="H4916" s="58" t="s">
        <v>1413</v>
      </c>
      <c r="I4916" s="64" t="s">
        <v>12234</v>
      </c>
      <c r="J4916" s="66"/>
      <c r="K4916" s="66"/>
      <c r="L4916" s="68"/>
      <c r="M4916" s="63" t="str">
        <f>HYPERLINK("http://nsgreg.nga.mil/genc/view?v=872433&amp;end_month=12&amp;end_day=31&amp;end_year=2016","Correlation")</f>
        <v>Correlation</v>
      </c>
    </row>
    <row r="4917" spans="1:13" x14ac:dyDescent="0.2">
      <c r="A4917" s="113"/>
      <c r="B4917" s="58" t="s">
        <v>12235</v>
      </c>
      <c r="C4917" s="58" t="s">
        <v>1413</v>
      </c>
      <c r="D4917" s="58" t="s">
        <v>12236</v>
      </c>
      <c r="E4917" s="60" t="b">
        <v>1</v>
      </c>
      <c r="F4917" s="80" t="s">
        <v>1368</v>
      </c>
      <c r="G4917" s="58" t="s">
        <v>12235</v>
      </c>
      <c r="H4917" s="58" t="s">
        <v>1413</v>
      </c>
      <c r="I4917" s="64" t="s">
        <v>12236</v>
      </c>
      <c r="J4917" s="66"/>
      <c r="K4917" s="66"/>
      <c r="L4917" s="68"/>
      <c r="M4917" s="63" t="str">
        <f>HYPERLINK("http://nsgreg.nga.mil/genc/view?v=872438&amp;end_month=12&amp;end_day=31&amp;end_year=2016","Correlation")</f>
        <v>Correlation</v>
      </c>
    </row>
    <row r="4918" spans="1:13" x14ac:dyDescent="0.2">
      <c r="A4918" s="113"/>
      <c r="B4918" s="58" t="s">
        <v>12237</v>
      </c>
      <c r="C4918" s="58" t="s">
        <v>1413</v>
      </c>
      <c r="D4918" s="58" t="s">
        <v>12238</v>
      </c>
      <c r="E4918" s="60" t="b">
        <v>1</v>
      </c>
      <c r="F4918" s="80" t="s">
        <v>1368</v>
      </c>
      <c r="G4918" s="58" t="s">
        <v>12237</v>
      </c>
      <c r="H4918" s="58" t="s">
        <v>1413</v>
      </c>
      <c r="I4918" s="64" t="s">
        <v>12238</v>
      </c>
      <c r="J4918" s="66"/>
      <c r="K4918" s="66"/>
      <c r="L4918" s="68"/>
      <c r="M4918" s="63" t="str">
        <f>HYPERLINK("http://nsgreg.nga.mil/genc/view?v=872456&amp;end_month=12&amp;end_day=31&amp;end_year=2016","Correlation")</f>
        <v>Correlation</v>
      </c>
    </row>
    <row r="4919" spans="1:13" x14ac:dyDescent="0.2">
      <c r="A4919" s="113"/>
      <c r="B4919" s="58" t="s">
        <v>12239</v>
      </c>
      <c r="C4919" s="58" t="s">
        <v>1413</v>
      </c>
      <c r="D4919" s="58" t="s">
        <v>12240</v>
      </c>
      <c r="E4919" s="60" t="b">
        <v>1</v>
      </c>
      <c r="F4919" s="80" t="s">
        <v>1368</v>
      </c>
      <c r="G4919" s="58" t="s">
        <v>12239</v>
      </c>
      <c r="H4919" s="58" t="s">
        <v>1413</v>
      </c>
      <c r="I4919" s="64" t="s">
        <v>12240</v>
      </c>
      <c r="J4919" s="66"/>
      <c r="K4919" s="66"/>
      <c r="L4919" s="68"/>
      <c r="M4919" s="63" t="str">
        <f>HYPERLINK("http://nsgreg.nga.mil/genc/view?v=872460&amp;end_month=12&amp;end_day=31&amp;end_year=2016","Correlation")</f>
        <v>Correlation</v>
      </c>
    </row>
    <row r="4920" spans="1:13" x14ac:dyDescent="0.2">
      <c r="A4920" s="113"/>
      <c r="B4920" s="58" t="s">
        <v>12241</v>
      </c>
      <c r="C4920" s="58" t="s">
        <v>1413</v>
      </c>
      <c r="D4920" s="58" t="s">
        <v>12242</v>
      </c>
      <c r="E4920" s="60" t="b">
        <v>1</v>
      </c>
      <c r="F4920" s="80" t="s">
        <v>1368</v>
      </c>
      <c r="G4920" s="58" t="s">
        <v>12241</v>
      </c>
      <c r="H4920" s="58" t="s">
        <v>1413</v>
      </c>
      <c r="I4920" s="64" t="s">
        <v>12242</v>
      </c>
      <c r="J4920" s="66"/>
      <c r="K4920" s="66"/>
      <c r="L4920" s="68"/>
      <c r="M4920" s="63" t="str">
        <f>HYPERLINK("http://nsgreg.nga.mil/genc/view?v=872427&amp;end_month=12&amp;end_day=31&amp;end_year=2016","Correlation")</f>
        <v>Correlation</v>
      </c>
    </row>
    <row r="4921" spans="1:13" x14ac:dyDescent="0.2">
      <c r="A4921" s="113"/>
      <c r="B4921" s="58" t="s">
        <v>12243</v>
      </c>
      <c r="C4921" s="58" t="s">
        <v>1413</v>
      </c>
      <c r="D4921" s="58" t="s">
        <v>12244</v>
      </c>
      <c r="E4921" s="60" t="b">
        <v>1</v>
      </c>
      <c r="F4921" s="80" t="s">
        <v>1368</v>
      </c>
      <c r="G4921" s="58" t="s">
        <v>12243</v>
      </c>
      <c r="H4921" s="58" t="s">
        <v>1413</v>
      </c>
      <c r="I4921" s="64" t="s">
        <v>12244</v>
      </c>
      <c r="J4921" s="66"/>
      <c r="K4921" s="66"/>
      <c r="L4921" s="68"/>
      <c r="M4921" s="63" t="str">
        <f>HYPERLINK("http://nsgreg.nga.mil/genc/view?v=872458&amp;end_month=12&amp;end_day=31&amp;end_year=2016","Correlation")</f>
        <v>Correlation</v>
      </c>
    </row>
    <row r="4922" spans="1:13" x14ac:dyDescent="0.2">
      <c r="A4922" s="113"/>
      <c r="B4922" s="58" t="s">
        <v>12245</v>
      </c>
      <c r="C4922" s="58" t="s">
        <v>1413</v>
      </c>
      <c r="D4922" s="58" t="s">
        <v>12246</v>
      </c>
      <c r="E4922" s="60" t="b">
        <v>1</v>
      </c>
      <c r="F4922" s="80" t="s">
        <v>1368</v>
      </c>
      <c r="G4922" s="58" t="s">
        <v>12245</v>
      </c>
      <c r="H4922" s="58" t="s">
        <v>1413</v>
      </c>
      <c r="I4922" s="64" t="s">
        <v>12246</v>
      </c>
      <c r="J4922" s="66"/>
      <c r="K4922" s="66"/>
      <c r="L4922" s="68"/>
      <c r="M4922" s="63" t="str">
        <f>HYPERLINK("http://nsgreg.nga.mil/genc/view?v=872475&amp;end_month=12&amp;end_day=31&amp;end_year=2016","Correlation")</f>
        <v>Correlation</v>
      </c>
    </row>
    <row r="4923" spans="1:13" x14ac:dyDescent="0.2">
      <c r="A4923" s="114"/>
      <c r="B4923" s="71" t="s">
        <v>12247</v>
      </c>
      <c r="C4923" s="71" t="s">
        <v>1413</v>
      </c>
      <c r="D4923" s="71" t="s">
        <v>12248</v>
      </c>
      <c r="E4923" s="73" t="b">
        <v>1</v>
      </c>
      <c r="F4923" s="81" t="s">
        <v>1368</v>
      </c>
      <c r="G4923" s="71" t="s">
        <v>12247</v>
      </c>
      <c r="H4923" s="71" t="s">
        <v>1413</v>
      </c>
      <c r="I4923" s="74" t="s">
        <v>12248</v>
      </c>
      <c r="J4923" s="76"/>
      <c r="K4923" s="76"/>
      <c r="L4923" s="82"/>
      <c r="M4923" s="77" t="str">
        <f>HYPERLINK("http://nsgreg.nga.mil/genc/view?v=872426&amp;end_month=12&amp;end_day=31&amp;end_year=2016","Correlation")</f>
        <v>Correlation</v>
      </c>
    </row>
    <row r="4924" spans="1:13" x14ac:dyDescent="0.2">
      <c r="A4924" s="112" t="s">
        <v>1385</v>
      </c>
      <c r="B4924" s="50" t="s">
        <v>12249</v>
      </c>
      <c r="C4924" s="50" t="s">
        <v>12250</v>
      </c>
      <c r="D4924" s="50" t="s">
        <v>12251</v>
      </c>
      <c r="E4924" s="52" t="b">
        <v>1</v>
      </c>
      <c r="F4924" s="78" t="s">
        <v>1385</v>
      </c>
      <c r="G4924" s="50" t="s">
        <v>12249</v>
      </c>
      <c r="H4924" s="50" t="s">
        <v>12250</v>
      </c>
      <c r="I4924" s="53" t="s">
        <v>12251</v>
      </c>
      <c r="J4924" s="55"/>
      <c r="K4924" s="55"/>
      <c r="L4924" s="79"/>
      <c r="M4924" s="56" t="str">
        <f>HYPERLINK("http://nsgreg.nga.mil/genc/view?v=872490&amp;end_month=12&amp;end_day=31&amp;end_year=2016","Correlation")</f>
        <v>Correlation</v>
      </c>
    </row>
    <row r="4925" spans="1:13" x14ac:dyDescent="0.2">
      <c r="A4925" s="113"/>
      <c r="B4925" s="58" t="s">
        <v>12252</v>
      </c>
      <c r="C4925" s="58" t="s">
        <v>12250</v>
      </c>
      <c r="D4925" s="58" t="s">
        <v>12253</v>
      </c>
      <c r="E4925" s="60" t="b">
        <v>1</v>
      </c>
      <c r="F4925" s="80" t="s">
        <v>1385</v>
      </c>
      <c r="G4925" s="58" t="s">
        <v>12252</v>
      </c>
      <c r="H4925" s="58" t="s">
        <v>12250</v>
      </c>
      <c r="I4925" s="64" t="s">
        <v>12253</v>
      </c>
      <c r="J4925" s="66"/>
      <c r="K4925" s="66"/>
      <c r="L4925" s="68"/>
      <c r="M4925" s="63" t="str">
        <f>HYPERLINK("http://nsgreg.nga.mil/genc/view?v=872491&amp;end_month=12&amp;end_day=31&amp;end_year=2016","Correlation")</f>
        <v>Correlation</v>
      </c>
    </row>
    <row r="4926" spans="1:13" x14ac:dyDescent="0.2">
      <c r="A4926" s="114"/>
      <c r="B4926" s="71" t="s">
        <v>12254</v>
      </c>
      <c r="C4926" s="71" t="s">
        <v>12250</v>
      </c>
      <c r="D4926" s="71" t="s">
        <v>12255</v>
      </c>
      <c r="E4926" s="73" t="b">
        <v>1</v>
      </c>
      <c r="F4926" s="81" t="s">
        <v>1385</v>
      </c>
      <c r="G4926" s="71" t="s">
        <v>12254</v>
      </c>
      <c r="H4926" s="71" t="s">
        <v>12250</v>
      </c>
      <c r="I4926" s="74" t="s">
        <v>12255</v>
      </c>
      <c r="J4926" s="76"/>
      <c r="K4926" s="76"/>
      <c r="L4926" s="82"/>
      <c r="M4926" s="77" t="str">
        <f>HYPERLINK("http://nsgreg.nga.mil/genc/view?v=872492&amp;end_month=12&amp;end_day=31&amp;end_year=2016","Correlation")</f>
        <v>Correlation</v>
      </c>
    </row>
    <row r="4927" spans="1:13" x14ac:dyDescent="0.2">
      <c r="A4927" s="112" t="s">
        <v>1399</v>
      </c>
      <c r="B4927" s="50" t="s">
        <v>12256</v>
      </c>
      <c r="C4927" s="50" t="s">
        <v>2030</v>
      </c>
      <c r="D4927" s="50" t="s">
        <v>12257</v>
      </c>
      <c r="E4927" s="52" t="b">
        <v>1</v>
      </c>
      <c r="F4927" s="78" t="s">
        <v>1399</v>
      </c>
      <c r="G4927" s="50" t="s">
        <v>12256</v>
      </c>
      <c r="H4927" s="50" t="s">
        <v>2030</v>
      </c>
      <c r="I4927" s="53" t="s">
        <v>12257</v>
      </c>
      <c r="J4927" s="55"/>
      <c r="K4927" s="55"/>
      <c r="L4927" s="79"/>
      <c r="M4927" s="56" t="str">
        <f>HYPERLINK("http://nsgreg.nga.mil/genc/view?v=872504&amp;end_month=12&amp;end_day=31&amp;end_year=2016","Correlation")</f>
        <v>Correlation</v>
      </c>
    </row>
    <row r="4928" spans="1:13" x14ac:dyDescent="0.2">
      <c r="A4928" s="113"/>
      <c r="B4928" s="58" t="s">
        <v>12258</v>
      </c>
      <c r="C4928" s="58" t="s">
        <v>2030</v>
      </c>
      <c r="D4928" s="58" t="s">
        <v>12259</v>
      </c>
      <c r="E4928" s="60" t="b">
        <v>1</v>
      </c>
      <c r="F4928" s="80" t="s">
        <v>1399</v>
      </c>
      <c r="G4928" s="58" t="s">
        <v>12258</v>
      </c>
      <c r="H4928" s="58" t="s">
        <v>2030</v>
      </c>
      <c r="I4928" s="64" t="s">
        <v>12259</v>
      </c>
      <c r="J4928" s="66"/>
      <c r="K4928" s="66"/>
      <c r="L4928" s="68"/>
      <c r="M4928" s="63" t="str">
        <f>HYPERLINK("http://nsgreg.nga.mil/genc/view?v=872505&amp;end_month=12&amp;end_day=31&amp;end_year=2016","Correlation")</f>
        <v>Correlation</v>
      </c>
    </row>
    <row r="4929" spans="1:13" x14ac:dyDescent="0.2">
      <c r="A4929" s="113"/>
      <c r="B4929" s="58" t="s">
        <v>12260</v>
      </c>
      <c r="C4929" s="58" t="s">
        <v>2030</v>
      </c>
      <c r="D4929" s="58" t="s">
        <v>12261</v>
      </c>
      <c r="E4929" s="60" t="b">
        <v>1</v>
      </c>
      <c r="F4929" s="80" t="s">
        <v>1399</v>
      </c>
      <c r="G4929" s="58" t="s">
        <v>12260</v>
      </c>
      <c r="H4929" s="58" t="s">
        <v>2030</v>
      </c>
      <c r="I4929" s="64" t="s">
        <v>12261</v>
      </c>
      <c r="J4929" s="66"/>
      <c r="K4929" s="66"/>
      <c r="L4929" s="68"/>
      <c r="M4929" s="63" t="str">
        <f>HYPERLINK("http://nsgreg.nga.mil/genc/view?v=872508&amp;end_month=12&amp;end_day=31&amp;end_year=2016","Correlation")</f>
        <v>Correlation</v>
      </c>
    </row>
    <row r="4930" spans="1:13" x14ac:dyDescent="0.2">
      <c r="A4930" s="113"/>
      <c r="B4930" s="58" t="s">
        <v>12262</v>
      </c>
      <c r="C4930" s="58" t="s">
        <v>2030</v>
      </c>
      <c r="D4930" s="58" t="s">
        <v>12263</v>
      </c>
      <c r="E4930" s="60" t="b">
        <v>1</v>
      </c>
      <c r="F4930" s="80" t="s">
        <v>1399</v>
      </c>
      <c r="G4930" s="58" t="s">
        <v>12262</v>
      </c>
      <c r="H4930" s="58" t="s">
        <v>2030</v>
      </c>
      <c r="I4930" s="64" t="s">
        <v>12263</v>
      </c>
      <c r="J4930" s="66"/>
      <c r="K4930" s="66"/>
      <c r="L4930" s="68"/>
      <c r="M4930" s="63" t="str">
        <f>HYPERLINK("http://nsgreg.nga.mil/genc/view?v=872507&amp;end_month=12&amp;end_day=31&amp;end_year=2016","Correlation")</f>
        <v>Correlation</v>
      </c>
    </row>
    <row r="4931" spans="1:13" x14ac:dyDescent="0.2">
      <c r="A4931" s="113"/>
      <c r="B4931" s="58" t="s">
        <v>12264</v>
      </c>
      <c r="C4931" s="58" t="s">
        <v>2030</v>
      </c>
      <c r="D4931" s="58" t="s">
        <v>12265</v>
      </c>
      <c r="E4931" s="60" t="b">
        <v>1</v>
      </c>
      <c r="F4931" s="80" t="s">
        <v>1399</v>
      </c>
      <c r="G4931" s="58" t="s">
        <v>12264</v>
      </c>
      <c r="H4931" s="58" t="s">
        <v>2030</v>
      </c>
      <c r="I4931" s="64" t="s">
        <v>12265</v>
      </c>
      <c r="J4931" s="66"/>
      <c r="K4931" s="66"/>
      <c r="L4931" s="68"/>
      <c r="M4931" s="63" t="str">
        <f>HYPERLINK("http://nsgreg.nga.mil/genc/view?v=872512&amp;end_month=12&amp;end_day=31&amp;end_year=2016","Correlation")</f>
        <v>Correlation</v>
      </c>
    </row>
    <row r="4932" spans="1:13" x14ac:dyDescent="0.2">
      <c r="A4932" s="113"/>
      <c r="B4932" s="58" t="s">
        <v>9045</v>
      </c>
      <c r="C4932" s="58" t="s">
        <v>2030</v>
      </c>
      <c r="D4932" s="58" t="s">
        <v>12266</v>
      </c>
      <c r="E4932" s="60" t="b">
        <v>1</v>
      </c>
      <c r="F4932" s="80" t="s">
        <v>1399</v>
      </c>
      <c r="G4932" s="58" t="s">
        <v>9045</v>
      </c>
      <c r="H4932" s="58" t="s">
        <v>2030</v>
      </c>
      <c r="I4932" s="64" t="s">
        <v>12266</v>
      </c>
      <c r="J4932" s="66"/>
      <c r="K4932" s="66"/>
      <c r="L4932" s="68"/>
      <c r="M4932" s="63" t="str">
        <f>HYPERLINK("http://nsgreg.nga.mil/genc/view?v=872514&amp;end_month=12&amp;end_day=31&amp;end_year=2016","Correlation")</f>
        <v>Correlation</v>
      </c>
    </row>
    <row r="4933" spans="1:13" x14ac:dyDescent="0.2">
      <c r="A4933" s="113"/>
      <c r="B4933" s="58" t="s">
        <v>12267</v>
      </c>
      <c r="C4933" s="58" t="s">
        <v>2030</v>
      </c>
      <c r="D4933" s="58" t="s">
        <v>12268</v>
      </c>
      <c r="E4933" s="60" t="b">
        <v>1</v>
      </c>
      <c r="F4933" s="80" t="s">
        <v>1399</v>
      </c>
      <c r="G4933" s="58" t="s">
        <v>12267</v>
      </c>
      <c r="H4933" s="58" t="s">
        <v>2030</v>
      </c>
      <c r="I4933" s="64" t="s">
        <v>12268</v>
      </c>
      <c r="J4933" s="66"/>
      <c r="K4933" s="66"/>
      <c r="L4933" s="68"/>
      <c r="M4933" s="63" t="str">
        <f>HYPERLINK("http://nsgreg.nga.mil/genc/view?v=872517&amp;end_month=12&amp;end_day=31&amp;end_year=2016","Correlation")</f>
        <v>Correlation</v>
      </c>
    </row>
    <row r="4934" spans="1:13" x14ac:dyDescent="0.2">
      <c r="A4934" s="113"/>
      <c r="B4934" s="58" t="s">
        <v>12269</v>
      </c>
      <c r="C4934" s="58" t="s">
        <v>2030</v>
      </c>
      <c r="D4934" s="58" t="s">
        <v>12270</v>
      </c>
      <c r="E4934" s="60" t="b">
        <v>1</v>
      </c>
      <c r="F4934" s="80" t="s">
        <v>1399</v>
      </c>
      <c r="G4934" s="58" t="s">
        <v>12269</v>
      </c>
      <c r="H4934" s="58" t="s">
        <v>2030</v>
      </c>
      <c r="I4934" s="64" t="s">
        <v>12270</v>
      </c>
      <c r="J4934" s="66"/>
      <c r="K4934" s="66"/>
      <c r="L4934" s="68"/>
      <c r="M4934" s="63" t="str">
        <f>HYPERLINK("http://nsgreg.nga.mil/genc/view?v=872518&amp;end_month=12&amp;end_day=31&amp;end_year=2016","Correlation")</f>
        <v>Correlation</v>
      </c>
    </row>
    <row r="4935" spans="1:13" x14ac:dyDescent="0.2">
      <c r="A4935" s="113"/>
      <c r="B4935" s="58" t="s">
        <v>12271</v>
      </c>
      <c r="C4935" s="58" t="s">
        <v>1816</v>
      </c>
      <c r="D4935" s="58" t="s">
        <v>12272</v>
      </c>
      <c r="E4935" s="60" t="b">
        <v>1</v>
      </c>
      <c r="F4935" s="80" t="s">
        <v>1399</v>
      </c>
      <c r="G4935" s="58" t="s">
        <v>12271</v>
      </c>
      <c r="H4935" s="58" t="s">
        <v>2030</v>
      </c>
      <c r="I4935" s="64" t="s">
        <v>12272</v>
      </c>
      <c r="J4935" s="66"/>
      <c r="K4935" s="66"/>
      <c r="L4935" s="68"/>
      <c r="M4935" s="63" t="str">
        <f>HYPERLINK("http://nsgreg.nga.mil/genc/view?v=872520&amp;end_month=12&amp;end_day=31&amp;end_year=2016","Correlation")</f>
        <v>Correlation</v>
      </c>
    </row>
    <row r="4936" spans="1:13" x14ac:dyDescent="0.2">
      <c r="A4936" s="113"/>
      <c r="B4936" s="58" t="s">
        <v>12273</v>
      </c>
      <c r="C4936" s="58" t="s">
        <v>2030</v>
      </c>
      <c r="D4936" s="58" t="s">
        <v>12274</v>
      </c>
      <c r="E4936" s="60" t="b">
        <v>1</v>
      </c>
      <c r="F4936" s="80" t="s">
        <v>1399</v>
      </c>
      <c r="G4936" s="58" t="s">
        <v>12273</v>
      </c>
      <c r="H4936" s="58" t="s">
        <v>2030</v>
      </c>
      <c r="I4936" s="64" t="s">
        <v>12274</v>
      </c>
      <c r="J4936" s="66"/>
      <c r="K4936" s="66"/>
      <c r="L4936" s="68"/>
      <c r="M4936" s="63" t="str">
        <f>HYPERLINK("http://nsgreg.nga.mil/genc/view?v=872506&amp;end_month=12&amp;end_day=31&amp;end_year=2016","Correlation")</f>
        <v>Correlation</v>
      </c>
    </row>
    <row r="4937" spans="1:13" x14ac:dyDescent="0.2">
      <c r="A4937" s="113"/>
      <c r="B4937" s="58" t="s">
        <v>12275</v>
      </c>
      <c r="C4937" s="58" t="s">
        <v>2030</v>
      </c>
      <c r="D4937" s="58" t="s">
        <v>12276</v>
      </c>
      <c r="E4937" s="60" t="b">
        <v>1</v>
      </c>
      <c r="F4937" s="80" t="s">
        <v>1399</v>
      </c>
      <c r="G4937" s="58" t="s">
        <v>12275</v>
      </c>
      <c r="H4937" s="58" t="s">
        <v>2030</v>
      </c>
      <c r="I4937" s="64" t="s">
        <v>12276</v>
      </c>
      <c r="J4937" s="66"/>
      <c r="K4937" s="66"/>
      <c r="L4937" s="68"/>
      <c r="M4937" s="63" t="str">
        <f>HYPERLINK("http://nsgreg.nga.mil/genc/view?v=872524&amp;end_month=12&amp;end_day=31&amp;end_year=2016","Correlation")</f>
        <v>Correlation</v>
      </c>
    </row>
    <row r="4938" spans="1:13" x14ac:dyDescent="0.2">
      <c r="A4938" s="113"/>
      <c r="B4938" s="58" t="s">
        <v>12277</v>
      </c>
      <c r="C4938" s="58" t="s">
        <v>2030</v>
      </c>
      <c r="D4938" s="58" t="s">
        <v>12278</v>
      </c>
      <c r="E4938" s="60" t="b">
        <v>1</v>
      </c>
      <c r="F4938" s="80" t="s">
        <v>1399</v>
      </c>
      <c r="G4938" s="58" t="s">
        <v>12277</v>
      </c>
      <c r="H4938" s="58" t="s">
        <v>2030</v>
      </c>
      <c r="I4938" s="64" t="s">
        <v>12278</v>
      </c>
      <c r="J4938" s="66"/>
      <c r="K4938" s="66"/>
      <c r="L4938" s="68"/>
      <c r="M4938" s="63" t="str">
        <f>HYPERLINK("http://nsgreg.nga.mil/genc/view?v=872509&amp;end_month=12&amp;end_day=31&amp;end_year=2016","Correlation")</f>
        <v>Correlation</v>
      </c>
    </row>
    <row r="4939" spans="1:13" x14ac:dyDescent="0.2">
      <c r="A4939" s="113"/>
      <c r="B4939" s="58" t="s">
        <v>12279</v>
      </c>
      <c r="C4939" s="58" t="s">
        <v>2030</v>
      </c>
      <c r="D4939" s="58" t="s">
        <v>12280</v>
      </c>
      <c r="E4939" s="60" t="b">
        <v>1</v>
      </c>
      <c r="F4939" s="80" t="s">
        <v>1399</v>
      </c>
      <c r="G4939" s="58" t="s">
        <v>12279</v>
      </c>
      <c r="H4939" s="58" t="s">
        <v>2030</v>
      </c>
      <c r="I4939" s="64" t="s">
        <v>12280</v>
      </c>
      <c r="J4939" s="66"/>
      <c r="K4939" s="66"/>
      <c r="L4939" s="68"/>
      <c r="M4939" s="63" t="str">
        <f>HYPERLINK("http://nsgreg.nga.mil/genc/view?v=872510&amp;end_month=12&amp;end_day=31&amp;end_year=2016","Correlation")</f>
        <v>Correlation</v>
      </c>
    </row>
    <row r="4940" spans="1:13" x14ac:dyDescent="0.2">
      <c r="A4940" s="113"/>
      <c r="B4940" s="58" t="s">
        <v>12281</v>
      </c>
      <c r="C4940" s="58" t="s">
        <v>2030</v>
      </c>
      <c r="D4940" s="58" t="s">
        <v>12282</v>
      </c>
      <c r="E4940" s="60" t="b">
        <v>1</v>
      </c>
      <c r="F4940" s="80" t="s">
        <v>1399</v>
      </c>
      <c r="G4940" s="58" t="s">
        <v>12281</v>
      </c>
      <c r="H4940" s="58" t="s">
        <v>2030</v>
      </c>
      <c r="I4940" s="64" t="s">
        <v>12282</v>
      </c>
      <c r="J4940" s="66"/>
      <c r="K4940" s="66"/>
      <c r="L4940" s="68"/>
      <c r="M4940" s="63" t="str">
        <f>HYPERLINK("http://nsgreg.nga.mil/genc/view?v=872511&amp;end_month=12&amp;end_day=31&amp;end_year=2016","Correlation")</f>
        <v>Correlation</v>
      </c>
    </row>
    <row r="4941" spans="1:13" x14ac:dyDescent="0.2">
      <c r="A4941" s="113"/>
      <c r="B4941" s="58" t="s">
        <v>12283</v>
      </c>
      <c r="C4941" s="58" t="s">
        <v>2030</v>
      </c>
      <c r="D4941" s="58" t="s">
        <v>12284</v>
      </c>
      <c r="E4941" s="60" t="b">
        <v>1</v>
      </c>
      <c r="F4941" s="80" t="s">
        <v>1399</v>
      </c>
      <c r="G4941" s="58" t="s">
        <v>12283</v>
      </c>
      <c r="H4941" s="58" t="s">
        <v>2030</v>
      </c>
      <c r="I4941" s="64" t="s">
        <v>12284</v>
      </c>
      <c r="J4941" s="66"/>
      <c r="K4941" s="66"/>
      <c r="L4941" s="68"/>
      <c r="M4941" s="63" t="str">
        <f>HYPERLINK("http://nsgreg.nga.mil/genc/view?v=872513&amp;end_month=12&amp;end_day=31&amp;end_year=2016","Correlation")</f>
        <v>Correlation</v>
      </c>
    </row>
    <row r="4942" spans="1:13" x14ac:dyDescent="0.2">
      <c r="A4942" s="113"/>
      <c r="B4942" s="58" t="s">
        <v>12285</v>
      </c>
      <c r="C4942" s="58" t="s">
        <v>2030</v>
      </c>
      <c r="D4942" s="58" t="s">
        <v>12286</v>
      </c>
      <c r="E4942" s="60" t="b">
        <v>1</v>
      </c>
      <c r="F4942" s="80" t="s">
        <v>1399</v>
      </c>
      <c r="G4942" s="58" t="s">
        <v>12285</v>
      </c>
      <c r="H4942" s="58" t="s">
        <v>2030</v>
      </c>
      <c r="I4942" s="64" t="s">
        <v>12286</v>
      </c>
      <c r="J4942" s="66"/>
      <c r="K4942" s="66"/>
      <c r="L4942" s="68"/>
      <c r="M4942" s="63" t="str">
        <f>HYPERLINK("http://nsgreg.nga.mil/genc/view?v=872515&amp;end_month=12&amp;end_day=31&amp;end_year=2016","Correlation")</f>
        <v>Correlation</v>
      </c>
    </row>
    <row r="4943" spans="1:13" x14ac:dyDescent="0.2">
      <c r="A4943" s="113"/>
      <c r="B4943" s="58" t="s">
        <v>12287</v>
      </c>
      <c r="C4943" s="58" t="s">
        <v>2030</v>
      </c>
      <c r="D4943" s="58" t="s">
        <v>12288</v>
      </c>
      <c r="E4943" s="60" t="b">
        <v>1</v>
      </c>
      <c r="F4943" s="80" t="s">
        <v>1399</v>
      </c>
      <c r="G4943" s="58" t="s">
        <v>12287</v>
      </c>
      <c r="H4943" s="58" t="s">
        <v>2030</v>
      </c>
      <c r="I4943" s="64" t="s">
        <v>12288</v>
      </c>
      <c r="J4943" s="66"/>
      <c r="K4943" s="66"/>
      <c r="L4943" s="68"/>
      <c r="M4943" s="63" t="str">
        <f>HYPERLINK("http://nsgreg.nga.mil/genc/view?v=872516&amp;end_month=12&amp;end_day=31&amp;end_year=2016","Correlation")</f>
        <v>Correlation</v>
      </c>
    </row>
    <row r="4944" spans="1:13" x14ac:dyDescent="0.2">
      <c r="A4944" s="113"/>
      <c r="B4944" s="58" t="s">
        <v>12289</v>
      </c>
      <c r="C4944" s="58" t="s">
        <v>2030</v>
      </c>
      <c r="D4944" s="58" t="s">
        <v>12290</v>
      </c>
      <c r="E4944" s="60" t="b">
        <v>1</v>
      </c>
      <c r="F4944" s="80" t="s">
        <v>1399</v>
      </c>
      <c r="G4944" s="58" t="s">
        <v>12289</v>
      </c>
      <c r="H4944" s="58" t="s">
        <v>2030</v>
      </c>
      <c r="I4944" s="64" t="s">
        <v>12290</v>
      </c>
      <c r="J4944" s="66"/>
      <c r="K4944" s="66"/>
      <c r="L4944" s="68"/>
      <c r="M4944" s="63" t="str">
        <f>HYPERLINK("http://nsgreg.nga.mil/genc/view?v=872519&amp;end_month=12&amp;end_day=31&amp;end_year=2016","Correlation")</f>
        <v>Correlation</v>
      </c>
    </row>
    <row r="4945" spans="1:13" x14ac:dyDescent="0.2">
      <c r="A4945" s="113"/>
      <c r="B4945" s="58" t="s">
        <v>12293</v>
      </c>
      <c r="C4945" s="58" t="s">
        <v>2030</v>
      </c>
      <c r="D4945" s="58" t="s">
        <v>12292</v>
      </c>
      <c r="E4945" s="60" t="b">
        <v>1</v>
      </c>
      <c r="F4945" s="80" t="s">
        <v>1399</v>
      </c>
      <c r="G4945" s="58" t="s">
        <v>12291</v>
      </c>
      <c r="H4945" s="58" t="s">
        <v>2030</v>
      </c>
      <c r="I4945" s="64" t="s">
        <v>12292</v>
      </c>
      <c r="J4945" s="66"/>
      <c r="K4945" s="66"/>
      <c r="L4945" s="68"/>
      <c r="M4945" s="63" t="str">
        <f>HYPERLINK("http://nsgreg.nga.mil/genc/view?v=872521&amp;end_month=12&amp;end_day=31&amp;end_year=2016","Correlation")</f>
        <v>Correlation</v>
      </c>
    </row>
    <row r="4946" spans="1:13" x14ac:dyDescent="0.2">
      <c r="A4946" s="113"/>
      <c r="B4946" s="58" t="s">
        <v>12296</v>
      </c>
      <c r="C4946" s="58" t="s">
        <v>2030</v>
      </c>
      <c r="D4946" s="58" t="s">
        <v>12295</v>
      </c>
      <c r="E4946" s="60" t="b">
        <v>1</v>
      </c>
      <c r="F4946" s="80" t="s">
        <v>1399</v>
      </c>
      <c r="G4946" s="58" t="s">
        <v>12294</v>
      </c>
      <c r="H4946" s="58" t="s">
        <v>2030</v>
      </c>
      <c r="I4946" s="64" t="s">
        <v>12295</v>
      </c>
      <c r="J4946" s="66"/>
      <c r="K4946" s="66"/>
      <c r="L4946" s="68"/>
      <c r="M4946" s="63" t="str">
        <f>HYPERLINK("http://nsgreg.nga.mil/genc/view?v=872523&amp;end_month=12&amp;end_day=31&amp;end_year=2016","Correlation")</f>
        <v>Correlation</v>
      </c>
    </row>
    <row r="4947" spans="1:13" x14ac:dyDescent="0.2">
      <c r="A4947" s="113"/>
      <c r="B4947" s="58" t="s">
        <v>12297</v>
      </c>
      <c r="C4947" s="58" t="s">
        <v>2030</v>
      </c>
      <c r="D4947" s="58" t="s">
        <v>12298</v>
      </c>
      <c r="E4947" s="60" t="b">
        <v>1</v>
      </c>
      <c r="F4947" s="80" t="s">
        <v>1399</v>
      </c>
      <c r="G4947" s="58" t="s">
        <v>12297</v>
      </c>
      <c r="H4947" s="58" t="s">
        <v>2030</v>
      </c>
      <c r="I4947" s="64" t="s">
        <v>12298</v>
      </c>
      <c r="J4947" s="66"/>
      <c r="K4947" s="66"/>
      <c r="L4947" s="68"/>
      <c r="M4947" s="63" t="str">
        <f>HYPERLINK("http://nsgreg.nga.mil/genc/view?v=872522&amp;end_month=12&amp;end_day=31&amp;end_year=2016","Correlation")</f>
        <v>Correlation</v>
      </c>
    </row>
    <row r="4948" spans="1:13" x14ac:dyDescent="0.2">
      <c r="A4948" s="114"/>
      <c r="B4948" s="71" t="s">
        <v>12301</v>
      </c>
      <c r="C4948" s="71" t="s">
        <v>2030</v>
      </c>
      <c r="D4948" s="71" t="s">
        <v>12300</v>
      </c>
      <c r="E4948" s="73" t="b">
        <v>1</v>
      </c>
      <c r="F4948" s="81" t="s">
        <v>1399</v>
      </c>
      <c r="G4948" s="71" t="s">
        <v>12299</v>
      </c>
      <c r="H4948" s="71" t="s">
        <v>2030</v>
      </c>
      <c r="I4948" s="74" t="s">
        <v>12300</v>
      </c>
      <c r="J4948" s="76"/>
      <c r="K4948" s="76"/>
      <c r="L4948" s="82"/>
      <c r="M4948" s="77" t="str">
        <f>HYPERLINK("http://nsgreg.nga.mil/genc/view?v=872525&amp;end_month=12&amp;end_day=31&amp;end_year=2016","Correlation")</f>
        <v>Correlation</v>
      </c>
    </row>
    <row r="4949" spans="1:13" x14ac:dyDescent="0.2">
      <c r="A4949" s="112" t="s">
        <v>1403</v>
      </c>
      <c r="B4949" s="50" t="s">
        <v>2411</v>
      </c>
      <c r="C4949" s="50" t="s">
        <v>1413</v>
      </c>
      <c r="D4949" s="50" t="s">
        <v>12302</v>
      </c>
      <c r="E4949" s="52" t="b">
        <v>1</v>
      </c>
      <c r="F4949" s="78" t="s">
        <v>1403</v>
      </c>
      <c r="G4949" s="50" t="s">
        <v>2411</v>
      </c>
      <c r="H4949" s="50" t="s">
        <v>1413</v>
      </c>
      <c r="I4949" s="53" t="s">
        <v>12302</v>
      </c>
      <c r="J4949" s="55"/>
      <c r="K4949" s="55"/>
      <c r="L4949" s="79"/>
      <c r="M4949" s="56" t="str">
        <f>HYPERLINK("http://nsgreg.nga.mil/genc/view?v=872536&amp;end_month=12&amp;end_day=31&amp;end_year=2016","Correlation")</f>
        <v>Correlation</v>
      </c>
    </row>
    <row r="4950" spans="1:13" x14ac:dyDescent="0.2">
      <c r="A4950" s="113"/>
      <c r="B4950" s="58" t="s">
        <v>12303</v>
      </c>
      <c r="C4950" s="58" t="s">
        <v>1413</v>
      </c>
      <c r="D4950" s="58" t="s">
        <v>12304</v>
      </c>
      <c r="E4950" s="60" t="b">
        <v>1</v>
      </c>
      <c r="F4950" s="80" t="s">
        <v>1403</v>
      </c>
      <c r="G4950" s="58" t="s">
        <v>12303</v>
      </c>
      <c r="H4950" s="58" t="s">
        <v>1413</v>
      </c>
      <c r="I4950" s="64" t="s">
        <v>12304</v>
      </c>
      <c r="J4950" s="66"/>
      <c r="K4950" s="66"/>
      <c r="L4950" s="68"/>
      <c r="M4950" s="63" t="str">
        <f>HYPERLINK("http://nsgreg.nga.mil/genc/view?v=872542&amp;end_month=12&amp;end_day=31&amp;end_year=2016","Correlation")</f>
        <v>Correlation</v>
      </c>
    </row>
    <row r="4951" spans="1:13" x14ac:dyDescent="0.2">
      <c r="A4951" s="113"/>
      <c r="B4951" s="58" t="s">
        <v>4055</v>
      </c>
      <c r="C4951" s="58" t="s">
        <v>1413</v>
      </c>
      <c r="D4951" s="58" t="s">
        <v>12305</v>
      </c>
      <c r="E4951" s="60" t="b">
        <v>1</v>
      </c>
      <c r="F4951" s="80" t="s">
        <v>1403</v>
      </c>
      <c r="G4951" s="58" t="s">
        <v>4055</v>
      </c>
      <c r="H4951" s="58" t="s">
        <v>1413</v>
      </c>
      <c r="I4951" s="64" t="s">
        <v>12305</v>
      </c>
      <c r="J4951" s="66"/>
      <c r="K4951" s="66"/>
      <c r="L4951" s="68"/>
      <c r="M4951" s="63" t="str">
        <f>HYPERLINK("http://nsgreg.nga.mil/genc/view?v=872537&amp;end_month=12&amp;end_day=31&amp;end_year=2016","Correlation")</f>
        <v>Correlation</v>
      </c>
    </row>
    <row r="4952" spans="1:13" x14ac:dyDescent="0.2">
      <c r="A4952" s="113"/>
      <c r="B4952" s="58" t="s">
        <v>12306</v>
      </c>
      <c r="C4952" s="58" t="s">
        <v>1413</v>
      </c>
      <c r="D4952" s="58" t="s">
        <v>12307</v>
      </c>
      <c r="E4952" s="60" t="b">
        <v>1</v>
      </c>
      <c r="F4952" s="80" t="s">
        <v>1403</v>
      </c>
      <c r="G4952" s="58" t="s">
        <v>12306</v>
      </c>
      <c r="H4952" s="58" t="s">
        <v>1413</v>
      </c>
      <c r="I4952" s="64" t="s">
        <v>12307</v>
      </c>
      <c r="J4952" s="66"/>
      <c r="K4952" s="66"/>
      <c r="L4952" s="68"/>
      <c r="M4952" s="63" t="str">
        <f>HYPERLINK("http://nsgreg.nga.mil/genc/view?v=872538&amp;end_month=12&amp;end_day=31&amp;end_year=2016","Correlation")</f>
        <v>Correlation</v>
      </c>
    </row>
    <row r="4953" spans="1:13" x14ac:dyDescent="0.2">
      <c r="A4953" s="113"/>
      <c r="B4953" s="58" t="s">
        <v>12308</v>
      </c>
      <c r="C4953" s="58" t="s">
        <v>1413</v>
      </c>
      <c r="D4953" s="58" t="s">
        <v>12309</v>
      </c>
      <c r="E4953" s="60" t="b">
        <v>1</v>
      </c>
      <c r="F4953" s="80" t="s">
        <v>1403</v>
      </c>
      <c r="G4953" s="58" t="s">
        <v>12308</v>
      </c>
      <c r="H4953" s="58" t="s">
        <v>1413</v>
      </c>
      <c r="I4953" s="64" t="s">
        <v>12309</v>
      </c>
      <c r="J4953" s="66"/>
      <c r="K4953" s="66"/>
      <c r="L4953" s="68"/>
      <c r="M4953" s="63" t="str">
        <f>HYPERLINK("http://nsgreg.nga.mil/genc/view?v=872543&amp;end_month=12&amp;end_day=31&amp;end_year=2016","Correlation")</f>
        <v>Correlation</v>
      </c>
    </row>
    <row r="4954" spans="1:13" x14ac:dyDescent="0.2">
      <c r="A4954" s="113"/>
      <c r="B4954" s="58" t="s">
        <v>12310</v>
      </c>
      <c r="C4954" s="58" t="s">
        <v>1413</v>
      </c>
      <c r="D4954" s="58" t="s">
        <v>12311</v>
      </c>
      <c r="E4954" s="60" t="b">
        <v>1</v>
      </c>
      <c r="F4954" s="80" t="s">
        <v>1403</v>
      </c>
      <c r="G4954" s="58" t="s">
        <v>12310</v>
      </c>
      <c r="H4954" s="58" t="s">
        <v>1413</v>
      </c>
      <c r="I4954" s="64" t="s">
        <v>12311</v>
      </c>
      <c r="J4954" s="66"/>
      <c r="K4954" s="66"/>
      <c r="L4954" s="68"/>
      <c r="M4954" s="63" t="str">
        <f>HYPERLINK("http://nsgreg.nga.mil/genc/view?v=872544&amp;end_month=12&amp;end_day=31&amp;end_year=2016","Correlation")</f>
        <v>Correlation</v>
      </c>
    </row>
    <row r="4955" spans="1:13" x14ac:dyDescent="0.2">
      <c r="A4955" s="113"/>
      <c r="B4955" s="58" t="s">
        <v>4071</v>
      </c>
      <c r="C4955" s="58" t="s">
        <v>1413</v>
      </c>
      <c r="D4955" s="58" t="s">
        <v>12312</v>
      </c>
      <c r="E4955" s="60" t="b">
        <v>1</v>
      </c>
      <c r="F4955" s="80" t="s">
        <v>1403</v>
      </c>
      <c r="G4955" s="58" t="s">
        <v>4071</v>
      </c>
      <c r="H4955" s="58" t="s">
        <v>1413</v>
      </c>
      <c r="I4955" s="64" t="s">
        <v>12312</v>
      </c>
      <c r="J4955" s="66"/>
      <c r="K4955" s="66"/>
      <c r="L4955" s="68"/>
      <c r="M4955" s="63" t="str">
        <f>HYPERLINK("http://nsgreg.nga.mil/genc/view?v=872539&amp;end_month=12&amp;end_day=31&amp;end_year=2016","Correlation")</f>
        <v>Correlation</v>
      </c>
    </row>
    <row r="4956" spans="1:13" x14ac:dyDescent="0.2">
      <c r="A4956" s="113"/>
      <c r="B4956" s="58" t="s">
        <v>12313</v>
      </c>
      <c r="C4956" s="58" t="s">
        <v>1413</v>
      </c>
      <c r="D4956" s="58" t="s">
        <v>12314</v>
      </c>
      <c r="E4956" s="60" t="b">
        <v>1</v>
      </c>
      <c r="F4956" s="80" t="s">
        <v>1403</v>
      </c>
      <c r="G4956" s="58" t="s">
        <v>12313</v>
      </c>
      <c r="H4956" s="58" t="s">
        <v>1413</v>
      </c>
      <c r="I4956" s="64" t="s">
        <v>12314</v>
      </c>
      <c r="J4956" s="66"/>
      <c r="K4956" s="66"/>
      <c r="L4956" s="68"/>
      <c r="M4956" s="63" t="str">
        <f>HYPERLINK("http://nsgreg.nga.mil/genc/view?v=872540&amp;end_month=12&amp;end_day=31&amp;end_year=2016","Correlation")</f>
        <v>Correlation</v>
      </c>
    </row>
    <row r="4957" spans="1:13" x14ac:dyDescent="0.2">
      <c r="A4957" s="113"/>
      <c r="B4957" s="58" t="s">
        <v>2440</v>
      </c>
      <c r="C4957" s="58" t="s">
        <v>1413</v>
      </c>
      <c r="D4957" s="58" t="s">
        <v>12315</v>
      </c>
      <c r="E4957" s="60" t="b">
        <v>1</v>
      </c>
      <c r="F4957" s="80" t="s">
        <v>1403</v>
      </c>
      <c r="G4957" s="58" t="s">
        <v>2440</v>
      </c>
      <c r="H4957" s="58" t="s">
        <v>1413</v>
      </c>
      <c r="I4957" s="64" t="s">
        <v>12315</v>
      </c>
      <c r="J4957" s="66"/>
      <c r="K4957" s="66"/>
      <c r="L4957" s="68"/>
      <c r="M4957" s="63" t="str">
        <f>HYPERLINK("http://nsgreg.nga.mil/genc/view?v=872541&amp;end_month=12&amp;end_day=31&amp;end_year=2016","Correlation")</f>
        <v>Correlation</v>
      </c>
    </row>
    <row r="4958" spans="1:13" x14ac:dyDescent="0.2">
      <c r="A4958" s="114"/>
      <c r="B4958" s="71" t="s">
        <v>4083</v>
      </c>
      <c r="C4958" s="71" t="s">
        <v>1413</v>
      </c>
      <c r="D4958" s="71" t="s">
        <v>12316</v>
      </c>
      <c r="E4958" s="73" t="b">
        <v>1</v>
      </c>
      <c r="F4958" s="81" t="s">
        <v>1403</v>
      </c>
      <c r="G4958" s="71" t="s">
        <v>4083</v>
      </c>
      <c r="H4958" s="71" t="s">
        <v>1413</v>
      </c>
      <c r="I4958" s="74" t="s">
        <v>12316</v>
      </c>
      <c r="J4958" s="76"/>
      <c r="K4958" s="76"/>
      <c r="L4958" s="82"/>
      <c r="M4958" s="77" t="str">
        <f>HYPERLINK("http://nsgreg.nga.mil/genc/view?v=872535&amp;end_month=12&amp;end_day=31&amp;end_year=2016","Correlation")</f>
        <v>Correlation</v>
      </c>
    </row>
    <row r="4959" spans="1:13" x14ac:dyDescent="0.2">
      <c r="A4959" s="112" t="s">
        <v>1407</v>
      </c>
      <c r="B4959" s="58" t="s">
        <v>12317</v>
      </c>
      <c r="C4959" s="58" t="s">
        <v>1413</v>
      </c>
      <c r="D4959" s="58" t="s">
        <v>12318</v>
      </c>
      <c r="E4959" s="60" t="b">
        <v>1</v>
      </c>
      <c r="F4959" s="80" t="s">
        <v>1407</v>
      </c>
      <c r="G4959" s="58" t="s">
        <v>12317</v>
      </c>
      <c r="H4959" s="58" t="s">
        <v>1413</v>
      </c>
      <c r="I4959" s="64" t="s">
        <v>12318</v>
      </c>
      <c r="J4959" s="66"/>
      <c r="K4959" s="66"/>
      <c r="L4959" s="68"/>
      <c r="M4959" s="63" t="str">
        <f>HYPERLINK("http://nsgreg.nga.mil/genc/view?v=872545&amp;end_month=12&amp;end_day=31&amp;end_year=2016","Correlation")</f>
        <v>Correlation</v>
      </c>
    </row>
    <row r="4960" spans="1:13" x14ac:dyDescent="0.2">
      <c r="A4960" s="113"/>
      <c r="B4960" s="58" t="s">
        <v>12319</v>
      </c>
      <c r="C4960" s="58" t="s">
        <v>1413</v>
      </c>
      <c r="D4960" s="58" t="s">
        <v>12320</v>
      </c>
      <c r="E4960" s="60" t="b">
        <v>1</v>
      </c>
      <c r="F4960" s="80" t="s">
        <v>1407</v>
      </c>
      <c r="G4960" s="58" t="s">
        <v>12319</v>
      </c>
      <c r="H4960" s="58" t="s">
        <v>1413</v>
      </c>
      <c r="I4960" s="64" t="s">
        <v>12320</v>
      </c>
      <c r="J4960" s="66"/>
      <c r="K4960" s="66"/>
      <c r="L4960" s="68"/>
      <c r="M4960" s="63" t="str">
        <f>HYPERLINK("http://nsgreg.nga.mil/genc/view?v=872546&amp;end_month=12&amp;end_day=31&amp;end_year=2016","Correlation")</f>
        <v>Correlation</v>
      </c>
    </row>
    <row r="4961" spans="1:13" x14ac:dyDescent="0.2">
      <c r="A4961" s="113"/>
      <c r="B4961" s="58" t="s">
        <v>12321</v>
      </c>
      <c r="C4961" s="58" t="s">
        <v>1413</v>
      </c>
      <c r="D4961" s="58" t="s">
        <v>12322</v>
      </c>
      <c r="E4961" s="60" t="b">
        <v>1</v>
      </c>
      <c r="F4961" s="80" t="s">
        <v>1407</v>
      </c>
      <c r="G4961" s="58" t="s">
        <v>12321</v>
      </c>
      <c r="H4961" s="58" t="s">
        <v>1413</v>
      </c>
      <c r="I4961" s="64" t="s">
        <v>12322</v>
      </c>
      <c r="J4961" s="66"/>
      <c r="K4961" s="66"/>
      <c r="L4961" s="68"/>
      <c r="M4961" s="63" t="str">
        <f>HYPERLINK("http://nsgreg.nga.mil/genc/view?v=872547&amp;end_month=12&amp;end_day=31&amp;end_year=2016","Correlation")</f>
        <v>Correlation</v>
      </c>
    </row>
    <row r="4962" spans="1:13" x14ac:dyDescent="0.2">
      <c r="A4962" s="113"/>
      <c r="B4962" s="58" t="s">
        <v>12323</v>
      </c>
      <c r="C4962" s="58" t="s">
        <v>1413</v>
      </c>
      <c r="D4962" s="58" t="s">
        <v>12324</v>
      </c>
      <c r="E4962" s="60" t="b">
        <v>1</v>
      </c>
      <c r="F4962" s="80" t="s">
        <v>1407</v>
      </c>
      <c r="G4962" s="58" t="s">
        <v>12323</v>
      </c>
      <c r="H4962" s="58" t="s">
        <v>1413</v>
      </c>
      <c r="I4962" s="64" t="s">
        <v>12324</v>
      </c>
      <c r="J4962" s="66"/>
      <c r="K4962" s="66"/>
      <c r="L4962" s="68"/>
      <c r="M4962" s="63" t="str">
        <f>HYPERLINK("http://nsgreg.nga.mil/genc/view?v=872548&amp;end_month=12&amp;end_day=31&amp;end_year=2016","Correlation")</f>
        <v>Correlation</v>
      </c>
    </row>
    <row r="4963" spans="1:13" x14ac:dyDescent="0.2">
      <c r="A4963" s="113"/>
      <c r="B4963" s="58" t="s">
        <v>12325</v>
      </c>
      <c r="C4963" s="58" t="s">
        <v>1413</v>
      </c>
      <c r="D4963" s="58" t="s">
        <v>12326</v>
      </c>
      <c r="E4963" s="60" t="b">
        <v>1</v>
      </c>
      <c r="F4963" s="80" t="s">
        <v>1407</v>
      </c>
      <c r="G4963" s="58" t="s">
        <v>12325</v>
      </c>
      <c r="H4963" s="58" t="s">
        <v>1413</v>
      </c>
      <c r="I4963" s="64" t="s">
        <v>12326</v>
      </c>
      <c r="J4963" s="66"/>
      <c r="K4963" s="66"/>
      <c r="L4963" s="68"/>
      <c r="M4963" s="63" t="str">
        <f>HYPERLINK("http://nsgreg.nga.mil/genc/view?v=872549&amp;end_month=12&amp;end_day=31&amp;end_year=2016","Correlation")</f>
        <v>Correlation</v>
      </c>
    </row>
    <row r="4964" spans="1:13" x14ac:dyDescent="0.2">
      <c r="A4964" s="113"/>
      <c r="B4964" s="58" t="s">
        <v>12327</v>
      </c>
      <c r="C4964" s="58" t="s">
        <v>1413</v>
      </c>
      <c r="D4964" s="58" t="s">
        <v>12328</v>
      </c>
      <c r="E4964" s="60" t="b">
        <v>1</v>
      </c>
      <c r="F4964" s="80" t="s">
        <v>1407</v>
      </c>
      <c r="G4964" s="58" t="s">
        <v>12327</v>
      </c>
      <c r="H4964" s="58" t="s">
        <v>1413</v>
      </c>
      <c r="I4964" s="64" t="s">
        <v>12328</v>
      </c>
      <c r="J4964" s="66"/>
      <c r="K4964" s="66"/>
      <c r="L4964" s="68"/>
      <c r="M4964" s="63" t="str">
        <f>HYPERLINK("http://nsgreg.nga.mil/genc/view?v=872554&amp;end_month=12&amp;end_day=31&amp;end_year=2016","Correlation")</f>
        <v>Correlation</v>
      </c>
    </row>
    <row r="4965" spans="1:13" x14ac:dyDescent="0.2">
      <c r="A4965" s="113"/>
      <c r="B4965" s="58" t="s">
        <v>12329</v>
      </c>
      <c r="C4965" s="58" t="s">
        <v>1413</v>
      </c>
      <c r="D4965" s="58" t="s">
        <v>12330</v>
      </c>
      <c r="E4965" s="60" t="b">
        <v>1</v>
      </c>
      <c r="F4965" s="80" t="s">
        <v>1407</v>
      </c>
      <c r="G4965" s="58" t="s">
        <v>12329</v>
      </c>
      <c r="H4965" s="58" t="s">
        <v>1413</v>
      </c>
      <c r="I4965" s="64" t="s">
        <v>12330</v>
      </c>
      <c r="J4965" s="66"/>
      <c r="K4965" s="66"/>
      <c r="L4965" s="68"/>
      <c r="M4965" s="63" t="str">
        <f>HYPERLINK("http://nsgreg.nga.mil/genc/view?v=872553&amp;end_month=12&amp;end_day=31&amp;end_year=2016","Correlation")</f>
        <v>Correlation</v>
      </c>
    </row>
    <row r="4966" spans="1:13" x14ac:dyDescent="0.2">
      <c r="A4966" s="113"/>
      <c r="B4966" s="58" t="s">
        <v>12331</v>
      </c>
      <c r="C4966" s="58" t="s">
        <v>1413</v>
      </c>
      <c r="D4966" s="58" t="s">
        <v>12332</v>
      </c>
      <c r="E4966" s="60" t="b">
        <v>1</v>
      </c>
      <c r="F4966" s="80" t="s">
        <v>1407</v>
      </c>
      <c r="G4966" s="58" t="s">
        <v>12331</v>
      </c>
      <c r="H4966" s="58" t="s">
        <v>1413</v>
      </c>
      <c r="I4966" s="64" t="s">
        <v>12332</v>
      </c>
      <c r="J4966" s="66"/>
      <c r="K4966" s="66"/>
      <c r="L4966" s="68"/>
      <c r="M4966" s="63" t="str">
        <f>HYPERLINK("http://nsgreg.nga.mil/genc/view?v=872551&amp;end_month=12&amp;end_day=31&amp;end_year=2016","Correlation")</f>
        <v>Correlation</v>
      </c>
    </row>
    <row r="4967" spans="1:13" x14ac:dyDescent="0.2">
      <c r="A4967" s="113"/>
      <c r="B4967" s="58" t="s">
        <v>12333</v>
      </c>
      <c r="C4967" s="58" t="s">
        <v>1413</v>
      </c>
      <c r="D4967" s="58" t="s">
        <v>12334</v>
      </c>
      <c r="E4967" s="60" t="b">
        <v>1</v>
      </c>
      <c r="F4967" s="80" t="s">
        <v>1407</v>
      </c>
      <c r="G4967" s="58" t="s">
        <v>12333</v>
      </c>
      <c r="H4967" s="58" t="s">
        <v>1413</v>
      </c>
      <c r="I4967" s="64" t="s">
        <v>12334</v>
      </c>
      <c r="J4967" s="66"/>
      <c r="K4967" s="66"/>
      <c r="L4967" s="68"/>
      <c r="M4967" s="63" t="str">
        <f>HYPERLINK("http://nsgreg.nga.mil/genc/view?v=872552&amp;end_month=12&amp;end_day=31&amp;end_year=2016","Correlation")</f>
        <v>Correlation</v>
      </c>
    </row>
    <row r="4968" spans="1:13" x14ac:dyDescent="0.2">
      <c r="A4968" s="114"/>
      <c r="B4968" s="71" t="s">
        <v>12335</v>
      </c>
      <c r="C4968" s="71" t="s">
        <v>1413</v>
      </c>
      <c r="D4968" s="71" t="s">
        <v>12336</v>
      </c>
      <c r="E4968" s="73" t="b">
        <v>1</v>
      </c>
      <c r="F4968" s="81" t="s">
        <v>1407</v>
      </c>
      <c r="G4968" s="71" t="s">
        <v>12335</v>
      </c>
      <c r="H4968" s="71" t="s">
        <v>1413</v>
      </c>
      <c r="I4968" s="74" t="s">
        <v>12336</v>
      </c>
      <c r="J4968" s="76"/>
      <c r="K4968" s="76"/>
      <c r="L4968" s="82"/>
      <c r="M4968" s="77" t="str">
        <f>HYPERLINK("http://nsgreg.nga.mil/genc/view?v=872550&amp;end_month=12&amp;end_day=31&amp;end_year=2016","Correlation")</f>
        <v>Correlation</v>
      </c>
    </row>
  </sheetData>
  <autoFilter ref="A4:L4"/>
  <mergeCells count="208">
    <mergeCell ref="D2:D4"/>
    <mergeCell ref="A1:M1"/>
    <mergeCell ref="M2:M4"/>
    <mergeCell ref="E3:E4"/>
    <mergeCell ref="J2:J4"/>
    <mergeCell ref="K2:K4"/>
    <mergeCell ref="L2:L4"/>
    <mergeCell ref="I2:I4"/>
    <mergeCell ref="A124:A131"/>
    <mergeCell ref="A132:A155"/>
    <mergeCell ref="A156:A166"/>
    <mergeCell ref="A167:A174"/>
    <mergeCell ref="A175:A183"/>
    <mergeCell ref="A5:A38"/>
    <mergeCell ref="A39:A50"/>
    <mergeCell ref="A51:A98"/>
    <mergeCell ref="A99:A105"/>
    <mergeCell ref="A106:A123"/>
    <mergeCell ref="A380:A386"/>
    <mergeCell ref="A387:A399"/>
    <mergeCell ref="A400:A405"/>
    <mergeCell ref="A406:A417"/>
    <mergeCell ref="A418:A437"/>
    <mergeCell ref="A184:A261"/>
    <mergeCell ref="A262:A292"/>
    <mergeCell ref="A293:A296"/>
    <mergeCell ref="A297:A368"/>
    <mergeCell ref="A369:A379"/>
    <mergeCell ref="A496:A499"/>
    <mergeCell ref="A500:A527"/>
    <mergeCell ref="A528:A585"/>
    <mergeCell ref="A586:A603"/>
    <mergeCell ref="A604:A627"/>
    <mergeCell ref="A438:A446"/>
    <mergeCell ref="A447:A449"/>
    <mergeCell ref="A450:A452"/>
    <mergeCell ref="A453:A468"/>
    <mergeCell ref="A469:A495"/>
    <mergeCell ref="A716:A730"/>
    <mergeCell ref="A731:A764"/>
    <mergeCell ref="A765:A797"/>
    <mergeCell ref="A798:A800"/>
    <mergeCell ref="A801:A812"/>
    <mergeCell ref="A628:A652"/>
    <mergeCell ref="A653:A662"/>
    <mergeCell ref="A663:A675"/>
    <mergeCell ref="A676:A692"/>
    <mergeCell ref="A693:A715"/>
    <mergeCell ref="A897:A902"/>
    <mergeCell ref="A903:A1014"/>
    <mergeCell ref="A1015:A1019"/>
    <mergeCell ref="A1020:A1025"/>
    <mergeCell ref="A1026:A1035"/>
    <mergeCell ref="A813:A838"/>
    <mergeCell ref="A839:A845"/>
    <mergeCell ref="A846:A859"/>
    <mergeCell ref="A860:A880"/>
    <mergeCell ref="A881:A896"/>
    <mergeCell ref="A1152:A1157"/>
    <mergeCell ref="A1158:A1172"/>
    <mergeCell ref="A1173:A1183"/>
    <mergeCell ref="A1184:A1202"/>
    <mergeCell ref="A1203:A1221"/>
    <mergeCell ref="A1036:A1077"/>
    <mergeCell ref="A1078:A1101"/>
    <mergeCell ref="A1102:A1128"/>
    <mergeCell ref="A1129:A1142"/>
    <mergeCell ref="A1143:A1151"/>
    <mergeCell ref="A1395:A1404"/>
    <mergeCell ref="A1405:A1418"/>
    <mergeCell ref="A1419:A1422"/>
    <mergeCell ref="A1423:A1429"/>
    <mergeCell ref="A1430:A1451"/>
    <mergeCell ref="A1222:A1351"/>
    <mergeCell ref="A1352:A1360"/>
    <mergeCell ref="A1361:A1366"/>
    <mergeCell ref="A1367:A1378"/>
    <mergeCell ref="A1379:A1394"/>
    <mergeCell ref="A1543:A1585"/>
    <mergeCell ref="A1586:A1593"/>
    <mergeCell ref="A1594:A1629"/>
    <mergeCell ref="A1630:A1670"/>
    <mergeCell ref="A1671:A1701"/>
    <mergeCell ref="A1452:A1492"/>
    <mergeCell ref="A1493:A1504"/>
    <mergeCell ref="A1505:A1514"/>
    <mergeCell ref="A1515:A1524"/>
    <mergeCell ref="A1525:A1542"/>
    <mergeCell ref="A1900:A1946"/>
    <mergeCell ref="A1947:A1958"/>
    <mergeCell ref="A1959:A1975"/>
    <mergeCell ref="A1976:A2022"/>
    <mergeCell ref="A2023:A2025"/>
    <mergeCell ref="A1702:A1719"/>
    <mergeCell ref="A1720:A1749"/>
    <mergeCell ref="A1750:A1755"/>
    <mergeCell ref="A1756:A1885"/>
    <mergeCell ref="A1886:A1899"/>
    <mergeCell ref="A2087:A2205"/>
    <mergeCell ref="A2206:A2213"/>
    <mergeCell ref="A2214:A2223"/>
    <mergeCell ref="A2224:A2238"/>
    <mergeCell ref="A2239:A2260"/>
    <mergeCell ref="A2026:A2036"/>
    <mergeCell ref="A2037:A2053"/>
    <mergeCell ref="A2054:A2059"/>
    <mergeCell ref="A2060:A2068"/>
    <mergeCell ref="A2069:A2086"/>
    <mergeCell ref="A2431:A2461"/>
    <mergeCell ref="A2462:A2477"/>
    <mergeCell ref="A2478:A2505"/>
    <mergeCell ref="A2506:A2514"/>
    <mergeCell ref="A2515:A2582"/>
    <mergeCell ref="A2261:A2271"/>
    <mergeCell ref="A2272:A2341"/>
    <mergeCell ref="A2342:A2353"/>
    <mergeCell ref="A2354:A2424"/>
    <mergeCell ref="A2425:A2430"/>
    <mergeCell ref="A2677:A2713"/>
    <mergeCell ref="A2714:A2730"/>
    <mergeCell ref="A2731:A2752"/>
    <mergeCell ref="A2753:A2775"/>
    <mergeCell ref="A2776:A2854"/>
    <mergeCell ref="A2583:A2608"/>
    <mergeCell ref="A2609:A2623"/>
    <mergeCell ref="A2624:A2640"/>
    <mergeCell ref="A2641:A2672"/>
    <mergeCell ref="A2673:A2676"/>
    <mergeCell ref="A2928:A2945"/>
    <mergeCell ref="A2946:A2962"/>
    <mergeCell ref="A2963:A2979"/>
    <mergeCell ref="A2980:A2987"/>
    <mergeCell ref="A2988:A3024"/>
    <mergeCell ref="A2855:A2865"/>
    <mergeCell ref="A2866:A2880"/>
    <mergeCell ref="A2881:A2894"/>
    <mergeCell ref="A2895:A2908"/>
    <mergeCell ref="A2909:A2927"/>
    <mergeCell ref="A3097:A3109"/>
    <mergeCell ref="A3110:A3131"/>
    <mergeCell ref="A3132:A3149"/>
    <mergeCell ref="A3150:A3175"/>
    <mergeCell ref="A3176:A3273"/>
    <mergeCell ref="A3025:A3045"/>
    <mergeCell ref="A3046:A3056"/>
    <mergeCell ref="A3057:A3064"/>
    <mergeCell ref="A3065:A3080"/>
    <mergeCell ref="A3081:A3096"/>
    <mergeCell ref="A3442:A3446"/>
    <mergeCell ref="A3447:A3449"/>
    <mergeCell ref="A3450:A3465"/>
    <mergeCell ref="A3466:A3475"/>
    <mergeCell ref="A3476:A3481"/>
    <mergeCell ref="A3274:A3289"/>
    <mergeCell ref="A3290:A3309"/>
    <mergeCell ref="A3310:A3316"/>
    <mergeCell ref="A3317:A3358"/>
    <mergeCell ref="A3359:A3441"/>
    <mergeCell ref="A3531:A3562"/>
    <mergeCell ref="A3563:A3587"/>
    <mergeCell ref="A3588:A3591"/>
    <mergeCell ref="A3592:A3596"/>
    <mergeCell ref="A3597:A3604"/>
    <mergeCell ref="A3482:A3492"/>
    <mergeCell ref="A3493:A3501"/>
    <mergeCell ref="A3502:A3503"/>
    <mergeCell ref="A3504:A3516"/>
    <mergeCell ref="A3517:A3530"/>
    <mergeCell ref="A3864:A3932"/>
    <mergeCell ref="A3933:A3966"/>
    <mergeCell ref="A3967:A3984"/>
    <mergeCell ref="A3985:A3994"/>
    <mergeCell ref="A3995:A3998"/>
    <mergeCell ref="A3605:A3816"/>
    <mergeCell ref="A3817:A3826"/>
    <mergeCell ref="A3827:A3844"/>
    <mergeCell ref="A3845:A3853"/>
    <mergeCell ref="A3854:A3863"/>
    <mergeCell ref="A4087:A4116"/>
    <mergeCell ref="A4117:A4194"/>
    <mergeCell ref="A4195:A4207"/>
    <mergeCell ref="A4208:A4212"/>
    <mergeCell ref="A4213:A4217"/>
    <mergeCell ref="A3999:A4019"/>
    <mergeCell ref="A4020:A4045"/>
    <mergeCell ref="A4046:A4059"/>
    <mergeCell ref="A4060:A4081"/>
    <mergeCell ref="A4082:A4086"/>
    <mergeCell ref="A4352:A4467"/>
    <mergeCell ref="A4468:A4494"/>
    <mergeCell ref="A4495:A4501"/>
    <mergeCell ref="A4502:A4722"/>
    <mergeCell ref="A4723:A4731"/>
    <mergeCell ref="A4218:A4232"/>
    <mergeCell ref="A4233:A4256"/>
    <mergeCell ref="A4257:A4337"/>
    <mergeCell ref="A4338:A4343"/>
    <mergeCell ref="A4344:A4351"/>
    <mergeCell ref="A4861:A4923"/>
    <mergeCell ref="A4924:A4926"/>
    <mergeCell ref="A4927:A4948"/>
    <mergeCell ref="A4949:A4958"/>
    <mergeCell ref="A4959:A4968"/>
    <mergeCell ref="A4732:A4796"/>
    <mergeCell ref="A4797:A4815"/>
    <mergeCell ref="A4816:A4829"/>
    <mergeCell ref="A4830:A4835"/>
    <mergeCell ref="A4836:A486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I289"/>
  <sheetViews>
    <sheetView workbookViewId="0">
      <pane ySplit="4" topLeftCell="A5" activePane="bottomLeft" state="frozen"/>
      <selection pane="bottomLeft" activeCell="E2" sqref="E2"/>
    </sheetView>
  </sheetViews>
  <sheetFormatPr defaultRowHeight="11.25" x14ac:dyDescent="0.2"/>
  <cols>
    <col min="1" max="1" width="51.5" style="1" bestFit="1" customWidth="1"/>
    <col min="2" max="2" width="6" style="1" customWidth="1"/>
    <col min="3" max="3" width="6.5" style="1" customWidth="1"/>
    <col min="4" max="4" width="6.5" style="2" customWidth="1"/>
    <col min="5" max="5" width="8.33203125" style="22" customWidth="1"/>
    <col min="6" max="6" width="48.5" style="1" bestFit="1" customWidth="1"/>
    <col min="7" max="8" width="6" style="1" customWidth="1"/>
    <col min="9" max="9" width="9.83203125" style="1" customWidth="1"/>
    <col min="10" max="16384" width="9.33203125" style="1"/>
  </cols>
  <sheetData>
    <row r="1" spans="1:9" ht="21.75" customHeight="1" x14ac:dyDescent="0.2">
      <c r="A1" s="103" t="s">
        <v>158</v>
      </c>
      <c r="B1" s="104"/>
      <c r="C1" s="104"/>
      <c r="D1" s="104"/>
      <c r="E1" s="104"/>
      <c r="F1" s="104"/>
      <c r="G1" s="104"/>
      <c r="H1" s="104"/>
      <c r="I1" s="105"/>
    </row>
    <row r="2" spans="1:9" ht="15" customHeight="1" x14ac:dyDescent="0.2">
      <c r="A2" s="18" t="s">
        <v>22</v>
      </c>
      <c r="B2" s="108" t="s">
        <v>0</v>
      </c>
      <c r="C2" s="108" t="s">
        <v>1</v>
      </c>
      <c r="D2" s="109" t="s">
        <v>2</v>
      </c>
      <c r="E2" s="21" t="s">
        <v>7</v>
      </c>
      <c r="F2" s="19" t="s">
        <v>23</v>
      </c>
      <c r="G2" s="110" t="s">
        <v>3</v>
      </c>
      <c r="H2" s="110" t="s">
        <v>4</v>
      </c>
      <c r="I2" s="17"/>
    </row>
    <row r="3" spans="1:9" ht="21.75" customHeight="1" x14ac:dyDescent="0.25">
      <c r="A3" s="15" t="s">
        <v>66</v>
      </c>
      <c r="B3" s="108"/>
      <c r="C3" s="108"/>
      <c r="D3" s="109"/>
      <c r="E3" s="106" t="s">
        <v>6</v>
      </c>
      <c r="F3" s="14" t="s">
        <v>69</v>
      </c>
      <c r="G3" s="110"/>
      <c r="H3" s="110"/>
      <c r="I3" s="102" t="s">
        <v>28</v>
      </c>
    </row>
    <row r="4" spans="1:9" ht="30.75" customHeight="1" x14ac:dyDescent="0.2">
      <c r="A4" s="8" t="s">
        <v>72</v>
      </c>
      <c r="B4" s="108"/>
      <c r="C4" s="108"/>
      <c r="D4" s="109"/>
      <c r="E4" s="106"/>
      <c r="F4" s="9" t="s">
        <v>73</v>
      </c>
      <c r="G4" s="110"/>
      <c r="H4" s="110"/>
      <c r="I4" s="102"/>
    </row>
    <row r="5" spans="1:9" x14ac:dyDescent="0.2">
      <c r="A5" s="49" t="s">
        <v>159</v>
      </c>
      <c r="B5" s="50" t="s">
        <v>160</v>
      </c>
      <c r="C5" s="50" t="s">
        <v>161</v>
      </c>
      <c r="D5" s="51" t="s">
        <v>162</v>
      </c>
      <c r="E5" s="52" t="b">
        <v>1</v>
      </c>
      <c r="F5" s="50" t="s">
        <v>12557</v>
      </c>
      <c r="G5" s="50" t="s">
        <v>160</v>
      </c>
      <c r="H5" s="50" t="s">
        <v>161</v>
      </c>
      <c r="I5" s="56" t="str">
        <f>HYPERLINK("http://nsgreg.nga.mil/genc/view?v=861284&amp;end_month=12&amp;end_day=31&amp;end_year=2016","Correlation")</f>
        <v>Correlation</v>
      </c>
    </row>
    <row r="6" spans="1:9" x14ac:dyDescent="0.2">
      <c r="A6" s="57" t="s">
        <v>163</v>
      </c>
      <c r="B6" s="58" t="s">
        <v>164</v>
      </c>
      <c r="C6" s="58" t="s">
        <v>165</v>
      </c>
      <c r="D6" s="59" t="s">
        <v>166</v>
      </c>
      <c r="E6" s="60" t="b">
        <v>1</v>
      </c>
      <c r="F6" s="61" t="s">
        <v>167</v>
      </c>
      <c r="G6" s="61"/>
      <c r="H6" s="61"/>
      <c r="I6" s="63" t="str">
        <f>HYPERLINK("http://nsgreg.nga.mil/genc/view?v=861285&amp;end_month=12&amp;end_day=31&amp;end_year=2016","Correlation")</f>
        <v>Correlation</v>
      </c>
    </row>
    <row r="7" spans="1:9" x14ac:dyDescent="0.2">
      <c r="A7" s="57" t="s">
        <v>168</v>
      </c>
      <c r="B7" s="58" t="s">
        <v>169</v>
      </c>
      <c r="C7" s="58" t="s">
        <v>170</v>
      </c>
      <c r="D7" s="59" t="s">
        <v>171</v>
      </c>
      <c r="E7" s="60" t="b">
        <v>1</v>
      </c>
      <c r="F7" s="58" t="s">
        <v>12558</v>
      </c>
      <c r="G7" s="58" t="s">
        <v>169</v>
      </c>
      <c r="H7" s="58" t="s">
        <v>170</v>
      </c>
      <c r="I7" s="63" t="str">
        <f>HYPERLINK("http://nsgreg.nga.mil/genc/view?v=861286&amp;end_month=12&amp;end_day=31&amp;end_year=2016","Correlation")</f>
        <v>Correlation</v>
      </c>
    </row>
    <row r="8" spans="1:9" x14ac:dyDescent="0.2">
      <c r="A8" s="57" t="s">
        <v>172</v>
      </c>
      <c r="B8" s="58" t="s">
        <v>173</v>
      </c>
      <c r="C8" s="58" t="s">
        <v>174</v>
      </c>
      <c r="D8" s="59" t="s">
        <v>175</v>
      </c>
      <c r="E8" s="60" t="b">
        <v>1</v>
      </c>
      <c r="F8" s="58" t="s">
        <v>12559</v>
      </c>
      <c r="G8" s="58" t="s">
        <v>173</v>
      </c>
      <c r="H8" s="58" t="s">
        <v>174</v>
      </c>
      <c r="I8" s="63" t="str">
        <f>HYPERLINK("http://nsgreg.nga.mil/genc/view?v=861287&amp;end_month=12&amp;end_day=31&amp;end_year=2016","Correlation")</f>
        <v>Correlation</v>
      </c>
    </row>
    <row r="9" spans="1:9" x14ac:dyDescent="0.2">
      <c r="A9" s="57" t="s">
        <v>176</v>
      </c>
      <c r="B9" s="58" t="s">
        <v>177</v>
      </c>
      <c r="C9" s="58" t="s">
        <v>178</v>
      </c>
      <c r="D9" s="59" t="s">
        <v>179</v>
      </c>
      <c r="E9" s="60" t="b">
        <v>1</v>
      </c>
      <c r="F9" s="58" t="s">
        <v>180</v>
      </c>
      <c r="G9" s="58" t="s">
        <v>177</v>
      </c>
      <c r="H9" s="58" t="s">
        <v>178</v>
      </c>
      <c r="I9" s="63" t="str">
        <f>HYPERLINK("http://nsgreg.nga.mil/genc/view?v=861288&amp;end_month=12&amp;end_day=31&amp;end_year=2016","Correlation")</f>
        <v>Correlation</v>
      </c>
    </row>
    <row r="10" spans="1:9" x14ac:dyDescent="0.2">
      <c r="A10" s="57" t="s">
        <v>182</v>
      </c>
      <c r="B10" s="58" t="s">
        <v>183</v>
      </c>
      <c r="C10" s="58" t="s">
        <v>184</v>
      </c>
      <c r="D10" s="59" t="s">
        <v>185</v>
      </c>
      <c r="E10" s="60" t="b">
        <v>1</v>
      </c>
      <c r="F10" s="58" t="s">
        <v>12560</v>
      </c>
      <c r="G10" s="58" t="s">
        <v>183</v>
      </c>
      <c r="H10" s="58" t="s">
        <v>184</v>
      </c>
      <c r="I10" s="63" t="str">
        <f>HYPERLINK("http://nsgreg.nga.mil/genc/view?v=861289&amp;end_month=12&amp;end_day=31&amp;end_year=2016","Correlation")</f>
        <v>Correlation</v>
      </c>
    </row>
    <row r="11" spans="1:9" x14ac:dyDescent="0.2">
      <c r="A11" s="57" t="s">
        <v>186</v>
      </c>
      <c r="B11" s="58" t="s">
        <v>187</v>
      </c>
      <c r="C11" s="58" t="s">
        <v>188</v>
      </c>
      <c r="D11" s="59" t="s">
        <v>189</v>
      </c>
      <c r="E11" s="60" t="b">
        <v>1</v>
      </c>
      <c r="F11" s="58" t="s">
        <v>12561</v>
      </c>
      <c r="G11" s="58" t="s">
        <v>187</v>
      </c>
      <c r="H11" s="58" t="s">
        <v>188</v>
      </c>
      <c r="I11" s="63" t="str">
        <f>HYPERLINK("http://nsgreg.nga.mil/genc/view?v=861290&amp;end_month=12&amp;end_day=31&amp;end_year=2016","Correlation")</f>
        <v>Correlation</v>
      </c>
    </row>
    <row r="12" spans="1:9" x14ac:dyDescent="0.2">
      <c r="A12" s="57" t="s">
        <v>190</v>
      </c>
      <c r="B12" s="58" t="s">
        <v>191</v>
      </c>
      <c r="C12" s="58" t="s">
        <v>192</v>
      </c>
      <c r="D12" s="59" t="s">
        <v>193</v>
      </c>
      <c r="E12" s="60" t="b">
        <v>1</v>
      </c>
      <c r="F12" s="58" t="s">
        <v>12562</v>
      </c>
      <c r="G12" s="58" t="s">
        <v>191</v>
      </c>
      <c r="H12" s="58" t="s">
        <v>192</v>
      </c>
      <c r="I12" s="63" t="str">
        <f>HYPERLINK("http://nsgreg.nga.mil/genc/view?v=861291&amp;end_month=12&amp;end_day=31&amp;end_year=2016","Correlation")</f>
        <v>Correlation</v>
      </c>
    </row>
    <row r="13" spans="1:9" x14ac:dyDescent="0.2">
      <c r="A13" s="57" t="s">
        <v>194</v>
      </c>
      <c r="B13" s="58" t="s">
        <v>195</v>
      </c>
      <c r="C13" s="58" t="s">
        <v>196</v>
      </c>
      <c r="D13" s="59" t="s">
        <v>197</v>
      </c>
      <c r="E13" s="60" t="b">
        <v>1</v>
      </c>
      <c r="F13" s="58" t="s">
        <v>12563</v>
      </c>
      <c r="G13" s="58" t="s">
        <v>195</v>
      </c>
      <c r="H13" s="58" t="s">
        <v>196</v>
      </c>
      <c r="I13" s="63" t="str">
        <f>HYPERLINK("http://nsgreg.nga.mil/genc/view?v=861292&amp;end_month=12&amp;end_day=31&amp;end_year=2016","Correlation")</f>
        <v>Correlation</v>
      </c>
    </row>
    <row r="14" spans="1:9" x14ac:dyDescent="0.2">
      <c r="A14" s="57" t="s">
        <v>198</v>
      </c>
      <c r="B14" s="58" t="s">
        <v>199</v>
      </c>
      <c r="C14" s="58" t="s">
        <v>200</v>
      </c>
      <c r="D14" s="59" t="s">
        <v>201</v>
      </c>
      <c r="E14" s="60" t="b">
        <v>1</v>
      </c>
      <c r="F14" s="58" t="s">
        <v>12564</v>
      </c>
      <c r="G14" s="58" t="s">
        <v>199</v>
      </c>
      <c r="H14" s="58" t="s">
        <v>200</v>
      </c>
      <c r="I14" s="63" t="str">
        <f>HYPERLINK("http://nsgreg.nga.mil/genc/view?v=861293&amp;end_month=12&amp;end_day=31&amp;end_year=2016","Correlation")</f>
        <v>Correlation</v>
      </c>
    </row>
    <row r="15" spans="1:9" x14ac:dyDescent="0.2">
      <c r="A15" s="57" t="s">
        <v>202</v>
      </c>
      <c r="B15" s="58" t="s">
        <v>203</v>
      </c>
      <c r="C15" s="58" t="s">
        <v>204</v>
      </c>
      <c r="D15" s="59" t="s">
        <v>205</v>
      </c>
      <c r="E15" s="60" t="b">
        <v>1</v>
      </c>
      <c r="F15" s="58" t="s">
        <v>12565</v>
      </c>
      <c r="G15" s="58" t="s">
        <v>203</v>
      </c>
      <c r="H15" s="58" t="s">
        <v>204</v>
      </c>
      <c r="I15" s="63" t="str">
        <f>HYPERLINK("http://nsgreg.nga.mil/genc/view?v=861294&amp;end_month=12&amp;end_day=31&amp;end_year=2016","Correlation")</f>
        <v>Correlation</v>
      </c>
    </row>
    <row r="16" spans="1:9" x14ac:dyDescent="0.2">
      <c r="A16" s="57" t="s">
        <v>206</v>
      </c>
      <c r="B16" s="58" t="s">
        <v>207</v>
      </c>
      <c r="C16" s="58" t="s">
        <v>208</v>
      </c>
      <c r="D16" s="59" t="s">
        <v>209</v>
      </c>
      <c r="E16" s="60" t="b">
        <v>1</v>
      </c>
      <c r="F16" s="58" t="s">
        <v>12566</v>
      </c>
      <c r="G16" s="58" t="s">
        <v>207</v>
      </c>
      <c r="H16" s="58" t="s">
        <v>208</v>
      </c>
      <c r="I16" s="63" t="str">
        <f>HYPERLINK("http://nsgreg.nga.mil/genc/view?v=861295&amp;end_month=12&amp;end_day=31&amp;end_year=2016","Correlation")</f>
        <v>Correlation</v>
      </c>
    </row>
    <row r="17" spans="1:9" x14ac:dyDescent="0.2">
      <c r="A17" s="57" t="s">
        <v>210</v>
      </c>
      <c r="B17" s="58" t="s">
        <v>211</v>
      </c>
      <c r="C17" s="58" t="s">
        <v>212</v>
      </c>
      <c r="D17" s="59" t="s">
        <v>213</v>
      </c>
      <c r="E17" s="60" t="b">
        <v>1</v>
      </c>
      <c r="F17" s="58" t="s">
        <v>214</v>
      </c>
      <c r="G17" s="58" t="s">
        <v>211</v>
      </c>
      <c r="H17" s="58" t="s">
        <v>212</v>
      </c>
      <c r="I17" s="63" t="str">
        <f>HYPERLINK("http://nsgreg.nga.mil/genc/view?v=861296&amp;end_month=12&amp;end_day=31&amp;end_year=2016","Correlation")</f>
        <v>Correlation</v>
      </c>
    </row>
    <row r="18" spans="1:9" x14ac:dyDescent="0.2">
      <c r="A18" s="57" t="s">
        <v>216</v>
      </c>
      <c r="B18" s="58" t="s">
        <v>217</v>
      </c>
      <c r="C18" s="58" t="s">
        <v>218</v>
      </c>
      <c r="D18" s="59" t="s">
        <v>219</v>
      </c>
      <c r="E18" s="60" t="b">
        <v>1</v>
      </c>
      <c r="F18" s="58" t="s">
        <v>12567</v>
      </c>
      <c r="G18" s="58" t="s">
        <v>221</v>
      </c>
      <c r="H18" s="58" t="s">
        <v>222</v>
      </c>
      <c r="I18" s="63" t="str">
        <f>HYPERLINK("http://nsgreg.nga.mil/genc/view?v=861297&amp;end_month=12&amp;end_day=31&amp;end_year=2016","Correlation")</f>
        <v>Correlation</v>
      </c>
    </row>
    <row r="19" spans="1:9" x14ac:dyDescent="0.2">
      <c r="A19" s="57" t="s">
        <v>220</v>
      </c>
      <c r="B19" s="58" t="s">
        <v>221</v>
      </c>
      <c r="C19" s="58" t="s">
        <v>222</v>
      </c>
      <c r="D19" s="59" t="s">
        <v>223</v>
      </c>
      <c r="E19" s="60" t="b">
        <v>1</v>
      </c>
      <c r="F19" s="58" t="s">
        <v>12567</v>
      </c>
      <c r="G19" s="58" t="s">
        <v>221</v>
      </c>
      <c r="H19" s="58" t="s">
        <v>222</v>
      </c>
      <c r="I19" s="63" t="str">
        <f>HYPERLINK("http://nsgreg.nga.mil/genc/view?v=861298&amp;end_month=12&amp;end_day=31&amp;end_year=2016","Correlation")</f>
        <v>Correlation</v>
      </c>
    </row>
    <row r="20" spans="1:9" x14ac:dyDescent="0.2">
      <c r="A20" s="57" t="s">
        <v>224</v>
      </c>
      <c r="B20" s="58" t="s">
        <v>225</v>
      </c>
      <c r="C20" s="58" t="s">
        <v>226</v>
      </c>
      <c r="D20" s="59" t="s">
        <v>227</v>
      </c>
      <c r="E20" s="60" t="b">
        <v>1</v>
      </c>
      <c r="F20" s="58" t="s">
        <v>12568</v>
      </c>
      <c r="G20" s="58" t="s">
        <v>225</v>
      </c>
      <c r="H20" s="58" t="s">
        <v>226</v>
      </c>
      <c r="I20" s="63" t="str">
        <f>HYPERLINK("http://nsgreg.nga.mil/genc/view?v=861299&amp;end_month=12&amp;end_day=31&amp;end_year=2016","Correlation")</f>
        <v>Correlation</v>
      </c>
    </row>
    <row r="21" spans="1:9" x14ac:dyDescent="0.2">
      <c r="A21" s="57" t="s">
        <v>228</v>
      </c>
      <c r="B21" s="58" t="s">
        <v>229</v>
      </c>
      <c r="C21" s="58" t="s">
        <v>230</v>
      </c>
      <c r="D21" s="59" t="s">
        <v>231</v>
      </c>
      <c r="E21" s="60" t="b">
        <v>1</v>
      </c>
      <c r="F21" s="58" t="s">
        <v>12569</v>
      </c>
      <c r="G21" s="58" t="s">
        <v>229</v>
      </c>
      <c r="H21" s="58" t="s">
        <v>230</v>
      </c>
      <c r="I21" s="63" t="str">
        <f>HYPERLINK("http://nsgreg.nga.mil/genc/view?v=861300&amp;end_month=12&amp;end_day=31&amp;end_year=2016","Correlation")</f>
        <v>Correlation</v>
      </c>
    </row>
    <row r="22" spans="1:9" x14ac:dyDescent="0.2">
      <c r="A22" s="57" t="s">
        <v>232</v>
      </c>
      <c r="B22" s="58" t="s">
        <v>233</v>
      </c>
      <c r="C22" s="58" t="s">
        <v>234</v>
      </c>
      <c r="D22" s="59" t="s">
        <v>235</v>
      </c>
      <c r="E22" s="60" t="b">
        <v>1</v>
      </c>
      <c r="F22" s="58" t="s">
        <v>12570</v>
      </c>
      <c r="G22" s="58" t="s">
        <v>233</v>
      </c>
      <c r="H22" s="58" t="s">
        <v>234</v>
      </c>
      <c r="I22" s="63" t="str">
        <f>HYPERLINK("http://nsgreg.nga.mil/genc/view?v=861301&amp;end_month=12&amp;end_day=31&amp;end_year=2016","Correlation")</f>
        <v>Correlation</v>
      </c>
    </row>
    <row r="23" spans="1:9" x14ac:dyDescent="0.2">
      <c r="A23" s="57" t="s">
        <v>237</v>
      </c>
      <c r="B23" s="58" t="s">
        <v>238</v>
      </c>
      <c r="C23" s="58" t="s">
        <v>239</v>
      </c>
      <c r="D23" s="59" t="s">
        <v>240</v>
      </c>
      <c r="E23" s="60" t="b">
        <v>1</v>
      </c>
      <c r="F23" s="58" t="s">
        <v>12571</v>
      </c>
      <c r="G23" s="58" t="s">
        <v>238</v>
      </c>
      <c r="H23" s="58" t="s">
        <v>239</v>
      </c>
      <c r="I23" s="63" t="str">
        <f>HYPERLINK("http://nsgreg.nga.mil/genc/view?v=861302&amp;end_month=12&amp;end_day=31&amp;end_year=2016","Correlation")</f>
        <v>Correlation</v>
      </c>
    </row>
    <row r="24" spans="1:9" x14ac:dyDescent="0.2">
      <c r="A24" s="57" t="s">
        <v>241</v>
      </c>
      <c r="B24" s="58" t="s">
        <v>242</v>
      </c>
      <c r="C24" s="58" t="s">
        <v>243</v>
      </c>
      <c r="D24" s="59" t="s">
        <v>244</v>
      </c>
      <c r="E24" s="60" t="b">
        <v>1</v>
      </c>
      <c r="F24" s="58" t="s">
        <v>12572</v>
      </c>
      <c r="G24" s="58" t="s">
        <v>246</v>
      </c>
      <c r="H24" s="58" t="s">
        <v>247</v>
      </c>
      <c r="I24" s="63" t="str">
        <f>HYPERLINK("http://nsgreg.nga.mil/genc/view?v=861303&amp;end_month=12&amp;end_day=31&amp;end_year=2016","Correlation")</f>
        <v>Correlation</v>
      </c>
    </row>
    <row r="25" spans="1:9" x14ac:dyDescent="0.2">
      <c r="A25" s="57" t="s">
        <v>253</v>
      </c>
      <c r="B25" s="58" t="s">
        <v>254</v>
      </c>
      <c r="C25" s="58" t="s">
        <v>255</v>
      </c>
      <c r="D25" s="59" t="s">
        <v>256</v>
      </c>
      <c r="E25" s="60" t="b">
        <v>1</v>
      </c>
      <c r="F25" s="58" t="s">
        <v>12573</v>
      </c>
      <c r="G25" s="58" t="s">
        <v>254</v>
      </c>
      <c r="H25" s="58" t="s">
        <v>255</v>
      </c>
      <c r="I25" s="63" t="str">
        <f>HYPERLINK("http://nsgreg.nga.mil/genc/view?v=861304&amp;end_month=12&amp;end_day=31&amp;end_year=2016","Correlation")</f>
        <v>Correlation</v>
      </c>
    </row>
    <row r="26" spans="1:9" x14ac:dyDescent="0.2">
      <c r="A26" s="57" t="s">
        <v>257</v>
      </c>
      <c r="B26" s="58" t="s">
        <v>258</v>
      </c>
      <c r="C26" s="58" t="s">
        <v>259</v>
      </c>
      <c r="D26" s="59" t="s">
        <v>260</v>
      </c>
      <c r="E26" s="60" t="b">
        <v>1</v>
      </c>
      <c r="F26" s="58" t="s">
        <v>12574</v>
      </c>
      <c r="G26" s="58" t="s">
        <v>258</v>
      </c>
      <c r="H26" s="58" t="s">
        <v>259</v>
      </c>
      <c r="I26" s="63" t="str">
        <f>HYPERLINK("http://nsgreg.nga.mil/genc/view?v=861305&amp;end_month=12&amp;end_day=31&amp;end_year=2016","Correlation")</f>
        <v>Correlation</v>
      </c>
    </row>
    <row r="27" spans="1:9" x14ac:dyDescent="0.2">
      <c r="A27" s="57" t="s">
        <v>261</v>
      </c>
      <c r="B27" s="58" t="s">
        <v>262</v>
      </c>
      <c r="C27" s="58" t="s">
        <v>263</v>
      </c>
      <c r="D27" s="59" t="s">
        <v>264</v>
      </c>
      <c r="E27" s="60" t="b">
        <v>1</v>
      </c>
      <c r="F27" s="58" t="s">
        <v>12575</v>
      </c>
      <c r="G27" s="58" t="s">
        <v>266</v>
      </c>
      <c r="H27" s="58" t="s">
        <v>267</v>
      </c>
      <c r="I27" s="63" t="str">
        <f>HYPERLINK("http://nsgreg.nga.mil/genc/view?v=861306&amp;end_month=12&amp;end_day=31&amp;end_year=2016","Correlation")</f>
        <v>Correlation</v>
      </c>
    </row>
    <row r="28" spans="1:9" x14ac:dyDescent="0.2">
      <c r="A28" s="57" t="s">
        <v>271</v>
      </c>
      <c r="B28" s="58" t="s">
        <v>272</v>
      </c>
      <c r="C28" s="58" t="s">
        <v>273</v>
      </c>
      <c r="D28" s="59" t="s">
        <v>274</v>
      </c>
      <c r="E28" s="60" t="b">
        <v>1</v>
      </c>
      <c r="F28" s="58" t="s">
        <v>12576</v>
      </c>
      <c r="G28" s="58" t="s">
        <v>272</v>
      </c>
      <c r="H28" s="58" t="s">
        <v>273</v>
      </c>
      <c r="I28" s="63" t="str">
        <f>HYPERLINK("http://nsgreg.nga.mil/genc/view?v=861307&amp;end_month=12&amp;end_day=31&amp;end_year=2016","Correlation")</f>
        <v>Correlation</v>
      </c>
    </row>
    <row r="29" spans="1:9" x14ac:dyDescent="0.2">
      <c r="A29" s="57" t="s">
        <v>275</v>
      </c>
      <c r="B29" s="58" t="s">
        <v>276</v>
      </c>
      <c r="C29" s="58" t="s">
        <v>277</v>
      </c>
      <c r="D29" s="59" t="s">
        <v>278</v>
      </c>
      <c r="E29" s="60" t="b">
        <v>1</v>
      </c>
      <c r="F29" s="58" t="s">
        <v>12577</v>
      </c>
      <c r="G29" s="58" t="s">
        <v>276</v>
      </c>
      <c r="H29" s="58" t="s">
        <v>277</v>
      </c>
      <c r="I29" s="63" t="str">
        <f>HYPERLINK("http://nsgreg.nga.mil/genc/view?v=861308&amp;end_month=12&amp;end_day=31&amp;end_year=2016","Correlation")</f>
        <v>Correlation</v>
      </c>
    </row>
    <row r="30" spans="1:9" x14ac:dyDescent="0.2">
      <c r="A30" s="57" t="s">
        <v>279</v>
      </c>
      <c r="B30" s="58" t="s">
        <v>280</v>
      </c>
      <c r="C30" s="58" t="s">
        <v>281</v>
      </c>
      <c r="D30" s="59" t="s">
        <v>282</v>
      </c>
      <c r="E30" s="60" t="b">
        <v>1</v>
      </c>
      <c r="F30" s="58" t="s">
        <v>2281</v>
      </c>
      <c r="G30" s="58" t="s">
        <v>280</v>
      </c>
      <c r="H30" s="58" t="s">
        <v>281</v>
      </c>
      <c r="I30" s="63" t="str">
        <f>HYPERLINK("http://nsgreg.nga.mil/genc/view?v=861309&amp;end_month=12&amp;end_day=31&amp;end_year=2016","Correlation")</f>
        <v>Correlation</v>
      </c>
    </row>
    <row r="31" spans="1:9" x14ac:dyDescent="0.2">
      <c r="A31" s="57" t="s">
        <v>283</v>
      </c>
      <c r="B31" s="58" t="s">
        <v>284</v>
      </c>
      <c r="C31" s="58" t="s">
        <v>285</v>
      </c>
      <c r="D31" s="59" t="s">
        <v>286</v>
      </c>
      <c r="E31" s="60" t="b">
        <v>1</v>
      </c>
      <c r="F31" s="58" t="s">
        <v>12578</v>
      </c>
      <c r="G31" s="58" t="s">
        <v>284</v>
      </c>
      <c r="H31" s="58" t="s">
        <v>285</v>
      </c>
      <c r="I31" s="63" t="str">
        <f>HYPERLINK("http://nsgreg.nga.mil/genc/view?v=861310&amp;end_month=12&amp;end_day=31&amp;end_year=2016","Correlation")</f>
        <v>Correlation</v>
      </c>
    </row>
    <row r="32" spans="1:9" x14ac:dyDescent="0.2">
      <c r="A32" s="57" t="s">
        <v>287</v>
      </c>
      <c r="B32" s="58" t="s">
        <v>288</v>
      </c>
      <c r="C32" s="58" t="s">
        <v>289</v>
      </c>
      <c r="D32" s="59" t="s">
        <v>290</v>
      </c>
      <c r="E32" s="60" t="b">
        <v>1</v>
      </c>
      <c r="F32" s="58" t="s">
        <v>12579</v>
      </c>
      <c r="G32" s="58" t="s">
        <v>288</v>
      </c>
      <c r="H32" s="58" t="s">
        <v>289</v>
      </c>
      <c r="I32" s="63" t="str">
        <f>HYPERLINK("http://nsgreg.nga.mil/genc/view?v=861311&amp;end_month=12&amp;end_day=31&amp;end_year=2016","Correlation")</f>
        <v>Correlation</v>
      </c>
    </row>
    <row r="33" spans="1:9" x14ac:dyDescent="0.2">
      <c r="A33" s="57" t="s">
        <v>291</v>
      </c>
      <c r="B33" s="58" t="s">
        <v>292</v>
      </c>
      <c r="C33" s="58" t="s">
        <v>293</v>
      </c>
      <c r="D33" s="59" t="s">
        <v>294</v>
      </c>
      <c r="E33" s="60" t="b">
        <v>1</v>
      </c>
      <c r="F33" s="58" t="s">
        <v>12580</v>
      </c>
      <c r="G33" s="58" t="s">
        <v>292</v>
      </c>
      <c r="H33" s="58" t="s">
        <v>293</v>
      </c>
      <c r="I33" s="63" t="str">
        <f>HYPERLINK("http://nsgreg.nga.mil/genc/view?v=861312&amp;end_month=12&amp;end_day=31&amp;end_year=2016","Correlation")</f>
        <v>Correlation</v>
      </c>
    </row>
    <row r="34" spans="1:9" x14ac:dyDescent="0.2">
      <c r="A34" s="57" t="s">
        <v>295</v>
      </c>
      <c r="B34" s="58" t="s">
        <v>296</v>
      </c>
      <c r="C34" s="58" t="s">
        <v>297</v>
      </c>
      <c r="D34" s="59" t="s">
        <v>298</v>
      </c>
      <c r="E34" s="60" t="b">
        <v>1</v>
      </c>
      <c r="F34" s="58" t="s">
        <v>12581</v>
      </c>
      <c r="G34" s="58" t="s">
        <v>296</v>
      </c>
      <c r="H34" s="58" t="s">
        <v>297</v>
      </c>
      <c r="I34" s="63" t="str">
        <f>HYPERLINK("http://nsgreg.nga.mil/genc/view?v=861313&amp;end_month=12&amp;end_day=31&amp;end_year=2016","Correlation")</f>
        <v>Correlation</v>
      </c>
    </row>
    <row r="35" spans="1:9" x14ac:dyDescent="0.2">
      <c r="A35" s="57" t="s">
        <v>300</v>
      </c>
      <c r="B35" s="58" t="s">
        <v>301</v>
      </c>
      <c r="C35" s="58" t="s">
        <v>302</v>
      </c>
      <c r="D35" s="59" t="s">
        <v>303</v>
      </c>
      <c r="E35" s="60" t="b">
        <v>1</v>
      </c>
      <c r="F35" s="58" t="s">
        <v>12582</v>
      </c>
      <c r="G35" s="58" t="s">
        <v>12583</v>
      </c>
      <c r="H35" s="58" t="s">
        <v>12584</v>
      </c>
      <c r="I35" s="63" t="str">
        <f>HYPERLINK("http://nsgreg.nga.mil/genc/view?v=861314&amp;end_month=12&amp;end_day=31&amp;end_year=2016","Correlation")</f>
        <v>Correlation</v>
      </c>
    </row>
    <row r="36" spans="1:9" x14ac:dyDescent="0.2">
      <c r="A36" s="57" t="s">
        <v>318</v>
      </c>
      <c r="B36" s="58" t="s">
        <v>319</v>
      </c>
      <c r="C36" s="58" t="s">
        <v>320</v>
      </c>
      <c r="D36" s="59" t="s">
        <v>321</v>
      </c>
      <c r="E36" s="60" t="b">
        <v>1</v>
      </c>
      <c r="F36" s="58" t="s">
        <v>12585</v>
      </c>
      <c r="G36" s="58" t="s">
        <v>319</v>
      </c>
      <c r="H36" s="58" t="s">
        <v>320</v>
      </c>
      <c r="I36" s="63" t="str">
        <f>HYPERLINK("http://nsgreg.nga.mil/genc/view?v=861315&amp;end_month=12&amp;end_day=31&amp;end_year=2016","Correlation")</f>
        <v>Correlation</v>
      </c>
    </row>
    <row r="37" spans="1:9" x14ac:dyDescent="0.2">
      <c r="A37" s="57" t="s">
        <v>322</v>
      </c>
      <c r="B37" s="58" t="s">
        <v>323</v>
      </c>
      <c r="C37" s="58" t="s">
        <v>324</v>
      </c>
      <c r="D37" s="59" t="s">
        <v>325</v>
      </c>
      <c r="E37" s="60" t="b">
        <v>1</v>
      </c>
      <c r="F37" s="58" t="s">
        <v>12586</v>
      </c>
      <c r="G37" s="58" t="s">
        <v>323</v>
      </c>
      <c r="H37" s="58" t="s">
        <v>324</v>
      </c>
      <c r="I37" s="63" t="str">
        <f>HYPERLINK("http://nsgreg.nga.mil/genc/view?v=861316&amp;end_month=12&amp;end_day=31&amp;end_year=2016","Correlation")</f>
        <v>Correlation</v>
      </c>
    </row>
    <row r="38" spans="1:9" x14ac:dyDescent="0.2">
      <c r="A38" s="57" t="s">
        <v>326</v>
      </c>
      <c r="B38" s="58" t="s">
        <v>327</v>
      </c>
      <c r="C38" s="58" t="s">
        <v>328</v>
      </c>
      <c r="D38" s="59" t="s">
        <v>329</v>
      </c>
      <c r="E38" s="60" t="b">
        <v>1</v>
      </c>
      <c r="F38" s="58" t="s">
        <v>12587</v>
      </c>
      <c r="G38" s="58" t="s">
        <v>327</v>
      </c>
      <c r="H38" s="58" t="s">
        <v>328</v>
      </c>
      <c r="I38" s="63" t="str">
        <f>HYPERLINK("http://nsgreg.nga.mil/genc/view?v=861317&amp;end_month=12&amp;end_day=31&amp;end_year=2016","Correlation")</f>
        <v>Correlation</v>
      </c>
    </row>
    <row r="39" spans="1:9" x14ac:dyDescent="0.2">
      <c r="A39" s="57" t="s">
        <v>330</v>
      </c>
      <c r="B39" s="58" t="s">
        <v>331</v>
      </c>
      <c r="C39" s="58" t="s">
        <v>332</v>
      </c>
      <c r="D39" s="59" t="s">
        <v>333</v>
      </c>
      <c r="E39" s="60" t="b">
        <v>1</v>
      </c>
      <c r="F39" s="58" t="s">
        <v>12588</v>
      </c>
      <c r="G39" s="58" t="s">
        <v>331</v>
      </c>
      <c r="H39" s="58" t="s">
        <v>332</v>
      </c>
      <c r="I39" s="63" t="str">
        <f>HYPERLINK("http://nsgreg.nga.mil/genc/view?v=861318&amp;end_month=12&amp;end_day=31&amp;end_year=2016","Correlation")</f>
        <v>Correlation</v>
      </c>
    </row>
    <row r="40" spans="1:9" x14ac:dyDescent="0.2">
      <c r="A40" s="57" t="s">
        <v>334</v>
      </c>
      <c r="B40" s="58" t="s">
        <v>335</v>
      </c>
      <c r="C40" s="58" t="s">
        <v>336</v>
      </c>
      <c r="D40" s="59" t="s">
        <v>337</v>
      </c>
      <c r="E40" s="60" t="b">
        <v>1</v>
      </c>
      <c r="F40" s="58" t="s">
        <v>12589</v>
      </c>
      <c r="G40" s="58" t="s">
        <v>335</v>
      </c>
      <c r="H40" s="58" t="s">
        <v>336</v>
      </c>
      <c r="I40" s="63" t="str">
        <f>HYPERLINK("http://nsgreg.nga.mil/genc/view?v=861319&amp;end_month=12&amp;end_day=31&amp;end_year=2016","Correlation")</f>
        <v>Correlation</v>
      </c>
    </row>
    <row r="41" spans="1:9" x14ac:dyDescent="0.2">
      <c r="A41" s="57" t="s">
        <v>338</v>
      </c>
      <c r="B41" s="58" t="s">
        <v>339</v>
      </c>
      <c r="C41" s="58" t="s">
        <v>340</v>
      </c>
      <c r="D41" s="59" t="s">
        <v>341</v>
      </c>
      <c r="E41" s="60" t="b">
        <v>1</v>
      </c>
      <c r="F41" s="58" t="s">
        <v>12590</v>
      </c>
      <c r="G41" s="58" t="s">
        <v>339</v>
      </c>
      <c r="H41" s="58" t="s">
        <v>340</v>
      </c>
      <c r="I41" s="63" t="str">
        <f>HYPERLINK("http://nsgreg.nga.mil/genc/view?v=861320&amp;end_month=12&amp;end_day=31&amp;end_year=2016","Correlation")</f>
        <v>Correlation</v>
      </c>
    </row>
    <row r="42" spans="1:9" x14ac:dyDescent="0.2">
      <c r="A42" s="57" t="s">
        <v>343</v>
      </c>
      <c r="B42" s="58" t="s">
        <v>344</v>
      </c>
      <c r="C42" s="58" t="s">
        <v>345</v>
      </c>
      <c r="D42" s="59" t="s">
        <v>346</v>
      </c>
      <c r="E42" s="60" t="b">
        <v>1</v>
      </c>
      <c r="F42" s="58" t="s">
        <v>12591</v>
      </c>
      <c r="G42" s="58" t="s">
        <v>344</v>
      </c>
      <c r="H42" s="58" t="s">
        <v>345</v>
      </c>
      <c r="I42" s="63" t="str">
        <f>HYPERLINK("http://nsgreg.nga.mil/genc/view?v=861321&amp;end_month=12&amp;end_day=31&amp;end_year=2016","Correlation")</f>
        <v>Correlation</v>
      </c>
    </row>
    <row r="43" spans="1:9" x14ac:dyDescent="0.2">
      <c r="A43" s="57" t="s">
        <v>347</v>
      </c>
      <c r="B43" s="58" t="s">
        <v>348</v>
      </c>
      <c r="C43" s="58" t="s">
        <v>349</v>
      </c>
      <c r="D43" s="59" t="s">
        <v>350</v>
      </c>
      <c r="E43" s="60" t="b">
        <v>1</v>
      </c>
      <c r="F43" s="58" t="s">
        <v>12592</v>
      </c>
      <c r="G43" s="58" t="s">
        <v>348</v>
      </c>
      <c r="H43" s="58" t="s">
        <v>349</v>
      </c>
      <c r="I43" s="63" t="str">
        <f>HYPERLINK("http://nsgreg.nga.mil/genc/view?v=861322&amp;end_month=12&amp;end_day=31&amp;end_year=2016","Correlation")</f>
        <v>Correlation</v>
      </c>
    </row>
    <row r="44" spans="1:9" x14ac:dyDescent="0.2">
      <c r="A44" s="57" t="s">
        <v>351</v>
      </c>
      <c r="B44" s="58" t="s">
        <v>352</v>
      </c>
      <c r="C44" s="58" t="s">
        <v>353</v>
      </c>
      <c r="D44" s="59" t="s">
        <v>354</v>
      </c>
      <c r="E44" s="60" t="b">
        <v>1</v>
      </c>
      <c r="F44" s="58" t="s">
        <v>12593</v>
      </c>
      <c r="G44" s="58" t="s">
        <v>352</v>
      </c>
      <c r="H44" s="58" t="s">
        <v>353</v>
      </c>
      <c r="I44" s="63" t="str">
        <f>HYPERLINK("http://nsgreg.nga.mil/genc/view?v=861323&amp;end_month=12&amp;end_day=31&amp;end_year=2016","Correlation")</f>
        <v>Correlation</v>
      </c>
    </row>
    <row r="45" spans="1:9" x14ac:dyDescent="0.2">
      <c r="A45" s="57" t="s">
        <v>356</v>
      </c>
      <c r="B45" s="58" t="s">
        <v>357</v>
      </c>
      <c r="C45" s="58" t="s">
        <v>358</v>
      </c>
      <c r="D45" s="59" t="s">
        <v>359</v>
      </c>
      <c r="E45" s="60" t="b">
        <v>1</v>
      </c>
      <c r="F45" s="58" t="s">
        <v>12594</v>
      </c>
      <c r="G45" s="58" t="s">
        <v>357</v>
      </c>
      <c r="H45" s="58" t="s">
        <v>358</v>
      </c>
      <c r="I45" s="63" t="str">
        <f>HYPERLINK("http://nsgreg.nga.mil/genc/view?v=861324&amp;end_month=12&amp;end_day=31&amp;end_year=2016","Correlation")</f>
        <v>Correlation</v>
      </c>
    </row>
    <row r="46" spans="1:9" x14ac:dyDescent="0.2">
      <c r="A46" s="57" t="s">
        <v>360</v>
      </c>
      <c r="B46" s="58" t="s">
        <v>361</v>
      </c>
      <c r="C46" s="58" t="s">
        <v>362</v>
      </c>
      <c r="D46" s="59" t="s">
        <v>363</v>
      </c>
      <c r="E46" s="60" t="b">
        <v>1</v>
      </c>
      <c r="F46" s="58" t="s">
        <v>12595</v>
      </c>
      <c r="G46" s="58" t="s">
        <v>361</v>
      </c>
      <c r="H46" s="58" t="s">
        <v>362</v>
      </c>
      <c r="I46" s="63" t="str">
        <f>HYPERLINK("http://nsgreg.nga.mil/genc/view?v=861325&amp;end_month=12&amp;end_day=31&amp;end_year=2016","Correlation")</f>
        <v>Correlation</v>
      </c>
    </row>
    <row r="47" spans="1:9" x14ac:dyDescent="0.2">
      <c r="A47" s="57" t="s">
        <v>364</v>
      </c>
      <c r="B47" s="58" t="s">
        <v>365</v>
      </c>
      <c r="C47" s="58" t="s">
        <v>366</v>
      </c>
      <c r="D47" s="59" t="s">
        <v>367</v>
      </c>
      <c r="E47" s="60" t="b">
        <v>1</v>
      </c>
      <c r="F47" s="58" t="s">
        <v>12596</v>
      </c>
      <c r="G47" s="58" t="s">
        <v>365</v>
      </c>
      <c r="H47" s="58" t="s">
        <v>366</v>
      </c>
      <c r="I47" s="63" t="str">
        <f>HYPERLINK("http://nsgreg.nga.mil/genc/view?v=861326&amp;end_month=12&amp;end_day=31&amp;end_year=2016","Correlation")</f>
        <v>Correlation</v>
      </c>
    </row>
    <row r="48" spans="1:9" x14ac:dyDescent="0.2">
      <c r="A48" s="57" t="s">
        <v>368</v>
      </c>
      <c r="B48" s="58" t="s">
        <v>369</v>
      </c>
      <c r="C48" s="58" t="s">
        <v>370</v>
      </c>
      <c r="D48" s="59" t="s">
        <v>371</v>
      </c>
      <c r="E48" s="60" t="b">
        <v>1</v>
      </c>
      <c r="F48" s="58" t="s">
        <v>12597</v>
      </c>
      <c r="G48" s="58" t="s">
        <v>369</v>
      </c>
      <c r="H48" s="58" t="s">
        <v>370</v>
      </c>
      <c r="I48" s="63" t="str">
        <f>HYPERLINK("http://nsgreg.nga.mil/genc/view?v=861327&amp;end_month=12&amp;end_day=31&amp;end_year=2016","Correlation")</f>
        <v>Correlation</v>
      </c>
    </row>
    <row r="49" spans="1:9" x14ac:dyDescent="0.2">
      <c r="A49" s="57" t="s">
        <v>372</v>
      </c>
      <c r="B49" s="58" t="s">
        <v>373</v>
      </c>
      <c r="C49" s="58" t="s">
        <v>374</v>
      </c>
      <c r="D49" s="59" t="s">
        <v>375</v>
      </c>
      <c r="E49" s="60" t="b">
        <v>1</v>
      </c>
      <c r="F49" s="58" t="s">
        <v>12598</v>
      </c>
      <c r="G49" s="58" t="s">
        <v>373</v>
      </c>
      <c r="H49" s="58" t="s">
        <v>374</v>
      </c>
      <c r="I49" s="63" t="str">
        <f>HYPERLINK("http://nsgreg.nga.mil/genc/view?v=861328&amp;end_month=12&amp;end_day=31&amp;end_year=2016","Correlation")</f>
        <v>Correlation</v>
      </c>
    </row>
    <row r="50" spans="1:9" x14ac:dyDescent="0.2">
      <c r="A50" s="57" t="s">
        <v>376</v>
      </c>
      <c r="B50" s="58" t="s">
        <v>377</v>
      </c>
      <c r="C50" s="58" t="s">
        <v>378</v>
      </c>
      <c r="D50" s="59" t="s">
        <v>379</v>
      </c>
      <c r="E50" s="60" t="b">
        <v>1</v>
      </c>
      <c r="F50" s="58" t="s">
        <v>12599</v>
      </c>
      <c r="G50" s="58" t="s">
        <v>377</v>
      </c>
      <c r="H50" s="58" t="s">
        <v>378</v>
      </c>
      <c r="I50" s="63" t="str">
        <f>HYPERLINK("http://nsgreg.nga.mil/genc/view?v=861329&amp;end_month=12&amp;end_day=31&amp;end_year=2016","Correlation")</f>
        <v>Correlation</v>
      </c>
    </row>
    <row r="51" spans="1:9" x14ac:dyDescent="0.2">
      <c r="A51" s="57" t="s">
        <v>380</v>
      </c>
      <c r="B51" s="58" t="s">
        <v>381</v>
      </c>
      <c r="C51" s="58" t="s">
        <v>382</v>
      </c>
      <c r="D51" s="59" t="s">
        <v>383</v>
      </c>
      <c r="E51" s="60" t="b">
        <v>1</v>
      </c>
      <c r="F51" s="58" t="s">
        <v>12600</v>
      </c>
      <c r="G51" s="58" t="s">
        <v>381</v>
      </c>
      <c r="H51" s="58" t="s">
        <v>382</v>
      </c>
      <c r="I51" s="63" t="str">
        <f>HYPERLINK("http://nsgreg.nga.mil/genc/view?v=861330&amp;end_month=12&amp;end_day=31&amp;end_year=2016","Correlation")</f>
        <v>Correlation</v>
      </c>
    </row>
    <row r="52" spans="1:9" x14ac:dyDescent="0.2">
      <c r="A52" s="57" t="s">
        <v>384</v>
      </c>
      <c r="B52" s="58" t="s">
        <v>385</v>
      </c>
      <c r="C52" s="58" t="s">
        <v>386</v>
      </c>
      <c r="D52" s="59" t="s">
        <v>387</v>
      </c>
      <c r="E52" s="60" t="b">
        <v>1</v>
      </c>
      <c r="F52" s="58" t="s">
        <v>12601</v>
      </c>
      <c r="G52" s="58" t="s">
        <v>385</v>
      </c>
      <c r="H52" s="58" t="s">
        <v>386</v>
      </c>
      <c r="I52" s="63" t="str">
        <f>HYPERLINK("http://nsgreg.nga.mil/genc/view?v=861331&amp;end_month=12&amp;end_day=31&amp;end_year=2016","Correlation")</f>
        <v>Correlation</v>
      </c>
    </row>
    <row r="53" spans="1:9" x14ac:dyDescent="0.2">
      <c r="A53" s="57" t="s">
        <v>388</v>
      </c>
      <c r="B53" s="58" t="s">
        <v>389</v>
      </c>
      <c r="C53" s="58" t="s">
        <v>390</v>
      </c>
      <c r="D53" s="59" t="s">
        <v>391</v>
      </c>
      <c r="E53" s="60" t="b">
        <v>1</v>
      </c>
      <c r="F53" s="58" t="s">
        <v>12602</v>
      </c>
      <c r="G53" s="58" t="s">
        <v>389</v>
      </c>
      <c r="H53" s="58" t="s">
        <v>390</v>
      </c>
      <c r="I53" s="63" t="str">
        <f>HYPERLINK("http://nsgreg.nga.mil/genc/view?v=861332&amp;end_month=12&amp;end_day=31&amp;end_year=2016","Correlation")</f>
        <v>Correlation</v>
      </c>
    </row>
    <row r="54" spans="1:9" x14ac:dyDescent="0.2">
      <c r="A54" s="57" t="s">
        <v>392</v>
      </c>
      <c r="B54" s="58" t="s">
        <v>393</v>
      </c>
      <c r="C54" s="58" t="s">
        <v>394</v>
      </c>
      <c r="D54" s="59" t="s">
        <v>395</v>
      </c>
      <c r="E54" s="60" t="b">
        <v>1</v>
      </c>
      <c r="F54" s="58" t="s">
        <v>12603</v>
      </c>
      <c r="G54" s="58" t="s">
        <v>393</v>
      </c>
      <c r="H54" s="58" t="s">
        <v>394</v>
      </c>
      <c r="I54" s="63" t="str">
        <f>HYPERLINK("http://nsgreg.nga.mil/genc/view?v=861333&amp;end_month=12&amp;end_day=31&amp;end_year=2016","Correlation")</f>
        <v>Correlation</v>
      </c>
    </row>
    <row r="55" spans="1:9" x14ac:dyDescent="0.2">
      <c r="A55" s="57" t="s">
        <v>396</v>
      </c>
      <c r="B55" s="58" t="s">
        <v>397</v>
      </c>
      <c r="C55" s="58" t="s">
        <v>398</v>
      </c>
      <c r="D55" s="59" t="s">
        <v>399</v>
      </c>
      <c r="E55" s="60" t="b">
        <v>1</v>
      </c>
      <c r="F55" s="58" t="s">
        <v>12604</v>
      </c>
      <c r="G55" s="58" t="s">
        <v>397</v>
      </c>
      <c r="H55" s="58" t="s">
        <v>398</v>
      </c>
      <c r="I55" s="63" t="str">
        <f>HYPERLINK("http://nsgreg.nga.mil/genc/view?v=861334&amp;end_month=12&amp;end_day=31&amp;end_year=2016","Correlation")</f>
        <v>Correlation</v>
      </c>
    </row>
    <row r="56" spans="1:9" x14ac:dyDescent="0.2">
      <c r="A56" s="57" t="s">
        <v>400</v>
      </c>
      <c r="B56" s="58" t="s">
        <v>401</v>
      </c>
      <c r="C56" s="58" t="s">
        <v>402</v>
      </c>
      <c r="D56" s="59" t="s">
        <v>403</v>
      </c>
      <c r="E56" s="60" t="b">
        <v>1</v>
      </c>
      <c r="F56" s="58" t="s">
        <v>12605</v>
      </c>
      <c r="G56" s="58" t="s">
        <v>405</v>
      </c>
      <c r="H56" s="58" t="s">
        <v>406</v>
      </c>
      <c r="I56" s="63" t="str">
        <f>HYPERLINK("http://nsgreg.nga.mil/genc/view?v=861335&amp;end_month=12&amp;end_day=31&amp;end_year=2016","Correlation")</f>
        <v>Correlation</v>
      </c>
    </row>
    <row r="57" spans="1:9" x14ac:dyDescent="0.2">
      <c r="A57" s="57" t="s">
        <v>410</v>
      </c>
      <c r="B57" s="58" t="s">
        <v>411</v>
      </c>
      <c r="C57" s="58" t="s">
        <v>412</v>
      </c>
      <c r="D57" s="59" t="s">
        <v>413</v>
      </c>
      <c r="E57" s="60" t="b">
        <v>1</v>
      </c>
      <c r="F57" s="58" t="s">
        <v>12606</v>
      </c>
      <c r="G57" s="58" t="s">
        <v>411</v>
      </c>
      <c r="H57" s="58" t="s">
        <v>412</v>
      </c>
      <c r="I57" s="63" t="str">
        <f>HYPERLINK("http://nsgreg.nga.mil/genc/view?v=861336&amp;end_month=12&amp;end_day=31&amp;end_year=2016","Correlation")</f>
        <v>Correlation</v>
      </c>
    </row>
    <row r="58" spans="1:9" x14ac:dyDescent="0.2">
      <c r="A58" s="57" t="s">
        <v>414</v>
      </c>
      <c r="B58" s="58" t="s">
        <v>415</v>
      </c>
      <c r="C58" s="58" t="s">
        <v>416</v>
      </c>
      <c r="D58" s="59" t="s">
        <v>417</v>
      </c>
      <c r="E58" s="60" t="b">
        <v>1</v>
      </c>
      <c r="F58" s="58" t="s">
        <v>12607</v>
      </c>
      <c r="G58" s="58" t="s">
        <v>415</v>
      </c>
      <c r="H58" s="58" t="s">
        <v>416</v>
      </c>
      <c r="I58" s="63" t="str">
        <f>HYPERLINK("http://nsgreg.nga.mil/genc/view?v=861337&amp;end_month=12&amp;end_day=31&amp;end_year=2016","Correlation")</f>
        <v>Correlation</v>
      </c>
    </row>
    <row r="59" spans="1:9" x14ac:dyDescent="0.2">
      <c r="A59" s="57" t="s">
        <v>418</v>
      </c>
      <c r="B59" s="58" t="s">
        <v>419</v>
      </c>
      <c r="C59" s="58" t="s">
        <v>420</v>
      </c>
      <c r="D59" s="59" t="s">
        <v>421</v>
      </c>
      <c r="E59" s="60" t="b">
        <v>1</v>
      </c>
      <c r="F59" s="58" t="s">
        <v>12608</v>
      </c>
      <c r="G59" s="58" t="s">
        <v>419</v>
      </c>
      <c r="H59" s="58" t="s">
        <v>420</v>
      </c>
      <c r="I59" s="63" t="str">
        <f>HYPERLINK("http://nsgreg.nga.mil/genc/view?v=861338&amp;end_month=12&amp;end_day=31&amp;end_year=2016","Correlation")</f>
        <v>Correlation</v>
      </c>
    </row>
    <row r="60" spans="1:9" x14ac:dyDescent="0.2">
      <c r="A60" s="57" t="s">
        <v>422</v>
      </c>
      <c r="B60" s="58" t="s">
        <v>423</v>
      </c>
      <c r="C60" s="58" t="s">
        <v>424</v>
      </c>
      <c r="D60" s="59" t="s">
        <v>425</v>
      </c>
      <c r="E60" s="60" t="b">
        <v>1</v>
      </c>
      <c r="F60" s="58" t="s">
        <v>12609</v>
      </c>
      <c r="G60" s="58" t="s">
        <v>423</v>
      </c>
      <c r="H60" s="58" t="s">
        <v>424</v>
      </c>
      <c r="I60" s="63" t="str">
        <f>HYPERLINK("http://nsgreg.nga.mil/genc/view?v=861339&amp;end_month=12&amp;end_day=31&amp;end_year=2016","Correlation")</f>
        <v>Correlation</v>
      </c>
    </row>
    <row r="61" spans="1:9" x14ac:dyDescent="0.2">
      <c r="A61" s="57" t="s">
        <v>427</v>
      </c>
      <c r="B61" s="58" t="s">
        <v>428</v>
      </c>
      <c r="C61" s="58" t="s">
        <v>429</v>
      </c>
      <c r="D61" s="59" t="s">
        <v>430</v>
      </c>
      <c r="E61" s="60" t="b">
        <v>1</v>
      </c>
      <c r="F61" s="58" t="s">
        <v>12610</v>
      </c>
      <c r="G61" s="58" t="s">
        <v>428</v>
      </c>
      <c r="H61" s="58" t="s">
        <v>429</v>
      </c>
      <c r="I61" s="63" t="str">
        <f>HYPERLINK("http://nsgreg.nga.mil/genc/view?v=861340&amp;end_month=12&amp;end_day=31&amp;end_year=2016","Correlation")</f>
        <v>Correlation</v>
      </c>
    </row>
    <row r="62" spans="1:9" x14ac:dyDescent="0.2">
      <c r="A62" s="57" t="s">
        <v>432</v>
      </c>
      <c r="B62" s="58" t="s">
        <v>433</v>
      </c>
      <c r="C62" s="58" t="s">
        <v>434</v>
      </c>
      <c r="D62" s="59" t="s">
        <v>435</v>
      </c>
      <c r="E62" s="60" t="b">
        <v>1</v>
      </c>
      <c r="F62" s="58" t="s">
        <v>12611</v>
      </c>
      <c r="G62" s="58" t="s">
        <v>433</v>
      </c>
      <c r="H62" s="58" t="s">
        <v>434</v>
      </c>
      <c r="I62" s="63" t="str">
        <f>HYPERLINK("http://nsgreg.nga.mil/genc/view?v=861341&amp;end_month=12&amp;end_day=31&amp;end_year=2016","Correlation")</f>
        <v>Correlation</v>
      </c>
    </row>
    <row r="63" spans="1:9" x14ac:dyDescent="0.2">
      <c r="A63" s="57" t="s">
        <v>436</v>
      </c>
      <c r="B63" s="58" t="s">
        <v>437</v>
      </c>
      <c r="C63" s="58" t="s">
        <v>438</v>
      </c>
      <c r="D63" s="59" t="s">
        <v>439</v>
      </c>
      <c r="E63" s="60" t="b">
        <v>1</v>
      </c>
      <c r="F63" s="58" t="s">
        <v>12567</v>
      </c>
      <c r="G63" s="58" t="s">
        <v>221</v>
      </c>
      <c r="H63" s="58" t="s">
        <v>222</v>
      </c>
      <c r="I63" s="63" t="str">
        <f>HYPERLINK("http://nsgreg.nga.mil/genc/view?v=861342&amp;end_month=12&amp;end_day=31&amp;end_year=2016","Correlation")</f>
        <v>Correlation</v>
      </c>
    </row>
    <row r="64" spans="1:9" x14ac:dyDescent="0.2">
      <c r="A64" s="57" t="s">
        <v>440</v>
      </c>
      <c r="B64" s="58" t="s">
        <v>441</v>
      </c>
      <c r="C64" s="58" t="s">
        <v>442</v>
      </c>
      <c r="D64" s="59" t="s">
        <v>443</v>
      </c>
      <c r="E64" s="60" t="b">
        <v>1</v>
      </c>
      <c r="F64" s="58" t="s">
        <v>12612</v>
      </c>
      <c r="G64" s="58" t="s">
        <v>441</v>
      </c>
      <c r="H64" s="58" t="s">
        <v>442</v>
      </c>
      <c r="I64" s="63" t="str">
        <f>HYPERLINK("http://nsgreg.nga.mil/genc/view?v=861343&amp;end_month=12&amp;end_day=31&amp;end_year=2016","Correlation")</f>
        <v>Correlation</v>
      </c>
    </row>
    <row r="65" spans="1:9" x14ac:dyDescent="0.2">
      <c r="A65" s="57" t="s">
        <v>444</v>
      </c>
      <c r="B65" s="58" t="s">
        <v>445</v>
      </c>
      <c r="C65" s="58" t="s">
        <v>446</v>
      </c>
      <c r="D65" s="59" t="s">
        <v>447</v>
      </c>
      <c r="E65" s="60" t="b">
        <v>1</v>
      </c>
      <c r="F65" s="58" t="s">
        <v>12613</v>
      </c>
      <c r="G65" s="58" t="s">
        <v>445</v>
      </c>
      <c r="H65" s="58" t="s">
        <v>446</v>
      </c>
      <c r="I65" s="63" t="str">
        <f>HYPERLINK("http://nsgreg.nga.mil/genc/view?v=861344&amp;end_month=12&amp;end_day=31&amp;end_year=2016","Correlation")</f>
        <v>Correlation</v>
      </c>
    </row>
    <row r="66" spans="1:9" x14ac:dyDescent="0.2">
      <c r="A66" s="57" t="s">
        <v>449</v>
      </c>
      <c r="B66" s="58" t="s">
        <v>450</v>
      </c>
      <c r="C66" s="58" t="s">
        <v>451</v>
      </c>
      <c r="D66" s="59" t="s">
        <v>452</v>
      </c>
      <c r="E66" s="60" t="b">
        <v>1</v>
      </c>
      <c r="F66" s="58" t="s">
        <v>12614</v>
      </c>
      <c r="G66" s="58" t="s">
        <v>450</v>
      </c>
      <c r="H66" s="58" t="s">
        <v>451</v>
      </c>
      <c r="I66" s="63" t="str">
        <f>HYPERLINK("http://nsgreg.nga.mil/genc/view?v=861345&amp;end_month=12&amp;end_day=31&amp;end_year=2016","Correlation")</f>
        <v>Correlation</v>
      </c>
    </row>
    <row r="67" spans="1:9" x14ac:dyDescent="0.2">
      <c r="A67" s="57" t="s">
        <v>453</v>
      </c>
      <c r="B67" s="58" t="s">
        <v>454</v>
      </c>
      <c r="C67" s="58" t="s">
        <v>455</v>
      </c>
      <c r="D67" s="59" t="s">
        <v>456</v>
      </c>
      <c r="E67" s="60" t="b">
        <v>1</v>
      </c>
      <c r="F67" s="58" t="s">
        <v>12615</v>
      </c>
      <c r="G67" s="58" t="s">
        <v>454</v>
      </c>
      <c r="H67" s="58" t="s">
        <v>455</v>
      </c>
      <c r="I67" s="63" t="str">
        <f>HYPERLINK("http://nsgreg.nga.mil/genc/view?v=861346&amp;end_month=12&amp;end_day=31&amp;end_year=2016","Correlation")</f>
        <v>Correlation</v>
      </c>
    </row>
    <row r="68" spans="1:9" x14ac:dyDescent="0.2">
      <c r="A68" s="57" t="s">
        <v>457</v>
      </c>
      <c r="B68" s="58" t="s">
        <v>458</v>
      </c>
      <c r="C68" s="58" t="s">
        <v>459</v>
      </c>
      <c r="D68" s="59" t="s">
        <v>460</v>
      </c>
      <c r="E68" s="60" t="b">
        <v>1</v>
      </c>
      <c r="F68" s="58" t="s">
        <v>12582</v>
      </c>
      <c r="G68" s="58" t="s">
        <v>12583</v>
      </c>
      <c r="H68" s="58" t="s">
        <v>12584</v>
      </c>
      <c r="I68" s="63" t="str">
        <f>HYPERLINK("http://nsgreg.nga.mil/genc/view?v=861347&amp;end_month=12&amp;end_day=31&amp;end_year=2016","Correlation")</f>
        <v>Correlation</v>
      </c>
    </row>
    <row r="69" spans="1:9" x14ac:dyDescent="0.2">
      <c r="A69" s="57" t="s">
        <v>463</v>
      </c>
      <c r="B69" s="58" t="s">
        <v>464</v>
      </c>
      <c r="C69" s="58" t="s">
        <v>465</v>
      </c>
      <c r="D69" s="59" t="s">
        <v>466</v>
      </c>
      <c r="E69" s="60" t="b">
        <v>1</v>
      </c>
      <c r="F69" s="58" t="s">
        <v>12616</v>
      </c>
      <c r="G69" s="58" t="s">
        <v>464</v>
      </c>
      <c r="H69" s="58" t="s">
        <v>465</v>
      </c>
      <c r="I69" s="63" t="str">
        <f>HYPERLINK("http://nsgreg.nga.mil/genc/view?v=861348&amp;end_month=12&amp;end_day=31&amp;end_year=2016","Correlation")</f>
        <v>Correlation</v>
      </c>
    </row>
    <row r="70" spans="1:9" x14ac:dyDescent="0.2">
      <c r="A70" s="57" t="s">
        <v>467</v>
      </c>
      <c r="B70" s="58" t="s">
        <v>468</v>
      </c>
      <c r="C70" s="58" t="s">
        <v>469</v>
      </c>
      <c r="D70" s="59" t="s">
        <v>470</v>
      </c>
      <c r="E70" s="60" t="b">
        <v>1</v>
      </c>
      <c r="F70" s="58" t="s">
        <v>12617</v>
      </c>
      <c r="G70" s="58" t="s">
        <v>468</v>
      </c>
      <c r="H70" s="58" t="s">
        <v>469</v>
      </c>
      <c r="I70" s="63" t="str">
        <f>HYPERLINK("http://nsgreg.nga.mil/genc/view?v=861349&amp;end_month=12&amp;end_day=31&amp;end_year=2016","Correlation")</f>
        <v>Correlation</v>
      </c>
    </row>
    <row r="71" spans="1:9" x14ac:dyDescent="0.2">
      <c r="A71" s="57" t="s">
        <v>471</v>
      </c>
      <c r="B71" s="58" t="s">
        <v>472</v>
      </c>
      <c r="C71" s="58" t="s">
        <v>473</v>
      </c>
      <c r="D71" s="59" t="s">
        <v>474</v>
      </c>
      <c r="E71" s="60" t="b">
        <v>1</v>
      </c>
      <c r="F71" s="58" t="s">
        <v>12618</v>
      </c>
      <c r="G71" s="58" t="s">
        <v>472</v>
      </c>
      <c r="H71" s="58" t="s">
        <v>473</v>
      </c>
      <c r="I71" s="63" t="str">
        <f>HYPERLINK("http://nsgreg.nga.mil/genc/view?v=861350&amp;end_month=12&amp;end_day=31&amp;end_year=2016","Correlation")</f>
        <v>Correlation</v>
      </c>
    </row>
    <row r="72" spans="1:9" x14ac:dyDescent="0.2">
      <c r="A72" s="57" t="s">
        <v>475</v>
      </c>
      <c r="B72" s="58" t="s">
        <v>476</v>
      </c>
      <c r="C72" s="58" t="s">
        <v>477</v>
      </c>
      <c r="D72" s="59" t="s">
        <v>478</v>
      </c>
      <c r="E72" s="60" t="b">
        <v>1</v>
      </c>
      <c r="F72" s="61" t="s">
        <v>167</v>
      </c>
      <c r="G72" s="61"/>
      <c r="H72" s="61"/>
      <c r="I72" s="63" t="str">
        <f>HYPERLINK("http://nsgreg.nga.mil/genc/view?v=861351&amp;end_month=12&amp;end_day=31&amp;end_year=2016","Correlation")</f>
        <v>Correlation</v>
      </c>
    </row>
    <row r="73" spans="1:9" x14ac:dyDescent="0.2">
      <c r="A73" s="57" t="s">
        <v>479</v>
      </c>
      <c r="B73" s="58" t="s">
        <v>480</v>
      </c>
      <c r="C73" s="58" t="s">
        <v>481</v>
      </c>
      <c r="D73" s="59" t="s">
        <v>482</v>
      </c>
      <c r="E73" s="60" t="b">
        <v>1</v>
      </c>
      <c r="F73" s="58" t="s">
        <v>12589</v>
      </c>
      <c r="G73" s="58" t="s">
        <v>335</v>
      </c>
      <c r="H73" s="58" t="s">
        <v>336</v>
      </c>
      <c r="I73" s="63" t="str">
        <f>HYPERLINK("http://nsgreg.nga.mil/genc/view?v=861352&amp;end_month=12&amp;end_day=31&amp;end_year=2016","Correlation")</f>
        <v>Correlation</v>
      </c>
    </row>
    <row r="74" spans="1:9" x14ac:dyDescent="0.2">
      <c r="A74" s="57" t="s">
        <v>483</v>
      </c>
      <c r="B74" s="58" t="s">
        <v>484</v>
      </c>
      <c r="C74" s="58" t="s">
        <v>485</v>
      </c>
      <c r="D74" s="59" t="s">
        <v>486</v>
      </c>
      <c r="E74" s="60" t="b">
        <v>1</v>
      </c>
      <c r="F74" s="58" t="s">
        <v>3729</v>
      </c>
      <c r="G74" s="58" t="s">
        <v>484</v>
      </c>
      <c r="H74" s="58" t="s">
        <v>485</v>
      </c>
      <c r="I74" s="63" t="str">
        <f>HYPERLINK("http://nsgreg.nga.mil/genc/view?v=861353&amp;end_month=12&amp;end_day=31&amp;end_year=2016","Correlation")</f>
        <v>Correlation</v>
      </c>
    </row>
    <row r="75" spans="1:9" x14ac:dyDescent="0.2">
      <c r="A75" s="57" t="s">
        <v>487</v>
      </c>
      <c r="B75" s="58" t="s">
        <v>488</v>
      </c>
      <c r="C75" s="58" t="s">
        <v>489</v>
      </c>
      <c r="D75" s="59" t="s">
        <v>490</v>
      </c>
      <c r="E75" s="60" t="b">
        <v>1</v>
      </c>
      <c r="F75" s="58" t="s">
        <v>12619</v>
      </c>
      <c r="G75" s="58" t="s">
        <v>488</v>
      </c>
      <c r="H75" s="58" t="s">
        <v>489</v>
      </c>
      <c r="I75" s="63" t="str">
        <f>HYPERLINK("http://nsgreg.nga.mil/genc/view?v=861354&amp;end_month=12&amp;end_day=31&amp;end_year=2016","Correlation")</f>
        <v>Correlation</v>
      </c>
    </row>
    <row r="76" spans="1:9" x14ac:dyDescent="0.2">
      <c r="A76" s="57" t="s">
        <v>491</v>
      </c>
      <c r="B76" s="58" t="s">
        <v>492</v>
      </c>
      <c r="C76" s="58" t="s">
        <v>493</v>
      </c>
      <c r="D76" s="59" t="s">
        <v>494</v>
      </c>
      <c r="E76" s="60" t="b">
        <v>1</v>
      </c>
      <c r="F76" s="58" t="s">
        <v>12620</v>
      </c>
      <c r="G76" s="58" t="s">
        <v>492</v>
      </c>
      <c r="H76" s="58" t="s">
        <v>493</v>
      </c>
      <c r="I76" s="63" t="str">
        <f>HYPERLINK("http://nsgreg.nga.mil/genc/view?v=861355&amp;end_month=12&amp;end_day=31&amp;end_year=2016","Correlation")</f>
        <v>Correlation</v>
      </c>
    </row>
    <row r="77" spans="1:9" x14ac:dyDescent="0.2">
      <c r="A77" s="57" t="s">
        <v>495</v>
      </c>
      <c r="B77" s="58" t="s">
        <v>496</v>
      </c>
      <c r="C77" s="58" t="s">
        <v>497</v>
      </c>
      <c r="D77" s="59" t="s">
        <v>498</v>
      </c>
      <c r="E77" s="60" t="b">
        <v>1</v>
      </c>
      <c r="F77" s="58" t="s">
        <v>12621</v>
      </c>
      <c r="G77" s="58" t="s">
        <v>496</v>
      </c>
      <c r="H77" s="58" t="s">
        <v>497</v>
      </c>
      <c r="I77" s="63" t="str">
        <f>HYPERLINK("http://nsgreg.nga.mil/genc/view?v=861356&amp;end_month=12&amp;end_day=31&amp;end_year=2016","Correlation")</f>
        <v>Correlation</v>
      </c>
    </row>
    <row r="78" spans="1:9" x14ac:dyDescent="0.2">
      <c r="A78" s="57" t="s">
        <v>499</v>
      </c>
      <c r="B78" s="58" t="s">
        <v>500</v>
      </c>
      <c r="C78" s="58" t="s">
        <v>501</v>
      </c>
      <c r="D78" s="59" t="s">
        <v>502</v>
      </c>
      <c r="E78" s="60" t="b">
        <v>1</v>
      </c>
      <c r="F78" s="58" t="s">
        <v>12622</v>
      </c>
      <c r="G78" s="58" t="s">
        <v>500</v>
      </c>
      <c r="H78" s="58" t="s">
        <v>501</v>
      </c>
      <c r="I78" s="63" t="str">
        <f>HYPERLINK("http://nsgreg.nga.mil/genc/view?v=861357&amp;end_month=12&amp;end_day=31&amp;end_year=2016","Correlation")</f>
        <v>Correlation</v>
      </c>
    </row>
    <row r="79" spans="1:9" x14ac:dyDescent="0.2">
      <c r="A79" s="57" t="s">
        <v>503</v>
      </c>
      <c r="B79" s="58" t="s">
        <v>504</v>
      </c>
      <c r="C79" s="58" t="s">
        <v>505</v>
      </c>
      <c r="D79" s="59" t="s">
        <v>506</v>
      </c>
      <c r="E79" s="60" t="b">
        <v>1</v>
      </c>
      <c r="F79" s="58" t="s">
        <v>12623</v>
      </c>
      <c r="G79" s="58" t="s">
        <v>504</v>
      </c>
      <c r="H79" s="58" t="s">
        <v>505</v>
      </c>
      <c r="I79" s="63" t="str">
        <f>HYPERLINK("http://nsgreg.nga.mil/genc/view?v=861358&amp;end_month=12&amp;end_day=31&amp;end_year=2016","Correlation")</f>
        <v>Correlation</v>
      </c>
    </row>
    <row r="80" spans="1:9" x14ac:dyDescent="0.2">
      <c r="A80" s="57" t="s">
        <v>507</v>
      </c>
      <c r="B80" s="58" t="s">
        <v>508</v>
      </c>
      <c r="C80" s="69" t="s">
        <v>509</v>
      </c>
      <c r="D80" s="59" t="s">
        <v>510</v>
      </c>
      <c r="E80" s="60" t="b">
        <v>1</v>
      </c>
      <c r="F80" s="61" t="s">
        <v>167</v>
      </c>
      <c r="G80" s="61"/>
      <c r="H80" s="61"/>
      <c r="I80" s="63" t="str">
        <f>HYPERLINK("http://nsgreg.nga.mil/genc/view?v=861359&amp;end_month=12&amp;end_day=31&amp;end_year=2016","Correlation")</f>
        <v>Correlation</v>
      </c>
    </row>
    <row r="81" spans="1:9" x14ac:dyDescent="0.2">
      <c r="A81" s="57" t="s">
        <v>511</v>
      </c>
      <c r="B81" s="58" t="s">
        <v>512</v>
      </c>
      <c r="C81" s="69" t="s">
        <v>509</v>
      </c>
      <c r="D81" s="59" t="s">
        <v>513</v>
      </c>
      <c r="E81" s="60" t="b">
        <v>1</v>
      </c>
      <c r="F81" s="61" t="s">
        <v>167</v>
      </c>
      <c r="G81" s="61"/>
      <c r="H81" s="61"/>
      <c r="I81" s="63" t="str">
        <f>HYPERLINK("http://nsgreg.nga.mil/genc/view?v=861360&amp;end_month=12&amp;end_day=31&amp;end_year=2016","Correlation")</f>
        <v>Correlation</v>
      </c>
    </row>
    <row r="82" spans="1:9" x14ac:dyDescent="0.2">
      <c r="A82" s="57" t="s">
        <v>514</v>
      </c>
      <c r="B82" s="58" t="s">
        <v>515</v>
      </c>
      <c r="C82" s="69" t="s">
        <v>509</v>
      </c>
      <c r="D82" s="59" t="s">
        <v>516</v>
      </c>
      <c r="E82" s="60" t="b">
        <v>1</v>
      </c>
      <c r="F82" s="61" t="s">
        <v>167</v>
      </c>
      <c r="G82" s="61"/>
      <c r="H82" s="61"/>
      <c r="I82" s="63" t="str">
        <f>HYPERLINK("http://nsgreg.nga.mil/genc/view?v=861361&amp;end_month=12&amp;end_day=31&amp;end_year=2016","Correlation")</f>
        <v>Correlation</v>
      </c>
    </row>
    <row r="83" spans="1:9" x14ac:dyDescent="0.2">
      <c r="A83" s="57" t="s">
        <v>517</v>
      </c>
      <c r="B83" s="58" t="s">
        <v>518</v>
      </c>
      <c r="C83" s="69" t="s">
        <v>509</v>
      </c>
      <c r="D83" s="59" t="s">
        <v>519</v>
      </c>
      <c r="E83" s="60" t="b">
        <v>1</v>
      </c>
      <c r="F83" s="61" t="s">
        <v>167</v>
      </c>
      <c r="G83" s="61"/>
      <c r="H83" s="61"/>
      <c r="I83" s="63" t="str">
        <f>HYPERLINK("http://nsgreg.nga.mil/genc/view?v=861362&amp;end_month=12&amp;end_day=31&amp;end_year=2016","Correlation")</f>
        <v>Correlation</v>
      </c>
    </row>
    <row r="84" spans="1:9" x14ac:dyDescent="0.2">
      <c r="A84" s="57" t="s">
        <v>520</v>
      </c>
      <c r="B84" s="58" t="s">
        <v>521</v>
      </c>
      <c r="C84" s="69" t="s">
        <v>509</v>
      </c>
      <c r="D84" s="59" t="s">
        <v>522</v>
      </c>
      <c r="E84" s="60" t="b">
        <v>1</v>
      </c>
      <c r="F84" s="61" t="s">
        <v>167</v>
      </c>
      <c r="G84" s="61"/>
      <c r="H84" s="61"/>
      <c r="I84" s="63" t="str">
        <f>HYPERLINK("http://nsgreg.nga.mil/genc/view?v=861363&amp;end_month=12&amp;end_day=31&amp;end_year=2016","Correlation")</f>
        <v>Correlation</v>
      </c>
    </row>
    <row r="85" spans="1:9" x14ac:dyDescent="0.2">
      <c r="A85" s="57" t="s">
        <v>523</v>
      </c>
      <c r="B85" s="58" t="s">
        <v>524</v>
      </c>
      <c r="C85" s="58" t="s">
        <v>525</v>
      </c>
      <c r="D85" s="59" t="s">
        <v>526</v>
      </c>
      <c r="E85" s="60" t="b">
        <v>1</v>
      </c>
      <c r="F85" s="61" t="s">
        <v>167</v>
      </c>
      <c r="G85" s="61"/>
      <c r="H85" s="61"/>
      <c r="I85" s="63" t="str">
        <f>HYPERLINK("http://nsgreg.nga.mil/genc/view?v=861364&amp;end_month=12&amp;end_day=31&amp;end_year=2016","Correlation")</f>
        <v>Correlation</v>
      </c>
    </row>
    <row r="86" spans="1:9" x14ac:dyDescent="0.2">
      <c r="A86" s="57" t="s">
        <v>527</v>
      </c>
      <c r="B86" s="58" t="s">
        <v>528</v>
      </c>
      <c r="C86" s="58" t="s">
        <v>529</v>
      </c>
      <c r="D86" s="59" t="s">
        <v>530</v>
      </c>
      <c r="E86" s="60" t="b">
        <v>1</v>
      </c>
      <c r="F86" s="58" t="s">
        <v>12624</v>
      </c>
      <c r="G86" s="58" t="s">
        <v>528</v>
      </c>
      <c r="H86" s="58" t="s">
        <v>529</v>
      </c>
      <c r="I86" s="63" t="str">
        <f>HYPERLINK("http://nsgreg.nga.mil/genc/view?v=861365&amp;end_month=12&amp;end_day=31&amp;end_year=2016","Correlation")</f>
        <v>Correlation</v>
      </c>
    </row>
    <row r="87" spans="1:9" x14ac:dyDescent="0.2">
      <c r="A87" s="57" t="s">
        <v>531</v>
      </c>
      <c r="B87" s="58" t="s">
        <v>532</v>
      </c>
      <c r="C87" s="58" t="s">
        <v>533</v>
      </c>
      <c r="D87" s="59" t="s">
        <v>534</v>
      </c>
      <c r="E87" s="60" t="b">
        <v>1</v>
      </c>
      <c r="F87" s="58" t="s">
        <v>12625</v>
      </c>
      <c r="G87" s="58" t="s">
        <v>532</v>
      </c>
      <c r="H87" s="58" t="s">
        <v>533</v>
      </c>
      <c r="I87" s="63" t="str">
        <f>HYPERLINK("http://nsgreg.nga.mil/genc/view?v=861366&amp;end_month=12&amp;end_day=31&amp;end_year=2016","Correlation")</f>
        <v>Correlation</v>
      </c>
    </row>
    <row r="88" spans="1:9" x14ac:dyDescent="0.2">
      <c r="A88" s="57" t="s">
        <v>535</v>
      </c>
      <c r="B88" s="58" t="s">
        <v>536</v>
      </c>
      <c r="C88" s="58" t="s">
        <v>537</v>
      </c>
      <c r="D88" s="59" t="s">
        <v>538</v>
      </c>
      <c r="E88" s="60" t="b">
        <v>1</v>
      </c>
      <c r="F88" s="58" t="s">
        <v>12626</v>
      </c>
      <c r="G88" s="58" t="s">
        <v>536</v>
      </c>
      <c r="H88" s="58" t="s">
        <v>537</v>
      </c>
      <c r="I88" s="63" t="str">
        <f>HYPERLINK("http://nsgreg.nga.mil/genc/view?v=861367&amp;end_month=12&amp;end_day=31&amp;end_year=2016","Correlation")</f>
        <v>Correlation</v>
      </c>
    </row>
    <row r="89" spans="1:9" x14ac:dyDescent="0.2">
      <c r="A89" s="57" t="s">
        <v>539</v>
      </c>
      <c r="B89" s="58" t="s">
        <v>540</v>
      </c>
      <c r="C89" s="58" t="s">
        <v>541</v>
      </c>
      <c r="D89" s="59" t="s">
        <v>542</v>
      </c>
      <c r="E89" s="60" t="b">
        <v>1</v>
      </c>
      <c r="F89" s="58" t="s">
        <v>12627</v>
      </c>
      <c r="G89" s="58" t="s">
        <v>540</v>
      </c>
      <c r="H89" s="58" t="s">
        <v>541</v>
      </c>
      <c r="I89" s="63" t="str">
        <f>HYPERLINK("http://nsgreg.nga.mil/genc/view?v=861368&amp;end_month=12&amp;end_day=31&amp;end_year=2016","Correlation")</f>
        <v>Correlation</v>
      </c>
    </row>
    <row r="90" spans="1:9" x14ac:dyDescent="0.2">
      <c r="A90" s="57" t="s">
        <v>543</v>
      </c>
      <c r="B90" s="58" t="s">
        <v>544</v>
      </c>
      <c r="C90" s="58" t="s">
        <v>545</v>
      </c>
      <c r="D90" s="59" t="s">
        <v>546</v>
      </c>
      <c r="E90" s="60" t="b">
        <v>1</v>
      </c>
      <c r="F90" s="58" t="s">
        <v>12575</v>
      </c>
      <c r="G90" s="58" t="s">
        <v>266</v>
      </c>
      <c r="H90" s="58" t="s">
        <v>267</v>
      </c>
      <c r="I90" s="63" t="str">
        <f>HYPERLINK("http://nsgreg.nga.mil/genc/view?v=861369&amp;end_month=12&amp;end_day=31&amp;end_year=2016","Correlation")</f>
        <v>Correlation</v>
      </c>
    </row>
    <row r="91" spans="1:9" x14ac:dyDescent="0.2">
      <c r="A91" s="57" t="s">
        <v>547</v>
      </c>
      <c r="B91" s="58" t="s">
        <v>548</v>
      </c>
      <c r="C91" s="58" t="s">
        <v>549</v>
      </c>
      <c r="D91" s="59" t="s">
        <v>550</v>
      </c>
      <c r="E91" s="60" t="b">
        <v>1</v>
      </c>
      <c r="F91" s="58" t="s">
        <v>12628</v>
      </c>
      <c r="G91" s="58" t="s">
        <v>548</v>
      </c>
      <c r="H91" s="58" t="s">
        <v>549</v>
      </c>
      <c r="I91" s="63" t="str">
        <f>HYPERLINK("http://nsgreg.nga.mil/genc/view?v=861370&amp;end_month=12&amp;end_day=31&amp;end_year=2016","Correlation")</f>
        <v>Correlation</v>
      </c>
    </row>
    <row r="92" spans="1:9" x14ac:dyDescent="0.2">
      <c r="A92" s="57" t="s">
        <v>552</v>
      </c>
      <c r="B92" s="58" t="s">
        <v>553</v>
      </c>
      <c r="C92" s="58" t="s">
        <v>554</v>
      </c>
      <c r="D92" s="59" t="s">
        <v>555</v>
      </c>
      <c r="E92" s="60" t="b">
        <v>1</v>
      </c>
      <c r="F92" s="58" t="s">
        <v>12629</v>
      </c>
      <c r="G92" s="58" t="s">
        <v>553</v>
      </c>
      <c r="H92" s="58" t="s">
        <v>554</v>
      </c>
      <c r="I92" s="63" t="str">
        <f>HYPERLINK("http://nsgreg.nga.mil/genc/view?v=861371&amp;end_month=12&amp;end_day=31&amp;end_year=2016","Correlation")</f>
        <v>Correlation</v>
      </c>
    </row>
    <row r="93" spans="1:9" x14ac:dyDescent="0.2">
      <c r="A93" s="57" t="s">
        <v>556</v>
      </c>
      <c r="B93" s="58" t="s">
        <v>557</v>
      </c>
      <c r="C93" s="58" t="s">
        <v>558</v>
      </c>
      <c r="D93" s="59" t="s">
        <v>559</v>
      </c>
      <c r="E93" s="60" t="b">
        <v>1</v>
      </c>
      <c r="F93" s="58" t="s">
        <v>12630</v>
      </c>
      <c r="G93" s="58" t="s">
        <v>557</v>
      </c>
      <c r="H93" s="58" t="s">
        <v>558</v>
      </c>
      <c r="I93" s="63" t="str">
        <f>HYPERLINK("http://nsgreg.nga.mil/genc/view?v=861372&amp;end_month=12&amp;end_day=31&amp;end_year=2016","Correlation")</f>
        <v>Correlation</v>
      </c>
    </row>
    <row r="94" spans="1:9" x14ac:dyDescent="0.2">
      <c r="A94" s="57" t="s">
        <v>560</v>
      </c>
      <c r="B94" s="58" t="s">
        <v>561</v>
      </c>
      <c r="C94" s="58" t="s">
        <v>562</v>
      </c>
      <c r="D94" s="59" t="s">
        <v>563</v>
      </c>
      <c r="E94" s="60" t="b">
        <v>1</v>
      </c>
      <c r="F94" s="58" t="s">
        <v>12631</v>
      </c>
      <c r="G94" s="58" t="s">
        <v>561</v>
      </c>
      <c r="H94" s="58" t="s">
        <v>562</v>
      </c>
      <c r="I94" s="63" t="str">
        <f>HYPERLINK("http://nsgreg.nga.mil/genc/view?v=861373&amp;end_month=12&amp;end_day=31&amp;end_year=2016","Correlation")</f>
        <v>Correlation</v>
      </c>
    </row>
    <row r="95" spans="1:9" x14ac:dyDescent="0.2">
      <c r="A95" s="57" t="s">
        <v>404</v>
      </c>
      <c r="B95" s="58" t="s">
        <v>405</v>
      </c>
      <c r="C95" s="58" t="s">
        <v>406</v>
      </c>
      <c r="D95" s="59" t="s">
        <v>407</v>
      </c>
      <c r="E95" s="60" t="b">
        <v>1</v>
      </c>
      <c r="F95" s="58" t="s">
        <v>12605</v>
      </c>
      <c r="G95" s="58" t="s">
        <v>405</v>
      </c>
      <c r="H95" s="58" t="s">
        <v>406</v>
      </c>
      <c r="I95" s="63" t="str">
        <f>HYPERLINK("http://nsgreg.nga.mil/genc/view?v=861374&amp;end_month=12&amp;end_day=31&amp;end_year=2016","Correlation")</f>
        <v>Correlation</v>
      </c>
    </row>
    <row r="96" spans="1:9" x14ac:dyDescent="0.2">
      <c r="A96" s="57" t="s">
        <v>568</v>
      </c>
      <c r="B96" s="58" t="s">
        <v>569</v>
      </c>
      <c r="C96" s="58" t="s">
        <v>570</v>
      </c>
      <c r="D96" s="59" t="s">
        <v>571</v>
      </c>
      <c r="E96" s="60" t="b">
        <v>1</v>
      </c>
      <c r="F96" s="58" t="s">
        <v>12632</v>
      </c>
      <c r="G96" s="58" t="s">
        <v>569</v>
      </c>
      <c r="H96" s="58" t="s">
        <v>570</v>
      </c>
      <c r="I96" s="63" t="str">
        <f>HYPERLINK("http://nsgreg.nga.mil/genc/view?v=861375&amp;end_month=12&amp;end_day=31&amp;end_year=2016","Correlation")</f>
        <v>Correlation</v>
      </c>
    </row>
    <row r="97" spans="1:9" x14ac:dyDescent="0.2">
      <c r="A97" s="57" t="s">
        <v>574</v>
      </c>
      <c r="B97" s="58" t="s">
        <v>575</v>
      </c>
      <c r="C97" s="58" t="s">
        <v>576</v>
      </c>
      <c r="D97" s="59" t="s">
        <v>577</v>
      </c>
      <c r="E97" s="60" t="b">
        <v>1</v>
      </c>
      <c r="F97" s="58" t="s">
        <v>12633</v>
      </c>
      <c r="G97" s="58" t="s">
        <v>575</v>
      </c>
      <c r="H97" s="58" t="s">
        <v>576</v>
      </c>
      <c r="I97" s="63" t="str">
        <f>HYPERLINK("http://nsgreg.nga.mil/genc/view?v=861376&amp;end_month=12&amp;end_day=31&amp;end_year=2016","Correlation")</f>
        <v>Correlation</v>
      </c>
    </row>
    <row r="98" spans="1:9" x14ac:dyDescent="0.2">
      <c r="A98" s="57" t="s">
        <v>580</v>
      </c>
      <c r="B98" s="58" t="s">
        <v>266</v>
      </c>
      <c r="C98" s="58" t="s">
        <v>267</v>
      </c>
      <c r="D98" s="59" t="s">
        <v>268</v>
      </c>
      <c r="E98" s="60" t="b">
        <v>1</v>
      </c>
      <c r="F98" s="58" t="s">
        <v>12575</v>
      </c>
      <c r="G98" s="58" t="s">
        <v>266</v>
      </c>
      <c r="H98" s="58" t="s">
        <v>267</v>
      </c>
      <c r="I98" s="63" t="str">
        <f>HYPERLINK("http://nsgreg.nga.mil/genc/view?v=861377&amp;end_month=12&amp;end_day=31&amp;end_year=2016","Correlation")</f>
        <v>Correlation</v>
      </c>
    </row>
    <row r="99" spans="1:9" x14ac:dyDescent="0.2">
      <c r="A99" s="57" t="s">
        <v>581</v>
      </c>
      <c r="B99" s="58" t="s">
        <v>582</v>
      </c>
      <c r="C99" s="58" t="s">
        <v>583</v>
      </c>
      <c r="D99" s="59" t="s">
        <v>584</v>
      </c>
      <c r="E99" s="60" t="b">
        <v>1</v>
      </c>
      <c r="F99" s="58" t="s">
        <v>12634</v>
      </c>
      <c r="G99" s="58" t="s">
        <v>582</v>
      </c>
      <c r="H99" s="58" t="s">
        <v>583</v>
      </c>
      <c r="I99" s="63" t="str">
        <f>HYPERLINK("http://nsgreg.nga.mil/genc/view?v=861378&amp;end_month=12&amp;end_day=31&amp;end_year=2016","Correlation")</f>
        <v>Correlation</v>
      </c>
    </row>
    <row r="100" spans="1:9" x14ac:dyDescent="0.2">
      <c r="A100" s="57" t="s">
        <v>585</v>
      </c>
      <c r="B100" s="58" t="s">
        <v>586</v>
      </c>
      <c r="C100" s="58" t="s">
        <v>587</v>
      </c>
      <c r="D100" s="59" t="s">
        <v>588</v>
      </c>
      <c r="E100" s="60" t="b">
        <v>1</v>
      </c>
      <c r="F100" s="58" t="s">
        <v>12635</v>
      </c>
      <c r="G100" s="58" t="s">
        <v>586</v>
      </c>
      <c r="H100" s="58" t="s">
        <v>587</v>
      </c>
      <c r="I100" s="63" t="str">
        <f>HYPERLINK("http://nsgreg.nga.mil/genc/view?v=861379&amp;end_month=12&amp;end_day=31&amp;end_year=2016","Correlation")</f>
        <v>Correlation</v>
      </c>
    </row>
    <row r="101" spans="1:9" x14ac:dyDescent="0.2">
      <c r="A101" s="57" t="s">
        <v>590</v>
      </c>
      <c r="B101" s="58" t="s">
        <v>591</v>
      </c>
      <c r="C101" s="58" t="s">
        <v>592</v>
      </c>
      <c r="D101" s="59" t="s">
        <v>593</v>
      </c>
      <c r="E101" s="60" t="b">
        <v>1</v>
      </c>
      <c r="F101" s="58" t="s">
        <v>12636</v>
      </c>
      <c r="G101" s="58" t="s">
        <v>595</v>
      </c>
      <c r="H101" s="58" t="s">
        <v>596</v>
      </c>
      <c r="I101" s="63" t="str">
        <f>HYPERLINK("http://nsgreg.nga.mil/genc/view?v=861380&amp;end_month=12&amp;end_day=31&amp;end_year=2016","Correlation")</f>
        <v>Correlation</v>
      </c>
    </row>
    <row r="102" spans="1:9" x14ac:dyDescent="0.2">
      <c r="A102" s="57" t="s">
        <v>598</v>
      </c>
      <c r="B102" s="58" t="s">
        <v>599</v>
      </c>
      <c r="C102" s="58" t="s">
        <v>600</v>
      </c>
      <c r="D102" s="59" t="s">
        <v>601</v>
      </c>
      <c r="E102" s="60" t="b">
        <v>1</v>
      </c>
      <c r="F102" s="58" t="s">
        <v>11906</v>
      </c>
      <c r="G102" s="58" t="s">
        <v>599</v>
      </c>
      <c r="H102" s="58" t="s">
        <v>600</v>
      </c>
      <c r="I102" s="63" t="str">
        <f>HYPERLINK("http://nsgreg.nga.mil/genc/view?v=861381&amp;end_month=12&amp;end_day=31&amp;end_year=2016","Correlation")</f>
        <v>Correlation</v>
      </c>
    </row>
    <row r="103" spans="1:9" x14ac:dyDescent="0.2">
      <c r="A103" s="57" t="s">
        <v>602</v>
      </c>
      <c r="B103" s="58" t="s">
        <v>603</v>
      </c>
      <c r="C103" s="58" t="s">
        <v>604</v>
      </c>
      <c r="D103" s="59" t="s">
        <v>605</v>
      </c>
      <c r="E103" s="60" t="b">
        <v>1</v>
      </c>
      <c r="F103" s="58" t="s">
        <v>12637</v>
      </c>
      <c r="G103" s="58" t="s">
        <v>603</v>
      </c>
      <c r="H103" s="58" t="s">
        <v>604</v>
      </c>
      <c r="I103" s="63" t="str">
        <f>HYPERLINK("http://nsgreg.nga.mil/genc/view?v=861382&amp;end_month=12&amp;end_day=31&amp;end_year=2016","Correlation")</f>
        <v>Correlation</v>
      </c>
    </row>
    <row r="104" spans="1:9" x14ac:dyDescent="0.2">
      <c r="A104" s="57" t="s">
        <v>606</v>
      </c>
      <c r="B104" s="58" t="s">
        <v>607</v>
      </c>
      <c r="C104" s="58" t="s">
        <v>608</v>
      </c>
      <c r="D104" s="59" t="s">
        <v>609</v>
      </c>
      <c r="E104" s="60" t="b">
        <v>1</v>
      </c>
      <c r="F104" s="58" t="s">
        <v>12638</v>
      </c>
      <c r="G104" s="58" t="s">
        <v>607</v>
      </c>
      <c r="H104" s="58" t="s">
        <v>608</v>
      </c>
      <c r="I104" s="63" t="str">
        <f>HYPERLINK("http://nsgreg.nga.mil/genc/view?v=861383&amp;end_month=12&amp;end_day=31&amp;end_year=2016","Correlation")</f>
        <v>Correlation</v>
      </c>
    </row>
    <row r="105" spans="1:9" x14ac:dyDescent="0.2">
      <c r="A105" s="57" t="s">
        <v>610</v>
      </c>
      <c r="B105" s="58" t="s">
        <v>611</v>
      </c>
      <c r="C105" s="58" t="s">
        <v>612</v>
      </c>
      <c r="D105" s="59" t="s">
        <v>613</v>
      </c>
      <c r="E105" s="60" t="b">
        <v>1</v>
      </c>
      <c r="F105" s="58" t="s">
        <v>12639</v>
      </c>
      <c r="G105" s="58" t="s">
        <v>611</v>
      </c>
      <c r="H105" s="58" t="s">
        <v>612</v>
      </c>
      <c r="I105" s="63" t="str">
        <f>HYPERLINK("http://nsgreg.nga.mil/genc/view?v=861384&amp;end_month=12&amp;end_day=31&amp;end_year=2016","Correlation")</f>
        <v>Correlation</v>
      </c>
    </row>
    <row r="106" spans="1:9" x14ac:dyDescent="0.2">
      <c r="A106" s="57" t="s">
        <v>614</v>
      </c>
      <c r="B106" s="58" t="s">
        <v>615</v>
      </c>
      <c r="C106" s="58" t="s">
        <v>616</v>
      </c>
      <c r="D106" s="59" t="s">
        <v>617</v>
      </c>
      <c r="E106" s="60" t="b">
        <v>1</v>
      </c>
      <c r="F106" s="58" t="s">
        <v>12575</v>
      </c>
      <c r="G106" s="58" t="s">
        <v>266</v>
      </c>
      <c r="H106" s="58" t="s">
        <v>267</v>
      </c>
      <c r="I106" s="63" t="str">
        <f>HYPERLINK("http://nsgreg.nga.mil/genc/view?v=861385&amp;end_month=12&amp;end_day=31&amp;end_year=2016","Correlation")</f>
        <v>Correlation</v>
      </c>
    </row>
    <row r="107" spans="1:9" x14ac:dyDescent="0.2">
      <c r="A107" s="57" t="s">
        <v>618</v>
      </c>
      <c r="B107" s="58" t="s">
        <v>619</v>
      </c>
      <c r="C107" s="58" t="s">
        <v>620</v>
      </c>
      <c r="D107" s="59" t="s">
        <v>621</v>
      </c>
      <c r="E107" s="60" t="b">
        <v>1</v>
      </c>
      <c r="F107" s="58" t="s">
        <v>12640</v>
      </c>
      <c r="G107" s="58" t="s">
        <v>619</v>
      </c>
      <c r="H107" s="58" t="s">
        <v>620</v>
      </c>
      <c r="I107" s="63" t="str">
        <f>HYPERLINK("http://nsgreg.nga.mil/genc/view?v=861386&amp;end_month=12&amp;end_day=31&amp;end_year=2016","Correlation")</f>
        <v>Correlation</v>
      </c>
    </row>
    <row r="108" spans="1:9" x14ac:dyDescent="0.2">
      <c r="A108" s="57" t="s">
        <v>622</v>
      </c>
      <c r="B108" s="58" t="s">
        <v>623</v>
      </c>
      <c r="C108" s="58" t="s">
        <v>624</v>
      </c>
      <c r="D108" s="59" t="s">
        <v>625</v>
      </c>
      <c r="E108" s="60" t="b">
        <v>1</v>
      </c>
      <c r="F108" s="58" t="s">
        <v>12641</v>
      </c>
      <c r="G108" s="58" t="s">
        <v>623</v>
      </c>
      <c r="H108" s="58" t="s">
        <v>624</v>
      </c>
      <c r="I108" s="63" t="str">
        <f>HYPERLINK("http://nsgreg.nga.mil/genc/view?v=861387&amp;end_month=12&amp;end_day=31&amp;end_year=2016","Correlation")</f>
        <v>Correlation</v>
      </c>
    </row>
    <row r="109" spans="1:9" x14ac:dyDescent="0.2">
      <c r="A109" s="57" t="s">
        <v>626</v>
      </c>
      <c r="B109" s="58" t="s">
        <v>627</v>
      </c>
      <c r="C109" s="58" t="s">
        <v>628</v>
      </c>
      <c r="D109" s="59" t="s">
        <v>629</v>
      </c>
      <c r="E109" s="60" t="b">
        <v>1</v>
      </c>
      <c r="F109" s="58" t="s">
        <v>12642</v>
      </c>
      <c r="G109" s="58" t="s">
        <v>627</v>
      </c>
      <c r="H109" s="58" t="s">
        <v>628</v>
      </c>
      <c r="I109" s="63" t="str">
        <f>HYPERLINK("http://nsgreg.nga.mil/genc/view?v=861388&amp;end_month=12&amp;end_day=31&amp;end_year=2016","Correlation")</f>
        <v>Correlation</v>
      </c>
    </row>
    <row r="110" spans="1:9" x14ac:dyDescent="0.2">
      <c r="A110" s="57" t="s">
        <v>630</v>
      </c>
      <c r="B110" s="58" t="s">
        <v>631</v>
      </c>
      <c r="C110" s="58" t="s">
        <v>632</v>
      </c>
      <c r="D110" s="59" t="s">
        <v>633</v>
      </c>
      <c r="E110" s="60" t="b">
        <v>1</v>
      </c>
      <c r="F110" s="58" t="s">
        <v>634</v>
      </c>
      <c r="G110" s="58" t="s">
        <v>631</v>
      </c>
      <c r="H110" s="58" t="s">
        <v>632</v>
      </c>
      <c r="I110" s="63" t="str">
        <f>HYPERLINK("http://nsgreg.nga.mil/genc/view?v=861389&amp;end_month=12&amp;end_day=31&amp;end_year=2016","Correlation")</f>
        <v>Correlation</v>
      </c>
    </row>
    <row r="111" spans="1:9" x14ac:dyDescent="0.2">
      <c r="A111" s="57" t="s">
        <v>637</v>
      </c>
      <c r="B111" s="58" t="s">
        <v>638</v>
      </c>
      <c r="C111" s="58" t="s">
        <v>639</v>
      </c>
      <c r="D111" s="59" t="s">
        <v>640</v>
      </c>
      <c r="E111" s="60" t="b">
        <v>1</v>
      </c>
      <c r="F111" s="58" t="s">
        <v>641</v>
      </c>
      <c r="G111" s="58" t="s">
        <v>638</v>
      </c>
      <c r="H111" s="58" t="s">
        <v>639</v>
      </c>
      <c r="I111" s="63" t="str">
        <f>HYPERLINK("http://nsgreg.nga.mil/genc/view?v=861390&amp;end_month=12&amp;end_day=31&amp;end_year=2016","Correlation")</f>
        <v>Correlation</v>
      </c>
    </row>
    <row r="112" spans="1:9" x14ac:dyDescent="0.2">
      <c r="A112" s="57" t="s">
        <v>643</v>
      </c>
      <c r="B112" s="58" t="s">
        <v>644</v>
      </c>
      <c r="C112" s="58" t="s">
        <v>645</v>
      </c>
      <c r="D112" s="59" t="s">
        <v>646</v>
      </c>
      <c r="E112" s="60" t="b">
        <v>1</v>
      </c>
      <c r="F112" s="58" t="s">
        <v>12615</v>
      </c>
      <c r="G112" s="58" t="s">
        <v>454</v>
      </c>
      <c r="H112" s="58" t="s">
        <v>455</v>
      </c>
      <c r="I112" s="63" t="str">
        <f>HYPERLINK("http://nsgreg.nga.mil/genc/view?v=861391&amp;end_month=12&amp;end_day=31&amp;end_year=2016","Correlation")</f>
        <v>Correlation</v>
      </c>
    </row>
    <row r="113" spans="1:9" x14ac:dyDescent="0.2">
      <c r="A113" s="57" t="s">
        <v>647</v>
      </c>
      <c r="B113" s="58" t="s">
        <v>648</v>
      </c>
      <c r="C113" s="58" t="s">
        <v>649</v>
      </c>
      <c r="D113" s="59" t="s">
        <v>650</v>
      </c>
      <c r="E113" s="60" t="b">
        <v>1</v>
      </c>
      <c r="F113" s="58" t="s">
        <v>4543</v>
      </c>
      <c r="G113" s="58" t="s">
        <v>648</v>
      </c>
      <c r="H113" s="58" t="s">
        <v>649</v>
      </c>
      <c r="I113" s="63" t="str">
        <f>HYPERLINK("http://nsgreg.nga.mil/genc/view?v=861392&amp;end_month=12&amp;end_day=31&amp;end_year=2016","Correlation")</f>
        <v>Correlation</v>
      </c>
    </row>
    <row r="114" spans="1:9" x14ac:dyDescent="0.2">
      <c r="A114" s="57" t="s">
        <v>651</v>
      </c>
      <c r="B114" s="58" t="s">
        <v>652</v>
      </c>
      <c r="C114" s="58" t="s">
        <v>653</v>
      </c>
      <c r="D114" s="59" t="s">
        <v>654</v>
      </c>
      <c r="E114" s="60" t="b">
        <v>1</v>
      </c>
      <c r="F114" s="58" t="s">
        <v>12643</v>
      </c>
      <c r="G114" s="58" t="s">
        <v>1333</v>
      </c>
      <c r="H114" s="58" t="s">
        <v>1334</v>
      </c>
      <c r="I114" s="63" t="str">
        <f>HYPERLINK("http://nsgreg.nga.mil/genc/view?v=861393&amp;end_month=12&amp;end_day=31&amp;end_year=2016","Correlation")</f>
        <v>Correlation</v>
      </c>
    </row>
    <row r="115" spans="1:9" x14ac:dyDescent="0.2">
      <c r="A115" s="57" t="s">
        <v>655</v>
      </c>
      <c r="B115" s="58" t="s">
        <v>656</v>
      </c>
      <c r="C115" s="58" t="s">
        <v>657</v>
      </c>
      <c r="D115" s="59" t="s">
        <v>658</v>
      </c>
      <c r="E115" s="60" t="b">
        <v>1</v>
      </c>
      <c r="F115" s="58" t="s">
        <v>12644</v>
      </c>
      <c r="G115" s="58" t="s">
        <v>656</v>
      </c>
      <c r="H115" s="58" t="s">
        <v>657</v>
      </c>
      <c r="I115" s="63" t="str">
        <f>HYPERLINK("http://nsgreg.nga.mil/genc/view?v=861394&amp;end_month=12&amp;end_day=31&amp;end_year=2016","Correlation")</f>
        <v>Correlation</v>
      </c>
    </row>
    <row r="116" spans="1:9" x14ac:dyDescent="0.2">
      <c r="A116" s="57" t="s">
        <v>659</v>
      </c>
      <c r="B116" s="58" t="s">
        <v>660</v>
      </c>
      <c r="C116" s="58" t="s">
        <v>661</v>
      </c>
      <c r="D116" s="59" t="s">
        <v>662</v>
      </c>
      <c r="E116" s="60" t="b">
        <v>1</v>
      </c>
      <c r="F116" s="58" t="s">
        <v>12645</v>
      </c>
      <c r="G116" s="58" t="s">
        <v>660</v>
      </c>
      <c r="H116" s="58" t="s">
        <v>661</v>
      </c>
      <c r="I116" s="63" t="str">
        <f>HYPERLINK("http://nsgreg.nga.mil/genc/view?v=861395&amp;end_month=12&amp;end_day=31&amp;end_year=2016","Correlation")</f>
        <v>Correlation</v>
      </c>
    </row>
    <row r="117" spans="1:9" x14ac:dyDescent="0.2">
      <c r="A117" s="57" t="s">
        <v>663</v>
      </c>
      <c r="B117" s="58" t="s">
        <v>664</v>
      </c>
      <c r="C117" s="58" t="s">
        <v>665</v>
      </c>
      <c r="D117" s="59" t="s">
        <v>666</v>
      </c>
      <c r="E117" s="60" t="b">
        <v>1</v>
      </c>
      <c r="F117" s="58" t="s">
        <v>12646</v>
      </c>
      <c r="G117" s="58" t="s">
        <v>664</v>
      </c>
      <c r="H117" s="58" t="s">
        <v>665</v>
      </c>
      <c r="I117" s="63" t="str">
        <f>HYPERLINK("http://nsgreg.nga.mil/genc/view?v=861396&amp;end_month=12&amp;end_day=31&amp;end_year=2016","Correlation")</f>
        <v>Correlation</v>
      </c>
    </row>
    <row r="118" spans="1:9" x14ac:dyDescent="0.2">
      <c r="A118" s="57" t="s">
        <v>667</v>
      </c>
      <c r="B118" s="58" t="s">
        <v>668</v>
      </c>
      <c r="C118" s="58" t="s">
        <v>669</v>
      </c>
      <c r="D118" s="59" t="s">
        <v>670</v>
      </c>
      <c r="E118" s="60" t="b">
        <v>1</v>
      </c>
      <c r="F118" s="58" t="s">
        <v>12647</v>
      </c>
      <c r="G118" s="58" t="s">
        <v>668</v>
      </c>
      <c r="H118" s="58" t="s">
        <v>669</v>
      </c>
      <c r="I118" s="63" t="str">
        <f>HYPERLINK("http://nsgreg.nga.mil/genc/view?v=861397&amp;end_month=12&amp;end_day=31&amp;end_year=2016","Correlation")</f>
        <v>Correlation</v>
      </c>
    </row>
    <row r="119" spans="1:9" x14ac:dyDescent="0.2">
      <c r="A119" s="57" t="s">
        <v>671</v>
      </c>
      <c r="B119" s="58" t="s">
        <v>672</v>
      </c>
      <c r="C119" s="58" t="s">
        <v>673</v>
      </c>
      <c r="D119" s="59" t="s">
        <v>674</v>
      </c>
      <c r="E119" s="60" t="b">
        <v>1</v>
      </c>
      <c r="F119" s="58" t="s">
        <v>12648</v>
      </c>
      <c r="G119" s="58" t="s">
        <v>672</v>
      </c>
      <c r="H119" s="58" t="s">
        <v>673</v>
      </c>
      <c r="I119" s="63" t="str">
        <f>HYPERLINK("http://nsgreg.nga.mil/genc/view?v=861398&amp;end_month=12&amp;end_day=31&amp;end_year=2016","Correlation")</f>
        <v>Correlation</v>
      </c>
    </row>
    <row r="120" spans="1:9" x14ac:dyDescent="0.2">
      <c r="A120" s="57" t="s">
        <v>675</v>
      </c>
      <c r="B120" s="58" t="s">
        <v>676</v>
      </c>
      <c r="C120" s="58" t="s">
        <v>677</v>
      </c>
      <c r="D120" s="59" t="s">
        <v>678</v>
      </c>
      <c r="E120" s="60" t="b">
        <v>1</v>
      </c>
      <c r="F120" s="58" t="s">
        <v>12649</v>
      </c>
      <c r="G120" s="58" t="s">
        <v>676</v>
      </c>
      <c r="H120" s="58" t="s">
        <v>677</v>
      </c>
      <c r="I120" s="63" t="str">
        <f>HYPERLINK("http://nsgreg.nga.mil/genc/view?v=861399&amp;end_month=12&amp;end_day=31&amp;end_year=2016","Correlation")</f>
        <v>Correlation</v>
      </c>
    </row>
    <row r="121" spans="1:9" x14ac:dyDescent="0.2">
      <c r="A121" s="57" t="s">
        <v>679</v>
      </c>
      <c r="B121" s="58" t="s">
        <v>680</v>
      </c>
      <c r="C121" s="58" t="s">
        <v>681</v>
      </c>
      <c r="D121" s="59" t="s">
        <v>682</v>
      </c>
      <c r="E121" s="60" t="b">
        <v>1</v>
      </c>
      <c r="F121" s="58" t="s">
        <v>12650</v>
      </c>
      <c r="G121" s="58" t="s">
        <v>680</v>
      </c>
      <c r="H121" s="58" t="s">
        <v>681</v>
      </c>
      <c r="I121" s="63" t="str">
        <f>HYPERLINK("http://nsgreg.nga.mil/genc/view?v=861400&amp;end_month=12&amp;end_day=31&amp;end_year=2016","Correlation")</f>
        <v>Correlation</v>
      </c>
    </row>
    <row r="122" spans="1:9" x14ac:dyDescent="0.2">
      <c r="A122" s="57" t="s">
        <v>685</v>
      </c>
      <c r="B122" s="58" t="s">
        <v>686</v>
      </c>
      <c r="C122" s="58" t="s">
        <v>687</v>
      </c>
      <c r="D122" s="59" t="s">
        <v>688</v>
      </c>
      <c r="E122" s="60" t="b">
        <v>1</v>
      </c>
      <c r="F122" s="58" t="s">
        <v>12572</v>
      </c>
      <c r="G122" s="58" t="s">
        <v>246</v>
      </c>
      <c r="H122" s="58" t="s">
        <v>247</v>
      </c>
      <c r="I122" s="63" t="str">
        <f>HYPERLINK("http://nsgreg.nga.mil/genc/view?v=861401&amp;end_month=12&amp;end_day=31&amp;end_year=2016","Correlation")</f>
        <v>Correlation</v>
      </c>
    </row>
    <row r="123" spans="1:9" x14ac:dyDescent="0.2">
      <c r="A123" s="57" t="s">
        <v>691</v>
      </c>
      <c r="B123" s="58" t="s">
        <v>692</v>
      </c>
      <c r="C123" s="58" t="s">
        <v>693</v>
      </c>
      <c r="D123" s="59" t="s">
        <v>694</v>
      </c>
      <c r="E123" s="60" t="b">
        <v>1</v>
      </c>
      <c r="F123" s="58" t="s">
        <v>12651</v>
      </c>
      <c r="G123" s="58" t="s">
        <v>692</v>
      </c>
      <c r="H123" s="58" t="s">
        <v>693</v>
      </c>
      <c r="I123" s="63" t="str">
        <f>HYPERLINK("http://nsgreg.nga.mil/genc/view?v=861402&amp;end_month=12&amp;end_day=31&amp;end_year=2016","Correlation")</f>
        <v>Correlation</v>
      </c>
    </row>
    <row r="124" spans="1:9" x14ac:dyDescent="0.2">
      <c r="A124" s="57" t="s">
        <v>695</v>
      </c>
      <c r="B124" s="58" t="s">
        <v>696</v>
      </c>
      <c r="C124" s="58" t="s">
        <v>697</v>
      </c>
      <c r="D124" s="59" t="s">
        <v>698</v>
      </c>
      <c r="E124" s="60" t="b">
        <v>1</v>
      </c>
      <c r="F124" s="58" t="s">
        <v>12652</v>
      </c>
      <c r="G124" s="58" t="s">
        <v>696</v>
      </c>
      <c r="H124" s="58" t="s">
        <v>697</v>
      </c>
      <c r="I124" s="63" t="str">
        <f>HYPERLINK("http://nsgreg.nga.mil/genc/view?v=861403&amp;end_month=12&amp;end_day=31&amp;end_year=2016","Correlation")</f>
        <v>Correlation</v>
      </c>
    </row>
    <row r="125" spans="1:9" x14ac:dyDescent="0.2">
      <c r="A125" s="57" t="s">
        <v>699</v>
      </c>
      <c r="B125" s="58" t="s">
        <v>700</v>
      </c>
      <c r="C125" s="58" t="s">
        <v>701</v>
      </c>
      <c r="D125" s="59" t="s">
        <v>702</v>
      </c>
      <c r="E125" s="60" t="b">
        <v>1</v>
      </c>
      <c r="F125" s="58" t="s">
        <v>12653</v>
      </c>
      <c r="G125" s="58" t="s">
        <v>700</v>
      </c>
      <c r="H125" s="58" t="s">
        <v>701</v>
      </c>
      <c r="I125" s="63" t="str">
        <f>HYPERLINK("http://nsgreg.nga.mil/genc/view?v=861404&amp;end_month=12&amp;end_day=31&amp;end_year=2016","Correlation")</f>
        <v>Correlation</v>
      </c>
    </row>
    <row r="126" spans="1:9" x14ac:dyDescent="0.2">
      <c r="A126" s="57" t="s">
        <v>703</v>
      </c>
      <c r="B126" s="58" t="s">
        <v>704</v>
      </c>
      <c r="C126" s="58" t="s">
        <v>705</v>
      </c>
      <c r="D126" s="59" t="s">
        <v>706</v>
      </c>
      <c r="E126" s="60" t="b">
        <v>1</v>
      </c>
      <c r="F126" s="58" t="s">
        <v>12654</v>
      </c>
      <c r="G126" s="58" t="s">
        <v>704</v>
      </c>
      <c r="H126" s="58" t="s">
        <v>705</v>
      </c>
      <c r="I126" s="63" t="str">
        <f>HYPERLINK("http://nsgreg.nga.mil/genc/view?v=861405&amp;end_month=12&amp;end_day=31&amp;end_year=2016","Correlation")</f>
        <v>Correlation</v>
      </c>
    </row>
    <row r="127" spans="1:9" x14ac:dyDescent="0.2">
      <c r="A127" s="57" t="s">
        <v>707</v>
      </c>
      <c r="B127" s="58" t="s">
        <v>708</v>
      </c>
      <c r="C127" s="58" t="s">
        <v>709</v>
      </c>
      <c r="D127" s="59" t="s">
        <v>710</v>
      </c>
      <c r="E127" s="60" t="b">
        <v>1</v>
      </c>
      <c r="F127" s="58" t="s">
        <v>12655</v>
      </c>
      <c r="G127" s="58" t="s">
        <v>708</v>
      </c>
      <c r="H127" s="58" t="s">
        <v>709</v>
      </c>
      <c r="I127" s="63" t="str">
        <f>HYPERLINK("http://nsgreg.nga.mil/genc/view?v=861406&amp;end_month=12&amp;end_day=31&amp;end_year=2016","Correlation")</f>
        <v>Correlation</v>
      </c>
    </row>
    <row r="128" spans="1:9" x14ac:dyDescent="0.2">
      <c r="A128" s="57" t="s">
        <v>712</v>
      </c>
      <c r="B128" s="58" t="s">
        <v>713</v>
      </c>
      <c r="C128" s="58" t="s">
        <v>714</v>
      </c>
      <c r="D128" s="59" t="s">
        <v>715</v>
      </c>
      <c r="E128" s="60" t="b">
        <v>1</v>
      </c>
      <c r="F128" s="58" t="s">
        <v>12656</v>
      </c>
      <c r="G128" s="58" t="s">
        <v>713</v>
      </c>
      <c r="H128" s="58" t="s">
        <v>714</v>
      </c>
      <c r="I128" s="63" t="str">
        <f>HYPERLINK("http://nsgreg.nga.mil/genc/view?v=861407&amp;end_month=12&amp;end_day=31&amp;end_year=2016","Correlation")</f>
        <v>Correlation</v>
      </c>
    </row>
    <row r="129" spans="1:9" x14ac:dyDescent="0.2">
      <c r="A129" s="57" t="s">
        <v>716</v>
      </c>
      <c r="B129" s="58" t="s">
        <v>717</v>
      </c>
      <c r="C129" s="58" t="s">
        <v>718</v>
      </c>
      <c r="D129" s="59" t="s">
        <v>719</v>
      </c>
      <c r="E129" s="60" t="b">
        <v>1</v>
      </c>
      <c r="F129" s="58" t="s">
        <v>12657</v>
      </c>
      <c r="G129" s="58" t="s">
        <v>717</v>
      </c>
      <c r="H129" s="58" t="s">
        <v>718</v>
      </c>
      <c r="I129" s="63" t="str">
        <f>HYPERLINK("http://nsgreg.nga.mil/genc/view?v=861408&amp;end_month=12&amp;end_day=31&amp;end_year=2016","Correlation")</f>
        <v>Correlation</v>
      </c>
    </row>
    <row r="130" spans="1:9" x14ac:dyDescent="0.2">
      <c r="A130" s="57" t="s">
        <v>720</v>
      </c>
      <c r="B130" s="58" t="s">
        <v>721</v>
      </c>
      <c r="C130" s="58" t="s">
        <v>722</v>
      </c>
      <c r="D130" s="59" t="s">
        <v>723</v>
      </c>
      <c r="E130" s="60" t="b">
        <v>1</v>
      </c>
      <c r="F130" s="58" t="s">
        <v>12643</v>
      </c>
      <c r="G130" s="58" t="s">
        <v>1333</v>
      </c>
      <c r="H130" s="58" t="s">
        <v>1334</v>
      </c>
      <c r="I130" s="63" t="str">
        <f>HYPERLINK("http://nsgreg.nga.mil/genc/view?v=861409&amp;end_month=12&amp;end_day=31&amp;end_year=2016","Correlation")</f>
        <v>Correlation</v>
      </c>
    </row>
    <row r="131" spans="1:9" x14ac:dyDescent="0.2">
      <c r="A131" s="57" t="s">
        <v>724</v>
      </c>
      <c r="B131" s="58" t="s">
        <v>725</v>
      </c>
      <c r="C131" s="58" t="s">
        <v>726</v>
      </c>
      <c r="D131" s="59" t="s">
        <v>727</v>
      </c>
      <c r="E131" s="60" t="b">
        <v>1</v>
      </c>
      <c r="F131" s="58" t="s">
        <v>12658</v>
      </c>
      <c r="G131" s="58" t="s">
        <v>725</v>
      </c>
      <c r="H131" s="58" t="s">
        <v>726</v>
      </c>
      <c r="I131" s="63" t="str">
        <f>HYPERLINK("http://nsgreg.nga.mil/genc/view?v=861410&amp;end_month=12&amp;end_day=31&amp;end_year=2016","Correlation")</f>
        <v>Correlation</v>
      </c>
    </row>
    <row r="132" spans="1:9" x14ac:dyDescent="0.2">
      <c r="A132" s="57" t="s">
        <v>728</v>
      </c>
      <c r="B132" s="58" t="s">
        <v>729</v>
      </c>
      <c r="C132" s="58" t="s">
        <v>730</v>
      </c>
      <c r="D132" s="59" t="s">
        <v>731</v>
      </c>
      <c r="E132" s="60" t="b">
        <v>1</v>
      </c>
      <c r="F132" s="58" t="s">
        <v>12659</v>
      </c>
      <c r="G132" s="58" t="s">
        <v>729</v>
      </c>
      <c r="H132" s="58" t="s">
        <v>730</v>
      </c>
      <c r="I132" s="63" t="str">
        <f>HYPERLINK("http://nsgreg.nga.mil/genc/view?v=861411&amp;end_month=12&amp;end_day=31&amp;end_year=2016","Correlation")</f>
        <v>Correlation</v>
      </c>
    </row>
    <row r="133" spans="1:9" x14ac:dyDescent="0.2">
      <c r="A133" s="57" t="s">
        <v>732</v>
      </c>
      <c r="B133" s="58" t="s">
        <v>733</v>
      </c>
      <c r="C133" s="58" t="s">
        <v>734</v>
      </c>
      <c r="D133" s="59" t="s">
        <v>735</v>
      </c>
      <c r="E133" s="60" t="b">
        <v>1</v>
      </c>
      <c r="F133" s="58" t="s">
        <v>12660</v>
      </c>
      <c r="G133" s="58" t="s">
        <v>733</v>
      </c>
      <c r="H133" s="58" t="s">
        <v>734</v>
      </c>
      <c r="I133" s="63" t="str">
        <f>HYPERLINK("http://nsgreg.nga.mil/genc/view?v=861412&amp;end_month=12&amp;end_day=31&amp;end_year=2016","Correlation")</f>
        <v>Correlation</v>
      </c>
    </row>
    <row r="134" spans="1:9" x14ac:dyDescent="0.2">
      <c r="A134" s="57" t="s">
        <v>736</v>
      </c>
      <c r="B134" s="58" t="s">
        <v>737</v>
      </c>
      <c r="C134" s="58" t="s">
        <v>738</v>
      </c>
      <c r="D134" s="59" t="s">
        <v>739</v>
      </c>
      <c r="E134" s="60" t="b">
        <v>1</v>
      </c>
      <c r="F134" s="58" t="s">
        <v>12661</v>
      </c>
      <c r="G134" s="58" t="s">
        <v>741</v>
      </c>
      <c r="H134" s="58" t="s">
        <v>742</v>
      </c>
      <c r="I134" s="63" t="str">
        <f>HYPERLINK("http://nsgreg.nga.mil/genc/view?v=861413&amp;end_month=12&amp;end_day=31&amp;end_year=2016","Correlation")</f>
        <v>Correlation</v>
      </c>
    </row>
    <row r="135" spans="1:9" x14ac:dyDescent="0.2">
      <c r="A135" s="57" t="s">
        <v>746</v>
      </c>
      <c r="B135" s="58" t="s">
        <v>747</v>
      </c>
      <c r="C135" s="58" t="s">
        <v>748</v>
      </c>
      <c r="D135" s="59" t="s">
        <v>749</v>
      </c>
      <c r="E135" s="60" t="b">
        <v>1</v>
      </c>
      <c r="F135" s="58" t="s">
        <v>12662</v>
      </c>
      <c r="G135" s="58" t="s">
        <v>747</v>
      </c>
      <c r="H135" s="58" t="s">
        <v>748</v>
      </c>
      <c r="I135" s="63" t="str">
        <f>HYPERLINK("http://nsgreg.nga.mil/genc/view?v=861414&amp;end_month=12&amp;end_day=31&amp;end_year=2016","Correlation")</f>
        <v>Correlation</v>
      </c>
    </row>
    <row r="136" spans="1:9" x14ac:dyDescent="0.2">
      <c r="A136" s="57" t="s">
        <v>750</v>
      </c>
      <c r="B136" s="58" t="s">
        <v>751</v>
      </c>
      <c r="C136" s="58" t="s">
        <v>752</v>
      </c>
      <c r="D136" s="59" t="s">
        <v>753</v>
      </c>
      <c r="E136" s="60" t="b">
        <v>1</v>
      </c>
      <c r="F136" s="58" t="s">
        <v>12572</v>
      </c>
      <c r="G136" s="58" t="s">
        <v>246</v>
      </c>
      <c r="H136" s="58" t="s">
        <v>247</v>
      </c>
      <c r="I136" s="63" t="str">
        <f>HYPERLINK("http://nsgreg.nga.mil/genc/view?v=861415&amp;end_month=12&amp;end_day=31&amp;end_year=2016","Correlation")</f>
        <v>Correlation</v>
      </c>
    </row>
    <row r="137" spans="1:9" x14ac:dyDescent="0.2">
      <c r="A137" s="57" t="s">
        <v>756</v>
      </c>
      <c r="B137" s="58" t="s">
        <v>757</v>
      </c>
      <c r="C137" s="58" t="s">
        <v>758</v>
      </c>
      <c r="D137" s="59" t="s">
        <v>759</v>
      </c>
      <c r="E137" s="60" t="b">
        <v>1</v>
      </c>
      <c r="F137" s="58" t="s">
        <v>12643</v>
      </c>
      <c r="G137" s="58" t="s">
        <v>1333</v>
      </c>
      <c r="H137" s="58" t="s">
        <v>1334</v>
      </c>
      <c r="I137" s="63" t="str">
        <f>HYPERLINK("http://nsgreg.nga.mil/genc/view?v=861416&amp;end_month=12&amp;end_day=31&amp;end_year=2016","Correlation")</f>
        <v>Correlation</v>
      </c>
    </row>
    <row r="138" spans="1:9" x14ac:dyDescent="0.2">
      <c r="A138" s="57" t="s">
        <v>760</v>
      </c>
      <c r="B138" s="58" t="s">
        <v>761</v>
      </c>
      <c r="C138" s="58" t="s">
        <v>762</v>
      </c>
      <c r="D138" s="59" t="s">
        <v>763</v>
      </c>
      <c r="E138" s="60" t="b">
        <v>1</v>
      </c>
      <c r="F138" s="58" t="s">
        <v>12572</v>
      </c>
      <c r="G138" s="58" t="s">
        <v>246</v>
      </c>
      <c r="H138" s="58" t="s">
        <v>247</v>
      </c>
      <c r="I138" s="63" t="str">
        <f>HYPERLINK("http://nsgreg.nga.mil/genc/view?v=861417&amp;end_month=12&amp;end_day=31&amp;end_year=2016","Correlation")</f>
        <v>Correlation</v>
      </c>
    </row>
    <row r="139" spans="1:9" x14ac:dyDescent="0.2">
      <c r="A139" s="57" t="s">
        <v>766</v>
      </c>
      <c r="B139" s="58" t="s">
        <v>767</v>
      </c>
      <c r="C139" s="58" t="s">
        <v>768</v>
      </c>
      <c r="D139" s="59" t="s">
        <v>769</v>
      </c>
      <c r="E139" s="60" t="b">
        <v>1</v>
      </c>
      <c r="F139" s="58" t="s">
        <v>12663</v>
      </c>
      <c r="G139" s="58" t="s">
        <v>767</v>
      </c>
      <c r="H139" s="58" t="s">
        <v>768</v>
      </c>
      <c r="I139" s="63" t="str">
        <f>HYPERLINK("http://nsgreg.nga.mil/genc/view?v=861418&amp;end_month=12&amp;end_day=31&amp;end_year=2016","Correlation")</f>
        <v>Correlation</v>
      </c>
    </row>
    <row r="140" spans="1:9" x14ac:dyDescent="0.2">
      <c r="A140" s="57" t="s">
        <v>770</v>
      </c>
      <c r="B140" s="58" t="s">
        <v>771</v>
      </c>
      <c r="C140" s="58" t="s">
        <v>772</v>
      </c>
      <c r="D140" s="59" t="s">
        <v>773</v>
      </c>
      <c r="E140" s="60" t="b">
        <v>1</v>
      </c>
      <c r="F140" s="58" t="s">
        <v>12575</v>
      </c>
      <c r="G140" s="58" t="s">
        <v>266</v>
      </c>
      <c r="H140" s="58" t="s">
        <v>267</v>
      </c>
      <c r="I140" s="63" t="str">
        <f>HYPERLINK("http://nsgreg.nga.mil/genc/view?v=861419&amp;end_month=12&amp;end_day=31&amp;end_year=2016","Correlation")</f>
        <v>Correlation</v>
      </c>
    </row>
    <row r="141" spans="1:9" x14ac:dyDescent="0.2">
      <c r="A141" s="57" t="s">
        <v>774</v>
      </c>
      <c r="B141" s="58" t="s">
        <v>775</v>
      </c>
      <c r="C141" s="58" t="s">
        <v>776</v>
      </c>
      <c r="D141" s="59" t="s">
        <v>777</v>
      </c>
      <c r="E141" s="60" t="b">
        <v>1</v>
      </c>
      <c r="F141" s="58" t="s">
        <v>12664</v>
      </c>
      <c r="G141" s="58" t="s">
        <v>775</v>
      </c>
      <c r="H141" s="58" t="s">
        <v>776</v>
      </c>
      <c r="I141" s="63" t="str">
        <f>HYPERLINK("http://nsgreg.nga.mil/genc/view?v=861420&amp;end_month=12&amp;end_day=31&amp;end_year=2016","Correlation")</f>
        <v>Correlation</v>
      </c>
    </row>
    <row r="142" spans="1:9" x14ac:dyDescent="0.2">
      <c r="A142" s="57" t="s">
        <v>778</v>
      </c>
      <c r="B142" s="58" t="s">
        <v>779</v>
      </c>
      <c r="C142" s="58" t="s">
        <v>780</v>
      </c>
      <c r="D142" s="59" t="s">
        <v>781</v>
      </c>
      <c r="E142" s="60" t="b">
        <v>1</v>
      </c>
      <c r="F142" s="58" t="s">
        <v>12665</v>
      </c>
      <c r="G142" s="58" t="s">
        <v>779</v>
      </c>
      <c r="H142" s="58" t="s">
        <v>780</v>
      </c>
      <c r="I142" s="63" t="str">
        <f>HYPERLINK("http://nsgreg.nga.mil/genc/view?v=861421&amp;end_month=12&amp;end_day=31&amp;end_year=2016","Correlation")</f>
        <v>Correlation</v>
      </c>
    </row>
    <row r="143" spans="1:9" x14ac:dyDescent="0.2">
      <c r="A143" s="57" t="s">
        <v>782</v>
      </c>
      <c r="B143" s="58" t="s">
        <v>783</v>
      </c>
      <c r="C143" s="58" t="s">
        <v>784</v>
      </c>
      <c r="D143" s="59" t="s">
        <v>785</v>
      </c>
      <c r="E143" s="60" t="b">
        <v>1</v>
      </c>
      <c r="F143" s="58" t="s">
        <v>12572</v>
      </c>
      <c r="G143" s="58" t="s">
        <v>246</v>
      </c>
      <c r="H143" s="58" t="s">
        <v>247</v>
      </c>
      <c r="I143" s="63" t="str">
        <f>HYPERLINK("http://nsgreg.nga.mil/genc/view?v=861422&amp;end_month=12&amp;end_day=31&amp;end_year=2016","Correlation")</f>
        <v>Correlation</v>
      </c>
    </row>
    <row r="144" spans="1:9" x14ac:dyDescent="0.2">
      <c r="A144" s="57" t="s">
        <v>788</v>
      </c>
      <c r="B144" s="58" t="s">
        <v>789</v>
      </c>
      <c r="C144" s="58" t="s">
        <v>790</v>
      </c>
      <c r="D144" s="59" t="s">
        <v>791</v>
      </c>
      <c r="E144" s="60" t="b">
        <v>1</v>
      </c>
      <c r="F144" s="58" t="s">
        <v>12666</v>
      </c>
      <c r="G144" s="58" t="s">
        <v>789</v>
      </c>
      <c r="H144" s="58" t="s">
        <v>790</v>
      </c>
      <c r="I144" s="63" t="str">
        <f>HYPERLINK("http://nsgreg.nga.mil/genc/view?v=861423&amp;end_month=12&amp;end_day=31&amp;end_year=2016","Correlation")</f>
        <v>Correlation</v>
      </c>
    </row>
    <row r="145" spans="1:9" x14ac:dyDescent="0.2">
      <c r="A145" s="57" t="s">
        <v>792</v>
      </c>
      <c r="B145" s="58" t="s">
        <v>793</v>
      </c>
      <c r="C145" s="58" t="s">
        <v>794</v>
      </c>
      <c r="D145" s="59" t="s">
        <v>795</v>
      </c>
      <c r="E145" s="60" t="b">
        <v>1</v>
      </c>
      <c r="F145" s="58" t="s">
        <v>12667</v>
      </c>
      <c r="G145" s="58" t="s">
        <v>793</v>
      </c>
      <c r="H145" s="58" t="s">
        <v>794</v>
      </c>
      <c r="I145" s="63" t="str">
        <f>HYPERLINK("http://nsgreg.nga.mil/genc/view?v=861424&amp;end_month=12&amp;end_day=31&amp;end_year=2016","Correlation")</f>
        <v>Correlation</v>
      </c>
    </row>
    <row r="146" spans="1:9" x14ac:dyDescent="0.2">
      <c r="A146" s="57" t="s">
        <v>797</v>
      </c>
      <c r="B146" s="58" t="s">
        <v>798</v>
      </c>
      <c r="C146" s="58" t="s">
        <v>799</v>
      </c>
      <c r="D146" s="59" t="s">
        <v>800</v>
      </c>
      <c r="E146" s="60" t="b">
        <v>1</v>
      </c>
      <c r="F146" s="58" t="s">
        <v>12668</v>
      </c>
      <c r="G146" s="58" t="s">
        <v>798</v>
      </c>
      <c r="H146" s="58" t="s">
        <v>799</v>
      </c>
      <c r="I146" s="63" t="str">
        <f>HYPERLINK("http://nsgreg.nga.mil/genc/view?v=861425&amp;end_month=12&amp;end_day=31&amp;end_year=2016","Correlation")</f>
        <v>Correlation</v>
      </c>
    </row>
    <row r="147" spans="1:9" x14ac:dyDescent="0.2">
      <c r="A147" s="57" t="s">
        <v>802</v>
      </c>
      <c r="B147" s="58" t="s">
        <v>803</v>
      </c>
      <c r="C147" s="58" t="s">
        <v>804</v>
      </c>
      <c r="D147" s="59" t="s">
        <v>805</v>
      </c>
      <c r="E147" s="60" t="b">
        <v>1</v>
      </c>
      <c r="F147" s="61" t="s">
        <v>167</v>
      </c>
      <c r="G147" s="61"/>
      <c r="H147" s="61"/>
      <c r="I147" s="63" t="str">
        <f>HYPERLINK("http://nsgreg.nga.mil/genc/view?v=861426&amp;end_month=12&amp;end_day=31&amp;end_year=2016","Correlation")</f>
        <v>Correlation</v>
      </c>
    </row>
    <row r="148" spans="1:9" x14ac:dyDescent="0.2">
      <c r="A148" s="57" t="s">
        <v>808</v>
      </c>
      <c r="B148" s="58" t="s">
        <v>809</v>
      </c>
      <c r="C148" s="58" t="s">
        <v>810</v>
      </c>
      <c r="D148" s="59" t="s">
        <v>811</v>
      </c>
      <c r="E148" s="60" t="b">
        <v>1</v>
      </c>
      <c r="F148" s="58" t="s">
        <v>12669</v>
      </c>
      <c r="G148" s="58" t="s">
        <v>809</v>
      </c>
      <c r="H148" s="58" t="s">
        <v>810</v>
      </c>
      <c r="I148" s="63" t="str">
        <f>HYPERLINK("http://nsgreg.nga.mil/genc/view?v=861427&amp;end_month=12&amp;end_day=31&amp;end_year=2016","Correlation")</f>
        <v>Correlation</v>
      </c>
    </row>
    <row r="149" spans="1:9" x14ac:dyDescent="0.2">
      <c r="A149" s="57" t="s">
        <v>812</v>
      </c>
      <c r="B149" s="58" t="s">
        <v>813</v>
      </c>
      <c r="C149" s="58" t="s">
        <v>814</v>
      </c>
      <c r="D149" s="59" t="s">
        <v>815</v>
      </c>
      <c r="E149" s="60" t="b">
        <v>1</v>
      </c>
      <c r="F149" s="58" t="s">
        <v>12670</v>
      </c>
      <c r="G149" s="58" t="s">
        <v>813</v>
      </c>
      <c r="H149" s="58" t="s">
        <v>814</v>
      </c>
      <c r="I149" s="63" t="str">
        <f>HYPERLINK("http://nsgreg.nga.mil/genc/view?v=861428&amp;end_month=12&amp;end_day=31&amp;end_year=2016","Correlation")</f>
        <v>Correlation</v>
      </c>
    </row>
    <row r="150" spans="1:9" x14ac:dyDescent="0.2">
      <c r="A150" s="57" t="s">
        <v>816</v>
      </c>
      <c r="B150" s="58" t="s">
        <v>817</v>
      </c>
      <c r="C150" s="58" t="s">
        <v>818</v>
      </c>
      <c r="D150" s="59" t="s">
        <v>819</v>
      </c>
      <c r="E150" s="60" t="b">
        <v>1</v>
      </c>
      <c r="F150" s="58" t="s">
        <v>12671</v>
      </c>
      <c r="G150" s="58" t="s">
        <v>817</v>
      </c>
      <c r="H150" s="58" t="s">
        <v>818</v>
      </c>
      <c r="I150" s="63" t="str">
        <f>HYPERLINK("http://nsgreg.nga.mil/genc/view?v=861429&amp;end_month=12&amp;end_day=31&amp;end_year=2016","Correlation")</f>
        <v>Correlation</v>
      </c>
    </row>
    <row r="151" spans="1:9" x14ac:dyDescent="0.2">
      <c r="A151" s="57" t="s">
        <v>821</v>
      </c>
      <c r="B151" s="58" t="s">
        <v>822</v>
      </c>
      <c r="C151" s="58" t="s">
        <v>823</v>
      </c>
      <c r="D151" s="59" t="s">
        <v>824</v>
      </c>
      <c r="E151" s="60" t="b">
        <v>1</v>
      </c>
      <c r="F151" s="58" t="s">
        <v>12672</v>
      </c>
      <c r="G151" s="58" t="s">
        <v>822</v>
      </c>
      <c r="H151" s="58" t="s">
        <v>823</v>
      </c>
      <c r="I151" s="63" t="str">
        <f>HYPERLINK("http://nsgreg.nga.mil/genc/view?v=861430&amp;end_month=12&amp;end_day=31&amp;end_year=2016","Correlation")</f>
        <v>Correlation</v>
      </c>
    </row>
    <row r="152" spans="1:9" x14ac:dyDescent="0.2">
      <c r="A152" s="57" t="s">
        <v>825</v>
      </c>
      <c r="B152" s="58" t="s">
        <v>826</v>
      </c>
      <c r="C152" s="58" t="s">
        <v>827</v>
      </c>
      <c r="D152" s="59" t="s">
        <v>828</v>
      </c>
      <c r="E152" s="60" t="b">
        <v>1</v>
      </c>
      <c r="F152" s="58" t="s">
        <v>12673</v>
      </c>
      <c r="G152" s="58" t="s">
        <v>826</v>
      </c>
      <c r="H152" s="58" t="s">
        <v>827</v>
      </c>
      <c r="I152" s="63" t="str">
        <f>HYPERLINK("http://nsgreg.nga.mil/genc/view?v=861431&amp;end_month=12&amp;end_day=31&amp;end_year=2016","Correlation")</f>
        <v>Correlation</v>
      </c>
    </row>
    <row r="153" spans="1:9" x14ac:dyDescent="0.2">
      <c r="A153" s="57" t="s">
        <v>829</v>
      </c>
      <c r="B153" s="58" t="s">
        <v>830</v>
      </c>
      <c r="C153" s="58" t="s">
        <v>831</v>
      </c>
      <c r="D153" s="59" t="s">
        <v>832</v>
      </c>
      <c r="E153" s="60" t="b">
        <v>1</v>
      </c>
      <c r="F153" s="58" t="s">
        <v>12674</v>
      </c>
      <c r="G153" s="58" t="s">
        <v>830</v>
      </c>
      <c r="H153" s="58" t="s">
        <v>831</v>
      </c>
      <c r="I153" s="63" t="str">
        <f>HYPERLINK("http://nsgreg.nga.mil/genc/view?v=861432&amp;end_month=12&amp;end_day=31&amp;end_year=2016","Correlation")</f>
        <v>Correlation</v>
      </c>
    </row>
    <row r="154" spans="1:9" x14ac:dyDescent="0.2">
      <c r="A154" s="57" t="s">
        <v>833</v>
      </c>
      <c r="B154" s="58" t="s">
        <v>834</v>
      </c>
      <c r="C154" s="58" t="s">
        <v>835</v>
      </c>
      <c r="D154" s="59" t="s">
        <v>836</v>
      </c>
      <c r="E154" s="60" t="b">
        <v>1</v>
      </c>
      <c r="F154" s="58" t="s">
        <v>12675</v>
      </c>
      <c r="G154" s="58" t="s">
        <v>834</v>
      </c>
      <c r="H154" s="58" t="s">
        <v>835</v>
      </c>
      <c r="I154" s="63" t="str">
        <f>HYPERLINK("http://nsgreg.nga.mil/genc/view?v=861433&amp;end_month=12&amp;end_day=31&amp;end_year=2016","Correlation")</f>
        <v>Correlation</v>
      </c>
    </row>
    <row r="155" spans="1:9" x14ac:dyDescent="0.2">
      <c r="A155" s="57" t="s">
        <v>837</v>
      </c>
      <c r="B155" s="58" t="s">
        <v>838</v>
      </c>
      <c r="C155" s="58" t="s">
        <v>839</v>
      </c>
      <c r="D155" s="59" t="s">
        <v>840</v>
      </c>
      <c r="E155" s="60" t="b">
        <v>1</v>
      </c>
      <c r="F155" s="58" t="s">
        <v>12676</v>
      </c>
      <c r="G155" s="58" t="s">
        <v>838</v>
      </c>
      <c r="H155" s="58" t="s">
        <v>839</v>
      </c>
      <c r="I155" s="63" t="str">
        <f>HYPERLINK("http://nsgreg.nga.mil/genc/view?v=861434&amp;end_month=12&amp;end_day=31&amp;end_year=2016","Correlation")</f>
        <v>Correlation</v>
      </c>
    </row>
    <row r="156" spans="1:9" x14ac:dyDescent="0.2">
      <c r="A156" s="57" t="s">
        <v>841</v>
      </c>
      <c r="B156" s="58" t="s">
        <v>842</v>
      </c>
      <c r="C156" s="58" t="s">
        <v>843</v>
      </c>
      <c r="D156" s="59" t="s">
        <v>844</v>
      </c>
      <c r="E156" s="60" t="b">
        <v>1</v>
      </c>
      <c r="F156" s="58" t="s">
        <v>12677</v>
      </c>
      <c r="G156" s="58" t="s">
        <v>842</v>
      </c>
      <c r="H156" s="58" t="s">
        <v>843</v>
      </c>
      <c r="I156" s="63" t="str">
        <f>HYPERLINK("http://nsgreg.nga.mil/genc/view?v=861435&amp;end_month=12&amp;end_day=31&amp;end_year=2016","Correlation")</f>
        <v>Correlation</v>
      </c>
    </row>
    <row r="157" spans="1:9" x14ac:dyDescent="0.2">
      <c r="A157" s="57" t="s">
        <v>845</v>
      </c>
      <c r="B157" s="58" t="s">
        <v>846</v>
      </c>
      <c r="C157" s="58" t="s">
        <v>847</v>
      </c>
      <c r="D157" s="59" t="s">
        <v>848</v>
      </c>
      <c r="E157" s="60" t="b">
        <v>1</v>
      </c>
      <c r="F157" s="58" t="s">
        <v>12678</v>
      </c>
      <c r="G157" s="58" t="s">
        <v>846</v>
      </c>
      <c r="H157" s="58" t="s">
        <v>847</v>
      </c>
      <c r="I157" s="63" t="str">
        <f>HYPERLINK("http://nsgreg.nga.mil/genc/view?v=861436&amp;end_month=12&amp;end_day=31&amp;end_year=2016","Correlation")</f>
        <v>Correlation</v>
      </c>
    </row>
    <row r="158" spans="1:9" x14ac:dyDescent="0.2">
      <c r="A158" s="57" t="s">
        <v>849</v>
      </c>
      <c r="B158" s="58" t="s">
        <v>850</v>
      </c>
      <c r="C158" s="58" t="s">
        <v>851</v>
      </c>
      <c r="D158" s="59" t="s">
        <v>852</v>
      </c>
      <c r="E158" s="60" t="b">
        <v>1</v>
      </c>
      <c r="F158" s="58" t="s">
        <v>2268</v>
      </c>
      <c r="G158" s="58" t="s">
        <v>850</v>
      </c>
      <c r="H158" s="58" t="s">
        <v>851</v>
      </c>
      <c r="I158" s="63" t="str">
        <f>HYPERLINK("http://nsgreg.nga.mil/genc/view?v=861437&amp;end_month=12&amp;end_day=31&amp;end_year=2016","Correlation")</f>
        <v>Correlation</v>
      </c>
    </row>
    <row r="159" spans="1:9" x14ac:dyDescent="0.2">
      <c r="A159" s="57" t="s">
        <v>853</v>
      </c>
      <c r="B159" s="58" t="s">
        <v>854</v>
      </c>
      <c r="C159" s="58" t="s">
        <v>855</v>
      </c>
      <c r="D159" s="59" t="s">
        <v>856</v>
      </c>
      <c r="E159" s="60" t="b">
        <v>1</v>
      </c>
      <c r="F159" s="58" t="s">
        <v>12679</v>
      </c>
      <c r="G159" s="58" t="s">
        <v>854</v>
      </c>
      <c r="H159" s="58" t="s">
        <v>855</v>
      </c>
      <c r="I159" s="63" t="str">
        <f>HYPERLINK("http://nsgreg.nga.mil/genc/view?v=861438&amp;end_month=12&amp;end_day=31&amp;end_year=2016","Correlation")</f>
        <v>Correlation</v>
      </c>
    </row>
    <row r="160" spans="1:9" x14ac:dyDescent="0.2">
      <c r="A160" s="57" t="s">
        <v>860</v>
      </c>
      <c r="B160" s="58" t="s">
        <v>861</v>
      </c>
      <c r="C160" s="58" t="s">
        <v>862</v>
      </c>
      <c r="D160" s="59" t="s">
        <v>863</v>
      </c>
      <c r="E160" s="60" t="b">
        <v>1</v>
      </c>
      <c r="F160" s="58" t="s">
        <v>12680</v>
      </c>
      <c r="G160" s="58" t="s">
        <v>12681</v>
      </c>
      <c r="H160" s="69" t="s">
        <v>509</v>
      </c>
      <c r="I160" s="63" t="str">
        <f>HYPERLINK("http://nsgreg.nga.mil/genc/view?v=861439&amp;end_month=12&amp;end_day=31&amp;end_year=2016","Correlation")</f>
        <v>Correlation</v>
      </c>
    </row>
    <row r="161" spans="1:9" x14ac:dyDescent="0.2">
      <c r="A161" s="57" t="s">
        <v>865</v>
      </c>
      <c r="B161" s="58" t="s">
        <v>866</v>
      </c>
      <c r="C161" s="58" t="s">
        <v>867</v>
      </c>
      <c r="D161" s="59" t="s">
        <v>868</v>
      </c>
      <c r="E161" s="60" t="b">
        <v>1</v>
      </c>
      <c r="F161" s="58" t="s">
        <v>12682</v>
      </c>
      <c r="G161" s="58" t="s">
        <v>866</v>
      </c>
      <c r="H161" s="58" t="s">
        <v>867</v>
      </c>
      <c r="I161" s="63" t="str">
        <f>HYPERLINK("http://nsgreg.nga.mil/genc/view?v=861440&amp;end_month=12&amp;end_day=31&amp;end_year=2016","Correlation")</f>
        <v>Correlation</v>
      </c>
    </row>
    <row r="162" spans="1:9" x14ac:dyDescent="0.2">
      <c r="A162" s="57" t="s">
        <v>869</v>
      </c>
      <c r="B162" s="58" t="s">
        <v>870</v>
      </c>
      <c r="C162" s="58" t="s">
        <v>871</v>
      </c>
      <c r="D162" s="59" t="s">
        <v>872</v>
      </c>
      <c r="E162" s="60" t="b">
        <v>1</v>
      </c>
      <c r="F162" s="58" t="s">
        <v>12683</v>
      </c>
      <c r="G162" s="58" t="s">
        <v>870</v>
      </c>
      <c r="H162" s="58" t="s">
        <v>871</v>
      </c>
      <c r="I162" s="63" t="str">
        <f>HYPERLINK("http://nsgreg.nga.mil/genc/view?v=861441&amp;end_month=12&amp;end_day=31&amp;end_year=2016","Correlation")</f>
        <v>Correlation</v>
      </c>
    </row>
    <row r="163" spans="1:9" x14ac:dyDescent="0.2">
      <c r="A163" s="57" t="s">
        <v>873</v>
      </c>
      <c r="B163" s="58" t="s">
        <v>874</v>
      </c>
      <c r="C163" s="58" t="s">
        <v>875</v>
      </c>
      <c r="D163" s="59" t="s">
        <v>876</v>
      </c>
      <c r="E163" s="60" t="b">
        <v>1</v>
      </c>
      <c r="F163" s="58" t="s">
        <v>12684</v>
      </c>
      <c r="G163" s="58" t="s">
        <v>874</v>
      </c>
      <c r="H163" s="58" t="s">
        <v>875</v>
      </c>
      <c r="I163" s="63" t="str">
        <f>HYPERLINK("http://nsgreg.nga.mil/genc/view?v=861442&amp;end_month=12&amp;end_day=31&amp;end_year=2016","Correlation")</f>
        <v>Correlation</v>
      </c>
    </row>
    <row r="164" spans="1:9" x14ac:dyDescent="0.2">
      <c r="A164" s="57" t="s">
        <v>877</v>
      </c>
      <c r="B164" s="58" t="s">
        <v>878</v>
      </c>
      <c r="C164" s="58" t="s">
        <v>879</v>
      </c>
      <c r="D164" s="59" t="s">
        <v>880</v>
      </c>
      <c r="E164" s="60" t="b">
        <v>1</v>
      </c>
      <c r="F164" s="58" t="s">
        <v>12685</v>
      </c>
      <c r="G164" s="58" t="s">
        <v>878</v>
      </c>
      <c r="H164" s="58" t="s">
        <v>879</v>
      </c>
      <c r="I164" s="63" t="str">
        <f>HYPERLINK("http://nsgreg.nga.mil/genc/view?v=861443&amp;end_month=12&amp;end_day=31&amp;end_year=2016","Correlation")</f>
        <v>Correlation</v>
      </c>
    </row>
    <row r="165" spans="1:9" x14ac:dyDescent="0.2">
      <c r="A165" s="57" t="s">
        <v>881</v>
      </c>
      <c r="B165" s="58" t="s">
        <v>882</v>
      </c>
      <c r="C165" s="58" t="s">
        <v>883</v>
      </c>
      <c r="D165" s="59" t="s">
        <v>884</v>
      </c>
      <c r="E165" s="60" t="b">
        <v>1</v>
      </c>
      <c r="F165" s="58" t="s">
        <v>4630</v>
      </c>
      <c r="G165" s="58" t="s">
        <v>882</v>
      </c>
      <c r="H165" s="58" t="s">
        <v>883</v>
      </c>
      <c r="I165" s="63" t="str">
        <f>HYPERLINK("http://nsgreg.nga.mil/genc/view?v=861444&amp;end_month=12&amp;end_day=31&amp;end_year=2016","Correlation")</f>
        <v>Correlation</v>
      </c>
    </row>
    <row r="166" spans="1:9" x14ac:dyDescent="0.2">
      <c r="A166" s="57" t="s">
        <v>885</v>
      </c>
      <c r="B166" s="58" t="s">
        <v>886</v>
      </c>
      <c r="C166" s="58" t="s">
        <v>887</v>
      </c>
      <c r="D166" s="59" t="s">
        <v>888</v>
      </c>
      <c r="E166" s="60" t="b">
        <v>1</v>
      </c>
      <c r="F166" s="58" t="s">
        <v>12686</v>
      </c>
      <c r="G166" s="58" t="s">
        <v>886</v>
      </c>
      <c r="H166" s="58" t="s">
        <v>887</v>
      </c>
      <c r="I166" s="63" t="str">
        <f>HYPERLINK("http://nsgreg.nga.mil/genc/view?v=861445&amp;end_month=12&amp;end_day=31&amp;end_year=2016","Correlation")</f>
        <v>Correlation</v>
      </c>
    </row>
    <row r="167" spans="1:9" x14ac:dyDescent="0.2">
      <c r="A167" s="57" t="s">
        <v>889</v>
      </c>
      <c r="B167" s="58" t="s">
        <v>890</v>
      </c>
      <c r="C167" s="58" t="s">
        <v>891</v>
      </c>
      <c r="D167" s="59" t="s">
        <v>892</v>
      </c>
      <c r="E167" s="60" t="b">
        <v>1</v>
      </c>
      <c r="F167" s="58" t="s">
        <v>12687</v>
      </c>
      <c r="G167" s="58" t="s">
        <v>890</v>
      </c>
      <c r="H167" s="58" t="s">
        <v>891</v>
      </c>
      <c r="I167" s="63" t="str">
        <f>HYPERLINK("http://nsgreg.nga.mil/genc/view?v=861446&amp;end_month=12&amp;end_day=31&amp;end_year=2016","Correlation")</f>
        <v>Correlation</v>
      </c>
    </row>
    <row r="168" spans="1:9" x14ac:dyDescent="0.2">
      <c r="A168" s="57" t="s">
        <v>893</v>
      </c>
      <c r="B168" s="58" t="s">
        <v>894</v>
      </c>
      <c r="C168" s="58" t="s">
        <v>895</v>
      </c>
      <c r="D168" s="59" t="s">
        <v>896</v>
      </c>
      <c r="E168" s="60" t="b">
        <v>1</v>
      </c>
      <c r="F168" s="58" t="s">
        <v>897</v>
      </c>
      <c r="G168" s="58" t="s">
        <v>894</v>
      </c>
      <c r="H168" s="58" t="s">
        <v>895</v>
      </c>
      <c r="I168" s="63" t="str">
        <f>HYPERLINK("http://nsgreg.nga.mil/genc/view?v=861447&amp;end_month=12&amp;end_day=31&amp;end_year=2016","Correlation")</f>
        <v>Correlation</v>
      </c>
    </row>
    <row r="169" spans="1:9" x14ac:dyDescent="0.2">
      <c r="A169" s="57" t="s">
        <v>899</v>
      </c>
      <c r="B169" s="58" t="s">
        <v>900</v>
      </c>
      <c r="C169" s="58" t="s">
        <v>901</v>
      </c>
      <c r="D169" s="59" t="s">
        <v>902</v>
      </c>
      <c r="E169" s="60" t="b">
        <v>1</v>
      </c>
      <c r="F169" s="58" t="s">
        <v>12688</v>
      </c>
      <c r="G169" s="58" t="s">
        <v>900</v>
      </c>
      <c r="H169" s="58" t="s">
        <v>901</v>
      </c>
      <c r="I169" s="63" t="str">
        <f>HYPERLINK("http://nsgreg.nga.mil/genc/view?v=861448&amp;end_month=12&amp;end_day=31&amp;end_year=2016","Correlation")</f>
        <v>Correlation</v>
      </c>
    </row>
    <row r="170" spans="1:9" x14ac:dyDescent="0.2">
      <c r="A170" s="57" t="s">
        <v>903</v>
      </c>
      <c r="B170" s="58" t="s">
        <v>904</v>
      </c>
      <c r="C170" s="58" t="s">
        <v>905</v>
      </c>
      <c r="D170" s="59" t="s">
        <v>906</v>
      </c>
      <c r="E170" s="60" t="b">
        <v>1</v>
      </c>
      <c r="F170" s="58" t="s">
        <v>12689</v>
      </c>
      <c r="G170" s="58" t="s">
        <v>904</v>
      </c>
      <c r="H170" s="58" t="s">
        <v>905</v>
      </c>
      <c r="I170" s="63" t="str">
        <f>HYPERLINK("http://nsgreg.nga.mil/genc/view?v=861449&amp;end_month=12&amp;end_day=31&amp;end_year=2016","Correlation")</f>
        <v>Correlation</v>
      </c>
    </row>
    <row r="171" spans="1:9" x14ac:dyDescent="0.2">
      <c r="A171" s="57" t="s">
        <v>907</v>
      </c>
      <c r="B171" s="58" t="s">
        <v>908</v>
      </c>
      <c r="C171" s="58" t="s">
        <v>909</v>
      </c>
      <c r="D171" s="59" t="s">
        <v>910</v>
      </c>
      <c r="E171" s="60" t="b">
        <v>1</v>
      </c>
      <c r="F171" s="58" t="s">
        <v>911</v>
      </c>
      <c r="G171" s="58" t="s">
        <v>908</v>
      </c>
      <c r="H171" s="58" t="s">
        <v>909</v>
      </c>
      <c r="I171" s="63" t="str">
        <f>HYPERLINK("http://nsgreg.nga.mil/genc/view?v=861450&amp;end_month=12&amp;end_day=31&amp;end_year=2016","Correlation")</f>
        <v>Correlation</v>
      </c>
    </row>
    <row r="172" spans="1:9" x14ac:dyDescent="0.2">
      <c r="A172" s="57" t="s">
        <v>914</v>
      </c>
      <c r="B172" s="58" t="s">
        <v>915</v>
      </c>
      <c r="C172" s="58" t="s">
        <v>916</v>
      </c>
      <c r="D172" s="59" t="s">
        <v>917</v>
      </c>
      <c r="E172" s="60" t="b">
        <v>1</v>
      </c>
      <c r="F172" s="58" t="s">
        <v>12690</v>
      </c>
      <c r="G172" s="58" t="s">
        <v>915</v>
      </c>
      <c r="H172" s="58" t="s">
        <v>916</v>
      </c>
      <c r="I172" s="63" t="str">
        <f>HYPERLINK("http://nsgreg.nga.mil/genc/view?v=861451&amp;end_month=12&amp;end_day=31&amp;end_year=2016","Correlation")</f>
        <v>Correlation</v>
      </c>
    </row>
    <row r="173" spans="1:9" x14ac:dyDescent="0.2">
      <c r="A173" s="57" t="s">
        <v>918</v>
      </c>
      <c r="B173" s="58" t="s">
        <v>919</v>
      </c>
      <c r="C173" s="58" t="s">
        <v>920</v>
      </c>
      <c r="D173" s="59" t="s">
        <v>921</v>
      </c>
      <c r="E173" s="60" t="b">
        <v>1</v>
      </c>
      <c r="F173" s="58" t="s">
        <v>12691</v>
      </c>
      <c r="G173" s="58" t="s">
        <v>919</v>
      </c>
      <c r="H173" s="58" t="s">
        <v>920</v>
      </c>
      <c r="I173" s="63" t="str">
        <f>HYPERLINK("http://nsgreg.nga.mil/genc/view?v=861452&amp;end_month=12&amp;end_day=31&amp;end_year=2016","Correlation")</f>
        <v>Correlation</v>
      </c>
    </row>
    <row r="174" spans="1:9" x14ac:dyDescent="0.2">
      <c r="A174" s="57" t="s">
        <v>923</v>
      </c>
      <c r="B174" s="58" t="s">
        <v>924</v>
      </c>
      <c r="C174" s="58" t="s">
        <v>925</v>
      </c>
      <c r="D174" s="59" t="s">
        <v>926</v>
      </c>
      <c r="E174" s="60" t="b">
        <v>1</v>
      </c>
      <c r="F174" s="58" t="s">
        <v>12572</v>
      </c>
      <c r="G174" s="58" t="s">
        <v>246</v>
      </c>
      <c r="H174" s="58" t="s">
        <v>247</v>
      </c>
      <c r="I174" s="63" t="str">
        <f>HYPERLINK("http://nsgreg.nga.mil/genc/view?v=861453&amp;end_month=12&amp;end_day=31&amp;end_year=2016","Correlation")</f>
        <v>Correlation</v>
      </c>
    </row>
    <row r="175" spans="1:9" x14ac:dyDescent="0.2">
      <c r="A175" s="57" t="s">
        <v>929</v>
      </c>
      <c r="B175" s="58" t="s">
        <v>930</v>
      </c>
      <c r="C175" s="58" t="s">
        <v>931</v>
      </c>
      <c r="D175" s="59" t="s">
        <v>932</v>
      </c>
      <c r="E175" s="60" t="b">
        <v>1</v>
      </c>
      <c r="F175" s="58" t="s">
        <v>12692</v>
      </c>
      <c r="G175" s="58" t="s">
        <v>930</v>
      </c>
      <c r="H175" s="58" t="s">
        <v>931</v>
      </c>
      <c r="I175" s="63" t="str">
        <f>HYPERLINK("http://nsgreg.nga.mil/genc/view?v=861454&amp;end_month=12&amp;end_day=31&amp;end_year=2016","Correlation")</f>
        <v>Correlation</v>
      </c>
    </row>
    <row r="176" spans="1:9" x14ac:dyDescent="0.2">
      <c r="A176" s="57" t="s">
        <v>934</v>
      </c>
      <c r="B176" s="58" t="s">
        <v>935</v>
      </c>
      <c r="C176" s="58" t="s">
        <v>936</v>
      </c>
      <c r="D176" s="59" t="s">
        <v>937</v>
      </c>
      <c r="E176" s="60" t="b">
        <v>1</v>
      </c>
      <c r="F176" s="58" t="s">
        <v>12693</v>
      </c>
      <c r="G176" s="58" t="s">
        <v>935</v>
      </c>
      <c r="H176" s="58" t="s">
        <v>936</v>
      </c>
      <c r="I176" s="63" t="str">
        <f>HYPERLINK("http://nsgreg.nga.mil/genc/view?v=861455&amp;end_month=12&amp;end_day=31&amp;end_year=2016","Correlation")</f>
        <v>Correlation</v>
      </c>
    </row>
    <row r="177" spans="1:9" x14ac:dyDescent="0.2">
      <c r="A177" s="57" t="s">
        <v>938</v>
      </c>
      <c r="B177" s="58" t="s">
        <v>939</v>
      </c>
      <c r="C177" s="58" t="s">
        <v>940</v>
      </c>
      <c r="D177" s="59" t="s">
        <v>941</v>
      </c>
      <c r="E177" s="60" t="b">
        <v>1</v>
      </c>
      <c r="F177" s="58" t="s">
        <v>12694</v>
      </c>
      <c r="G177" s="58" t="s">
        <v>939</v>
      </c>
      <c r="H177" s="58" t="s">
        <v>940</v>
      </c>
      <c r="I177" s="63" t="str">
        <f>HYPERLINK("http://nsgreg.nga.mil/genc/view?v=861456&amp;end_month=12&amp;end_day=31&amp;end_year=2016","Correlation")</f>
        <v>Correlation</v>
      </c>
    </row>
    <row r="178" spans="1:9" x14ac:dyDescent="0.2">
      <c r="A178" s="57" t="s">
        <v>942</v>
      </c>
      <c r="B178" s="58" t="s">
        <v>943</v>
      </c>
      <c r="C178" s="58" t="s">
        <v>944</v>
      </c>
      <c r="D178" s="59" t="s">
        <v>945</v>
      </c>
      <c r="E178" s="60" t="b">
        <v>1</v>
      </c>
      <c r="F178" s="58" t="s">
        <v>12695</v>
      </c>
      <c r="G178" s="58" t="s">
        <v>943</v>
      </c>
      <c r="H178" s="58" t="s">
        <v>944</v>
      </c>
      <c r="I178" s="63" t="str">
        <f>HYPERLINK("http://nsgreg.nga.mil/genc/view?v=861457&amp;end_month=12&amp;end_day=31&amp;end_year=2016","Correlation")</f>
        <v>Correlation</v>
      </c>
    </row>
    <row r="179" spans="1:9" x14ac:dyDescent="0.2">
      <c r="A179" s="57" t="s">
        <v>946</v>
      </c>
      <c r="B179" s="58" t="s">
        <v>947</v>
      </c>
      <c r="C179" s="58" t="s">
        <v>948</v>
      </c>
      <c r="D179" s="59" t="s">
        <v>949</v>
      </c>
      <c r="E179" s="60" t="b">
        <v>1</v>
      </c>
      <c r="F179" s="58" t="s">
        <v>12696</v>
      </c>
      <c r="G179" s="58" t="s">
        <v>947</v>
      </c>
      <c r="H179" s="58" t="s">
        <v>948</v>
      </c>
      <c r="I179" s="63" t="str">
        <f>HYPERLINK("http://nsgreg.nga.mil/genc/view?v=861458&amp;end_month=12&amp;end_day=31&amp;end_year=2016","Correlation")</f>
        <v>Correlation</v>
      </c>
    </row>
    <row r="180" spans="1:9" x14ac:dyDescent="0.2">
      <c r="A180" s="57" t="s">
        <v>950</v>
      </c>
      <c r="B180" s="58" t="s">
        <v>951</v>
      </c>
      <c r="C180" s="58" t="s">
        <v>952</v>
      </c>
      <c r="D180" s="59" t="s">
        <v>953</v>
      </c>
      <c r="E180" s="60" t="b">
        <v>1</v>
      </c>
      <c r="F180" s="58" t="s">
        <v>12697</v>
      </c>
      <c r="G180" s="58" t="s">
        <v>951</v>
      </c>
      <c r="H180" s="58" t="s">
        <v>952</v>
      </c>
      <c r="I180" s="63" t="str">
        <f>HYPERLINK("http://nsgreg.nga.mil/genc/view?v=861459&amp;end_month=12&amp;end_day=31&amp;end_year=2016","Correlation")</f>
        <v>Correlation</v>
      </c>
    </row>
    <row r="181" spans="1:9" x14ac:dyDescent="0.2">
      <c r="A181" s="57" t="s">
        <v>954</v>
      </c>
      <c r="B181" s="58" t="s">
        <v>955</v>
      </c>
      <c r="C181" s="58" t="s">
        <v>956</v>
      </c>
      <c r="D181" s="59" t="s">
        <v>957</v>
      </c>
      <c r="E181" s="60" t="b">
        <v>1</v>
      </c>
      <c r="F181" s="58" t="s">
        <v>12698</v>
      </c>
      <c r="G181" s="58" t="s">
        <v>955</v>
      </c>
      <c r="H181" s="58" t="s">
        <v>956</v>
      </c>
      <c r="I181" s="63" t="str">
        <f>HYPERLINK("http://nsgreg.nga.mil/genc/view?v=861460&amp;end_month=12&amp;end_day=31&amp;end_year=2016","Correlation")</f>
        <v>Correlation</v>
      </c>
    </row>
    <row r="182" spans="1:9" x14ac:dyDescent="0.2">
      <c r="A182" s="57" t="s">
        <v>958</v>
      </c>
      <c r="B182" s="58" t="s">
        <v>959</v>
      </c>
      <c r="C182" s="58" t="s">
        <v>960</v>
      </c>
      <c r="D182" s="59" t="s">
        <v>961</v>
      </c>
      <c r="E182" s="60" t="b">
        <v>1</v>
      </c>
      <c r="F182" s="58" t="s">
        <v>12699</v>
      </c>
      <c r="G182" s="58" t="s">
        <v>959</v>
      </c>
      <c r="H182" s="58" t="s">
        <v>960</v>
      </c>
      <c r="I182" s="63" t="str">
        <f>HYPERLINK("http://nsgreg.nga.mil/genc/view?v=861461&amp;end_month=12&amp;end_day=31&amp;end_year=2016","Correlation")</f>
        <v>Correlation</v>
      </c>
    </row>
    <row r="183" spans="1:9" x14ac:dyDescent="0.2">
      <c r="A183" s="57" t="s">
        <v>962</v>
      </c>
      <c r="B183" s="58" t="s">
        <v>963</v>
      </c>
      <c r="C183" s="58" t="s">
        <v>964</v>
      </c>
      <c r="D183" s="59" t="s">
        <v>965</v>
      </c>
      <c r="E183" s="60" t="b">
        <v>1</v>
      </c>
      <c r="F183" s="58" t="s">
        <v>12700</v>
      </c>
      <c r="G183" s="58" t="s">
        <v>963</v>
      </c>
      <c r="H183" s="58" t="s">
        <v>964</v>
      </c>
      <c r="I183" s="63" t="str">
        <f>HYPERLINK("http://nsgreg.nga.mil/genc/view?v=861462&amp;end_month=12&amp;end_day=31&amp;end_year=2016","Correlation")</f>
        <v>Correlation</v>
      </c>
    </row>
    <row r="184" spans="1:9" x14ac:dyDescent="0.2">
      <c r="A184" s="57" t="s">
        <v>966</v>
      </c>
      <c r="B184" s="58" t="s">
        <v>967</v>
      </c>
      <c r="C184" s="58" t="s">
        <v>968</v>
      </c>
      <c r="D184" s="59" t="s">
        <v>969</v>
      </c>
      <c r="E184" s="60" t="b">
        <v>1</v>
      </c>
      <c r="F184" s="58" t="s">
        <v>12572</v>
      </c>
      <c r="G184" s="58" t="s">
        <v>246</v>
      </c>
      <c r="H184" s="58" t="s">
        <v>247</v>
      </c>
      <c r="I184" s="63" t="str">
        <f>HYPERLINK("http://nsgreg.nga.mil/genc/view?v=861463&amp;end_month=12&amp;end_day=31&amp;end_year=2016","Correlation")</f>
        <v>Correlation</v>
      </c>
    </row>
    <row r="185" spans="1:9" x14ac:dyDescent="0.2">
      <c r="A185" s="57" t="s">
        <v>972</v>
      </c>
      <c r="B185" s="58" t="s">
        <v>973</v>
      </c>
      <c r="C185" s="58" t="s">
        <v>974</v>
      </c>
      <c r="D185" s="59" t="s">
        <v>975</v>
      </c>
      <c r="E185" s="60" t="b">
        <v>1</v>
      </c>
      <c r="F185" s="58" t="s">
        <v>12701</v>
      </c>
      <c r="G185" s="58" t="s">
        <v>973</v>
      </c>
      <c r="H185" s="58" t="s">
        <v>974</v>
      </c>
      <c r="I185" s="63" t="str">
        <f>HYPERLINK("http://nsgreg.nga.mil/genc/view?v=861464&amp;end_month=12&amp;end_day=31&amp;end_year=2016","Correlation")</f>
        <v>Correlation</v>
      </c>
    </row>
    <row r="186" spans="1:9" x14ac:dyDescent="0.2">
      <c r="A186" s="57" t="s">
        <v>305</v>
      </c>
      <c r="B186" s="58" t="s">
        <v>306</v>
      </c>
      <c r="C186" s="58" t="s">
        <v>307</v>
      </c>
      <c r="D186" s="59" t="s">
        <v>308</v>
      </c>
      <c r="E186" s="60" t="b">
        <v>1</v>
      </c>
      <c r="F186" s="58" t="s">
        <v>12702</v>
      </c>
      <c r="G186" s="58" t="s">
        <v>306</v>
      </c>
      <c r="H186" s="58" t="s">
        <v>307</v>
      </c>
      <c r="I186" s="63" t="str">
        <f>HYPERLINK("http://nsgreg.nga.mil/genc/view?v=861465&amp;end_month=12&amp;end_day=31&amp;end_year=2016","Correlation")</f>
        <v>Correlation</v>
      </c>
    </row>
    <row r="187" spans="1:9" x14ac:dyDescent="0.2">
      <c r="A187" s="57" t="s">
        <v>976</v>
      </c>
      <c r="B187" s="58" t="s">
        <v>977</v>
      </c>
      <c r="C187" s="58" t="s">
        <v>978</v>
      </c>
      <c r="D187" s="59" t="s">
        <v>979</v>
      </c>
      <c r="E187" s="60" t="b">
        <v>1</v>
      </c>
      <c r="F187" s="58" t="s">
        <v>12703</v>
      </c>
      <c r="G187" s="58" t="s">
        <v>977</v>
      </c>
      <c r="H187" s="58" t="s">
        <v>978</v>
      </c>
      <c r="I187" s="63" t="str">
        <f>HYPERLINK("http://nsgreg.nga.mil/genc/view?v=861466&amp;end_month=12&amp;end_day=31&amp;end_year=2016","Correlation")</f>
        <v>Correlation</v>
      </c>
    </row>
    <row r="188" spans="1:9" x14ac:dyDescent="0.2">
      <c r="A188" s="57" t="s">
        <v>982</v>
      </c>
      <c r="B188" s="58" t="s">
        <v>983</v>
      </c>
      <c r="C188" s="58" t="s">
        <v>984</v>
      </c>
      <c r="D188" s="59" t="s">
        <v>985</v>
      </c>
      <c r="E188" s="60" t="b">
        <v>1</v>
      </c>
      <c r="F188" s="58" t="s">
        <v>12704</v>
      </c>
      <c r="G188" s="58" t="s">
        <v>983</v>
      </c>
      <c r="H188" s="58" t="s">
        <v>984</v>
      </c>
      <c r="I188" s="63" t="str">
        <f>HYPERLINK("http://nsgreg.nga.mil/genc/view?v=861467&amp;end_month=12&amp;end_day=31&amp;end_year=2016","Correlation")</f>
        <v>Correlation</v>
      </c>
    </row>
    <row r="189" spans="1:9" x14ac:dyDescent="0.2">
      <c r="A189" s="57" t="s">
        <v>986</v>
      </c>
      <c r="B189" s="58" t="s">
        <v>987</v>
      </c>
      <c r="C189" s="58" t="s">
        <v>988</v>
      </c>
      <c r="D189" s="59" t="s">
        <v>989</v>
      </c>
      <c r="E189" s="60" t="b">
        <v>1</v>
      </c>
      <c r="F189" s="58" t="s">
        <v>12705</v>
      </c>
      <c r="G189" s="58" t="s">
        <v>987</v>
      </c>
      <c r="H189" s="58" t="s">
        <v>988</v>
      </c>
      <c r="I189" s="63" t="str">
        <f>HYPERLINK("http://nsgreg.nga.mil/genc/view?v=861468&amp;end_month=12&amp;end_day=31&amp;end_year=2016","Correlation")</f>
        <v>Correlation</v>
      </c>
    </row>
    <row r="190" spans="1:9" x14ac:dyDescent="0.2">
      <c r="A190" s="57" t="s">
        <v>990</v>
      </c>
      <c r="B190" s="58" t="s">
        <v>991</v>
      </c>
      <c r="C190" s="58" t="s">
        <v>992</v>
      </c>
      <c r="D190" s="59" t="s">
        <v>993</v>
      </c>
      <c r="E190" s="60" t="b">
        <v>1</v>
      </c>
      <c r="F190" s="58" t="s">
        <v>7920</v>
      </c>
      <c r="G190" s="58" t="s">
        <v>991</v>
      </c>
      <c r="H190" s="58" t="s">
        <v>992</v>
      </c>
      <c r="I190" s="63" t="str">
        <f>HYPERLINK("http://nsgreg.nga.mil/genc/view?v=861469&amp;end_month=12&amp;end_day=31&amp;end_year=2016","Correlation")</f>
        <v>Correlation</v>
      </c>
    </row>
    <row r="191" spans="1:9" x14ac:dyDescent="0.2">
      <c r="A191" s="57" t="s">
        <v>994</v>
      </c>
      <c r="B191" s="58" t="s">
        <v>995</v>
      </c>
      <c r="C191" s="58" t="s">
        <v>996</v>
      </c>
      <c r="D191" s="59" t="s">
        <v>997</v>
      </c>
      <c r="E191" s="60" t="b">
        <v>1</v>
      </c>
      <c r="F191" s="58" t="s">
        <v>12706</v>
      </c>
      <c r="G191" s="58" t="s">
        <v>995</v>
      </c>
      <c r="H191" s="58" t="s">
        <v>996</v>
      </c>
      <c r="I191" s="63" t="str">
        <f>HYPERLINK("http://nsgreg.nga.mil/genc/view?v=861470&amp;end_month=12&amp;end_day=31&amp;end_year=2016","Correlation")</f>
        <v>Correlation</v>
      </c>
    </row>
    <row r="192" spans="1:9" x14ac:dyDescent="0.2">
      <c r="A192" s="57" t="s">
        <v>998</v>
      </c>
      <c r="B192" s="58" t="s">
        <v>999</v>
      </c>
      <c r="C192" s="58" t="s">
        <v>1000</v>
      </c>
      <c r="D192" s="59" t="s">
        <v>1001</v>
      </c>
      <c r="E192" s="60" t="b">
        <v>1</v>
      </c>
      <c r="F192" s="58" t="s">
        <v>12707</v>
      </c>
      <c r="G192" s="58" t="s">
        <v>999</v>
      </c>
      <c r="H192" s="58" t="s">
        <v>1000</v>
      </c>
      <c r="I192" s="63" t="str">
        <f>HYPERLINK("http://nsgreg.nga.mil/genc/view?v=861471&amp;end_month=12&amp;end_day=31&amp;end_year=2016","Correlation")</f>
        <v>Correlation</v>
      </c>
    </row>
    <row r="193" spans="1:9" x14ac:dyDescent="0.2">
      <c r="A193" s="57" t="s">
        <v>1002</v>
      </c>
      <c r="B193" s="58" t="s">
        <v>1003</v>
      </c>
      <c r="C193" s="58" t="s">
        <v>1004</v>
      </c>
      <c r="D193" s="59" t="s">
        <v>1005</v>
      </c>
      <c r="E193" s="60" t="b">
        <v>1</v>
      </c>
      <c r="F193" s="58" t="s">
        <v>12708</v>
      </c>
      <c r="G193" s="58" t="s">
        <v>1003</v>
      </c>
      <c r="H193" s="58" t="s">
        <v>1004</v>
      </c>
      <c r="I193" s="63" t="str">
        <f>HYPERLINK("http://nsgreg.nga.mil/genc/view?v=861472&amp;end_month=12&amp;end_day=31&amp;end_year=2016","Correlation")</f>
        <v>Correlation</v>
      </c>
    </row>
    <row r="194" spans="1:9" x14ac:dyDescent="0.2">
      <c r="A194" s="57" t="s">
        <v>1006</v>
      </c>
      <c r="B194" s="58" t="s">
        <v>1007</v>
      </c>
      <c r="C194" s="58" t="s">
        <v>1008</v>
      </c>
      <c r="D194" s="59" t="s">
        <v>1009</v>
      </c>
      <c r="E194" s="60" t="b">
        <v>1</v>
      </c>
      <c r="F194" s="58" t="s">
        <v>1010</v>
      </c>
      <c r="G194" s="58" t="s">
        <v>1007</v>
      </c>
      <c r="H194" s="58" t="s">
        <v>1008</v>
      </c>
      <c r="I194" s="63" t="str">
        <f>HYPERLINK("http://nsgreg.nga.mil/genc/view?v=861473&amp;end_month=12&amp;end_day=31&amp;end_year=2016","Correlation")</f>
        <v>Correlation</v>
      </c>
    </row>
    <row r="195" spans="1:9" x14ac:dyDescent="0.2">
      <c r="A195" s="57" t="s">
        <v>1012</v>
      </c>
      <c r="B195" s="58" t="s">
        <v>1013</v>
      </c>
      <c r="C195" s="58" t="s">
        <v>1014</v>
      </c>
      <c r="D195" s="59" t="s">
        <v>1015</v>
      </c>
      <c r="E195" s="60" t="b">
        <v>1</v>
      </c>
      <c r="F195" s="58" t="s">
        <v>12709</v>
      </c>
      <c r="G195" s="58" t="s">
        <v>1013</v>
      </c>
      <c r="H195" s="58" t="s">
        <v>1014</v>
      </c>
      <c r="I195" s="63" t="str">
        <f>HYPERLINK("http://nsgreg.nga.mil/genc/view?v=861474&amp;end_month=12&amp;end_day=31&amp;end_year=2016","Correlation")</f>
        <v>Correlation</v>
      </c>
    </row>
    <row r="196" spans="1:9" x14ac:dyDescent="0.2">
      <c r="A196" s="57" t="s">
        <v>1016</v>
      </c>
      <c r="B196" s="58" t="s">
        <v>1017</v>
      </c>
      <c r="C196" s="58" t="s">
        <v>1018</v>
      </c>
      <c r="D196" s="59" t="s">
        <v>1019</v>
      </c>
      <c r="E196" s="60" t="b">
        <v>1</v>
      </c>
      <c r="F196" s="58" t="s">
        <v>12710</v>
      </c>
      <c r="G196" s="58" t="s">
        <v>1017</v>
      </c>
      <c r="H196" s="58" t="s">
        <v>1018</v>
      </c>
      <c r="I196" s="63" t="str">
        <f>HYPERLINK("http://nsgreg.nga.mil/genc/view?v=861475&amp;end_month=12&amp;end_day=31&amp;end_year=2016","Correlation")</f>
        <v>Correlation</v>
      </c>
    </row>
    <row r="197" spans="1:9" x14ac:dyDescent="0.2">
      <c r="A197" s="57" t="s">
        <v>1020</v>
      </c>
      <c r="B197" s="58" t="s">
        <v>1021</v>
      </c>
      <c r="C197" s="58" t="s">
        <v>1022</v>
      </c>
      <c r="D197" s="59" t="s">
        <v>1023</v>
      </c>
      <c r="E197" s="60" t="b">
        <v>1</v>
      </c>
      <c r="F197" s="58" t="s">
        <v>12711</v>
      </c>
      <c r="G197" s="58" t="s">
        <v>1021</v>
      </c>
      <c r="H197" s="58" t="s">
        <v>1022</v>
      </c>
      <c r="I197" s="63" t="str">
        <f>HYPERLINK("http://nsgreg.nga.mil/genc/view?v=861476&amp;end_month=12&amp;end_day=31&amp;end_year=2016","Correlation")</f>
        <v>Correlation</v>
      </c>
    </row>
    <row r="198" spans="1:9" x14ac:dyDescent="0.2">
      <c r="A198" s="57" t="s">
        <v>1024</v>
      </c>
      <c r="B198" s="58" t="s">
        <v>1025</v>
      </c>
      <c r="C198" s="58" t="s">
        <v>1026</v>
      </c>
      <c r="D198" s="59" t="s">
        <v>1027</v>
      </c>
      <c r="E198" s="60" t="b">
        <v>1</v>
      </c>
      <c r="F198" s="58" t="s">
        <v>12712</v>
      </c>
      <c r="G198" s="58" t="s">
        <v>1025</v>
      </c>
      <c r="H198" s="58" t="s">
        <v>1026</v>
      </c>
      <c r="I198" s="63" t="str">
        <f>HYPERLINK("http://nsgreg.nga.mil/genc/view?v=861477&amp;end_month=12&amp;end_day=31&amp;end_year=2016","Correlation")</f>
        <v>Correlation</v>
      </c>
    </row>
    <row r="199" spans="1:9" x14ac:dyDescent="0.2">
      <c r="A199" s="57" t="s">
        <v>1028</v>
      </c>
      <c r="B199" s="58" t="s">
        <v>1029</v>
      </c>
      <c r="C199" s="58" t="s">
        <v>1030</v>
      </c>
      <c r="D199" s="59" t="s">
        <v>1031</v>
      </c>
      <c r="E199" s="60" t="b">
        <v>1</v>
      </c>
      <c r="F199" s="58" t="s">
        <v>12572</v>
      </c>
      <c r="G199" s="58" t="s">
        <v>246</v>
      </c>
      <c r="H199" s="58" t="s">
        <v>247</v>
      </c>
      <c r="I199" s="63" t="str">
        <f>HYPERLINK("http://nsgreg.nga.mil/genc/view?v=861478&amp;end_month=12&amp;end_day=31&amp;end_year=2016","Correlation")</f>
        <v>Correlation</v>
      </c>
    </row>
    <row r="200" spans="1:9" x14ac:dyDescent="0.2">
      <c r="A200" s="57" t="s">
        <v>1034</v>
      </c>
      <c r="B200" s="58" t="s">
        <v>1035</v>
      </c>
      <c r="C200" s="58" t="s">
        <v>1036</v>
      </c>
      <c r="D200" s="59" t="s">
        <v>1037</v>
      </c>
      <c r="E200" s="60" t="b">
        <v>1</v>
      </c>
      <c r="F200" s="58" t="s">
        <v>12713</v>
      </c>
      <c r="G200" s="58" t="s">
        <v>1035</v>
      </c>
      <c r="H200" s="58" t="s">
        <v>1036</v>
      </c>
      <c r="I200" s="63" t="str">
        <f>HYPERLINK("http://nsgreg.nga.mil/genc/view?v=861479&amp;end_month=12&amp;end_day=31&amp;end_year=2016","Correlation")</f>
        <v>Correlation</v>
      </c>
    </row>
    <row r="201" spans="1:9" x14ac:dyDescent="0.2">
      <c r="A201" s="57" t="s">
        <v>1038</v>
      </c>
      <c r="B201" s="58" t="s">
        <v>1039</v>
      </c>
      <c r="C201" s="58" t="s">
        <v>1040</v>
      </c>
      <c r="D201" s="59" t="s">
        <v>1041</v>
      </c>
      <c r="E201" s="60" t="b">
        <v>1</v>
      </c>
      <c r="F201" s="58" t="s">
        <v>12714</v>
      </c>
      <c r="G201" s="58" t="s">
        <v>1039</v>
      </c>
      <c r="H201" s="58" t="s">
        <v>1040</v>
      </c>
      <c r="I201" s="63" t="str">
        <f>HYPERLINK("http://nsgreg.nga.mil/genc/view?v=861480&amp;end_month=12&amp;end_day=31&amp;end_year=2016","Correlation")</f>
        <v>Correlation</v>
      </c>
    </row>
    <row r="202" spans="1:9" x14ac:dyDescent="0.2">
      <c r="A202" s="99" t="s">
        <v>1042</v>
      </c>
      <c r="B202" s="100" t="s">
        <v>1043</v>
      </c>
      <c r="C202" s="100" t="s">
        <v>1044</v>
      </c>
      <c r="D202" s="101" t="s">
        <v>1045</v>
      </c>
      <c r="E202" s="67" t="b">
        <v>0</v>
      </c>
      <c r="F202" s="58" t="s">
        <v>12603</v>
      </c>
      <c r="G202" s="58" t="s">
        <v>393</v>
      </c>
      <c r="H202" s="58" t="s">
        <v>394</v>
      </c>
      <c r="I202" s="63" t="str">
        <f>HYPERLINK("http://nsgreg.nga.mil/genc/view?v=861481&amp;end_month=12&amp;end_day=31&amp;end_year=2016","Correlation")</f>
        <v>Correlation</v>
      </c>
    </row>
    <row r="203" spans="1:9" x14ac:dyDescent="0.2">
      <c r="A203" s="99"/>
      <c r="B203" s="100"/>
      <c r="C203" s="100"/>
      <c r="D203" s="101"/>
      <c r="E203" s="67" t="b">
        <v>0</v>
      </c>
      <c r="F203" s="58" t="s">
        <v>12715</v>
      </c>
      <c r="G203" s="58" t="s">
        <v>1047</v>
      </c>
      <c r="H203" s="58" t="s">
        <v>1048</v>
      </c>
      <c r="I203" s="63" t="str">
        <f>HYPERLINK("http://nsgreg.nga.mil/genc/view?v=861482&amp;end_month=12&amp;end_day=31&amp;end_year=2016","Correlation")</f>
        <v>Correlation</v>
      </c>
    </row>
    <row r="204" spans="1:9" x14ac:dyDescent="0.2">
      <c r="A204" s="99"/>
      <c r="B204" s="100"/>
      <c r="C204" s="100"/>
      <c r="D204" s="101"/>
      <c r="E204" s="67" t="b">
        <v>0</v>
      </c>
      <c r="F204" s="58" t="s">
        <v>12716</v>
      </c>
      <c r="G204" s="58" t="s">
        <v>1051</v>
      </c>
      <c r="H204" s="58" t="s">
        <v>1052</v>
      </c>
      <c r="I204" s="63" t="str">
        <f>HYPERLINK("http://nsgreg.nga.mil/genc/view?v=861483&amp;end_month=12&amp;end_day=31&amp;end_year=2016","Correlation")</f>
        <v>Correlation</v>
      </c>
    </row>
    <row r="205" spans="1:9" x14ac:dyDescent="0.2">
      <c r="A205" s="57" t="s">
        <v>1054</v>
      </c>
      <c r="B205" s="58" t="s">
        <v>1055</v>
      </c>
      <c r="C205" s="58" t="s">
        <v>1056</v>
      </c>
      <c r="D205" s="59" t="s">
        <v>1057</v>
      </c>
      <c r="E205" s="60" t="b">
        <v>1</v>
      </c>
      <c r="F205" s="58" t="s">
        <v>12717</v>
      </c>
      <c r="G205" s="58" t="s">
        <v>1055</v>
      </c>
      <c r="H205" s="58" t="s">
        <v>1056</v>
      </c>
      <c r="I205" s="63" t="str">
        <f>HYPERLINK("http://nsgreg.nga.mil/genc/view?v=861484&amp;end_month=12&amp;end_day=31&amp;end_year=2016","Correlation")</f>
        <v>Correlation</v>
      </c>
    </row>
    <row r="206" spans="1:9" x14ac:dyDescent="0.2">
      <c r="A206" s="57" t="s">
        <v>1058</v>
      </c>
      <c r="B206" s="58" t="s">
        <v>1059</v>
      </c>
      <c r="C206" s="58" t="s">
        <v>1060</v>
      </c>
      <c r="D206" s="59" t="s">
        <v>1061</v>
      </c>
      <c r="E206" s="60" t="b">
        <v>1</v>
      </c>
      <c r="F206" s="58" t="s">
        <v>12718</v>
      </c>
      <c r="G206" s="58" t="s">
        <v>1059</v>
      </c>
      <c r="H206" s="58" t="s">
        <v>1060</v>
      </c>
      <c r="I206" s="63" t="str">
        <f>HYPERLINK("http://nsgreg.nga.mil/genc/view?v=861485&amp;end_month=12&amp;end_day=31&amp;end_year=2016","Correlation")</f>
        <v>Correlation</v>
      </c>
    </row>
    <row r="207" spans="1:9" x14ac:dyDescent="0.2">
      <c r="A207" s="57" t="s">
        <v>1062</v>
      </c>
      <c r="B207" s="58" t="s">
        <v>1063</v>
      </c>
      <c r="C207" s="58" t="s">
        <v>1064</v>
      </c>
      <c r="D207" s="59" t="s">
        <v>1065</v>
      </c>
      <c r="E207" s="60" t="b">
        <v>1</v>
      </c>
      <c r="F207" s="58" t="s">
        <v>12719</v>
      </c>
      <c r="G207" s="58" t="s">
        <v>1063</v>
      </c>
      <c r="H207" s="58" t="s">
        <v>1064</v>
      </c>
      <c r="I207" s="63" t="str">
        <f>HYPERLINK("http://nsgreg.nga.mil/genc/view?v=861486&amp;end_month=12&amp;end_day=31&amp;end_year=2016","Correlation")</f>
        <v>Correlation</v>
      </c>
    </row>
    <row r="208" spans="1:9" x14ac:dyDescent="0.2">
      <c r="A208" s="57" t="s">
        <v>1066</v>
      </c>
      <c r="B208" s="58" t="s">
        <v>1067</v>
      </c>
      <c r="C208" s="58" t="s">
        <v>1068</v>
      </c>
      <c r="D208" s="59" t="s">
        <v>1069</v>
      </c>
      <c r="E208" s="60" t="b">
        <v>1</v>
      </c>
      <c r="F208" s="58" t="s">
        <v>12720</v>
      </c>
      <c r="G208" s="58" t="s">
        <v>1067</v>
      </c>
      <c r="H208" s="58" t="s">
        <v>1068</v>
      </c>
      <c r="I208" s="63" t="str">
        <f>HYPERLINK("http://nsgreg.nga.mil/genc/view?v=861487&amp;end_month=12&amp;end_day=31&amp;end_year=2016","Correlation")</f>
        <v>Correlation</v>
      </c>
    </row>
    <row r="209" spans="1:9" x14ac:dyDescent="0.2">
      <c r="A209" s="57" t="s">
        <v>1071</v>
      </c>
      <c r="B209" s="58" t="s">
        <v>1072</v>
      </c>
      <c r="C209" s="58" t="s">
        <v>1073</v>
      </c>
      <c r="D209" s="59" t="s">
        <v>1074</v>
      </c>
      <c r="E209" s="60" t="b">
        <v>1</v>
      </c>
      <c r="F209" s="58" t="s">
        <v>12721</v>
      </c>
      <c r="G209" s="58" t="s">
        <v>1072</v>
      </c>
      <c r="H209" s="58" t="s">
        <v>1073</v>
      </c>
      <c r="I209" s="63" t="str">
        <f>HYPERLINK("http://nsgreg.nga.mil/genc/view?v=861488&amp;end_month=12&amp;end_day=31&amp;end_year=2016","Correlation")</f>
        <v>Correlation</v>
      </c>
    </row>
    <row r="210" spans="1:9" x14ac:dyDescent="0.2">
      <c r="A210" s="57" t="s">
        <v>1075</v>
      </c>
      <c r="B210" s="58" t="s">
        <v>1076</v>
      </c>
      <c r="C210" s="58" t="s">
        <v>1077</v>
      </c>
      <c r="D210" s="59" t="s">
        <v>1078</v>
      </c>
      <c r="E210" s="60" t="b">
        <v>1</v>
      </c>
      <c r="F210" s="58" t="s">
        <v>12722</v>
      </c>
      <c r="G210" s="58" t="s">
        <v>1076</v>
      </c>
      <c r="H210" s="58" t="s">
        <v>1077</v>
      </c>
      <c r="I210" s="63" t="str">
        <f>HYPERLINK("http://nsgreg.nga.mil/genc/view?v=861489&amp;end_month=12&amp;end_day=31&amp;end_year=2016","Correlation")</f>
        <v>Correlation</v>
      </c>
    </row>
    <row r="211" spans="1:9" x14ac:dyDescent="0.2">
      <c r="A211" s="57" t="s">
        <v>1079</v>
      </c>
      <c r="B211" s="58" t="s">
        <v>1080</v>
      </c>
      <c r="C211" s="58" t="s">
        <v>1081</v>
      </c>
      <c r="D211" s="59" t="s">
        <v>1082</v>
      </c>
      <c r="E211" s="60" t="b">
        <v>1</v>
      </c>
      <c r="F211" s="58" t="s">
        <v>1083</v>
      </c>
      <c r="G211" s="58" t="s">
        <v>1080</v>
      </c>
      <c r="H211" s="58" t="s">
        <v>1081</v>
      </c>
      <c r="I211" s="63" t="str">
        <f>HYPERLINK("http://nsgreg.nga.mil/genc/view?v=861490&amp;end_month=12&amp;end_day=31&amp;end_year=2016","Correlation")</f>
        <v>Correlation</v>
      </c>
    </row>
    <row r="212" spans="1:9" x14ac:dyDescent="0.2">
      <c r="A212" s="57" t="s">
        <v>1085</v>
      </c>
      <c r="B212" s="58" t="s">
        <v>1086</v>
      </c>
      <c r="C212" s="58" t="s">
        <v>1087</v>
      </c>
      <c r="D212" s="59" t="s">
        <v>1088</v>
      </c>
      <c r="E212" s="60" t="b">
        <v>1</v>
      </c>
      <c r="F212" s="58" t="s">
        <v>12723</v>
      </c>
      <c r="G212" s="58" t="s">
        <v>1086</v>
      </c>
      <c r="H212" s="58" t="s">
        <v>1087</v>
      </c>
      <c r="I212" s="63" t="str">
        <f>HYPERLINK("http://nsgreg.nga.mil/genc/view?v=861491&amp;end_month=12&amp;end_day=31&amp;end_year=2016","Correlation")</f>
        <v>Correlation</v>
      </c>
    </row>
    <row r="213" spans="1:9" x14ac:dyDescent="0.2">
      <c r="A213" s="57" t="s">
        <v>1089</v>
      </c>
      <c r="B213" s="58" t="s">
        <v>1090</v>
      </c>
      <c r="C213" s="58" t="s">
        <v>1091</v>
      </c>
      <c r="D213" s="59" t="s">
        <v>1092</v>
      </c>
      <c r="E213" s="60" t="b">
        <v>1</v>
      </c>
      <c r="F213" s="58" t="s">
        <v>12724</v>
      </c>
      <c r="G213" s="58" t="s">
        <v>1090</v>
      </c>
      <c r="H213" s="58" t="s">
        <v>1091</v>
      </c>
      <c r="I213" s="63" t="str">
        <f>HYPERLINK("http://nsgreg.nga.mil/genc/view?v=861492&amp;end_month=12&amp;end_day=31&amp;end_year=2016","Correlation")</f>
        <v>Correlation</v>
      </c>
    </row>
    <row r="214" spans="1:9" x14ac:dyDescent="0.2">
      <c r="A214" s="57" t="s">
        <v>1097</v>
      </c>
      <c r="B214" s="58" t="s">
        <v>1098</v>
      </c>
      <c r="C214" s="58" t="s">
        <v>1099</v>
      </c>
      <c r="D214" s="59" t="s">
        <v>1100</v>
      </c>
      <c r="E214" s="60" t="b">
        <v>1</v>
      </c>
      <c r="F214" s="58" t="s">
        <v>12725</v>
      </c>
      <c r="G214" s="58" t="s">
        <v>1098</v>
      </c>
      <c r="H214" s="58" t="s">
        <v>1099</v>
      </c>
      <c r="I214" s="63" t="str">
        <f>HYPERLINK("http://nsgreg.nga.mil/genc/view?v=861493&amp;end_month=12&amp;end_day=31&amp;end_year=2016","Correlation")</f>
        <v>Correlation</v>
      </c>
    </row>
    <row r="215" spans="1:9" x14ac:dyDescent="0.2">
      <c r="A215" s="57" t="s">
        <v>1101</v>
      </c>
      <c r="B215" s="58" t="s">
        <v>1102</v>
      </c>
      <c r="C215" s="58" t="s">
        <v>1103</v>
      </c>
      <c r="D215" s="59" t="s">
        <v>1104</v>
      </c>
      <c r="E215" s="60" t="b">
        <v>1</v>
      </c>
      <c r="F215" s="58" t="s">
        <v>12726</v>
      </c>
      <c r="G215" s="58" t="s">
        <v>1102</v>
      </c>
      <c r="H215" s="58" t="s">
        <v>1103</v>
      </c>
      <c r="I215" s="63" t="str">
        <f>HYPERLINK("http://nsgreg.nga.mil/genc/view?v=861494&amp;end_month=12&amp;end_day=31&amp;end_year=2016","Correlation")</f>
        <v>Correlation</v>
      </c>
    </row>
    <row r="216" spans="1:9" x14ac:dyDescent="0.2">
      <c r="A216" s="57" t="s">
        <v>1106</v>
      </c>
      <c r="B216" s="58" t="s">
        <v>1107</v>
      </c>
      <c r="C216" s="58" t="s">
        <v>1108</v>
      </c>
      <c r="D216" s="59" t="s">
        <v>1109</v>
      </c>
      <c r="E216" s="60" t="b">
        <v>1</v>
      </c>
      <c r="F216" s="58" t="s">
        <v>12727</v>
      </c>
      <c r="G216" s="58" t="s">
        <v>1107</v>
      </c>
      <c r="H216" s="58" t="s">
        <v>1108</v>
      </c>
      <c r="I216" s="63" t="str">
        <f>HYPERLINK("http://nsgreg.nga.mil/genc/view?v=861495&amp;end_month=12&amp;end_day=31&amp;end_year=2016","Correlation")</f>
        <v>Correlation</v>
      </c>
    </row>
    <row r="217" spans="1:9" x14ac:dyDescent="0.2">
      <c r="A217" s="57" t="s">
        <v>1110</v>
      </c>
      <c r="B217" s="58" t="s">
        <v>1111</v>
      </c>
      <c r="C217" s="58" t="s">
        <v>1112</v>
      </c>
      <c r="D217" s="59" t="s">
        <v>1113</v>
      </c>
      <c r="E217" s="60" t="b">
        <v>1</v>
      </c>
      <c r="F217" s="58" t="s">
        <v>634</v>
      </c>
      <c r="G217" s="58" t="s">
        <v>631</v>
      </c>
      <c r="H217" s="58" t="s">
        <v>632</v>
      </c>
      <c r="I217" s="63" t="str">
        <f>HYPERLINK("http://nsgreg.nga.mil/genc/view?v=861496&amp;end_month=12&amp;end_day=31&amp;end_year=2016","Correlation")</f>
        <v>Correlation</v>
      </c>
    </row>
    <row r="218" spans="1:9" x14ac:dyDescent="0.2">
      <c r="A218" s="57" t="s">
        <v>1117</v>
      </c>
      <c r="B218" s="58" t="s">
        <v>1118</v>
      </c>
      <c r="C218" s="58" t="s">
        <v>1119</v>
      </c>
      <c r="D218" s="59" t="s">
        <v>1120</v>
      </c>
      <c r="E218" s="60" t="b">
        <v>1</v>
      </c>
      <c r="F218" s="58" t="s">
        <v>8922</v>
      </c>
      <c r="G218" s="58" t="s">
        <v>1118</v>
      </c>
      <c r="H218" s="58" t="s">
        <v>1119</v>
      </c>
      <c r="I218" s="63" t="str">
        <f>HYPERLINK("http://nsgreg.nga.mil/genc/view?v=861497&amp;end_month=12&amp;end_day=31&amp;end_year=2016","Correlation")</f>
        <v>Correlation</v>
      </c>
    </row>
    <row r="219" spans="1:9" x14ac:dyDescent="0.2">
      <c r="A219" s="57" t="s">
        <v>1122</v>
      </c>
      <c r="B219" s="58" t="s">
        <v>1123</v>
      </c>
      <c r="C219" s="58" t="s">
        <v>1124</v>
      </c>
      <c r="D219" s="59" t="s">
        <v>1125</v>
      </c>
      <c r="E219" s="60" t="b">
        <v>1</v>
      </c>
      <c r="F219" s="58" t="s">
        <v>12728</v>
      </c>
      <c r="G219" s="58" t="s">
        <v>1123</v>
      </c>
      <c r="H219" s="58" t="s">
        <v>1124</v>
      </c>
      <c r="I219" s="63" t="str">
        <f>HYPERLINK("http://nsgreg.nga.mil/genc/view?v=861498&amp;end_month=12&amp;end_day=31&amp;end_year=2016","Correlation")</f>
        <v>Correlation</v>
      </c>
    </row>
    <row r="220" spans="1:9" x14ac:dyDescent="0.2">
      <c r="A220" s="57" t="s">
        <v>1126</v>
      </c>
      <c r="B220" s="58" t="s">
        <v>1127</v>
      </c>
      <c r="C220" s="58" t="s">
        <v>1128</v>
      </c>
      <c r="D220" s="59" t="s">
        <v>1129</v>
      </c>
      <c r="E220" s="60" t="b">
        <v>1</v>
      </c>
      <c r="F220" s="58" t="s">
        <v>12729</v>
      </c>
      <c r="G220" s="58" t="s">
        <v>1127</v>
      </c>
      <c r="H220" s="58" t="s">
        <v>1128</v>
      </c>
      <c r="I220" s="63" t="str">
        <f>HYPERLINK("http://nsgreg.nga.mil/genc/view?v=861499&amp;end_month=12&amp;end_day=31&amp;end_year=2016","Correlation")</f>
        <v>Correlation</v>
      </c>
    </row>
    <row r="221" spans="1:9" x14ac:dyDescent="0.2">
      <c r="A221" s="57" t="s">
        <v>1130</v>
      </c>
      <c r="B221" s="58" t="s">
        <v>1131</v>
      </c>
      <c r="C221" s="58" t="s">
        <v>1132</v>
      </c>
      <c r="D221" s="59" t="s">
        <v>1133</v>
      </c>
      <c r="E221" s="60" t="b">
        <v>1</v>
      </c>
      <c r="F221" s="58" t="s">
        <v>634</v>
      </c>
      <c r="G221" s="58" t="s">
        <v>631</v>
      </c>
      <c r="H221" s="58" t="s">
        <v>632</v>
      </c>
      <c r="I221" s="63" t="str">
        <f>HYPERLINK("http://nsgreg.nga.mil/genc/view?v=861500&amp;end_month=12&amp;end_day=31&amp;end_year=2016","Correlation")</f>
        <v>Correlation</v>
      </c>
    </row>
    <row r="222" spans="1:9" x14ac:dyDescent="0.2">
      <c r="A222" s="57" t="s">
        <v>1137</v>
      </c>
      <c r="B222" s="58" t="s">
        <v>1138</v>
      </c>
      <c r="C222" s="58" t="s">
        <v>1139</v>
      </c>
      <c r="D222" s="59" t="s">
        <v>1140</v>
      </c>
      <c r="E222" s="60" t="b">
        <v>1</v>
      </c>
      <c r="F222" s="58" t="s">
        <v>12730</v>
      </c>
      <c r="G222" s="58" t="s">
        <v>1138</v>
      </c>
      <c r="H222" s="58" t="s">
        <v>1139</v>
      </c>
      <c r="I222" s="63" t="str">
        <f>HYPERLINK("http://nsgreg.nga.mil/genc/view?v=861501&amp;end_month=12&amp;end_day=31&amp;end_year=2016","Correlation")</f>
        <v>Correlation</v>
      </c>
    </row>
    <row r="223" spans="1:9" x14ac:dyDescent="0.2">
      <c r="A223" s="57" t="s">
        <v>1143</v>
      </c>
      <c r="B223" s="58" t="s">
        <v>1144</v>
      </c>
      <c r="C223" s="58" t="s">
        <v>1145</v>
      </c>
      <c r="D223" s="59" t="s">
        <v>1146</v>
      </c>
      <c r="E223" s="60" t="b">
        <v>1</v>
      </c>
      <c r="F223" s="58" t="s">
        <v>12731</v>
      </c>
      <c r="G223" s="58" t="s">
        <v>1144</v>
      </c>
      <c r="H223" s="58" t="s">
        <v>1145</v>
      </c>
      <c r="I223" s="63" t="str">
        <f>HYPERLINK("http://nsgreg.nga.mil/genc/view?v=861502&amp;end_month=12&amp;end_day=31&amp;end_year=2016","Correlation")</f>
        <v>Correlation</v>
      </c>
    </row>
    <row r="224" spans="1:9" x14ac:dyDescent="0.2">
      <c r="A224" s="57" t="s">
        <v>1147</v>
      </c>
      <c r="B224" s="58" t="s">
        <v>1148</v>
      </c>
      <c r="C224" s="58" t="s">
        <v>1149</v>
      </c>
      <c r="D224" s="59" t="s">
        <v>1150</v>
      </c>
      <c r="E224" s="60" t="b">
        <v>1</v>
      </c>
      <c r="F224" s="58" t="s">
        <v>12732</v>
      </c>
      <c r="G224" s="58" t="s">
        <v>1148</v>
      </c>
      <c r="H224" s="58" t="s">
        <v>1149</v>
      </c>
      <c r="I224" s="63" t="str">
        <f>HYPERLINK("http://nsgreg.nga.mil/genc/view?v=861503&amp;end_month=12&amp;end_day=31&amp;end_year=2016","Correlation")</f>
        <v>Correlation</v>
      </c>
    </row>
    <row r="225" spans="1:9" x14ac:dyDescent="0.2">
      <c r="A225" s="57" t="s">
        <v>1151</v>
      </c>
      <c r="B225" s="58" t="s">
        <v>1152</v>
      </c>
      <c r="C225" s="58" t="s">
        <v>1153</v>
      </c>
      <c r="D225" s="59" t="s">
        <v>1154</v>
      </c>
      <c r="E225" s="60" t="b">
        <v>1</v>
      </c>
      <c r="F225" s="58" t="s">
        <v>9034</v>
      </c>
      <c r="G225" s="58" t="s">
        <v>1152</v>
      </c>
      <c r="H225" s="58" t="s">
        <v>1153</v>
      </c>
      <c r="I225" s="63" t="str">
        <f>HYPERLINK("http://nsgreg.nga.mil/genc/view?v=861504&amp;end_month=12&amp;end_day=31&amp;end_year=2016","Correlation")</f>
        <v>Correlation</v>
      </c>
    </row>
    <row r="226" spans="1:9" x14ac:dyDescent="0.2">
      <c r="A226" s="57" t="s">
        <v>1155</v>
      </c>
      <c r="B226" s="58" t="s">
        <v>1156</v>
      </c>
      <c r="C226" s="58" t="s">
        <v>1157</v>
      </c>
      <c r="D226" s="59" t="s">
        <v>1158</v>
      </c>
      <c r="E226" s="60" t="b">
        <v>1</v>
      </c>
      <c r="F226" s="58" t="s">
        <v>12733</v>
      </c>
      <c r="G226" s="58" t="s">
        <v>1156</v>
      </c>
      <c r="H226" s="58" t="s">
        <v>1157</v>
      </c>
      <c r="I226" s="63" t="str">
        <f>HYPERLINK("http://nsgreg.nga.mil/genc/view?v=861505&amp;end_month=12&amp;end_day=31&amp;end_year=2016","Correlation")</f>
        <v>Correlation</v>
      </c>
    </row>
    <row r="227" spans="1:9" x14ac:dyDescent="0.2">
      <c r="A227" s="57" t="s">
        <v>1159</v>
      </c>
      <c r="B227" s="58" t="s">
        <v>1160</v>
      </c>
      <c r="C227" s="58" t="s">
        <v>1161</v>
      </c>
      <c r="D227" s="59" t="s">
        <v>1162</v>
      </c>
      <c r="E227" s="60" t="b">
        <v>1</v>
      </c>
      <c r="F227" s="58" t="s">
        <v>12734</v>
      </c>
      <c r="G227" s="58" t="s">
        <v>1160</v>
      </c>
      <c r="H227" s="58" t="s">
        <v>1161</v>
      </c>
      <c r="I227" s="63" t="str">
        <f>HYPERLINK("http://nsgreg.nga.mil/genc/view?v=861506&amp;end_month=12&amp;end_day=31&amp;end_year=2016","Correlation")</f>
        <v>Correlation</v>
      </c>
    </row>
    <row r="228" spans="1:9" x14ac:dyDescent="0.2">
      <c r="A228" s="57" t="s">
        <v>1163</v>
      </c>
      <c r="B228" s="58" t="s">
        <v>1164</v>
      </c>
      <c r="C228" s="58" t="s">
        <v>1165</v>
      </c>
      <c r="D228" s="59" t="s">
        <v>1166</v>
      </c>
      <c r="E228" s="60" t="b">
        <v>1</v>
      </c>
      <c r="F228" s="58" t="s">
        <v>12735</v>
      </c>
      <c r="G228" s="58" t="s">
        <v>1164</v>
      </c>
      <c r="H228" s="58" t="s">
        <v>1165</v>
      </c>
      <c r="I228" s="63" t="str">
        <f>HYPERLINK("http://nsgreg.nga.mil/genc/view?v=861507&amp;end_month=12&amp;end_day=31&amp;end_year=2016","Correlation")</f>
        <v>Correlation</v>
      </c>
    </row>
    <row r="229" spans="1:9" x14ac:dyDescent="0.2">
      <c r="A229" s="57" t="s">
        <v>1167</v>
      </c>
      <c r="B229" s="58" t="s">
        <v>1168</v>
      </c>
      <c r="C229" s="58" t="s">
        <v>1169</v>
      </c>
      <c r="D229" s="59" t="s">
        <v>1170</v>
      </c>
      <c r="E229" s="60" t="b">
        <v>1</v>
      </c>
      <c r="F229" s="58" t="s">
        <v>12736</v>
      </c>
      <c r="G229" s="58" t="s">
        <v>1168</v>
      </c>
      <c r="H229" s="58" t="s">
        <v>1169</v>
      </c>
      <c r="I229" s="63" t="str">
        <f>HYPERLINK("http://nsgreg.nga.mil/genc/view?v=861508&amp;end_month=12&amp;end_day=31&amp;end_year=2016","Correlation")</f>
        <v>Correlation</v>
      </c>
    </row>
    <row r="230" spans="1:9" x14ac:dyDescent="0.2">
      <c r="A230" s="57" t="s">
        <v>1171</v>
      </c>
      <c r="B230" s="58" t="s">
        <v>1172</v>
      </c>
      <c r="C230" s="58" t="s">
        <v>1173</v>
      </c>
      <c r="D230" s="59" t="s">
        <v>1174</v>
      </c>
      <c r="E230" s="60" t="b">
        <v>1</v>
      </c>
      <c r="F230" s="58" t="s">
        <v>12737</v>
      </c>
      <c r="G230" s="58" t="s">
        <v>1172</v>
      </c>
      <c r="H230" s="58" t="s">
        <v>1173</v>
      </c>
      <c r="I230" s="63" t="str">
        <f>HYPERLINK("http://nsgreg.nga.mil/genc/view?v=861509&amp;end_month=12&amp;end_day=31&amp;end_year=2016","Correlation")</f>
        <v>Correlation</v>
      </c>
    </row>
    <row r="231" spans="1:9" x14ac:dyDescent="0.2">
      <c r="A231" s="57" t="s">
        <v>1175</v>
      </c>
      <c r="B231" s="58" t="s">
        <v>1176</v>
      </c>
      <c r="C231" s="58" t="s">
        <v>1177</v>
      </c>
      <c r="D231" s="59" t="s">
        <v>1178</v>
      </c>
      <c r="E231" s="60" t="b">
        <v>1</v>
      </c>
      <c r="F231" s="58" t="s">
        <v>12738</v>
      </c>
      <c r="G231" s="58" t="s">
        <v>1176</v>
      </c>
      <c r="H231" s="58" t="s">
        <v>1177</v>
      </c>
      <c r="I231" s="63" t="str">
        <f>HYPERLINK("http://nsgreg.nga.mil/genc/view?v=861510&amp;end_month=12&amp;end_day=31&amp;end_year=2016","Correlation")</f>
        <v>Correlation</v>
      </c>
    </row>
    <row r="232" spans="1:9" x14ac:dyDescent="0.2">
      <c r="A232" s="57" t="s">
        <v>1179</v>
      </c>
      <c r="B232" s="58" t="s">
        <v>1180</v>
      </c>
      <c r="C232" s="58" t="s">
        <v>1181</v>
      </c>
      <c r="D232" s="59" t="s">
        <v>1182</v>
      </c>
      <c r="E232" s="60" t="b">
        <v>1</v>
      </c>
      <c r="F232" s="58" t="s">
        <v>12739</v>
      </c>
      <c r="G232" s="58" t="s">
        <v>1180</v>
      </c>
      <c r="H232" s="58" t="s">
        <v>1181</v>
      </c>
      <c r="I232" s="63" t="str">
        <f>HYPERLINK("http://nsgreg.nga.mil/genc/view?v=861511&amp;end_month=12&amp;end_day=31&amp;end_year=2016","Correlation")</f>
        <v>Correlation</v>
      </c>
    </row>
    <row r="233" spans="1:9" x14ac:dyDescent="0.2">
      <c r="A233" s="57" t="s">
        <v>1183</v>
      </c>
      <c r="B233" s="58" t="s">
        <v>1184</v>
      </c>
      <c r="C233" s="58" t="s">
        <v>1185</v>
      </c>
      <c r="D233" s="59" t="s">
        <v>1186</v>
      </c>
      <c r="E233" s="60" t="b">
        <v>1</v>
      </c>
      <c r="F233" s="58" t="s">
        <v>12582</v>
      </c>
      <c r="G233" s="58" t="s">
        <v>12583</v>
      </c>
      <c r="H233" s="58" t="s">
        <v>12584</v>
      </c>
      <c r="I233" s="63" t="str">
        <f>HYPERLINK("http://nsgreg.nga.mil/genc/view?v=861512&amp;end_month=12&amp;end_day=31&amp;end_year=2016","Correlation")</f>
        <v>Correlation</v>
      </c>
    </row>
    <row r="234" spans="1:9" x14ac:dyDescent="0.2">
      <c r="A234" s="57" t="s">
        <v>1190</v>
      </c>
      <c r="B234" s="58" t="s">
        <v>1191</v>
      </c>
      <c r="C234" s="58" t="s">
        <v>1192</v>
      </c>
      <c r="D234" s="59" t="s">
        <v>1193</v>
      </c>
      <c r="E234" s="60" t="b">
        <v>1</v>
      </c>
      <c r="F234" s="58" t="s">
        <v>12740</v>
      </c>
      <c r="G234" s="58" t="s">
        <v>1191</v>
      </c>
      <c r="H234" s="58" t="s">
        <v>1192</v>
      </c>
      <c r="I234" s="63" t="str">
        <f>HYPERLINK("http://nsgreg.nga.mil/genc/view?v=861513&amp;end_month=12&amp;end_day=31&amp;end_year=2016","Correlation")</f>
        <v>Correlation</v>
      </c>
    </row>
    <row r="235" spans="1:9" x14ac:dyDescent="0.2">
      <c r="A235" s="57" t="s">
        <v>1194</v>
      </c>
      <c r="B235" s="58" t="s">
        <v>1195</v>
      </c>
      <c r="C235" s="58" t="s">
        <v>1196</v>
      </c>
      <c r="D235" s="59" t="s">
        <v>1197</v>
      </c>
      <c r="E235" s="60" t="b">
        <v>1</v>
      </c>
      <c r="F235" s="58" t="s">
        <v>12741</v>
      </c>
      <c r="G235" s="58" t="s">
        <v>1195</v>
      </c>
      <c r="H235" s="58" t="s">
        <v>1196</v>
      </c>
      <c r="I235" s="63" t="str">
        <f>HYPERLINK("http://nsgreg.nga.mil/genc/view?v=861514&amp;end_month=12&amp;end_day=31&amp;end_year=2016","Correlation")</f>
        <v>Correlation</v>
      </c>
    </row>
    <row r="236" spans="1:9" x14ac:dyDescent="0.2">
      <c r="A236" s="57" t="s">
        <v>1198</v>
      </c>
      <c r="B236" s="58" t="s">
        <v>1199</v>
      </c>
      <c r="C236" s="58" t="s">
        <v>1200</v>
      </c>
      <c r="D236" s="59" t="s">
        <v>1201</v>
      </c>
      <c r="E236" s="60" t="b">
        <v>1</v>
      </c>
      <c r="F236" s="58" t="s">
        <v>12742</v>
      </c>
      <c r="G236" s="58" t="s">
        <v>1199</v>
      </c>
      <c r="H236" s="58" t="s">
        <v>1200</v>
      </c>
      <c r="I236" s="63" t="str">
        <f>HYPERLINK("http://nsgreg.nga.mil/genc/view?v=861515&amp;end_month=12&amp;end_day=31&amp;end_year=2016","Correlation")</f>
        <v>Correlation</v>
      </c>
    </row>
    <row r="237" spans="1:9" x14ac:dyDescent="0.2">
      <c r="A237" s="57" t="s">
        <v>1202</v>
      </c>
      <c r="B237" s="58" t="s">
        <v>1203</v>
      </c>
      <c r="C237" s="58" t="s">
        <v>1204</v>
      </c>
      <c r="D237" s="59" t="s">
        <v>1205</v>
      </c>
      <c r="E237" s="60" t="b">
        <v>1</v>
      </c>
      <c r="F237" s="58" t="s">
        <v>12743</v>
      </c>
      <c r="G237" s="58" t="s">
        <v>1203</v>
      </c>
      <c r="H237" s="58" t="s">
        <v>1204</v>
      </c>
      <c r="I237" s="63" t="str">
        <f>HYPERLINK("http://nsgreg.nga.mil/genc/view?v=861516&amp;end_month=12&amp;end_day=31&amp;end_year=2016","Correlation")</f>
        <v>Correlation</v>
      </c>
    </row>
    <row r="238" spans="1:9" x14ac:dyDescent="0.2">
      <c r="A238" s="57" t="s">
        <v>1206</v>
      </c>
      <c r="B238" s="58" t="s">
        <v>1207</v>
      </c>
      <c r="C238" s="58" t="s">
        <v>1208</v>
      </c>
      <c r="D238" s="59" t="s">
        <v>1209</v>
      </c>
      <c r="E238" s="60" t="b">
        <v>1</v>
      </c>
      <c r="F238" s="58" t="s">
        <v>12744</v>
      </c>
      <c r="G238" s="58" t="s">
        <v>1207</v>
      </c>
      <c r="H238" s="58" t="s">
        <v>1208</v>
      </c>
      <c r="I238" s="63" t="str">
        <f>HYPERLINK("http://nsgreg.nga.mil/genc/view?v=861517&amp;end_month=12&amp;end_day=31&amp;end_year=2016","Correlation")</f>
        <v>Correlation</v>
      </c>
    </row>
    <row r="239" spans="1:9" x14ac:dyDescent="0.2">
      <c r="A239" s="57" t="s">
        <v>1210</v>
      </c>
      <c r="B239" s="58" t="s">
        <v>1211</v>
      </c>
      <c r="C239" s="58" t="s">
        <v>1212</v>
      </c>
      <c r="D239" s="59" t="s">
        <v>1213</v>
      </c>
      <c r="E239" s="60" t="b">
        <v>1</v>
      </c>
      <c r="F239" s="58" t="s">
        <v>12745</v>
      </c>
      <c r="G239" s="58" t="s">
        <v>1211</v>
      </c>
      <c r="H239" s="58" t="s">
        <v>1212</v>
      </c>
      <c r="I239" s="63" t="str">
        <f>HYPERLINK("http://nsgreg.nga.mil/genc/view?v=861518&amp;end_month=12&amp;end_day=31&amp;end_year=2016","Correlation")</f>
        <v>Correlation</v>
      </c>
    </row>
    <row r="240" spans="1:9" x14ac:dyDescent="0.2">
      <c r="A240" s="57" t="s">
        <v>1219</v>
      </c>
      <c r="B240" s="58" t="s">
        <v>1220</v>
      </c>
      <c r="C240" s="58" t="s">
        <v>1221</v>
      </c>
      <c r="D240" s="59" t="s">
        <v>1222</v>
      </c>
      <c r="E240" s="60" t="b">
        <v>1</v>
      </c>
      <c r="F240" s="58" t="s">
        <v>12746</v>
      </c>
      <c r="G240" s="58" t="s">
        <v>1220</v>
      </c>
      <c r="H240" s="58" t="s">
        <v>1221</v>
      </c>
      <c r="I240" s="63" t="str">
        <f>HYPERLINK("http://nsgreg.nga.mil/genc/view?v=861519&amp;end_month=12&amp;end_day=31&amp;end_year=2016","Correlation")</f>
        <v>Correlation</v>
      </c>
    </row>
    <row r="241" spans="1:9" x14ac:dyDescent="0.2">
      <c r="A241" s="99" t="s">
        <v>1223</v>
      </c>
      <c r="B241" s="100" t="s">
        <v>1224</v>
      </c>
      <c r="C241" s="100" t="s">
        <v>1225</v>
      </c>
      <c r="D241" s="101" t="s">
        <v>1226</v>
      </c>
      <c r="E241" s="67" t="b">
        <v>0</v>
      </c>
      <c r="F241" s="58" t="s">
        <v>12603</v>
      </c>
      <c r="G241" s="58" t="s">
        <v>393</v>
      </c>
      <c r="H241" s="58" t="s">
        <v>394</v>
      </c>
      <c r="I241" s="63" t="str">
        <f>HYPERLINK("http://nsgreg.nga.mil/genc/view?v=861520&amp;end_month=12&amp;end_day=31&amp;end_year=2016","Correlation")</f>
        <v>Correlation</v>
      </c>
    </row>
    <row r="242" spans="1:9" x14ac:dyDescent="0.2">
      <c r="A242" s="99"/>
      <c r="B242" s="100"/>
      <c r="C242" s="100"/>
      <c r="D242" s="101"/>
      <c r="E242" s="67" t="b">
        <v>0</v>
      </c>
      <c r="F242" s="58" t="s">
        <v>12684</v>
      </c>
      <c r="G242" s="58" t="s">
        <v>874</v>
      </c>
      <c r="H242" s="58" t="s">
        <v>875</v>
      </c>
      <c r="I242" s="63" t="str">
        <f>HYPERLINK("http://nsgreg.nga.mil/genc/view?v=861521&amp;end_month=12&amp;end_day=31&amp;end_year=2016","Correlation")</f>
        <v>Correlation</v>
      </c>
    </row>
    <row r="243" spans="1:9" x14ac:dyDescent="0.2">
      <c r="A243" s="99"/>
      <c r="B243" s="100"/>
      <c r="C243" s="100"/>
      <c r="D243" s="101"/>
      <c r="E243" s="67" t="b">
        <v>0</v>
      </c>
      <c r="F243" s="58" t="s">
        <v>12719</v>
      </c>
      <c r="G243" s="58" t="s">
        <v>1063</v>
      </c>
      <c r="H243" s="58" t="s">
        <v>1064</v>
      </c>
      <c r="I243" s="63" t="str">
        <f>HYPERLINK("http://nsgreg.nga.mil/genc/view?v=861522&amp;end_month=12&amp;end_day=31&amp;end_year=2016","Correlation")</f>
        <v>Correlation</v>
      </c>
    </row>
    <row r="244" spans="1:9" x14ac:dyDescent="0.2">
      <c r="A244" s="99"/>
      <c r="B244" s="100"/>
      <c r="C244" s="100"/>
      <c r="D244" s="101"/>
      <c r="E244" s="67" t="b">
        <v>0</v>
      </c>
      <c r="F244" s="58" t="s">
        <v>12715</v>
      </c>
      <c r="G244" s="58" t="s">
        <v>1047</v>
      </c>
      <c r="H244" s="58" t="s">
        <v>1048</v>
      </c>
      <c r="I244" s="63" t="str">
        <f>HYPERLINK("http://nsgreg.nga.mil/genc/view?v=861523&amp;end_month=12&amp;end_day=31&amp;end_year=2016","Correlation")</f>
        <v>Correlation</v>
      </c>
    </row>
    <row r="245" spans="1:9" x14ac:dyDescent="0.2">
      <c r="A245" s="99"/>
      <c r="B245" s="100"/>
      <c r="C245" s="100"/>
      <c r="D245" s="101"/>
      <c r="E245" s="67" t="b">
        <v>0</v>
      </c>
      <c r="F245" s="58" t="s">
        <v>12716</v>
      </c>
      <c r="G245" s="58" t="s">
        <v>1051</v>
      </c>
      <c r="H245" s="58" t="s">
        <v>1052</v>
      </c>
      <c r="I245" s="63" t="str">
        <f>HYPERLINK("http://nsgreg.nga.mil/genc/view?v=861524&amp;end_month=12&amp;end_day=31&amp;end_year=2016","Correlation")</f>
        <v>Correlation</v>
      </c>
    </row>
    <row r="246" spans="1:9" x14ac:dyDescent="0.2">
      <c r="A246" s="57" t="s">
        <v>1227</v>
      </c>
      <c r="B246" s="58" t="s">
        <v>1228</v>
      </c>
      <c r="C246" s="58" t="s">
        <v>1229</v>
      </c>
      <c r="D246" s="59" t="s">
        <v>1230</v>
      </c>
      <c r="E246" s="60" t="b">
        <v>1</v>
      </c>
      <c r="F246" s="58" t="s">
        <v>12747</v>
      </c>
      <c r="G246" s="58" t="s">
        <v>1228</v>
      </c>
      <c r="H246" s="58" t="s">
        <v>1229</v>
      </c>
      <c r="I246" s="63" t="str">
        <f>HYPERLINK("http://nsgreg.nga.mil/genc/view?v=861525&amp;end_month=12&amp;end_day=31&amp;end_year=2016","Correlation")</f>
        <v>Correlation</v>
      </c>
    </row>
    <row r="247" spans="1:9" x14ac:dyDescent="0.2">
      <c r="A247" s="57" t="s">
        <v>1231</v>
      </c>
      <c r="B247" s="58" t="s">
        <v>1232</v>
      </c>
      <c r="C247" s="58" t="s">
        <v>1233</v>
      </c>
      <c r="D247" s="59" t="s">
        <v>1234</v>
      </c>
      <c r="E247" s="60" t="b">
        <v>1</v>
      </c>
      <c r="F247" s="58" t="s">
        <v>12748</v>
      </c>
      <c r="G247" s="58" t="s">
        <v>1232</v>
      </c>
      <c r="H247" s="58" t="s">
        <v>1233</v>
      </c>
      <c r="I247" s="63" t="str">
        <f>HYPERLINK("http://nsgreg.nga.mil/genc/view?v=861526&amp;end_month=12&amp;end_day=31&amp;end_year=2016","Correlation")</f>
        <v>Correlation</v>
      </c>
    </row>
    <row r="248" spans="1:9" x14ac:dyDescent="0.2">
      <c r="A248" s="57" t="s">
        <v>1235</v>
      </c>
      <c r="B248" s="58" t="s">
        <v>1236</v>
      </c>
      <c r="C248" s="58" t="s">
        <v>1237</v>
      </c>
      <c r="D248" s="59" t="s">
        <v>1238</v>
      </c>
      <c r="E248" s="60" t="b">
        <v>1</v>
      </c>
      <c r="F248" s="58" t="s">
        <v>12749</v>
      </c>
      <c r="G248" s="58" t="s">
        <v>1236</v>
      </c>
      <c r="H248" s="58" t="s">
        <v>1237</v>
      </c>
      <c r="I248" s="63" t="str">
        <f>HYPERLINK("http://nsgreg.nga.mil/genc/view?v=861527&amp;end_month=12&amp;end_day=31&amp;end_year=2016","Correlation")</f>
        <v>Correlation</v>
      </c>
    </row>
    <row r="249" spans="1:9" x14ac:dyDescent="0.2">
      <c r="A249" s="57" t="s">
        <v>1239</v>
      </c>
      <c r="B249" s="58" t="s">
        <v>1240</v>
      </c>
      <c r="C249" s="58" t="s">
        <v>1241</v>
      </c>
      <c r="D249" s="59" t="s">
        <v>1242</v>
      </c>
      <c r="E249" s="60" t="b">
        <v>1</v>
      </c>
      <c r="F249" s="58" t="s">
        <v>12661</v>
      </c>
      <c r="G249" s="58" t="s">
        <v>741</v>
      </c>
      <c r="H249" s="58" t="s">
        <v>742</v>
      </c>
      <c r="I249" s="63" t="str">
        <f>HYPERLINK("http://nsgreg.nga.mil/genc/view?v=861528&amp;end_month=12&amp;end_day=31&amp;end_year=2016","Correlation")</f>
        <v>Correlation</v>
      </c>
    </row>
    <row r="250" spans="1:9" x14ac:dyDescent="0.2">
      <c r="A250" s="57" t="s">
        <v>1245</v>
      </c>
      <c r="B250" s="58" t="s">
        <v>1246</v>
      </c>
      <c r="C250" s="58" t="s">
        <v>1247</v>
      </c>
      <c r="D250" s="59" t="s">
        <v>1248</v>
      </c>
      <c r="E250" s="60" t="b">
        <v>1</v>
      </c>
      <c r="F250" s="58" t="s">
        <v>12750</v>
      </c>
      <c r="G250" s="58" t="s">
        <v>1246</v>
      </c>
      <c r="H250" s="58" t="s">
        <v>1247</v>
      </c>
      <c r="I250" s="63" t="str">
        <f>HYPERLINK("http://nsgreg.nga.mil/genc/view?v=861529&amp;end_month=12&amp;end_day=31&amp;end_year=2016","Correlation")</f>
        <v>Correlation</v>
      </c>
    </row>
    <row r="251" spans="1:9" x14ac:dyDescent="0.2">
      <c r="A251" s="57" t="s">
        <v>1249</v>
      </c>
      <c r="B251" s="58" t="s">
        <v>1250</v>
      </c>
      <c r="C251" s="58" t="s">
        <v>1251</v>
      </c>
      <c r="D251" s="59" t="s">
        <v>1252</v>
      </c>
      <c r="E251" s="60" t="b">
        <v>1</v>
      </c>
      <c r="F251" s="58" t="s">
        <v>12751</v>
      </c>
      <c r="G251" s="58" t="s">
        <v>1250</v>
      </c>
      <c r="H251" s="58" t="s">
        <v>1251</v>
      </c>
      <c r="I251" s="63" t="str">
        <f>HYPERLINK("http://nsgreg.nga.mil/genc/view?v=861530&amp;end_month=12&amp;end_day=31&amp;end_year=2016","Correlation")</f>
        <v>Correlation</v>
      </c>
    </row>
    <row r="252" spans="1:9" x14ac:dyDescent="0.2">
      <c r="A252" s="57" t="s">
        <v>1253</v>
      </c>
      <c r="B252" s="58" t="s">
        <v>1254</v>
      </c>
      <c r="C252" s="58" t="s">
        <v>1255</v>
      </c>
      <c r="D252" s="59" t="s">
        <v>1256</v>
      </c>
      <c r="E252" s="60" t="b">
        <v>1</v>
      </c>
      <c r="F252" s="58" t="s">
        <v>12752</v>
      </c>
      <c r="G252" s="58" t="s">
        <v>1254</v>
      </c>
      <c r="H252" s="58" t="s">
        <v>1255</v>
      </c>
      <c r="I252" s="63" t="str">
        <f>HYPERLINK("http://nsgreg.nga.mil/genc/view?v=861531&amp;end_month=12&amp;end_day=31&amp;end_year=2016","Correlation")</f>
        <v>Correlation</v>
      </c>
    </row>
    <row r="253" spans="1:9" x14ac:dyDescent="0.2">
      <c r="A253" s="57" t="s">
        <v>1257</v>
      </c>
      <c r="B253" s="58" t="s">
        <v>1258</v>
      </c>
      <c r="C253" s="58" t="s">
        <v>1259</v>
      </c>
      <c r="D253" s="59" t="s">
        <v>1260</v>
      </c>
      <c r="E253" s="60" t="b">
        <v>1</v>
      </c>
      <c r="F253" s="58" t="s">
        <v>12753</v>
      </c>
      <c r="G253" s="58" t="s">
        <v>1258</v>
      </c>
      <c r="H253" s="58" t="s">
        <v>1259</v>
      </c>
      <c r="I253" s="63" t="str">
        <f>HYPERLINK("http://nsgreg.nga.mil/genc/view?v=861532&amp;end_month=12&amp;end_day=31&amp;end_year=2016","Correlation")</f>
        <v>Correlation</v>
      </c>
    </row>
    <row r="254" spans="1:9" x14ac:dyDescent="0.2">
      <c r="A254" s="57" t="s">
        <v>1262</v>
      </c>
      <c r="B254" s="58" t="s">
        <v>1047</v>
      </c>
      <c r="C254" s="58" t="s">
        <v>1048</v>
      </c>
      <c r="D254" s="59" t="s">
        <v>1049</v>
      </c>
      <c r="E254" s="60" t="b">
        <v>1</v>
      </c>
      <c r="F254" s="58" t="s">
        <v>12715</v>
      </c>
      <c r="G254" s="58" t="s">
        <v>1047</v>
      </c>
      <c r="H254" s="58" t="s">
        <v>1048</v>
      </c>
      <c r="I254" s="63" t="str">
        <f>HYPERLINK("http://nsgreg.nga.mil/genc/view?v=861533&amp;end_month=12&amp;end_day=31&amp;end_year=2016","Correlation")</f>
        <v>Correlation</v>
      </c>
    </row>
    <row r="255" spans="1:9" x14ac:dyDescent="0.2">
      <c r="A255" s="57" t="s">
        <v>1263</v>
      </c>
      <c r="B255" s="58" t="s">
        <v>1264</v>
      </c>
      <c r="C255" s="58" t="s">
        <v>1265</v>
      </c>
      <c r="D255" s="59" t="s">
        <v>1266</v>
      </c>
      <c r="E255" s="60" t="b">
        <v>1</v>
      </c>
      <c r="F255" s="58" t="s">
        <v>12754</v>
      </c>
      <c r="G255" s="58" t="s">
        <v>1264</v>
      </c>
      <c r="H255" s="58" t="s">
        <v>1265</v>
      </c>
      <c r="I255" s="63" t="str">
        <f>HYPERLINK("http://nsgreg.nga.mil/genc/view?v=861534&amp;end_month=12&amp;end_day=31&amp;end_year=2016","Correlation")</f>
        <v>Correlation</v>
      </c>
    </row>
    <row r="256" spans="1:9" x14ac:dyDescent="0.2">
      <c r="A256" s="57" t="s">
        <v>1267</v>
      </c>
      <c r="B256" s="58" t="s">
        <v>1268</v>
      </c>
      <c r="C256" s="58" t="s">
        <v>1269</v>
      </c>
      <c r="D256" s="59" t="s">
        <v>1270</v>
      </c>
      <c r="E256" s="60" t="b">
        <v>1</v>
      </c>
      <c r="F256" s="58" t="s">
        <v>12755</v>
      </c>
      <c r="G256" s="58" t="s">
        <v>1268</v>
      </c>
      <c r="H256" s="58" t="s">
        <v>1269</v>
      </c>
      <c r="I256" s="63" t="str">
        <f>HYPERLINK("http://nsgreg.nga.mil/genc/view?v=861535&amp;end_month=12&amp;end_day=31&amp;end_year=2016","Correlation")</f>
        <v>Correlation</v>
      </c>
    </row>
    <row r="257" spans="1:9" x14ac:dyDescent="0.2">
      <c r="A257" s="57" t="s">
        <v>1272</v>
      </c>
      <c r="B257" s="58" t="s">
        <v>1273</v>
      </c>
      <c r="C257" s="58" t="s">
        <v>1274</v>
      </c>
      <c r="D257" s="59" t="s">
        <v>1275</v>
      </c>
      <c r="E257" s="60" t="b">
        <v>1</v>
      </c>
      <c r="F257" s="58" t="s">
        <v>12756</v>
      </c>
      <c r="G257" s="58" t="s">
        <v>1273</v>
      </c>
      <c r="H257" s="58" t="s">
        <v>1274</v>
      </c>
      <c r="I257" s="63" t="str">
        <f>HYPERLINK("http://nsgreg.nga.mil/genc/view?v=861536&amp;end_month=12&amp;end_day=31&amp;end_year=2016","Correlation")</f>
        <v>Correlation</v>
      </c>
    </row>
    <row r="258" spans="1:9" x14ac:dyDescent="0.2">
      <c r="A258" s="57" t="s">
        <v>1276</v>
      </c>
      <c r="B258" s="58" t="s">
        <v>1277</v>
      </c>
      <c r="C258" s="58" t="s">
        <v>1278</v>
      </c>
      <c r="D258" s="59" t="s">
        <v>1279</v>
      </c>
      <c r="E258" s="60" t="b">
        <v>1</v>
      </c>
      <c r="F258" s="58" t="s">
        <v>12757</v>
      </c>
      <c r="G258" s="58" t="s">
        <v>1277</v>
      </c>
      <c r="H258" s="58" t="s">
        <v>1278</v>
      </c>
      <c r="I258" s="63" t="str">
        <f>HYPERLINK("http://nsgreg.nga.mil/genc/view?v=861537&amp;end_month=12&amp;end_day=31&amp;end_year=2016","Correlation")</f>
        <v>Correlation</v>
      </c>
    </row>
    <row r="259" spans="1:9" x14ac:dyDescent="0.2">
      <c r="A259" s="57" t="s">
        <v>1280</v>
      </c>
      <c r="B259" s="58" t="s">
        <v>1281</v>
      </c>
      <c r="C259" s="58" t="s">
        <v>1282</v>
      </c>
      <c r="D259" s="59" t="s">
        <v>1283</v>
      </c>
      <c r="E259" s="60" t="b">
        <v>1</v>
      </c>
      <c r="F259" s="58" t="s">
        <v>12758</v>
      </c>
      <c r="G259" s="58" t="s">
        <v>1281</v>
      </c>
      <c r="H259" s="58" t="s">
        <v>1282</v>
      </c>
      <c r="I259" s="63" t="str">
        <f>HYPERLINK("http://nsgreg.nga.mil/genc/view?v=861538&amp;end_month=12&amp;end_day=31&amp;end_year=2016","Correlation")</f>
        <v>Correlation</v>
      </c>
    </row>
    <row r="260" spans="1:9" x14ac:dyDescent="0.2">
      <c r="A260" s="57" t="s">
        <v>1284</v>
      </c>
      <c r="B260" s="58" t="s">
        <v>1285</v>
      </c>
      <c r="C260" s="58" t="s">
        <v>1286</v>
      </c>
      <c r="D260" s="59" t="s">
        <v>1287</v>
      </c>
      <c r="E260" s="60" t="b">
        <v>1</v>
      </c>
      <c r="F260" s="58" t="s">
        <v>12759</v>
      </c>
      <c r="G260" s="58" t="s">
        <v>1285</v>
      </c>
      <c r="H260" s="58" t="s">
        <v>1286</v>
      </c>
      <c r="I260" s="63" t="str">
        <f>HYPERLINK("http://nsgreg.nga.mil/genc/view?v=861539&amp;end_month=12&amp;end_day=31&amp;end_year=2016","Correlation")</f>
        <v>Correlation</v>
      </c>
    </row>
    <row r="261" spans="1:9" x14ac:dyDescent="0.2">
      <c r="A261" s="57" t="s">
        <v>1288</v>
      </c>
      <c r="B261" s="58" t="s">
        <v>1289</v>
      </c>
      <c r="C261" s="58" t="s">
        <v>1290</v>
      </c>
      <c r="D261" s="59" t="s">
        <v>1291</v>
      </c>
      <c r="E261" s="60" t="b">
        <v>1</v>
      </c>
      <c r="F261" s="58" t="s">
        <v>12760</v>
      </c>
      <c r="G261" s="58" t="s">
        <v>1289</v>
      </c>
      <c r="H261" s="58" t="s">
        <v>1290</v>
      </c>
      <c r="I261" s="63" t="str">
        <f>HYPERLINK("http://nsgreg.nga.mil/genc/view?v=861540&amp;end_month=12&amp;end_day=31&amp;end_year=2016","Correlation")</f>
        <v>Correlation</v>
      </c>
    </row>
    <row r="262" spans="1:9" x14ac:dyDescent="0.2">
      <c r="A262" s="57" t="s">
        <v>1292</v>
      </c>
      <c r="B262" s="58" t="s">
        <v>1293</v>
      </c>
      <c r="C262" s="58" t="s">
        <v>1294</v>
      </c>
      <c r="D262" s="59" t="s">
        <v>1295</v>
      </c>
      <c r="E262" s="60" t="b">
        <v>1</v>
      </c>
      <c r="F262" s="58" t="s">
        <v>12761</v>
      </c>
      <c r="G262" s="58" t="s">
        <v>1293</v>
      </c>
      <c r="H262" s="58" t="s">
        <v>1294</v>
      </c>
      <c r="I262" s="63" t="str">
        <f>HYPERLINK("http://nsgreg.nga.mil/genc/view?v=861541&amp;end_month=12&amp;end_day=31&amp;end_year=2016","Correlation")</f>
        <v>Correlation</v>
      </c>
    </row>
    <row r="263" spans="1:9" x14ac:dyDescent="0.2">
      <c r="A263" s="57" t="s">
        <v>1296</v>
      </c>
      <c r="B263" s="58" t="s">
        <v>1297</v>
      </c>
      <c r="C263" s="58" t="s">
        <v>1298</v>
      </c>
      <c r="D263" s="59" t="s">
        <v>1299</v>
      </c>
      <c r="E263" s="60" t="b">
        <v>1</v>
      </c>
      <c r="F263" s="58" t="s">
        <v>12575</v>
      </c>
      <c r="G263" s="58" t="s">
        <v>266</v>
      </c>
      <c r="H263" s="58" t="s">
        <v>267</v>
      </c>
      <c r="I263" s="63" t="str">
        <f>HYPERLINK("http://nsgreg.nga.mil/genc/view?v=861542&amp;end_month=12&amp;end_day=31&amp;end_year=2016","Correlation")</f>
        <v>Correlation</v>
      </c>
    </row>
    <row r="264" spans="1:9" x14ac:dyDescent="0.2">
      <c r="A264" s="57" t="s">
        <v>1300</v>
      </c>
      <c r="B264" s="58" t="s">
        <v>1301</v>
      </c>
      <c r="C264" s="58" t="s">
        <v>1302</v>
      </c>
      <c r="D264" s="59" t="s">
        <v>1303</v>
      </c>
      <c r="E264" s="60" t="b">
        <v>1</v>
      </c>
      <c r="F264" s="58" t="s">
        <v>12762</v>
      </c>
      <c r="G264" s="58" t="s">
        <v>1301</v>
      </c>
      <c r="H264" s="58" t="s">
        <v>1302</v>
      </c>
      <c r="I264" s="63" t="str">
        <f>HYPERLINK("http://nsgreg.nga.mil/genc/view?v=861543&amp;end_month=12&amp;end_day=31&amp;end_year=2016","Correlation")</f>
        <v>Correlation</v>
      </c>
    </row>
    <row r="265" spans="1:9" x14ac:dyDescent="0.2">
      <c r="A265" s="57" t="s">
        <v>1304</v>
      </c>
      <c r="B265" s="58" t="s">
        <v>1305</v>
      </c>
      <c r="C265" s="58" t="s">
        <v>1306</v>
      </c>
      <c r="D265" s="59" t="s">
        <v>1307</v>
      </c>
      <c r="E265" s="60" t="b">
        <v>1</v>
      </c>
      <c r="F265" s="58" t="s">
        <v>12763</v>
      </c>
      <c r="G265" s="58" t="s">
        <v>1305</v>
      </c>
      <c r="H265" s="58" t="s">
        <v>1306</v>
      </c>
      <c r="I265" s="63" t="str">
        <f>HYPERLINK("http://nsgreg.nga.mil/genc/view?v=861544&amp;end_month=12&amp;end_day=31&amp;end_year=2016","Correlation")</f>
        <v>Correlation</v>
      </c>
    </row>
    <row r="266" spans="1:9" x14ac:dyDescent="0.2">
      <c r="A266" s="57" t="s">
        <v>1308</v>
      </c>
      <c r="B266" s="58" t="s">
        <v>1309</v>
      </c>
      <c r="C266" s="58" t="s">
        <v>1310</v>
      </c>
      <c r="D266" s="59" t="s">
        <v>1311</v>
      </c>
      <c r="E266" s="60" t="b">
        <v>1</v>
      </c>
      <c r="F266" s="58" t="s">
        <v>12764</v>
      </c>
      <c r="G266" s="58" t="s">
        <v>1309</v>
      </c>
      <c r="H266" s="58" t="s">
        <v>1310</v>
      </c>
      <c r="I266" s="63" t="str">
        <f>HYPERLINK("http://nsgreg.nga.mil/genc/view?v=861545&amp;end_month=12&amp;end_day=31&amp;end_year=2016","Correlation")</f>
        <v>Correlation</v>
      </c>
    </row>
    <row r="267" spans="1:9" x14ac:dyDescent="0.2">
      <c r="A267" s="57" t="s">
        <v>1312</v>
      </c>
      <c r="B267" s="58" t="s">
        <v>1313</v>
      </c>
      <c r="C267" s="58" t="s">
        <v>1314</v>
      </c>
      <c r="D267" s="59" t="s">
        <v>1315</v>
      </c>
      <c r="E267" s="60" t="b">
        <v>1</v>
      </c>
      <c r="F267" s="58" t="s">
        <v>12765</v>
      </c>
      <c r="G267" s="58" t="s">
        <v>1313</v>
      </c>
      <c r="H267" s="58" t="s">
        <v>1314</v>
      </c>
      <c r="I267" s="63" t="str">
        <f>HYPERLINK("http://nsgreg.nga.mil/genc/view?v=861546&amp;end_month=12&amp;end_day=31&amp;end_year=2016","Correlation")</f>
        <v>Correlation</v>
      </c>
    </row>
    <row r="268" spans="1:9" x14ac:dyDescent="0.2">
      <c r="A268" s="57" t="s">
        <v>1316</v>
      </c>
      <c r="B268" s="58" t="s">
        <v>1317</v>
      </c>
      <c r="C268" s="58" t="s">
        <v>1318</v>
      </c>
      <c r="D268" s="59" t="s">
        <v>1319</v>
      </c>
      <c r="E268" s="60" t="b">
        <v>1</v>
      </c>
      <c r="F268" s="58" t="s">
        <v>12766</v>
      </c>
      <c r="G268" s="58" t="s">
        <v>1317</v>
      </c>
      <c r="H268" s="58" t="s">
        <v>1318</v>
      </c>
      <c r="I268" s="63" t="str">
        <f>HYPERLINK("http://nsgreg.nga.mil/genc/view?v=861547&amp;end_month=12&amp;end_day=31&amp;end_year=2016","Correlation")</f>
        <v>Correlation</v>
      </c>
    </row>
    <row r="269" spans="1:9" x14ac:dyDescent="0.2">
      <c r="A269" s="57" t="s">
        <v>1320</v>
      </c>
      <c r="B269" s="58" t="s">
        <v>1321</v>
      </c>
      <c r="C269" s="58" t="s">
        <v>1322</v>
      </c>
      <c r="D269" s="59" t="s">
        <v>1323</v>
      </c>
      <c r="E269" s="60" t="b">
        <v>1</v>
      </c>
      <c r="F269" s="58" t="s">
        <v>12767</v>
      </c>
      <c r="G269" s="58" t="s">
        <v>1321</v>
      </c>
      <c r="H269" s="58" t="s">
        <v>1322</v>
      </c>
      <c r="I269" s="63" t="str">
        <f>HYPERLINK("http://nsgreg.nga.mil/genc/view?v=861548&amp;end_month=12&amp;end_day=31&amp;end_year=2016","Correlation")</f>
        <v>Correlation</v>
      </c>
    </row>
    <row r="270" spans="1:9" x14ac:dyDescent="0.2">
      <c r="A270" s="57" t="s">
        <v>1324</v>
      </c>
      <c r="B270" s="58" t="s">
        <v>1325</v>
      </c>
      <c r="C270" s="58" t="s">
        <v>1326</v>
      </c>
      <c r="D270" s="59" t="s">
        <v>1327</v>
      </c>
      <c r="E270" s="60" t="b">
        <v>1</v>
      </c>
      <c r="F270" s="58" t="s">
        <v>12768</v>
      </c>
      <c r="G270" s="58" t="s">
        <v>1325</v>
      </c>
      <c r="H270" s="58" t="s">
        <v>1326</v>
      </c>
      <c r="I270" s="63" t="str">
        <f>HYPERLINK("http://nsgreg.nga.mil/genc/view?v=861549&amp;end_month=12&amp;end_day=31&amp;end_year=2016","Correlation")</f>
        <v>Correlation</v>
      </c>
    </row>
    <row r="271" spans="1:9" x14ac:dyDescent="0.2">
      <c r="A271" s="57" t="s">
        <v>1328</v>
      </c>
      <c r="B271" s="58" t="s">
        <v>1329</v>
      </c>
      <c r="C271" s="58" t="s">
        <v>1330</v>
      </c>
      <c r="D271" s="59" t="s">
        <v>1331</v>
      </c>
      <c r="E271" s="60" t="b">
        <v>1</v>
      </c>
      <c r="F271" s="58" t="s">
        <v>12769</v>
      </c>
      <c r="G271" s="58" t="s">
        <v>1329</v>
      </c>
      <c r="H271" s="58" t="s">
        <v>1330</v>
      </c>
      <c r="I271" s="63" t="str">
        <f>HYPERLINK("http://nsgreg.nga.mil/genc/view?v=861550&amp;end_month=12&amp;end_day=31&amp;end_year=2016","Correlation")</f>
        <v>Correlation</v>
      </c>
    </row>
    <row r="272" spans="1:9" x14ac:dyDescent="0.2">
      <c r="A272" s="57" t="s">
        <v>1332</v>
      </c>
      <c r="B272" s="58" t="s">
        <v>1333</v>
      </c>
      <c r="C272" s="58" t="s">
        <v>1334</v>
      </c>
      <c r="D272" s="59" t="s">
        <v>1335</v>
      </c>
      <c r="E272" s="60" t="b">
        <v>1</v>
      </c>
      <c r="F272" s="58" t="s">
        <v>12643</v>
      </c>
      <c r="G272" s="58" t="s">
        <v>1333</v>
      </c>
      <c r="H272" s="58" t="s">
        <v>1334</v>
      </c>
      <c r="I272" s="63" t="str">
        <f>HYPERLINK("http://nsgreg.nga.mil/genc/view?v=861551&amp;end_month=12&amp;end_day=31&amp;end_year=2016","Correlation")</f>
        <v>Correlation</v>
      </c>
    </row>
    <row r="273" spans="1:9" x14ac:dyDescent="0.2">
      <c r="A273" s="57" t="s">
        <v>1337</v>
      </c>
      <c r="B273" s="58" t="s">
        <v>1338</v>
      </c>
      <c r="C273" s="58" t="s">
        <v>1339</v>
      </c>
      <c r="D273" s="59" t="s">
        <v>1340</v>
      </c>
      <c r="E273" s="60" t="b">
        <v>1</v>
      </c>
      <c r="F273" s="58" t="s">
        <v>12770</v>
      </c>
      <c r="G273" s="58" t="s">
        <v>1338</v>
      </c>
      <c r="H273" s="58" t="s">
        <v>1339</v>
      </c>
      <c r="I273" s="63" t="str">
        <f>HYPERLINK("http://nsgreg.nga.mil/genc/view?v=861552&amp;end_month=12&amp;end_day=31&amp;end_year=2016","Correlation")</f>
        <v>Correlation</v>
      </c>
    </row>
    <row r="274" spans="1:9" x14ac:dyDescent="0.2">
      <c r="A274" s="57" t="s">
        <v>1342</v>
      </c>
      <c r="B274" s="58" t="s">
        <v>1343</v>
      </c>
      <c r="C274" s="58" t="s">
        <v>1344</v>
      </c>
      <c r="D274" s="59" t="s">
        <v>1345</v>
      </c>
      <c r="E274" s="60" t="b">
        <v>1</v>
      </c>
      <c r="F274" s="61" t="s">
        <v>167</v>
      </c>
      <c r="G274" s="61"/>
      <c r="H274" s="61"/>
      <c r="I274" s="63" t="str">
        <f>HYPERLINK("http://nsgreg.nga.mil/genc/view?v=861553&amp;end_month=12&amp;end_day=31&amp;end_year=2016","Correlation")</f>
        <v>Correlation</v>
      </c>
    </row>
    <row r="275" spans="1:9" x14ac:dyDescent="0.2">
      <c r="A275" s="57" t="s">
        <v>1346</v>
      </c>
      <c r="B275" s="58" t="s">
        <v>1347</v>
      </c>
      <c r="C275" s="58" t="s">
        <v>1348</v>
      </c>
      <c r="D275" s="59" t="s">
        <v>1349</v>
      </c>
      <c r="E275" s="60" t="b">
        <v>1</v>
      </c>
      <c r="F275" s="58" t="s">
        <v>12771</v>
      </c>
      <c r="G275" s="58" t="s">
        <v>1347</v>
      </c>
      <c r="H275" s="58" t="s">
        <v>1348</v>
      </c>
      <c r="I275" s="63" t="str">
        <f>HYPERLINK("http://nsgreg.nga.mil/genc/view?v=861554&amp;end_month=12&amp;end_day=31&amp;end_year=2016","Correlation")</f>
        <v>Correlation</v>
      </c>
    </row>
    <row r="276" spans="1:9" x14ac:dyDescent="0.2">
      <c r="A276" s="57" t="s">
        <v>1350</v>
      </c>
      <c r="B276" s="58" t="s">
        <v>1351</v>
      </c>
      <c r="C276" s="58" t="s">
        <v>1352</v>
      </c>
      <c r="D276" s="59" t="s">
        <v>1353</v>
      </c>
      <c r="E276" s="60" t="b">
        <v>1</v>
      </c>
      <c r="F276" s="58" t="s">
        <v>12772</v>
      </c>
      <c r="G276" s="58" t="s">
        <v>1351</v>
      </c>
      <c r="H276" s="58" t="s">
        <v>1352</v>
      </c>
      <c r="I276" s="63" t="str">
        <f>HYPERLINK("http://nsgreg.nga.mil/genc/view?v=861555&amp;end_month=12&amp;end_day=31&amp;end_year=2016","Correlation")</f>
        <v>Correlation</v>
      </c>
    </row>
    <row r="277" spans="1:9" x14ac:dyDescent="0.2">
      <c r="A277" s="57" t="s">
        <v>1354</v>
      </c>
      <c r="B277" s="58" t="s">
        <v>1355</v>
      </c>
      <c r="C277" s="58" t="s">
        <v>1356</v>
      </c>
      <c r="D277" s="59" t="s">
        <v>1357</v>
      </c>
      <c r="E277" s="60" t="b">
        <v>1</v>
      </c>
      <c r="F277" s="58" t="s">
        <v>12773</v>
      </c>
      <c r="G277" s="58" t="s">
        <v>1355</v>
      </c>
      <c r="H277" s="58" t="s">
        <v>1356</v>
      </c>
      <c r="I277" s="63" t="str">
        <f>HYPERLINK("http://nsgreg.nga.mil/genc/view?v=861556&amp;end_month=12&amp;end_day=31&amp;end_year=2016","Correlation")</f>
        <v>Correlation</v>
      </c>
    </row>
    <row r="278" spans="1:9" x14ac:dyDescent="0.2">
      <c r="A278" s="57" t="s">
        <v>1358</v>
      </c>
      <c r="B278" s="58" t="s">
        <v>1359</v>
      </c>
      <c r="C278" s="58" t="s">
        <v>1360</v>
      </c>
      <c r="D278" s="59" t="s">
        <v>1361</v>
      </c>
      <c r="E278" s="60" t="b">
        <v>1</v>
      </c>
      <c r="F278" s="58" t="s">
        <v>12774</v>
      </c>
      <c r="G278" s="58" t="s">
        <v>1359</v>
      </c>
      <c r="H278" s="58" t="s">
        <v>1360</v>
      </c>
      <c r="I278" s="63" t="str">
        <f>HYPERLINK("http://nsgreg.nga.mil/genc/view?v=861557&amp;end_month=12&amp;end_day=31&amp;end_year=2016","Correlation")</f>
        <v>Correlation</v>
      </c>
    </row>
    <row r="279" spans="1:9" x14ac:dyDescent="0.2">
      <c r="A279" s="57" t="s">
        <v>1363</v>
      </c>
      <c r="B279" s="58" t="s">
        <v>1364</v>
      </c>
      <c r="C279" s="58" t="s">
        <v>1365</v>
      </c>
      <c r="D279" s="59" t="s">
        <v>1366</v>
      </c>
      <c r="E279" s="60" t="b">
        <v>1</v>
      </c>
      <c r="F279" s="58" t="s">
        <v>12775</v>
      </c>
      <c r="G279" s="58" t="s">
        <v>1364</v>
      </c>
      <c r="H279" s="58" t="s">
        <v>1365</v>
      </c>
      <c r="I279" s="63" t="str">
        <f>HYPERLINK("http://nsgreg.nga.mil/genc/view?v=861558&amp;end_month=12&amp;end_day=31&amp;end_year=2016","Correlation")</f>
        <v>Correlation</v>
      </c>
    </row>
    <row r="280" spans="1:9" x14ac:dyDescent="0.2">
      <c r="A280" s="57" t="s">
        <v>1368</v>
      </c>
      <c r="B280" s="58" t="s">
        <v>1051</v>
      </c>
      <c r="C280" s="58" t="s">
        <v>1052</v>
      </c>
      <c r="D280" s="59" t="s">
        <v>1053</v>
      </c>
      <c r="E280" s="60" t="b">
        <v>1</v>
      </c>
      <c r="F280" s="58" t="s">
        <v>12716</v>
      </c>
      <c r="G280" s="58" t="s">
        <v>1051</v>
      </c>
      <c r="H280" s="58" t="s">
        <v>1052</v>
      </c>
      <c r="I280" s="63" t="str">
        <f>HYPERLINK("http://nsgreg.nga.mil/genc/view?v=861559&amp;end_month=12&amp;end_day=31&amp;end_year=2016","Correlation")</f>
        <v>Correlation</v>
      </c>
    </row>
    <row r="281" spans="1:9" x14ac:dyDescent="0.2">
      <c r="A281" s="57" t="s">
        <v>1369</v>
      </c>
      <c r="B281" s="58" t="s">
        <v>1370</v>
      </c>
      <c r="C281" s="58" t="s">
        <v>1371</v>
      </c>
      <c r="D281" s="59" t="s">
        <v>1372</v>
      </c>
      <c r="E281" s="60" t="b">
        <v>1</v>
      </c>
      <c r="F281" s="58" t="s">
        <v>12776</v>
      </c>
      <c r="G281" s="58" t="s">
        <v>1370</v>
      </c>
      <c r="H281" s="58" t="s">
        <v>1371</v>
      </c>
      <c r="I281" s="63" t="str">
        <f>HYPERLINK("http://nsgreg.nga.mil/genc/view?v=861560&amp;end_month=12&amp;end_day=31&amp;end_year=2016","Correlation")</f>
        <v>Correlation</v>
      </c>
    </row>
    <row r="282" spans="1:9" x14ac:dyDescent="0.2">
      <c r="A282" s="57" t="s">
        <v>1373</v>
      </c>
      <c r="B282" s="58" t="s">
        <v>1374</v>
      </c>
      <c r="C282" s="58" t="s">
        <v>1375</v>
      </c>
      <c r="D282" s="59" t="s">
        <v>1376</v>
      </c>
      <c r="E282" s="60" t="b">
        <v>1</v>
      </c>
      <c r="F282" s="58" t="s">
        <v>12777</v>
      </c>
      <c r="G282" s="58" t="s">
        <v>1374</v>
      </c>
      <c r="H282" s="58" t="s">
        <v>1375</v>
      </c>
      <c r="I282" s="63" t="str">
        <f>HYPERLINK("http://nsgreg.nga.mil/genc/view?v=861561&amp;end_month=12&amp;end_day=31&amp;end_year=2016","Correlation")</f>
        <v>Correlation</v>
      </c>
    </row>
    <row r="283" spans="1:9" x14ac:dyDescent="0.2">
      <c r="A283" s="57" t="s">
        <v>1379</v>
      </c>
      <c r="B283" s="58" t="s">
        <v>1380</v>
      </c>
      <c r="C283" s="58" t="s">
        <v>1381</v>
      </c>
      <c r="D283" s="59" t="s">
        <v>1382</v>
      </c>
      <c r="E283" s="60" t="b">
        <v>1</v>
      </c>
      <c r="F283" s="58" t="s">
        <v>12572</v>
      </c>
      <c r="G283" s="58" t="s">
        <v>246</v>
      </c>
      <c r="H283" s="58" t="s">
        <v>247</v>
      </c>
      <c r="I283" s="63" t="str">
        <f>HYPERLINK("http://nsgreg.nga.mil/genc/view?v=861562&amp;end_month=12&amp;end_day=31&amp;end_year=2016","Correlation")</f>
        <v>Correlation</v>
      </c>
    </row>
    <row r="284" spans="1:9" x14ac:dyDescent="0.2">
      <c r="A284" s="57" t="s">
        <v>1385</v>
      </c>
      <c r="B284" s="58" t="s">
        <v>1386</v>
      </c>
      <c r="C284" s="58" t="s">
        <v>1387</v>
      </c>
      <c r="D284" s="59" t="s">
        <v>1388</v>
      </c>
      <c r="E284" s="60" t="b">
        <v>1</v>
      </c>
      <c r="F284" s="58" t="s">
        <v>12778</v>
      </c>
      <c r="G284" s="58" t="s">
        <v>1386</v>
      </c>
      <c r="H284" s="58" t="s">
        <v>1387</v>
      </c>
      <c r="I284" s="63" t="str">
        <f>HYPERLINK("http://nsgreg.nga.mil/genc/view?v=861563&amp;end_month=12&amp;end_day=31&amp;end_year=2016","Correlation")</f>
        <v>Correlation</v>
      </c>
    </row>
    <row r="285" spans="1:9" x14ac:dyDescent="0.2">
      <c r="A285" s="57" t="s">
        <v>1391</v>
      </c>
      <c r="B285" s="58" t="s">
        <v>1392</v>
      </c>
      <c r="C285" s="58" t="s">
        <v>1393</v>
      </c>
      <c r="D285" s="59" t="s">
        <v>1394</v>
      </c>
      <c r="E285" s="60" t="b">
        <v>1</v>
      </c>
      <c r="F285" s="58" t="s">
        <v>12636</v>
      </c>
      <c r="G285" s="58" t="s">
        <v>595</v>
      </c>
      <c r="H285" s="58" t="s">
        <v>596</v>
      </c>
      <c r="I285" s="63" t="str">
        <f>HYPERLINK("http://nsgreg.nga.mil/genc/view?v=861564&amp;end_month=12&amp;end_day=31&amp;end_year=2016","Correlation")</f>
        <v>Correlation</v>
      </c>
    </row>
    <row r="286" spans="1:9" x14ac:dyDescent="0.2">
      <c r="A286" s="57" t="s">
        <v>1395</v>
      </c>
      <c r="B286" s="58" t="s">
        <v>1396</v>
      </c>
      <c r="C286" s="58" t="s">
        <v>1397</v>
      </c>
      <c r="D286" s="59" t="s">
        <v>1398</v>
      </c>
      <c r="E286" s="60" t="b">
        <v>1</v>
      </c>
      <c r="F286" s="58" t="s">
        <v>12779</v>
      </c>
      <c r="G286" s="58" t="s">
        <v>1396</v>
      </c>
      <c r="H286" s="58" t="s">
        <v>1397</v>
      </c>
      <c r="I286" s="63" t="str">
        <f>HYPERLINK("http://nsgreg.nga.mil/genc/view?v=861565&amp;end_month=12&amp;end_day=31&amp;end_year=2016","Correlation")</f>
        <v>Correlation</v>
      </c>
    </row>
    <row r="287" spans="1:9" x14ac:dyDescent="0.2">
      <c r="A287" s="57" t="s">
        <v>1399</v>
      </c>
      <c r="B287" s="58" t="s">
        <v>1400</v>
      </c>
      <c r="C287" s="58" t="s">
        <v>1401</v>
      </c>
      <c r="D287" s="59" t="s">
        <v>1402</v>
      </c>
      <c r="E287" s="60" t="b">
        <v>1</v>
      </c>
      <c r="F287" s="58" t="s">
        <v>12780</v>
      </c>
      <c r="G287" s="58" t="s">
        <v>1400</v>
      </c>
      <c r="H287" s="58" t="s">
        <v>1401</v>
      </c>
      <c r="I287" s="63" t="str">
        <f>HYPERLINK("http://nsgreg.nga.mil/genc/view?v=861566&amp;end_month=12&amp;end_day=31&amp;end_year=2016","Correlation")</f>
        <v>Correlation</v>
      </c>
    </row>
    <row r="288" spans="1:9" x14ac:dyDescent="0.2">
      <c r="A288" s="57" t="s">
        <v>1403</v>
      </c>
      <c r="B288" s="58" t="s">
        <v>1404</v>
      </c>
      <c r="C288" s="58" t="s">
        <v>1405</v>
      </c>
      <c r="D288" s="59" t="s">
        <v>1406</v>
      </c>
      <c r="E288" s="60" t="b">
        <v>1</v>
      </c>
      <c r="F288" s="58" t="s">
        <v>12781</v>
      </c>
      <c r="G288" s="58" t="s">
        <v>1404</v>
      </c>
      <c r="H288" s="58" t="s">
        <v>1405</v>
      </c>
      <c r="I288" s="63" t="str">
        <f>HYPERLINK("http://nsgreg.nga.mil/genc/view?v=861567&amp;end_month=12&amp;end_day=31&amp;end_year=2016","Correlation")</f>
        <v>Correlation</v>
      </c>
    </row>
    <row r="289" spans="1:9" x14ac:dyDescent="0.2">
      <c r="A289" s="70" t="s">
        <v>1407</v>
      </c>
      <c r="B289" s="71" t="s">
        <v>1408</v>
      </c>
      <c r="C289" s="71" t="s">
        <v>1409</v>
      </c>
      <c r="D289" s="72" t="s">
        <v>1410</v>
      </c>
      <c r="E289" s="73" t="b">
        <v>1</v>
      </c>
      <c r="F289" s="71" t="s">
        <v>12782</v>
      </c>
      <c r="G289" s="71" t="s">
        <v>1408</v>
      </c>
      <c r="H289" s="71" t="s">
        <v>1409</v>
      </c>
      <c r="I289" s="77" t="str">
        <f>HYPERLINK("http://nsgreg.nga.mil/genc/view?v=861568&amp;end_month=12&amp;end_day=31&amp;end_year=2016","Correlation")</f>
        <v>Correlation</v>
      </c>
    </row>
  </sheetData>
  <autoFilter ref="A4:H4"/>
  <mergeCells count="16">
    <mergeCell ref="A1:I1"/>
    <mergeCell ref="B2:B4"/>
    <mergeCell ref="C2:C4"/>
    <mergeCell ref="D2:D4"/>
    <mergeCell ref="G2:G4"/>
    <mergeCell ref="H2:H4"/>
    <mergeCell ref="E3:E4"/>
    <mergeCell ref="I3:I4"/>
    <mergeCell ref="A202:A204"/>
    <mergeCell ref="B202:B204"/>
    <mergeCell ref="C202:C204"/>
    <mergeCell ref="D202:D204"/>
    <mergeCell ref="A241:A245"/>
    <mergeCell ref="B241:B245"/>
    <mergeCell ref="C241:C245"/>
    <mergeCell ref="D241:D245"/>
  </mergeCell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I280"/>
  <sheetViews>
    <sheetView workbookViewId="0">
      <pane ySplit="4" topLeftCell="A5" activePane="bottomLeft" state="frozen"/>
      <selection pane="bottomLeft" activeCell="D2" sqref="D2"/>
    </sheetView>
  </sheetViews>
  <sheetFormatPr defaultRowHeight="11.25" x14ac:dyDescent="0.2"/>
  <cols>
    <col min="1" max="1" width="51.5" style="1" customWidth="1"/>
    <col min="2" max="3" width="6" style="1" customWidth="1"/>
    <col min="4" max="4" width="8.5" style="23" bestFit="1" customWidth="1"/>
    <col min="5" max="5" width="48.5" style="1" customWidth="1"/>
    <col min="6" max="7" width="6" style="1" customWidth="1"/>
    <col min="8" max="8" width="6.5" style="2" customWidth="1"/>
    <col min="9" max="9" width="9.83203125" style="1" customWidth="1"/>
    <col min="10" max="16384" width="9.33203125" style="1"/>
  </cols>
  <sheetData>
    <row r="1" spans="1:9" ht="21.75" customHeight="1" x14ac:dyDescent="0.2">
      <c r="A1" s="103" t="s">
        <v>158</v>
      </c>
      <c r="B1" s="104"/>
      <c r="C1" s="104"/>
      <c r="D1" s="104"/>
      <c r="E1" s="104"/>
      <c r="F1" s="104"/>
      <c r="G1" s="104"/>
      <c r="H1" s="104"/>
      <c r="I1" s="105"/>
    </row>
    <row r="2" spans="1:9" ht="15" customHeight="1" x14ac:dyDescent="0.2">
      <c r="A2" s="19" t="s">
        <v>22</v>
      </c>
      <c r="B2" s="110" t="s">
        <v>3</v>
      </c>
      <c r="C2" s="110" t="s">
        <v>4</v>
      </c>
      <c r="D2" s="21" t="s">
        <v>7</v>
      </c>
      <c r="E2" s="20" t="s">
        <v>23</v>
      </c>
      <c r="F2" s="108" t="s">
        <v>0</v>
      </c>
      <c r="G2" s="108" t="s">
        <v>1</v>
      </c>
      <c r="H2" s="109" t="s">
        <v>2</v>
      </c>
      <c r="I2" s="115" t="s">
        <v>28</v>
      </c>
    </row>
    <row r="3" spans="1:9" ht="21.75" customHeight="1" x14ac:dyDescent="0.25">
      <c r="A3" s="14" t="s">
        <v>69</v>
      </c>
      <c r="B3" s="110"/>
      <c r="C3" s="110"/>
      <c r="D3" s="106" t="s">
        <v>6</v>
      </c>
      <c r="E3" s="16" t="s">
        <v>66</v>
      </c>
      <c r="F3" s="108"/>
      <c r="G3" s="108"/>
      <c r="H3" s="109"/>
      <c r="I3" s="102"/>
    </row>
    <row r="4" spans="1:9" ht="30.75" customHeight="1" x14ac:dyDescent="0.2">
      <c r="A4" s="9" t="s">
        <v>73</v>
      </c>
      <c r="B4" s="110"/>
      <c r="C4" s="110"/>
      <c r="D4" s="106"/>
      <c r="E4" s="10" t="s">
        <v>72</v>
      </c>
      <c r="F4" s="108"/>
      <c r="G4" s="108"/>
      <c r="H4" s="109"/>
      <c r="I4" s="102"/>
    </row>
    <row r="5" spans="1:9" x14ac:dyDescent="0.2">
      <c r="A5" s="49" t="s">
        <v>12557</v>
      </c>
      <c r="B5" s="50" t="s">
        <v>160</v>
      </c>
      <c r="C5" s="50" t="s">
        <v>161</v>
      </c>
      <c r="D5" s="52" t="b">
        <v>1</v>
      </c>
      <c r="E5" s="50" t="s">
        <v>159</v>
      </c>
      <c r="F5" s="50" t="s">
        <v>160</v>
      </c>
      <c r="G5" s="50" t="s">
        <v>161</v>
      </c>
      <c r="H5" s="51" t="s">
        <v>162</v>
      </c>
      <c r="I5" s="56" t="str">
        <f>HYPERLINK("http://nsgreg.nga.mil/genc/view?v=861569&amp;end_month=12&amp;end_day=31&amp;end_year=2016","Correlation")</f>
        <v>Correlation</v>
      </c>
    </row>
    <row r="6" spans="1:9" x14ac:dyDescent="0.2">
      <c r="A6" s="57" t="s">
        <v>12558</v>
      </c>
      <c r="B6" s="58" t="s">
        <v>169</v>
      </c>
      <c r="C6" s="58" t="s">
        <v>170</v>
      </c>
      <c r="D6" s="60" t="b">
        <v>1</v>
      </c>
      <c r="E6" s="58" t="s">
        <v>168</v>
      </c>
      <c r="F6" s="58" t="s">
        <v>169</v>
      </c>
      <c r="G6" s="58" t="s">
        <v>170</v>
      </c>
      <c r="H6" s="59" t="s">
        <v>171</v>
      </c>
      <c r="I6" s="63" t="str">
        <f>HYPERLINK("http://nsgreg.nga.mil/genc/view?v=861570&amp;end_month=12&amp;end_day=31&amp;end_year=2016","Correlation")</f>
        <v>Correlation</v>
      </c>
    </row>
    <row r="7" spans="1:9" x14ac:dyDescent="0.2">
      <c r="A7" s="57" t="s">
        <v>12559</v>
      </c>
      <c r="B7" s="58" t="s">
        <v>173</v>
      </c>
      <c r="C7" s="58" t="s">
        <v>174</v>
      </c>
      <c r="D7" s="60" t="b">
        <v>1</v>
      </c>
      <c r="E7" s="58" t="s">
        <v>172</v>
      </c>
      <c r="F7" s="58" t="s">
        <v>173</v>
      </c>
      <c r="G7" s="58" t="s">
        <v>174</v>
      </c>
      <c r="H7" s="59" t="s">
        <v>175</v>
      </c>
      <c r="I7" s="63" t="str">
        <f>HYPERLINK("http://nsgreg.nga.mil/genc/view?v=861571&amp;end_month=12&amp;end_day=31&amp;end_year=2016","Correlation")</f>
        <v>Correlation</v>
      </c>
    </row>
    <row r="8" spans="1:9" x14ac:dyDescent="0.2">
      <c r="A8" s="57" t="s">
        <v>180</v>
      </c>
      <c r="B8" s="58" t="s">
        <v>177</v>
      </c>
      <c r="C8" s="58" t="s">
        <v>178</v>
      </c>
      <c r="D8" s="60" t="b">
        <v>1</v>
      </c>
      <c r="E8" s="58" t="s">
        <v>176</v>
      </c>
      <c r="F8" s="58" t="s">
        <v>177</v>
      </c>
      <c r="G8" s="58" t="s">
        <v>178</v>
      </c>
      <c r="H8" s="59" t="s">
        <v>179</v>
      </c>
      <c r="I8" s="63" t="str">
        <f>HYPERLINK("http://nsgreg.nga.mil/genc/view?v=861572&amp;end_month=12&amp;end_day=31&amp;end_year=2016","Correlation")</f>
        <v>Correlation</v>
      </c>
    </row>
    <row r="9" spans="1:9" x14ac:dyDescent="0.2">
      <c r="A9" s="57" t="s">
        <v>12560</v>
      </c>
      <c r="B9" s="58" t="s">
        <v>183</v>
      </c>
      <c r="C9" s="58" t="s">
        <v>184</v>
      </c>
      <c r="D9" s="60" t="b">
        <v>1</v>
      </c>
      <c r="E9" s="58" t="s">
        <v>182</v>
      </c>
      <c r="F9" s="58" t="s">
        <v>183</v>
      </c>
      <c r="G9" s="58" t="s">
        <v>184</v>
      </c>
      <c r="H9" s="59" t="s">
        <v>185</v>
      </c>
      <c r="I9" s="63" t="str">
        <f>HYPERLINK("http://nsgreg.nga.mil/genc/view?v=861573&amp;end_month=12&amp;end_day=31&amp;end_year=2016","Correlation")</f>
        <v>Correlation</v>
      </c>
    </row>
    <row r="10" spans="1:9" x14ac:dyDescent="0.2">
      <c r="A10" s="57" t="s">
        <v>12561</v>
      </c>
      <c r="B10" s="58" t="s">
        <v>187</v>
      </c>
      <c r="C10" s="58" t="s">
        <v>188</v>
      </c>
      <c r="D10" s="60" t="b">
        <v>1</v>
      </c>
      <c r="E10" s="58" t="s">
        <v>186</v>
      </c>
      <c r="F10" s="58" t="s">
        <v>187</v>
      </c>
      <c r="G10" s="58" t="s">
        <v>188</v>
      </c>
      <c r="H10" s="59" t="s">
        <v>189</v>
      </c>
      <c r="I10" s="63" t="str">
        <f>HYPERLINK("http://nsgreg.nga.mil/genc/view?v=861574&amp;end_month=12&amp;end_day=31&amp;end_year=2016","Correlation")</f>
        <v>Correlation</v>
      </c>
    </row>
    <row r="11" spans="1:9" x14ac:dyDescent="0.2">
      <c r="A11" s="57" t="s">
        <v>12562</v>
      </c>
      <c r="B11" s="58" t="s">
        <v>191</v>
      </c>
      <c r="C11" s="58" t="s">
        <v>192</v>
      </c>
      <c r="D11" s="60" t="b">
        <v>1</v>
      </c>
      <c r="E11" s="58" t="s">
        <v>190</v>
      </c>
      <c r="F11" s="58" t="s">
        <v>191</v>
      </c>
      <c r="G11" s="58" t="s">
        <v>192</v>
      </c>
      <c r="H11" s="59" t="s">
        <v>193</v>
      </c>
      <c r="I11" s="63" t="str">
        <f>HYPERLINK("http://nsgreg.nga.mil/genc/view?v=861575&amp;end_month=12&amp;end_day=31&amp;end_year=2016","Correlation")</f>
        <v>Correlation</v>
      </c>
    </row>
    <row r="12" spans="1:9" x14ac:dyDescent="0.2">
      <c r="A12" s="57" t="s">
        <v>12563</v>
      </c>
      <c r="B12" s="58" t="s">
        <v>195</v>
      </c>
      <c r="C12" s="58" t="s">
        <v>196</v>
      </c>
      <c r="D12" s="60" t="b">
        <v>1</v>
      </c>
      <c r="E12" s="58" t="s">
        <v>194</v>
      </c>
      <c r="F12" s="58" t="s">
        <v>195</v>
      </c>
      <c r="G12" s="58" t="s">
        <v>196</v>
      </c>
      <c r="H12" s="59" t="s">
        <v>197</v>
      </c>
      <c r="I12" s="63" t="str">
        <f>HYPERLINK("http://nsgreg.nga.mil/genc/view?v=861576&amp;end_month=12&amp;end_day=31&amp;end_year=2016","Correlation")</f>
        <v>Correlation</v>
      </c>
    </row>
    <row r="13" spans="1:9" x14ac:dyDescent="0.2">
      <c r="A13" s="57" t="s">
        <v>12564</v>
      </c>
      <c r="B13" s="58" t="s">
        <v>199</v>
      </c>
      <c r="C13" s="58" t="s">
        <v>200</v>
      </c>
      <c r="D13" s="60" t="b">
        <v>1</v>
      </c>
      <c r="E13" s="58" t="s">
        <v>198</v>
      </c>
      <c r="F13" s="58" t="s">
        <v>199</v>
      </c>
      <c r="G13" s="58" t="s">
        <v>200</v>
      </c>
      <c r="H13" s="59" t="s">
        <v>201</v>
      </c>
      <c r="I13" s="63" t="str">
        <f>HYPERLINK("http://nsgreg.nga.mil/genc/view?v=861577&amp;end_month=12&amp;end_day=31&amp;end_year=2016","Correlation")</f>
        <v>Correlation</v>
      </c>
    </row>
    <row r="14" spans="1:9" x14ac:dyDescent="0.2">
      <c r="A14" s="57" t="s">
        <v>12565</v>
      </c>
      <c r="B14" s="58" t="s">
        <v>203</v>
      </c>
      <c r="C14" s="58" t="s">
        <v>204</v>
      </c>
      <c r="D14" s="60" t="b">
        <v>1</v>
      </c>
      <c r="E14" s="58" t="s">
        <v>202</v>
      </c>
      <c r="F14" s="58" t="s">
        <v>203</v>
      </c>
      <c r="G14" s="58" t="s">
        <v>204</v>
      </c>
      <c r="H14" s="59" t="s">
        <v>205</v>
      </c>
      <c r="I14" s="63" t="str">
        <f>HYPERLINK("http://nsgreg.nga.mil/genc/view?v=861578&amp;end_month=12&amp;end_day=31&amp;end_year=2016","Correlation")</f>
        <v>Correlation</v>
      </c>
    </row>
    <row r="15" spans="1:9" x14ac:dyDescent="0.2">
      <c r="A15" s="57" t="s">
        <v>12566</v>
      </c>
      <c r="B15" s="58" t="s">
        <v>207</v>
      </c>
      <c r="C15" s="58" t="s">
        <v>208</v>
      </c>
      <c r="D15" s="60" t="b">
        <v>1</v>
      </c>
      <c r="E15" s="58" t="s">
        <v>206</v>
      </c>
      <c r="F15" s="58" t="s">
        <v>207</v>
      </c>
      <c r="G15" s="58" t="s">
        <v>208</v>
      </c>
      <c r="H15" s="59" t="s">
        <v>209</v>
      </c>
      <c r="I15" s="63" t="str">
        <f>HYPERLINK("http://nsgreg.nga.mil/genc/view?v=861579&amp;end_month=12&amp;end_day=31&amp;end_year=2016","Correlation")</f>
        <v>Correlation</v>
      </c>
    </row>
    <row r="16" spans="1:9" x14ac:dyDescent="0.2">
      <c r="A16" s="57" t="s">
        <v>214</v>
      </c>
      <c r="B16" s="58" t="s">
        <v>211</v>
      </c>
      <c r="C16" s="58" t="s">
        <v>212</v>
      </c>
      <c r="D16" s="60" t="b">
        <v>1</v>
      </c>
      <c r="E16" s="58" t="s">
        <v>210</v>
      </c>
      <c r="F16" s="58" t="s">
        <v>211</v>
      </c>
      <c r="G16" s="58" t="s">
        <v>212</v>
      </c>
      <c r="H16" s="59" t="s">
        <v>213</v>
      </c>
      <c r="I16" s="63" t="str">
        <f>HYPERLINK("http://nsgreg.nga.mil/genc/view?v=861580&amp;end_month=12&amp;end_day=31&amp;end_year=2016","Correlation")</f>
        <v>Correlation</v>
      </c>
    </row>
    <row r="17" spans="1:9" x14ac:dyDescent="0.2">
      <c r="A17" s="99" t="s">
        <v>12567</v>
      </c>
      <c r="B17" s="100" t="s">
        <v>221</v>
      </c>
      <c r="C17" s="100" t="s">
        <v>222</v>
      </c>
      <c r="D17" s="60" t="b">
        <v>1</v>
      </c>
      <c r="E17" s="58" t="s">
        <v>220</v>
      </c>
      <c r="F17" s="58" t="s">
        <v>221</v>
      </c>
      <c r="G17" s="58" t="s">
        <v>222</v>
      </c>
      <c r="H17" s="59" t="s">
        <v>223</v>
      </c>
      <c r="I17" s="63" t="str">
        <f>HYPERLINK("http://nsgreg.nga.mil/genc/view?v=861581&amp;end_month=12&amp;end_day=31&amp;end_year=2016","Correlation")</f>
        <v>Correlation</v>
      </c>
    </row>
    <row r="18" spans="1:9" x14ac:dyDescent="0.2">
      <c r="A18" s="99"/>
      <c r="B18" s="100"/>
      <c r="C18" s="100"/>
      <c r="D18" s="67" t="b">
        <v>0</v>
      </c>
      <c r="E18" s="58" t="s">
        <v>216</v>
      </c>
      <c r="F18" s="58" t="s">
        <v>217</v>
      </c>
      <c r="G18" s="58" t="s">
        <v>218</v>
      </c>
      <c r="H18" s="59" t="s">
        <v>219</v>
      </c>
      <c r="I18" s="63" t="str">
        <f>HYPERLINK("http://nsgreg.nga.mil/genc/view?v=861582&amp;end_month=12&amp;end_day=31&amp;end_year=2016","Correlation")</f>
        <v>Correlation</v>
      </c>
    </row>
    <row r="19" spans="1:9" x14ac:dyDescent="0.2">
      <c r="A19" s="99"/>
      <c r="B19" s="100"/>
      <c r="C19" s="100"/>
      <c r="D19" s="67" t="b">
        <v>0</v>
      </c>
      <c r="E19" s="58" t="s">
        <v>436</v>
      </c>
      <c r="F19" s="58" t="s">
        <v>437</v>
      </c>
      <c r="G19" s="58" t="s">
        <v>438</v>
      </c>
      <c r="H19" s="59" t="s">
        <v>439</v>
      </c>
      <c r="I19" s="63" t="str">
        <f>HYPERLINK("http://nsgreg.nga.mil/genc/view?v=861583&amp;end_month=12&amp;end_day=31&amp;end_year=2016","Correlation")</f>
        <v>Correlation</v>
      </c>
    </row>
    <row r="20" spans="1:9" x14ac:dyDescent="0.2">
      <c r="A20" s="57" t="s">
        <v>12568</v>
      </c>
      <c r="B20" s="58" t="s">
        <v>225</v>
      </c>
      <c r="C20" s="58" t="s">
        <v>226</v>
      </c>
      <c r="D20" s="60" t="b">
        <v>1</v>
      </c>
      <c r="E20" s="58" t="s">
        <v>224</v>
      </c>
      <c r="F20" s="58" t="s">
        <v>225</v>
      </c>
      <c r="G20" s="58" t="s">
        <v>226</v>
      </c>
      <c r="H20" s="59" t="s">
        <v>227</v>
      </c>
      <c r="I20" s="63" t="str">
        <f>HYPERLINK("http://nsgreg.nga.mil/genc/view?v=861584&amp;end_month=12&amp;end_day=31&amp;end_year=2016","Correlation")</f>
        <v>Correlation</v>
      </c>
    </row>
    <row r="21" spans="1:9" x14ac:dyDescent="0.2">
      <c r="A21" s="57" t="s">
        <v>12569</v>
      </c>
      <c r="B21" s="58" t="s">
        <v>229</v>
      </c>
      <c r="C21" s="58" t="s">
        <v>230</v>
      </c>
      <c r="D21" s="60" t="b">
        <v>1</v>
      </c>
      <c r="E21" s="58" t="s">
        <v>228</v>
      </c>
      <c r="F21" s="58" t="s">
        <v>229</v>
      </c>
      <c r="G21" s="58" t="s">
        <v>230</v>
      </c>
      <c r="H21" s="59" t="s">
        <v>231</v>
      </c>
      <c r="I21" s="63" t="str">
        <f>HYPERLINK("http://nsgreg.nga.mil/genc/view?v=861585&amp;end_month=12&amp;end_day=31&amp;end_year=2016","Correlation")</f>
        <v>Correlation</v>
      </c>
    </row>
    <row r="22" spans="1:9" x14ac:dyDescent="0.2">
      <c r="A22" s="57" t="s">
        <v>12570</v>
      </c>
      <c r="B22" s="58" t="s">
        <v>233</v>
      </c>
      <c r="C22" s="58" t="s">
        <v>234</v>
      </c>
      <c r="D22" s="60" t="b">
        <v>1</v>
      </c>
      <c r="E22" s="58" t="s">
        <v>232</v>
      </c>
      <c r="F22" s="58" t="s">
        <v>233</v>
      </c>
      <c r="G22" s="58" t="s">
        <v>234</v>
      </c>
      <c r="H22" s="59" t="s">
        <v>235</v>
      </c>
      <c r="I22" s="63" t="str">
        <f>HYPERLINK("http://nsgreg.nga.mil/genc/view?v=861586&amp;end_month=12&amp;end_day=31&amp;end_year=2016","Correlation")</f>
        <v>Correlation</v>
      </c>
    </row>
    <row r="23" spans="1:9" x14ac:dyDescent="0.2">
      <c r="A23" s="57" t="s">
        <v>12571</v>
      </c>
      <c r="B23" s="58" t="s">
        <v>238</v>
      </c>
      <c r="C23" s="58" t="s">
        <v>239</v>
      </c>
      <c r="D23" s="60" t="b">
        <v>1</v>
      </c>
      <c r="E23" s="58" t="s">
        <v>237</v>
      </c>
      <c r="F23" s="58" t="s">
        <v>238</v>
      </c>
      <c r="G23" s="58" t="s">
        <v>239</v>
      </c>
      <c r="H23" s="59" t="s">
        <v>240</v>
      </c>
      <c r="I23" s="63" t="str">
        <f>HYPERLINK("http://nsgreg.nga.mil/genc/view?v=861587&amp;end_month=12&amp;end_day=31&amp;end_year=2016","Correlation")</f>
        <v>Correlation</v>
      </c>
    </row>
    <row r="24" spans="1:9" x14ac:dyDescent="0.2">
      <c r="A24" s="57" t="s">
        <v>12573</v>
      </c>
      <c r="B24" s="58" t="s">
        <v>254</v>
      </c>
      <c r="C24" s="58" t="s">
        <v>255</v>
      </c>
      <c r="D24" s="60" t="b">
        <v>1</v>
      </c>
      <c r="E24" s="58" t="s">
        <v>253</v>
      </c>
      <c r="F24" s="58" t="s">
        <v>254</v>
      </c>
      <c r="G24" s="58" t="s">
        <v>255</v>
      </c>
      <c r="H24" s="59" t="s">
        <v>256</v>
      </c>
      <c r="I24" s="63" t="str">
        <f>HYPERLINK("http://nsgreg.nga.mil/genc/view?v=861588&amp;end_month=12&amp;end_day=31&amp;end_year=2016","Correlation")</f>
        <v>Correlation</v>
      </c>
    </row>
    <row r="25" spans="1:9" x14ac:dyDescent="0.2">
      <c r="A25" s="57" t="s">
        <v>12574</v>
      </c>
      <c r="B25" s="58" t="s">
        <v>258</v>
      </c>
      <c r="C25" s="58" t="s">
        <v>259</v>
      </c>
      <c r="D25" s="60" t="b">
        <v>1</v>
      </c>
      <c r="E25" s="58" t="s">
        <v>257</v>
      </c>
      <c r="F25" s="58" t="s">
        <v>258</v>
      </c>
      <c r="G25" s="58" t="s">
        <v>259</v>
      </c>
      <c r="H25" s="59" t="s">
        <v>260</v>
      </c>
      <c r="I25" s="63" t="str">
        <f>HYPERLINK("http://nsgreg.nga.mil/genc/view?v=861589&amp;end_month=12&amp;end_day=31&amp;end_year=2016","Correlation")</f>
        <v>Correlation</v>
      </c>
    </row>
    <row r="26" spans="1:9" x14ac:dyDescent="0.2">
      <c r="A26" s="57" t="s">
        <v>12576</v>
      </c>
      <c r="B26" s="58" t="s">
        <v>272</v>
      </c>
      <c r="C26" s="58" t="s">
        <v>273</v>
      </c>
      <c r="D26" s="60" t="b">
        <v>1</v>
      </c>
      <c r="E26" s="58" t="s">
        <v>271</v>
      </c>
      <c r="F26" s="58" t="s">
        <v>272</v>
      </c>
      <c r="G26" s="58" t="s">
        <v>273</v>
      </c>
      <c r="H26" s="59" t="s">
        <v>274</v>
      </c>
      <c r="I26" s="63" t="str">
        <f>HYPERLINK("http://nsgreg.nga.mil/genc/view?v=861590&amp;end_month=12&amp;end_day=31&amp;end_year=2016","Correlation")</f>
        <v>Correlation</v>
      </c>
    </row>
    <row r="27" spans="1:9" x14ac:dyDescent="0.2">
      <c r="A27" s="57" t="s">
        <v>12577</v>
      </c>
      <c r="B27" s="58" t="s">
        <v>276</v>
      </c>
      <c r="C27" s="58" t="s">
        <v>277</v>
      </c>
      <c r="D27" s="60" t="b">
        <v>1</v>
      </c>
      <c r="E27" s="58" t="s">
        <v>279</v>
      </c>
      <c r="F27" s="58" t="s">
        <v>280</v>
      </c>
      <c r="G27" s="58" t="s">
        <v>281</v>
      </c>
      <c r="H27" s="59" t="s">
        <v>282</v>
      </c>
      <c r="I27" s="63" t="str">
        <f>HYPERLINK("http://nsgreg.nga.mil/genc/view?v=861591&amp;end_month=12&amp;end_day=31&amp;end_year=2016","Correlation")</f>
        <v>Correlation</v>
      </c>
    </row>
    <row r="28" spans="1:9" x14ac:dyDescent="0.2">
      <c r="A28" s="57" t="s">
        <v>2281</v>
      </c>
      <c r="B28" s="58" t="s">
        <v>280</v>
      </c>
      <c r="C28" s="58" t="s">
        <v>281</v>
      </c>
      <c r="D28" s="60" t="b">
        <v>1</v>
      </c>
      <c r="E28" s="58" t="s">
        <v>275</v>
      </c>
      <c r="F28" s="58" t="s">
        <v>276</v>
      </c>
      <c r="G28" s="58" t="s">
        <v>277</v>
      </c>
      <c r="H28" s="59" t="s">
        <v>278</v>
      </c>
      <c r="I28" s="63" t="str">
        <f>HYPERLINK("http://nsgreg.nga.mil/genc/view?v=861592&amp;end_month=12&amp;end_day=31&amp;end_year=2016","Correlation")</f>
        <v>Correlation</v>
      </c>
    </row>
    <row r="29" spans="1:9" x14ac:dyDescent="0.2">
      <c r="A29" s="57" t="s">
        <v>12578</v>
      </c>
      <c r="B29" s="58" t="s">
        <v>284</v>
      </c>
      <c r="C29" s="58" t="s">
        <v>285</v>
      </c>
      <c r="D29" s="60" t="b">
        <v>1</v>
      </c>
      <c r="E29" s="58" t="s">
        <v>283</v>
      </c>
      <c r="F29" s="58" t="s">
        <v>284</v>
      </c>
      <c r="G29" s="58" t="s">
        <v>285</v>
      </c>
      <c r="H29" s="59" t="s">
        <v>286</v>
      </c>
      <c r="I29" s="63" t="str">
        <f>HYPERLINK("http://nsgreg.nga.mil/genc/view?v=861593&amp;end_month=12&amp;end_day=31&amp;end_year=2016","Correlation")</f>
        <v>Correlation</v>
      </c>
    </row>
    <row r="30" spans="1:9" x14ac:dyDescent="0.2">
      <c r="A30" s="57" t="s">
        <v>12579</v>
      </c>
      <c r="B30" s="58" t="s">
        <v>288</v>
      </c>
      <c r="C30" s="58" t="s">
        <v>289</v>
      </c>
      <c r="D30" s="60" t="b">
        <v>1</v>
      </c>
      <c r="E30" s="58" t="s">
        <v>287</v>
      </c>
      <c r="F30" s="58" t="s">
        <v>288</v>
      </c>
      <c r="G30" s="58" t="s">
        <v>289</v>
      </c>
      <c r="H30" s="59" t="s">
        <v>290</v>
      </c>
      <c r="I30" s="63" t="str">
        <f>HYPERLINK("http://nsgreg.nga.mil/genc/view?v=861594&amp;end_month=12&amp;end_day=31&amp;end_year=2016","Correlation")</f>
        <v>Correlation</v>
      </c>
    </row>
    <row r="31" spans="1:9" x14ac:dyDescent="0.2">
      <c r="A31" s="57" t="s">
        <v>12580</v>
      </c>
      <c r="B31" s="58" t="s">
        <v>292</v>
      </c>
      <c r="C31" s="58" t="s">
        <v>293</v>
      </c>
      <c r="D31" s="60" t="b">
        <v>1</v>
      </c>
      <c r="E31" s="58" t="s">
        <v>291</v>
      </c>
      <c r="F31" s="58" t="s">
        <v>292</v>
      </c>
      <c r="G31" s="58" t="s">
        <v>293</v>
      </c>
      <c r="H31" s="59" t="s">
        <v>294</v>
      </c>
      <c r="I31" s="63" t="str">
        <f>HYPERLINK("http://nsgreg.nga.mil/genc/view?v=861595&amp;end_month=12&amp;end_day=31&amp;end_year=2016","Correlation")</f>
        <v>Correlation</v>
      </c>
    </row>
    <row r="32" spans="1:9" x14ac:dyDescent="0.2">
      <c r="A32" s="57" t="s">
        <v>12581</v>
      </c>
      <c r="B32" s="58" t="s">
        <v>296</v>
      </c>
      <c r="C32" s="58" t="s">
        <v>297</v>
      </c>
      <c r="D32" s="60" t="b">
        <v>1</v>
      </c>
      <c r="E32" s="58" t="s">
        <v>295</v>
      </c>
      <c r="F32" s="58" t="s">
        <v>296</v>
      </c>
      <c r="G32" s="58" t="s">
        <v>297</v>
      </c>
      <c r="H32" s="59" t="s">
        <v>298</v>
      </c>
      <c r="I32" s="63" t="str">
        <f>HYPERLINK("http://nsgreg.nga.mil/genc/view?v=861596&amp;end_month=12&amp;end_day=31&amp;end_year=2016","Correlation")</f>
        <v>Correlation</v>
      </c>
    </row>
    <row r="33" spans="1:9" x14ac:dyDescent="0.2">
      <c r="A33" s="57" t="s">
        <v>12585</v>
      </c>
      <c r="B33" s="58" t="s">
        <v>319</v>
      </c>
      <c r="C33" s="58" t="s">
        <v>320</v>
      </c>
      <c r="D33" s="60" t="b">
        <v>1</v>
      </c>
      <c r="E33" s="58" t="s">
        <v>318</v>
      </c>
      <c r="F33" s="58" t="s">
        <v>319</v>
      </c>
      <c r="G33" s="58" t="s">
        <v>320</v>
      </c>
      <c r="H33" s="59" t="s">
        <v>321</v>
      </c>
      <c r="I33" s="63" t="str">
        <f>HYPERLINK("http://nsgreg.nga.mil/genc/view?v=861597&amp;end_month=12&amp;end_day=31&amp;end_year=2016","Correlation")</f>
        <v>Correlation</v>
      </c>
    </row>
    <row r="34" spans="1:9" x14ac:dyDescent="0.2">
      <c r="A34" s="57" t="s">
        <v>12586</v>
      </c>
      <c r="B34" s="58" t="s">
        <v>323</v>
      </c>
      <c r="C34" s="58" t="s">
        <v>324</v>
      </c>
      <c r="D34" s="60" t="b">
        <v>1</v>
      </c>
      <c r="E34" s="58" t="s">
        <v>322</v>
      </c>
      <c r="F34" s="58" t="s">
        <v>323</v>
      </c>
      <c r="G34" s="58" t="s">
        <v>324</v>
      </c>
      <c r="H34" s="59" t="s">
        <v>325</v>
      </c>
      <c r="I34" s="63" t="str">
        <f>HYPERLINK("http://nsgreg.nga.mil/genc/view?v=861598&amp;end_month=12&amp;end_day=31&amp;end_year=2016","Correlation")</f>
        <v>Correlation</v>
      </c>
    </row>
    <row r="35" spans="1:9" x14ac:dyDescent="0.2">
      <c r="A35" s="57" t="s">
        <v>12587</v>
      </c>
      <c r="B35" s="58" t="s">
        <v>327</v>
      </c>
      <c r="C35" s="58" t="s">
        <v>328</v>
      </c>
      <c r="D35" s="60" t="b">
        <v>1</v>
      </c>
      <c r="E35" s="58" t="s">
        <v>326</v>
      </c>
      <c r="F35" s="58" t="s">
        <v>327</v>
      </c>
      <c r="G35" s="58" t="s">
        <v>328</v>
      </c>
      <c r="H35" s="59" t="s">
        <v>329</v>
      </c>
      <c r="I35" s="63" t="str">
        <f>HYPERLINK("http://nsgreg.nga.mil/genc/view?v=861599&amp;end_month=12&amp;end_day=31&amp;end_year=2016","Correlation")</f>
        <v>Correlation</v>
      </c>
    </row>
    <row r="36" spans="1:9" x14ac:dyDescent="0.2">
      <c r="A36" s="57" t="s">
        <v>12588</v>
      </c>
      <c r="B36" s="58" t="s">
        <v>331</v>
      </c>
      <c r="C36" s="58" t="s">
        <v>332</v>
      </c>
      <c r="D36" s="60" t="b">
        <v>1</v>
      </c>
      <c r="E36" s="58" t="s">
        <v>330</v>
      </c>
      <c r="F36" s="58" t="s">
        <v>331</v>
      </c>
      <c r="G36" s="58" t="s">
        <v>332</v>
      </c>
      <c r="H36" s="59" t="s">
        <v>333</v>
      </c>
      <c r="I36" s="63" t="str">
        <f>HYPERLINK("http://nsgreg.nga.mil/genc/view?v=861600&amp;end_month=12&amp;end_day=31&amp;end_year=2016","Correlation")</f>
        <v>Correlation</v>
      </c>
    </row>
    <row r="37" spans="1:9" x14ac:dyDescent="0.2">
      <c r="A37" s="99" t="s">
        <v>12589</v>
      </c>
      <c r="B37" s="100" t="s">
        <v>335</v>
      </c>
      <c r="C37" s="100" t="s">
        <v>336</v>
      </c>
      <c r="D37" s="60" t="b">
        <v>1</v>
      </c>
      <c r="E37" s="58" t="s">
        <v>334</v>
      </c>
      <c r="F37" s="58" t="s">
        <v>335</v>
      </c>
      <c r="G37" s="58" t="s">
        <v>336</v>
      </c>
      <c r="H37" s="59" t="s">
        <v>337</v>
      </c>
      <c r="I37" s="63" t="str">
        <f>HYPERLINK("http://nsgreg.nga.mil/genc/view?v=861601&amp;end_month=12&amp;end_day=31&amp;end_year=2016","Correlation")</f>
        <v>Correlation</v>
      </c>
    </row>
    <row r="38" spans="1:9" x14ac:dyDescent="0.2">
      <c r="A38" s="99"/>
      <c r="B38" s="100"/>
      <c r="C38" s="100"/>
      <c r="D38" s="67" t="b">
        <v>0</v>
      </c>
      <c r="E38" s="58" t="s">
        <v>479</v>
      </c>
      <c r="F38" s="58" t="s">
        <v>480</v>
      </c>
      <c r="G38" s="58" t="s">
        <v>481</v>
      </c>
      <c r="H38" s="59" t="s">
        <v>482</v>
      </c>
      <c r="I38" s="63" t="str">
        <f>HYPERLINK("http://nsgreg.nga.mil/genc/view?v=861602&amp;end_month=12&amp;end_day=31&amp;end_year=2016","Correlation")</f>
        <v>Correlation</v>
      </c>
    </row>
    <row r="39" spans="1:9" x14ac:dyDescent="0.2">
      <c r="A39" s="57" t="s">
        <v>12590</v>
      </c>
      <c r="B39" s="58" t="s">
        <v>339</v>
      </c>
      <c r="C39" s="58" t="s">
        <v>340</v>
      </c>
      <c r="D39" s="60" t="b">
        <v>1</v>
      </c>
      <c r="E39" s="58" t="s">
        <v>338</v>
      </c>
      <c r="F39" s="58" t="s">
        <v>339</v>
      </c>
      <c r="G39" s="58" t="s">
        <v>340</v>
      </c>
      <c r="H39" s="59" t="s">
        <v>341</v>
      </c>
      <c r="I39" s="63" t="str">
        <f>HYPERLINK("http://nsgreg.nga.mil/genc/view?v=861603&amp;end_month=12&amp;end_day=31&amp;end_year=2016","Correlation")</f>
        <v>Correlation</v>
      </c>
    </row>
    <row r="40" spans="1:9" x14ac:dyDescent="0.2">
      <c r="A40" s="57" t="s">
        <v>12591</v>
      </c>
      <c r="B40" s="58" t="s">
        <v>344</v>
      </c>
      <c r="C40" s="58" t="s">
        <v>345</v>
      </c>
      <c r="D40" s="60" t="b">
        <v>1</v>
      </c>
      <c r="E40" s="58" t="s">
        <v>343</v>
      </c>
      <c r="F40" s="58" t="s">
        <v>344</v>
      </c>
      <c r="G40" s="58" t="s">
        <v>345</v>
      </c>
      <c r="H40" s="59" t="s">
        <v>346</v>
      </c>
      <c r="I40" s="63" t="str">
        <f>HYPERLINK("http://nsgreg.nga.mil/genc/view?v=861604&amp;end_month=12&amp;end_day=31&amp;end_year=2016","Correlation")</f>
        <v>Correlation</v>
      </c>
    </row>
    <row r="41" spans="1:9" x14ac:dyDescent="0.2">
      <c r="A41" s="57" t="s">
        <v>12592</v>
      </c>
      <c r="B41" s="58" t="s">
        <v>348</v>
      </c>
      <c r="C41" s="58" t="s">
        <v>349</v>
      </c>
      <c r="D41" s="60" t="b">
        <v>1</v>
      </c>
      <c r="E41" s="58" t="s">
        <v>347</v>
      </c>
      <c r="F41" s="58" t="s">
        <v>348</v>
      </c>
      <c r="G41" s="58" t="s">
        <v>349</v>
      </c>
      <c r="H41" s="59" t="s">
        <v>350</v>
      </c>
      <c r="I41" s="63" t="str">
        <f>HYPERLINK("http://nsgreg.nga.mil/genc/view?v=861605&amp;end_month=12&amp;end_day=31&amp;end_year=2016","Correlation")</f>
        <v>Correlation</v>
      </c>
    </row>
    <row r="42" spans="1:9" x14ac:dyDescent="0.2">
      <c r="A42" s="57" t="s">
        <v>12594</v>
      </c>
      <c r="B42" s="58" t="s">
        <v>357</v>
      </c>
      <c r="C42" s="58" t="s">
        <v>358</v>
      </c>
      <c r="D42" s="60" t="b">
        <v>1</v>
      </c>
      <c r="E42" s="58" t="s">
        <v>356</v>
      </c>
      <c r="F42" s="58" t="s">
        <v>357</v>
      </c>
      <c r="G42" s="58" t="s">
        <v>358</v>
      </c>
      <c r="H42" s="59" t="s">
        <v>359</v>
      </c>
      <c r="I42" s="63" t="str">
        <f>HYPERLINK("http://nsgreg.nga.mil/genc/view?v=861606&amp;end_month=12&amp;end_day=31&amp;end_year=2016","Correlation")</f>
        <v>Correlation</v>
      </c>
    </row>
    <row r="43" spans="1:9" x14ac:dyDescent="0.2">
      <c r="A43" s="57" t="s">
        <v>12596</v>
      </c>
      <c r="B43" s="58" t="s">
        <v>365</v>
      </c>
      <c r="C43" s="58" t="s">
        <v>366</v>
      </c>
      <c r="D43" s="60" t="b">
        <v>1</v>
      </c>
      <c r="E43" s="58" t="s">
        <v>364</v>
      </c>
      <c r="F43" s="58" t="s">
        <v>365</v>
      </c>
      <c r="G43" s="58" t="s">
        <v>366</v>
      </c>
      <c r="H43" s="59" t="s">
        <v>367</v>
      </c>
      <c r="I43" s="63" t="str">
        <f>HYPERLINK("http://nsgreg.nga.mil/genc/view?v=861607&amp;end_month=12&amp;end_day=31&amp;end_year=2016","Correlation")</f>
        <v>Correlation</v>
      </c>
    </row>
    <row r="44" spans="1:9" x14ac:dyDescent="0.2">
      <c r="A44" s="57" t="s">
        <v>12597</v>
      </c>
      <c r="B44" s="58" t="s">
        <v>369</v>
      </c>
      <c r="C44" s="58" t="s">
        <v>370</v>
      </c>
      <c r="D44" s="60" t="b">
        <v>1</v>
      </c>
      <c r="E44" s="58" t="s">
        <v>368</v>
      </c>
      <c r="F44" s="58" t="s">
        <v>369</v>
      </c>
      <c r="G44" s="58" t="s">
        <v>370</v>
      </c>
      <c r="H44" s="59" t="s">
        <v>371</v>
      </c>
      <c r="I44" s="63" t="str">
        <f>HYPERLINK("http://nsgreg.nga.mil/genc/view?v=861608&amp;end_month=12&amp;end_day=31&amp;end_year=2016","Correlation")</f>
        <v>Correlation</v>
      </c>
    </row>
    <row r="45" spans="1:9" x14ac:dyDescent="0.2">
      <c r="A45" s="57" t="s">
        <v>12598</v>
      </c>
      <c r="B45" s="58" t="s">
        <v>373</v>
      </c>
      <c r="C45" s="58" t="s">
        <v>374</v>
      </c>
      <c r="D45" s="60" t="b">
        <v>1</v>
      </c>
      <c r="E45" s="58" t="s">
        <v>372</v>
      </c>
      <c r="F45" s="58" t="s">
        <v>373</v>
      </c>
      <c r="G45" s="58" t="s">
        <v>374</v>
      </c>
      <c r="H45" s="59" t="s">
        <v>375</v>
      </c>
      <c r="I45" s="63" t="str">
        <f>HYPERLINK("http://nsgreg.nga.mil/genc/view?v=861609&amp;end_month=12&amp;end_day=31&amp;end_year=2016","Correlation")</f>
        <v>Correlation</v>
      </c>
    </row>
    <row r="46" spans="1:9" x14ac:dyDescent="0.2">
      <c r="A46" s="57" t="s">
        <v>12595</v>
      </c>
      <c r="B46" s="58" t="s">
        <v>361</v>
      </c>
      <c r="C46" s="58" t="s">
        <v>362</v>
      </c>
      <c r="D46" s="60" t="b">
        <v>1</v>
      </c>
      <c r="E46" s="58" t="s">
        <v>360</v>
      </c>
      <c r="F46" s="58" t="s">
        <v>361</v>
      </c>
      <c r="G46" s="58" t="s">
        <v>362</v>
      </c>
      <c r="H46" s="59" t="s">
        <v>363</v>
      </c>
      <c r="I46" s="63" t="str">
        <f>HYPERLINK("http://nsgreg.nga.mil/genc/view?v=861610&amp;end_month=12&amp;end_day=31&amp;end_year=2016","Correlation")</f>
        <v>Correlation</v>
      </c>
    </row>
    <row r="47" spans="1:9" x14ac:dyDescent="0.2">
      <c r="A47" s="57" t="s">
        <v>12599</v>
      </c>
      <c r="B47" s="58" t="s">
        <v>377</v>
      </c>
      <c r="C47" s="58" t="s">
        <v>378</v>
      </c>
      <c r="D47" s="60" t="b">
        <v>1</v>
      </c>
      <c r="E47" s="58" t="s">
        <v>376</v>
      </c>
      <c r="F47" s="58" t="s">
        <v>377</v>
      </c>
      <c r="G47" s="58" t="s">
        <v>378</v>
      </c>
      <c r="H47" s="59" t="s">
        <v>379</v>
      </c>
      <c r="I47" s="63" t="str">
        <f>HYPERLINK("http://nsgreg.nga.mil/genc/view?v=861611&amp;end_month=12&amp;end_day=31&amp;end_year=2016","Correlation")</f>
        <v>Correlation</v>
      </c>
    </row>
    <row r="48" spans="1:9" x14ac:dyDescent="0.2">
      <c r="A48" s="57" t="s">
        <v>12600</v>
      </c>
      <c r="B48" s="58" t="s">
        <v>381</v>
      </c>
      <c r="C48" s="58" t="s">
        <v>382</v>
      </c>
      <c r="D48" s="60" t="b">
        <v>1</v>
      </c>
      <c r="E48" s="58" t="s">
        <v>380</v>
      </c>
      <c r="F48" s="58" t="s">
        <v>381</v>
      </c>
      <c r="G48" s="58" t="s">
        <v>382</v>
      </c>
      <c r="H48" s="59" t="s">
        <v>383</v>
      </c>
      <c r="I48" s="63" t="str">
        <f>HYPERLINK("http://nsgreg.nga.mil/genc/view?v=861612&amp;end_month=12&amp;end_day=31&amp;end_year=2016","Correlation")</f>
        <v>Correlation</v>
      </c>
    </row>
    <row r="49" spans="1:9" x14ac:dyDescent="0.2">
      <c r="A49" s="57" t="s">
        <v>12601</v>
      </c>
      <c r="B49" s="58" t="s">
        <v>385</v>
      </c>
      <c r="C49" s="58" t="s">
        <v>386</v>
      </c>
      <c r="D49" s="60" t="b">
        <v>1</v>
      </c>
      <c r="E49" s="58" t="s">
        <v>384</v>
      </c>
      <c r="F49" s="58" t="s">
        <v>385</v>
      </c>
      <c r="G49" s="58" t="s">
        <v>386</v>
      </c>
      <c r="H49" s="59" t="s">
        <v>387</v>
      </c>
      <c r="I49" s="63" t="str">
        <f>HYPERLINK("http://nsgreg.nga.mil/genc/view?v=861613&amp;end_month=12&amp;end_day=31&amp;end_year=2016","Correlation")</f>
        <v>Correlation</v>
      </c>
    </row>
    <row r="50" spans="1:9" x14ac:dyDescent="0.2">
      <c r="A50" s="57" t="s">
        <v>12602</v>
      </c>
      <c r="B50" s="58" t="s">
        <v>389</v>
      </c>
      <c r="C50" s="58" t="s">
        <v>390</v>
      </c>
      <c r="D50" s="60" t="b">
        <v>1</v>
      </c>
      <c r="E50" s="58" t="s">
        <v>388</v>
      </c>
      <c r="F50" s="58" t="s">
        <v>389</v>
      </c>
      <c r="G50" s="58" t="s">
        <v>390</v>
      </c>
      <c r="H50" s="59" t="s">
        <v>391</v>
      </c>
      <c r="I50" s="63" t="str">
        <f>HYPERLINK("http://nsgreg.nga.mil/genc/view?v=861614&amp;end_month=12&amp;end_day=31&amp;end_year=2016","Correlation")</f>
        <v>Correlation</v>
      </c>
    </row>
    <row r="51" spans="1:9" x14ac:dyDescent="0.2">
      <c r="A51" s="99" t="s">
        <v>12603</v>
      </c>
      <c r="B51" s="100" t="s">
        <v>393</v>
      </c>
      <c r="C51" s="100" t="s">
        <v>394</v>
      </c>
      <c r="D51" s="60" t="b">
        <v>1</v>
      </c>
      <c r="E51" s="58" t="s">
        <v>392</v>
      </c>
      <c r="F51" s="58" t="s">
        <v>393</v>
      </c>
      <c r="G51" s="58" t="s">
        <v>394</v>
      </c>
      <c r="H51" s="59" t="s">
        <v>395</v>
      </c>
      <c r="I51" s="63" t="str">
        <f>HYPERLINK("http://nsgreg.nga.mil/genc/view?v=861615&amp;end_month=12&amp;end_day=31&amp;end_year=2016","Correlation")</f>
        <v>Correlation</v>
      </c>
    </row>
    <row r="52" spans="1:9" x14ac:dyDescent="0.2">
      <c r="A52" s="99"/>
      <c r="B52" s="100"/>
      <c r="C52" s="100"/>
      <c r="D52" s="67" t="b">
        <v>0</v>
      </c>
      <c r="E52" s="58" t="s">
        <v>1042</v>
      </c>
      <c r="F52" s="58" t="s">
        <v>1043</v>
      </c>
      <c r="G52" s="58" t="s">
        <v>1044</v>
      </c>
      <c r="H52" s="59" t="s">
        <v>1045</v>
      </c>
      <c r="I52" s="63" t="str">
        <f>HYPERLINK("http://nsgreg.nga.mil/genc/view?v=861616&amp;end_month=12&amp;end_day=31&amp;end_year=2016","Correlation")</f>
        <v>Correlation</v>
      </c>
    </row>
    <row r="53" spans="1:9" x14ac:dyDescent="0.2">
      <c r="A53" s="99"/>
      <c r="B53" s="100"/>
      <c r="C53" s="100"/>
      <c r="D53" s="67" t="b">
        <v>0</v>
      </c>
      <c r="E53" s="58" t="s">
        <v>1223</v>
      </c>
      <c r="F53" s="58" t="s">
        <v>1224</v>
      </c>
      <c r="G53" s="58" t="s">
        <v>1225</v>
      </c>
      <c r="H53" s="59" t="s">
        <v>1226</v>
      </c>
      <c r="I53" s="63" t="str">
        <f>HYPERLINK("http://nsgreg.nga.mil/genc/view?v=861617&amp;end_month=12&amp;end_day=31&amp;end_year=2016","Correlation")</f>
        <v>Correlation</v>
      </c>
    </row>
    <row r="54" spans="1:9" x14ac:dyDescent="0.2">
      <c r="A54" s="57" t="s">
        <v>12604</v>
      </c>
      <c r="B54" s="58" t="s">
        <v>397</v>
      </c>
      <c r="C54" s="58" t="s">
        <v>398</v>
      </c>
      <c r="D54" s="60" t="b">
        <v>1</v>
      </c>
      <c r="E54" s="58" t="s">
        <v>396</v>
      </c>
      <c r="F54" s="58" t="s">
        <v>397</v>
      </c>
      <c r="G54" s="58" t="s">
        <v>398</v>
      </c>
      <c r="H54" s="59" t="s">
        <v>399</v>
      </c>
      <c r="I54" s="63" t="str">
        <f>HYPERLINK("http://nsgreg.nga.mil/genc/view?v=861618&amp;end_month=12&amp;end_day=31&amp;end_year=2016","Correlation")</f>
        <v>Correlation</v>
      </c>
    </row>
    <row r="55" spans="1:9" x14ac:dyDescent="0.2">
      <c r="A55" s="57" t="s">
        <v>12606</v>
      </c>
      <c r="B55" s="58" t="s">
        <v>411</v>
      </c>
      <c r="C55" s="58" t="s">
        <v>412</v>
      </c>
      <c r="D55" s="60" t="b">
        <v>1</v>
      </c>
      <c r="E55" s="58" t="s">
        <v>410</v>
      </c>
      <c r="F55" s="58" t="s">
        <v>411</v>
      </c>
      <c r="G55" s="58" t="s">
        <v>412</v>
      </c>
      <c r="H55" s="59" t="s">
        <v>413</v>
      </c>
      <c r="I55" s="63" t="str">
        <f>HYPERLINK("http://nsgreg.nga.mil/genc/view?v=861619&amp;end_month=12&amp;end_day=31&amp;end_year=2016","Correlation")</f>
        <v>Correlation</v>
      </c>
    </row>
    <row r="56" spans="1:9" x14ac:dyDescent="0.2">
      <c r="A56" s="57" t="s">
        <v>12607</v>
      </c>
      <c r="B56" s="58" t="s">
        <v>415</v>
      </c>
      <c r="C56" s="58" t="s">
        <v>416</v>
      </c>
      <c r="D56" s="60" t="b">
        <v>1</v>
      </c>
      <c r="E56" s="58" t="s">
        <v>414</v>
      </c>
      <c r="F56" s="58" t="s">
        <v>415</v>
      </c>
      <c r="G56" s="58" t="s">
        <v>416</v>
      </c>
      <c r="H56" s="59" t="s">
        <v>417</v>
      </c>
      <c r="I56" s="63" t="str">
        <f>HYPERLINK("http://nsgreg.nga.mil/genc/view?v=861620&amp;end_month=12&amp;end_day=31&amp;end_year=2016","Correlation")</f>
        <v>Correlation</v>
      </c>
    </row>
    <row r="57" spans="1:9" x14ac:dyDescent="0.2">
      <c r="A57" s="57" t="s">
        <v>12608</v>
      </c>
      <c r="B57" s="58" t="s">
        <v>419</v>
      </c>
      <c r="C57" s="58" t="s">
        <v>420</v>
      </c>
      <c r="D57" s="60" t="b">
        <v>1</v>
      </c>
      <c r="E57" s="58" t="s">
        <v>418</v>
      </c>
      <c r="F57" s="58" t="s">
        <v>419</v>
      </c>
      <c r="G57" s="58" t="s">
        <v>420</v>
      </c>
      <c r="H57" s="59" t="s">
        <v>421</v>
      </c>
      <c r="I57" s="63" t="str">
        <f>HYPERLINK("http://nsgreg.nga.mil/genc/view?v=861621&amp;end_month=12&amp;end_day=31&amp;end_year=2016","Correlation")</f>
        <v>Correlation</v>
      </c>
    </row>
    <row r="58" spans="1:9" x14ac:dyDescent="0.2">
      <c r="A58" s="57" t="s">
        <v>12609</v>
      </c>
      <c r="B58" s="58" t="s">
        <v>423</v>
      </c>
      <c r="C58" s="58" t="s">
        <v>424</v>
      </c>
      <c r="D58" s="60" t="b">
        <v>1</v>
      </c>
      <c r="E58" s="58" t="s">
        <v>422</v>
      </c>
      <c r="F58" s="58" t="s">
        <v>423</v>
      </c>
      <c r="G58" s="58" t="s">
        <v>424</v>
      </c>
      <c r="H58" s="59" t="s">
        <v>425</v>
      </c>
      <c r="I58" s="63" t="str">
        <f>HYPERLINK("http://nsgreg.nga.mil/genc/view?v=861622&amp;end_month=12&amp;end_day=31&amp;end_year=2016","Correlation")</f>
        <v>Correlation</v>
      </c>
    </row>
    <row r="59" spans="1:9" x14ac:dyDescent="0.2">
      <c r="A59" s="57" t="s">
        <v>12610</v>
      </c>
      <c r="B59" s="58" t="s">
        <v>428</v>
      </c>
      <c r="C59" s="58" t="s">
        <v>429</v>
      </c>
      <c r="D59" s="60" t="b">
        <v>1</v>
      </c>
      <c r="E59" s="58" t="s">
        <v>427</v>
      </c>
      <c r="F59" s="58" t="s">
        <v>428</v>
      </c>
      <c r="G59" s="58" t="s">
        <v>429</v>
      </c>
      <c r="H59" s="59" t="s">
        <v>430</v>
      </c>
      <c r="I59" s="63" t="str">
        <f>HYPERLINK("http://nsgreg.nga.mil/genc/view?v=861623&amp;end_month=12&amp;end_day=31&amp;end_year=2016","Correlation")</f>
        <v>Correlation</v>
      </c>
    </row>
    <row r="60" spans="1:9" x14ac:dyDescent="0.2">
      <c r="A60" s="57" t="s">
        <v>12611</v>
      </c>
      <c r="B60" s="58" t="s">
        <v>433</v>
      </c>
      <c r="C60" s="58" t="s">
        <v>434</v>
      </c>
      <c r="D60" s="60" t="b">
        <v>1</v>
      </c>
      <c r="E60" s="58" t="s">
        <v>432</v>
      </c>
      <c r="F60" s="58" t="s">
        <v>433</v>
      </c>
      <c r="G60" s="58" t="s">
        <v>434</v>
      </c>
      <c r="H60" s="59" t="s">
        <v>435</v>
      </c>
      <c r="I60" s="63" t="str">
        <f>HYPERLINK("http://nsgreg.nga.mil/genc/view?v=861624&amp;end_month=12&amp;end_day=31&amp;end_year=2016","Correlation")</f>
        <v>Correlation</v>
      </c>
    </row>
    <row r="61" spans="1:9" x14ac:dyDescent="0.2">
      <c r="A61" s="57" t="s">
        <v>12612</v>
      </c>
      <c r="B61" s="58" t="s">
        <v>441</v>
      </c>
      <c r="C61" s="58" t="s">
        <v>442</v>
      </c>
      <c r="D61" s="60" t="b">
        <v>1</v>
      </c>
      <c r="E61" s="58" t="s">
        <v>440</v>
      </c>
      <c r="F61" s="58" t="s">
        <v>441</v>
      </c>
      <c r="G61" s="58" t="s">
        <v>442</v>
      </c>
      <c r="H61" s="59" t="s">
        <v>443</v>
      </c>
      <c r="I61" s="63" t="str">
        <f>HYPERLINK("http://nsgreg.nga.mil/genc/view?v=861625&amp;end_month=12&amp;end_day=31&amp;end_year=2016","Correlation")</f>
        <v>Correlation</v>
      </c>
    </row>
    <row r="62" spans="1:9" x14ac:dyDescent="0.2">
      <c r="A62" s="57" t="s">
        <v>12613</v>
      </c>
      <c r="B62" s="58" t="s">
        <v>445</v>
      </c>
      <c r="C62" s="58" t="s">
        <v>446</v>
      </c>
      <c r="D62" s="60" t="b">
        <v>1</v>
      </c>
      <c r="E62" s="58" t="s">
        <v>444</v>
      </c>
      <c r="F62" s="58" t="s">
        <v>445</v>
      </c>
      <c r="G62" s="58" t="s">
        <v>446</v>
      </c>
      <c r="H62" s="59" t="s">
        <v>447</v>
      </c>
      <c r="I62" s="63" t="str">
        <f>HYPERLINK("http://nsgreg.nga.mil/genc/view?v=861626&amp;end_month=12&amp;end_day=31&amp;end_year=2016","Correlation")</f>
        <v>Correlation</v>
      </c>
    </row>
    <row r="63" spans="1:9" x14ac:dyDescent="0.2">
      <c r="A63" s="57" t="s">
        <v>12614</v>
      </c>
      <c r="B63" s="58" t="s">
        <v>450</v>
      </c>
      <c r="C63" s="58" t="s">
        <v>451</v>
      </c>
      <c r="D63" s="60" t="b">
        <v>1</v>
      </c>
      <c r="E63" s="58" t="s">
        <v>449</v>
      </c>
      <c r="F63" s="58" t="s">
        <v>450</v>
      </c>
      <c r="G63" s="58" t="s">
        <v>451</v>
      </c>
      <c r="H63" s="59" t="s">
        <v>452</v>
      </c>
      <c r="I63" s="63" t="str">
        <f>HYPERLINK("http://nsgreg.nga.mil/genc/view?v=861627&amp;end_month=12&amp;end_day=31&amp;end_year=2016","Correlation")</f>
        <v>Correlation</v>
      </c>
    </row>
    <row r="64" spans="1:9" x14ac:dyDescent="0.2">
      <c r="A64" s="99" t="s">
        <v>12615</v>
      </c>
      <c r="B64" s="100" t="s">
        <v>454</v>
      </c>
      <c r="C64" s="100" t="s">
        <v>455</v>
      </c>
      <c r="D64" s="60" t="b">
        <v>1</v>
      </c>
      <c r="E64" s="58" t="s">
        <v>453</v>
      </c>
      <c r="F64" s="58" t="s">
        <v>454</v>
      </c>
      <c r="G64" s="58" t="s">
        <v>455</v>
      </c>
      <c r="H64" s="59" t="s">
        <v>456</v>
      </c>
      <c r="I64" s="63" t="str">
        <f>HYPERLINK("http://nsgreg.nga.mil/genc/view?v=861628&amp;end_month=12&amp;end_day=31&amp;end_year=2016","Correlation")</f>
        <v>Correlation</v>
      </c>
    </row>
    <row r="65" spans="1:9" x14ac:dyDescent="0.2">
      <c r="A65" s="99"/>
      <c r="B65" s="100"/>
      <c r="C65" s="100"/>
      <c r="D65" s="67" t="b">
        <v>0</v>
      </c>
      <c r="E65" s="58" t="s">
        <v>643</v>
      </c>
      <c r="F65" s="58" t="s">
        <v>644</v>
      </c>
      <c r="G65" s="58" t="s">
        <v>645</v>
      </c>
      <c r="H65" s="59" t="s">
        <v>646</v>
      </c>
      <c r="I65" s="63" t="str">
        <f>HYPERLINK("http://nsgreg.nga.mil/genc/view?v=861629&amp;end_month=12&amp;end_day=31&amp;end_year=2016","Correlation")</f>
        <v>Correlation</v>
      </c>
    </row>
    <row r="66" spans="1:9" x14ac:dyDescent="0.2">
      <c r="A66" s="57" t="s">
        <v>12616</v>
      </c>
      <c r="B66" s="58" t="s">
        <v>464</v>
      </c>
      <c r="C66" s="58" t="s">
        <v>465</v>
      </c>
      <c r="D66" s="60" t="b">
        <v>1</v>
      </c>
      <c r="E66" s="58" t="s">
        <v>463</v>
      </c>
      <c r="F66" s="58" t="s">
        <v>464</v>
      </c>
      <c r="G66" s="58" t="s">
        <v>465</v>
      </c>
      <c r="H66" s="59" t="s">
        <v>466</v>
      </c>
      <c r="I66" s="63" t="str">
        <f>HYPERLINK("http://nsgreg.nga.mil/genc/view?v=861630&amp;end_month=12&amp;end_day=31&amp;end_year=2016","Correlation")</f>
        <v>Correlation</v>
      </c>
    </row>
    <row r="67" spans="1:9" x14ac:dyDescent="0.2">
      <c r="A67" s="57" t="s">
        <v>12617</v>
      </c>
      <c r="B67" s="58" t="s">
        <v>468</v>
      </c>
      <c r="C67" s="58" t="s">
        <v>469</v>
      </c>
      <c r="D67" s="60" t="b">
        <v>1</v>
      </c>
      <c r="E67" s="58" t="s">
        <v>467</v>
      </c>
      <c r="F67" s="58" t="s">
        <v>468</v>
      </c>
      <c r="G67" s="58" t="s">
        <v>469</v>
      </c>
      <c r="H67" s="59" t="s">
        <v>470</v>
      </c>
      <c r="I67" s="63" t="str">
        <f>HYPERLINK("http://nsgreg.nga.mil/genc/view?v=861631&amp;end_month=12&amp;end_day=31&amp;end_year=2016","Correlation")</f>
        <v>Correlation</v>
      </c>
    </row>
    <row r="68" spans="1:9" x14ac:dyDescent="0.2">
      <c r="A68" s="57" t="s">
        <v>12618</v>
      </c>
      <c r="B68" s="58" t="s">
        <v>472</v>
      </c>
      <c r="C68" s="58" t="s">
        <v>473</v>
      </c>
      <c r="D68" s="60" t="b">
        <v>1</v>
      </c>
      <c r="E68" s="58" t="s">
        <v>471</v>
      </c>
      <c r="F68" s="58" t="s">
        <v>472</v>
      </c>
      <c r="G68" s="58" t="s">
        <v>473</v>
      </c>
      <c r="H68" s="59" t="s">
        <v>474</v>
      </c>
      <c r="I68" s="63" t="str">
        <f>HYPERLINK("http://nsgreg.nga.mil/genc/view?v=861632&amp;end_month=12&amp;end_day=31&amp;end_year=2016","Correlation")</f>
        <v>Correlation</v>
      </c>
    </row>
    <row r="69" spans="1:9" x14ac:dyDescent="0.2">
      <c r="A69" s="57" t="s">
        <v>3729</v>
      </c>
      <c r="B69" s="58" t="s">
        <v>484</v>
      </c>
      <c r="C69" s="58" t="s">
        <v>485</v>
      </c>
      <c r="D69" s="60" t="b">
        <v>1</v>
      </c>
      <c r="E69" s="58" t="s">
        <v>483</v>
      </c>
      <c r="F69" s="58" t="s">
        <v>484</v>
      </c>
      <c r="G69" s="58" t="s">
        <v>485</v>
      </c>
      <c r="H69" s="59" t="s">
        <v>486</v>
      </c>
      <c r="I69" s="63" t="str">
        <f>HYPERLINK("http://nsgreg.nga.mil/genc/view?v=861633&amp;end_month=12&amp;end_day=31&amp;end_year=2016","Correlation")</f>
        <v>Correlation</v>
      </c>
    </row>
    <row r="70" spans="1:9" x14ac:dyDescent="0.2">
      <c r="A70" s="57" t="s">
        <v>12619</v>
      </c>
      <c r="B70" s="58" t="s">
        <v>488</v>
      </c>
      <c r="C70" s="58" t="s">
        <v>489</v>
      </c>
      <c r="D70" s="60" t="b">
        <v>1</v>
      </c>
      <c r="E70" s="58" t="s">
        <v>487</v>
      </c>
      <c r="F70" s="58" t="s">
        <v>488</v>
      </c>
      <c r="G70" s="58" t="s">
        <v>489</v>
      </c>
      <c r="H70" s="59" t="s">
        <v>490</v>
      </c>
      <c r="I70" s="63" t="str">
        <f>HYPERLINK("http://nsgreg.nga.mil/genc/view?v=861634&amp;end_month=12&amp;end_day=31&amp;end_year=2016","Correlation")</f>
        <v>Correlation</v>
      </c>
    </row>
    <row r="71" spans="1:9" x14ac:dyDescent="0.2">
      <c r="A71" s="57" t="s">
        <v>12620</v>
      </c>
      <c r="B71" s="58" t="s">
        <v>492</v>
      </c>
      <c r="C71" s="58" t="s">
        <v>493</v>
      </c>
      <c r="D71" s="60" t="b">
        <v>1</v>
      </c>
      <c r="E71" s="58" t="s">
        <v>491</v>
      </c>
      <c r="F71" s="58" t="s">
        <v>492</v>
      </c>
      <c r="G71" s="58" t="s">
        <v>493</v>
      </c>
      <c r="H71" s="59" t="s">
        <v>494</v>
      </c>
      <c r="I71" s="63" t="str">
        <f>HYPERLINK("http://nsgreg.nga.mil/genc/view?v=861635&amp;end_month=12&amp;end_day=31&amp;end_year=2016","Correlation")</f>
        <v>Correlation</v>
      </c>
    </row>
    <row r="72" spans="1:9" x14ac:dyDescent="0.2">
      <c r="A72" s="57" t="s">
        <v>12621</v>
      </c>
      <c r="B72" s="58" t="s">
        <v>496</v>
      </c>
      <c r="C72" s="58" t="s">
        <v>497</v>
      </c>
      <c r="D72" s="60" t="b">
        <v>1</v>
      </c>
      <c r="E72" s="58" t="s">
        <v>495</v>
      </c>
      <c r="F72" s="58" t="s">
        <v>496</v>
      </c>
      <c r="G72" s="58" t="s">
        <v>497</v>
      </c>
      <c r="H72" s="59" t="s">
        <v>498</v>
      </c>
      <c r="I72" s="63" t="str">
        <f>HYPERLINK("http://nsgreg.nga.mil/genc/view?v=861636&amp;end_month=12&amp;end_day=31&amp;end_year=2016","Correlation")</f>
        <v>Correlation</v>
      </c>
    </row>
    <row r="73" spans="1:9" x14ac:dyDescent="0.2">
      <c r="A73" s="57" t="s">
        <v>12622</v>
      </c>
      <c r="B73" s="58" t="s">
        <v>500</v>
      </c>
      <c r="C73" s="58" t="s">
        <v>501</v>
      </c>
      <c r="D73" s="60" t="b">
        <v>1</v>
      </c>
      <c r="E73" s="58" t="s">
        <v>503</v>
      </c>
      <c r="F73" s="58" t="s">
        <v>504</v>
      </c>
      <c r="G73" s="58" t="s">
        <v>505</v>
      </c>
      <c r="H73" s="59" t="s">
        <v>506</v>
      </c>
      <c r="I73" s="63" t="str">
        <f>HYPERLINK("http://nsgreg.nga.mil/genc/view?v=861637&amp;end_month=12&amp;end_day=31&amp;end_year=2016","Correlation")</f>
        <v>Correlation</v>
      </c>
    </row>
    <row r="74" spans="1:9" x14ac:dyDescent="0.2">
      <c r="A74" s="57" t="s">
        <v>12623</v>
      </c>
      <c r="B74" s="58" t="s">
        <v>504</v>
      </c>
      <c r="C74" s="58" t="s">
        <v>505</v>
      </c>
      <c r="D74" s="60" t="b">
        <v>1</v>
      </c>
      <c r="E74" s="58" t="s">
        <v>499</v>
      </c>
      <c r="F74" s="58" t="s">
        <v>500</v>
      </c>
      <c r="G74" s="58" t="s">
        <v>501</v>
      </c>
      <c r="H74" s="59" t="s">
        <v>502</v>
      </c>
      <c r="I74" s="63" t="str">
        <f>HYPERLINK("http://nsgreg.nga.mil/genc/view?v=861638&amp;end_month=12&amp;end_day=31&amp;end_year=2016","Correlation")</f>
        <v>Correlation</v>
      </c>
    </row>
    <row r="75" spans="1:9" x14ac:dyDescent="0.2">
      <c r="A75" s="57" t="s">
        <v>12624</v>
      </c>
      <c r="B75" s="58" t="s">
        <v>528</v>
      </c>
      <c r="C75" s="58" t="s">
        <v>529</v>
      </c>
      <c r="D75" s="60" t="b">
        <v>1</v>
      </c>
      <c r="E75" s="58" t="s">
        <v>527</v>
      </c>
      <c r="F75" s="58" t="s">
        <v>528</v>
      </c>
      <c r="G75" s="58" t="s">
        <v>529</v>
      </c>
      <c r="H75" s="59" t="s">
        <v>530</v>
      </c>
      <c r="I75" s="63" t="str">
        <f>HYPERLINK("http://nsgreg.nga.mil/genc/view?v=861639&amp;end_month=12&amp;end_day=31&amp;end_year=2016","Correlation")</f>
        <v>Correlation</v>
      </c>
    </row>
    <row r="76" spans="1:9" x14ac:dyDescent="0.2">
      <c r="A76" s="57" t="s">
        <v>12625</v>
      </c>
      <c r="B76" s="58" t="s">
        <v>532</v>
      </c>
      <c r="C76" s="58" t="s">
        <v>533</v>
      </c>
      <c r="D76" s="60" t="b">
        <v>1</v>
      </c>
      <c r="E76" s="58" t="s">
        <v>531</v>
      </c>
      <c r="F76" s="58" t="s">
        <v>532</v>
      </c>
      <c r="G76" s="58" t="s">
        <v>533</v>
      </c>
      <c r="H76" s="59" t="s">
        <v>534</v>
      </c>
      <c r="I76" s="63" t="str">
        <f>HYPERLINK("http://nsgreg.nga.mil/genc/view?v=861640&amp;end_month=12&amp;end_day=31&amp;end_year=2016","Correlation")</f>
        <v>Correlation</v>
      </c>
    </row>
    <row r="77" spans="1:9" x14ac:dyDescent="0.2">
      <c r="A77" s="57" t="s">
        <v>12626</v>
      </c>
      <c r="B77" s="58" t="s">
        <v>536</v>
      </c>
      <c r="C77" s="58" t="s">
        <v>537</v>
      </c>
      <c r="D77" s="60" t="b">
        <v>1</v>
      </c>
      <c r="E77" s="58" t="s">
        <v>535</v>
      </c>
      <c r="F77" s="58" t="s">
        <v>536</v>
      </c>
      <c r="G77" s="58" t="s">
        <v>537</v>
      </c>
      <c r="H77" s="59" t="s">
        <v>538</v>
      </c>
      <c r="I77" s="63" t="str">
        <f>HYPERLINK("http://nsgreg.nga.mil/genc/view?v=861641&amp;end_month=12&amp;end_day=31&amp;end_year=2016","Correlation")</f>
        <v>Correlation</v>
      </c>
    </row>
    <row r="78" spans="1:9" x14ac:dyDescent="0.2">
      <c r="A78" s="57" t="s">
        <v>12627</v>
      </c>
      <c r="B78" s="58" t="s">
        <v>540</v>
      </c>
      <c r="C78" s="58" t="s">
        <v>541</v>
      </c>
      <c r="D78" s="60" t="b">
        <v>1</v>
      </c>
      <c r="E78" s="58" t="s">
        <v>539</v>
      </c>
      <c r="F78" s="58" t="s">
        <v>540</v>
      </c>
      <c r="G78" s="58" t="s">
        <v>541</v>
      </c>
      <c r="H78" s="59" t="s">
        <v>542</v>
      </c>
      <c r="I78" s="63" t="str">
        <f>HYPERLINK("http://nsgreg.nga.mil/genc/view?v=861642&amp;end_month=12&amp;end_day=31&amp;end_year=2016","Correlation")</f>
        <v>Correlation</v>
      </c>
    </row>
    <row r="79" spans="1:9" x14ac:dyDescent="0.2">
      <c r="A79" s="57" t="s">
        <v>12628</v>
      </c>
      <c r="B79" s="58" t="s">
        <v>548</v>
      </c>
      <c r="C79" s="58" t="s">
        <v>549</v>
      </c>
      <c r="D79" s="60" t="b">
        <v>1</v>
      </c>
      <c r="E79" s="58" t="s">
        <v>547</v>
      </c>
      <c r="F79" s="58" t="s">
        <v>548</v>
      </c>
      <c r="G79" s="58" t="s">
        <v>549</v>
      </c>
      <c r="H79" s="59" t="s">
        <v>550</v>
      </c>
      <c r="I79" s="63" t="str">
        <f>HYPERLINK("http://nsgreg.nga.mil/genc/view?v=861643&amp;end_month=12&amp;end_day=31&amp;end_year=2016","Correlation")</f>
        <v>Correlation</v>
      </c>
    </row>
    <row r="80" spans="1:9" x14ac:dyDescent="0.2">
      <c r="A80" s="57" t="s">
        <v>12629</v>
      </c>
      <c r="B80" s="58" t="s">
        <v>553</v>
      </c>
      <c r="C80" s="58" t="s">
        <v>554</v>
      </c>
      <c r="D80" s="60" t="b">
        <v>1</v>
      </c>
      <c r="E80" s="58" t="s">
        <v>552</v>
      </c>
      <c r="F80" s="58" t="s">
        <v>553</v>
      </c>
      <c r="G80" s="58" t="s">
        <v>554</v>
      </c>
      <c r="H80" s="59" t="s">
        <v>555</v>
      </c>
      <c r="I80" s="63" t="str">
        <f>HYPERLINK("http://nsgreg.nga.mil/genc/view?v=861644&amp;end_month=12&amp;end_day=31&amp;end_year=2016","Correlation")</f>
        <v>Correlation</v>
      </c>
    </row>
    <row r="81" spans="1:9" x14ac:dyDescent="0.2">
      <c r="A81" s="57" t="s">
        <v>12630</v>
      </c>
      <c r="B81" s="58" t="s">
        <v>557</v>
      </c>
      <c r="C81" s="58" t="s">
        <v>558</v>
      </c>
      <c r="D81" s="60" t="b">
        <v>1</v>
      </c>
      <c r="E81" s="58" t="s">
        <v>556</v>
      </c>
      <c r="F81" s="58" t="s">
        <v>557</v>
      </c>
      <c r="G81" s="58" t="s">
        <v>558</v>
      </c>
      <c r="H81" s="59" t="s">
        <v>559</v>
      </c>
      <c r="I81" s="63" t="str">
        <f>HYPERLINK("http://nsgreg.nga.mil/genc/view?v=861645&amp;end_month=12&amp;end_day=31&amp;end_year=2016","Correlation")</f>
        <v>Correlation</v>
      </c>
    </row>
    <row r="82" spans="1:9" x14ac:dyDescent="0.2">
      <c r="A82" s="57" t="s">
        <v>12631</v>
      </c>
      <c r="B82" s="58" t="s">
        <v>561</v>
      </c>
      <c r="C82" s="58" t="s">
        <v>562</v>
      </c>
      <c r="D82" s="60" t="b">
        <v>1</v>
      </c>
      <c r="E82" s="58" t="s">
        <v>560</v>
      </c>
      <c r="F82" s="58" t="s">
        <v>561</v>
      </c>
      <c r="G82" s="58" t="s">
        <v>562</v>
      </c>
      <c r="H82" s="59" t="s">
        <v>563</v>
      </c>
      <c r="I82" s="63" t="str">
        <f>HYPERLINK("http://nsgreg.nga.mil/genc/view?v=861646&amp;end_month=12&amp;end_day=31&amp;end_year=2016","Correlation")</f>
        <v>Correlation</v>
      </c>
    </row>
    <row r="83" spans="1:9" x14ac:dyDescent="0.2">
      <c r="A83" s="99" t="s">
        <v>12605</v>
      </c>
      <c r="B83" s="100" t="s">
        <v>405</v>
      </c>
      <c r="C83" s="100" t="s">
        <v>406</v>
      </c>
      <c r="D83" s="60" t="b">
        <v>1</v>
      </c>
      <c r="E83" s="58" t="s">
        <v>404</v>
      </c>
      <c r="F83" s="58" t="s">
        <v>405</v>
      </c>
      <c r="G83" s="58" t="s">
        <v>406</v>
      </c>
      <c r="H83" s="59" t="s">
        <v>407</v>
      </c>
      <c r="I83" s="63" t="str">
        <f>HYPERLINK("http://nsgreg.nga.mil/genc/view?v=861647&amp;end_month=12&amp;end_day=31&amp;end_year=2016","Correlation")</f>
        <v>Correlation</v>
      </c>
    </row>
    <row r="84" spans="1:9" x14ac:dyDescent="0.2">
      <c r="A84" s="99"/>
      <c r="B84" s="100"/>
      <c r="C84" s="100"/>
      <c r="D84" s="67" t="b">
        <v>0</v>
      </c>
      <c r="E84" s="58" t="s">
        <v>400</v>
      </c>
      <c r="F84" s="58" t="s">
        <v>401</v>
      </c>
      <c r="G84" s="58" t="s">
        <v>402</v>
      </c>
      <c r="H84" s="59" t="s">
        <v>403</v>
      </c>
      <c r="I84" s="63" t="str">
        <f>HYPERLINK("http://nsgreg.nga.mil/genc/view?v=861648&amp;end_month=12&amp;end_day=31&amp;end_year=2016","Correlation")</f>
        <v>Correlation</v>
      </c>
    </row>
    <row r="85" spans="1:9" x14ac:dyDescent="0.2">
      <c r="A85" s="57" t="s">
        <v>12632</v>
      </c>
      <c r="B85" s="58" t="s">
        <v>569</v>
      </c>
      <c r="C85" s="58" t="s">
        <v>570</v>
      </c>
      <c r="D85" s="60" t="b">
        <v>1</v>
      </c>
      <c r="E85" s="58" t="s">
        <v>568</v>
      </c>
      <c r="F85" s="58" t="s">
        <v>569</v>
      </c>
      <c r="G85" s="58" t="s">
        <v>570</v>
      </c>
      <c r="H85" s="59" t="s">
        <v>571</v>
      </c>
      <c r="I85" s="63" t="str">
        <f>HYPERLINK("http://nsgreg.nga.mil/genc/view?v=861649&amp;end_month=12&amp;end_day=31&amp;end_year=2016","Correlation")</f>
        <v>Correlation</v>
      </c>
    </row>
    <row r="86" spans="1:9" x14ac:dyDescent="0.2">
      <c r="A86" s="57" t="s">
        <v>12633</v>
      </c>
      <c r="B86" s="58" t="s">
        <v>575</v>
      </c>
      <c r="C86" s="58" t="s">
        <v>576</v>
      </c>
      <c r="D86" s="60" t="b">
        <v>1</v>
      </c>
      <c r="E86" s="58" t="s">
        <v>574</v>
      </c>
      <c r="F86" s="58" t="s">
        <v>575</v>
      </c>
      <c r="G86" s="58" t="s">
        <v>576</v>
      </c>
      <c r="H86" s="59" t="s">
        <v>577</v>
      </c>
      <c r="I86" s="63" t="str">
        <f>HYPERLINK("http://nsgreg.nga.mil/genc/view?v=861650&amp;end_month=12&amp;end_day=31&amp;end_year=2016","Correlation")</f>
        <v>Correlation</v>
      </c>
    </row>
    <row r="87" spans="1:9" x14ac:dyDescent="0.2">
      <c r="A87" s="99" t="s">
        <v>12575</v>
      </c>
      <c r="B87" s="100" t="s">
        <v>266</v>
      </c>
      <c r="C87" s="100" t="s">
        <v>267</v>
      </c>
      <c r="D87" s="60" t="b">
        <v>1</v>
      </c>
      <c r="E87" s="58" t="s">
        <v>580</v>
      </c>
      <c r="F87" s="58" t="s">
        <v>266</v>
      </c>
      <c r="G87" s="58" t="s">
        <v>267</v>
      </c>
      <c r="H87" s="59" t="s">
        <v>268</v>
      </c>
      <c r="I87" s="63" t="str">
        <f>HYPERLINK("http://nsgreg.nga.mil/genc/view?v=861651&amp;end_month=12&amp;end_day=31&amp;end_year=2016","Correlation")</f>
        <v>Correlation</v>
      </c>
    </row>
    <row r="88" spans="1:9" x14ac:dyDescent="0.2">
      <c r="A88" s="99"/>
      <c r="B88" s="100"/>
      <c r="C88" s="100"/>
      <c r="D88" s="67" t="b">
        <v>0</v>
      </c>
      <c r="E88" s="58" t="s">
        <v>261</v>
      </c>
      <c r="F88" s="58" t="s">
        <v>262</v>
      </c>
      <c r="G88" s="58" t="s">
        <v>263</v>
      </c>
      <c r="H88" s="59" t="s">
        <v>264</v>
      </c>
      <c r="I88" s="63" t="str">
        <f>HYPERLINK("http://nsgreg.nga.mil/genc/view?v=861758&amp;end_month=12&amp;end_day=31&amp;end_year=2016","Correlation")</f>
        <v>Correlation</v>
      </c>
    </row>
    <row r="89" spans="1:9" x14ac:dyDescent="0.2">
      <c r="A89" s="99"/>
      <c r="B89" s="100"/>
      <c r="C89" s="100"/>
      <c r="D89" s="67" t="b">
        <v>0</v>
      </c>
      <c r="E89" s="58" t="s">
        <v>543</v>
      </c>
      <c r="F89" s="58" t="s">
        <v>544</v>
      </c>
      <c r="G89" s="58" t="s">
        <v>545</v>
      </c>
      <c r="H89" s="59" t="s">
        <v>546</v>
      </c>
      <c r="I89" s="63" t="str">
        <f>HYPERLINK("http://nsgreg.nga.mil/genc/view?v=861759&amp;end_month=12&amp;end_day=31&amp;end_year=2016","Correlation")</f>
        <v>Correlation</v>
      </c>
    </row>
    <row r="90" spans="1:9" x14ac:dyDescent="0.2">
      <c r="A90" s="99"/>
      <c r="B90" s="100"/>
      <c r="C90" s="100"/>
      <c r="D90" s="67" t="b">
        <v>0</v>
      </c>
      <c r="E90" s="58" t="s">
        <v>614</v>
      </c>
      <c r="F90" s="58" t="s">
        <v>615</v>
      </c>
      <c r="G90" s="58" t="s">
        <v>616</v>
      </c>
      <c r="H90" s="59" t="s">
        <v>617</v>
      </c>
      <c r="I90" s="63" t="str">
        <f>HYPERLINK("http://nsgreg.nga.mil/genc/view?v=861760&amp;end_month=12&amp;end_day=31&amp;end_year=2016","Correlation")</f>
        <v>Correlation</v>
      </c>
    </row>
    <row r="91" spans="1:9" x14ac:dyDescent="0.2">
      <c r="A91" s="99"/>
      <c r="B91" s="100"/>
      <c r="C91" s="100"/>
      <c r="D91" s="67" t="b">
        <v>0</v>
      </c>
      <c r="E91" s="58" t="s">
        <v>770</v>
      </c>
      <c r="F91" s="58" t="s">
        <v>771</v>
      </c>
      <c r="G91" s="58" t="s">
        <v>772</v>
      </c>
      <c r="H91" s="59" t="s">
        <v>773</v>
      </c>
      <c r="I91" s="63" t="str">
        <f>HYPERLINK("http://nsgreg.nga.mil/genc/view?v=861761&amp;end_month=12&amp;end_day=31&amp;end_year=2016","Correlation")</f>
        <v>Correlation</v>
      </c>
    </row>
    <row r="92" spans="1:9" x14ac:dyDescent="0.2">
      <c r="A92" s="99"/>
      <c r="B92" s="100"/>
      <c r="C92" s="100"/>
      <c r="D92" s="67" t="b">
        <v>0</v>
      </c>
      <c r="E92" s="58" t="s">
        <v>1296</v>
      </c>
      <c r="F92" s="58" t="s">
        <v>1297</v>
      </c>
      <c r="G92" s="58" t="s">
        <v>1298</v>
      </c>
      <c r="H92" s="59" t="s">
        <v>1299</v>
      </c>
      <c r="I92" s="63" t="str">
        <f>HYPERLINK("http://nsgreg.nga.mil/genc/view?v=861762&amp;end_month=12&amp;end_day=31&amp;end_year=2016","Correlation")</f>
        <v>Correlation</v>
      </c>
    </row>
    <row r="93" spans="1:9" x14ac:dyDescent="0.2">
      <c r="A93" s="57" t="s">
        <v>12634</v>
      </c>
      <c r="B93" s="58" t="s">
        <v>582</v>
      </c>
      <c r="C93" s="58" t="s">
        <v>583</v>
      </c>
      <c r="D93" s="60" t="b">
        <v>1</v>
      </c>
      <c r="E93" s="58" t="s">
        <v>581</v>
      </c>
      <c r="F93" s="58" t="s">
        <v>582</v>
      </c>
      <c r="G93" s="58" t="s">
        <v>583</v>
      </c>
      <c r="H93" s="59" t="s">
        <v>584</v>
      </c>
      <c r="I93" s="63" t="str">
        <f>HYPERLINK("http://nsgreg.nga.mil/genc/view?v=861652&amp;end_month=12&amp;end_day=31&amp;end_year=2016","Correlation")</f>
        <v>Correlation</v>
      </c>
    </row>
    <row r="94" spans="1:9" x14ac:dyDescent="0.2">
      <c r="A94" s="57" t="s">
        <v>12635</v>
      </c>
      <c r="B94" s="58" t="s">
        <v>586</v>
      </c>
      <c r="C94" s="58" t="s">
        <v>587</v>
      </c>
      <c r="D94" s="60" t="b">
        <v>1</v>
      </c>
      <c r="E94" s="58" t="s">
        <v>585</v>
      </c>
      <c r="F94" s="58" t="s">
        <v>586</v>
      </c>
      <c r="G94" s="58" t="s">
        <v>587</v>
      </c>
      <c r="H94" s="59" t="s">
        <v>588</v>
      </c>
      <c r="I94" s="63" t="str">
        <f>HYPERLINK("http://nsgreg.nga.mil/genc/view?v=861653&amp;end_month=12&amp;end_day=31&amp;end_year=2016","Correlation")</f>
        <v>Correlation</v>
      </c>
    </row>
    <row r="95" spans="1:9" x14ac:dyDescent="0.2">
      <c r="A95" s="57" t="s">
        <v>11906</v>
      </c>
      <c r="B95" s="58" t="s">
        <v>599</v>
      </c>
      <c r="C95" s="58" t="s">
        <v>600</v>
      </c>
      <c r="D95" s="60" t="b">
        <v>1</v>
      </c>
      <c r="E95" s="58" t="s">
        <v>598</v>
      </c>
      <c r="F95" s="58" t="s">
        <v>599</v>
      </c>
      <c r="G95" s="58" t="s">
        <v>600</v>
      </c>
      <c r="H95" s="59" t="s">
        <v>601</v>
      </c>
      <c r="I95" s="63" t="str">
        <f>HYPERLINK("http://nsgreg.nga.mil/genc/view?v=861654&amp;end_month=12&amp;end_day=31&amp;end_year=2016","Correlation")</f>
        <v>Correlation</v>
      </c>
    </row>
    <row r="96" spans="1:9" x14ac:dyDescent="0.2">
      <c r="A96" s="57" t="s">
        <v>12637</v>
      </c>
      <c r="B96" s="58" t="s">
        <v>603</v>
      </c>
      <c r="C96" s="58" t="s">
        <v>604</v>
      </c>
      <c r="D96" s="60" t="b">
        <v>1</v>
      </c>
      <c r="E96" s="58" t="s">
        <v>602</v>
      </c>
      <c r="F96" s="58" t="s">
        <v>603</v>
      </c>
      <c r="G96" s="58" t="s">
        <v>604</v>
      </c>
      <c r="H96" s="59" t="s">
        <v>605</v>
      </c>
      <c r="I96" s="63" t="str">
        <f>HYPERLINK("http://nsgreg.nga.mil/genc/view?v=861655&amp;end_month=12&amp;end_day=31&amp;end_year=2016","Correlation")</f>
        <v>Correlation</v>
      </c>
    </row>
    <row r="97" spans="1:9" x14ac:dyDescent="0.2">
      <c r="A97" s="57" t="s">
        <v>12638</v>
      </c>
      <c r="B97" s="58" t="s">
        <v>607</v>
      </c>
      <c r="C97" s="58" t="s">
        <v>608</v>
      </c>
      <c r="D97" s="60" t="b">
        <v>1</v>
      </c>
      <c r="E97" s="58" t="s">
        <v>606</v>
      </c>
      <c r="F97" s="58" t="s">
        <v>607</v>
      </c>
      <c r="G97" s="58" t="s">
        <v>608</v>
      </c>
      <c r="H97" s="59" t="s">
        <v>609</v>
      </c>
      <c r="I97" s="63" t="str">
        <f>HYPERLINK("http://nsgreg.nga.mil/genc/view?v=861656&amp;end_month=12&amp;end_day=31&amp;end_year=2016","Correlation")</f>
        <v>Correlation</v>
      </c>
    </row>
    <row r="98" spans="1:9" x14ac:dyDescent="0.2">
      <c r="A98" s="57" t="s">
        <v>12639</v>
      </c>
      <c r="B98" s="58" t="s">
        <v>611</v>
      </c>
      <c r="C98" s="58" t="s">
        <v>612</v>
      </c>
      <c r="D98" s="60" t="b">
        <v>1</v>
      </c>
      <c r="E98" s="58" t="s">
        <v>610</v>
      </c>
      <c r="F98" s="58" t="s">
        <v>611</v>
      </c>
      <c r="G98" s="58" t="s">
        <v>612</v>
      </c>
      <c r="H98" s="59" t="s">
        <v>613</v>
      </c>
      <c r="I98" s="63" t="str">
        <f>HYPERLINK("http://nsgreg.nga.mil/genc/view?v=861657&amp;end_month=12&amp;end_day=31&amp;end_year=2016","Correlation")</f>
        <v>Correlation</v>
      </c>
    </row>
    <row r="99" spans="1:9" x14ac:dyDescent="0.2">
      <c r="A99" s="57" t="s">
        <v>12640</v>
      </c>
      <c r="B99" s="58" t="s">
        <v>619</v>
      </c>
      <c r="C99" s="58" t="s">
        <v>620</v>
      </c>
      <c r="D99" s="60" t="b">
        <v>1</v>
      </c>
      <c r="E99" s="58" t="s">
        <v>618</v>
      </c>
      <c r="F99" s="58" t="s">
        <v>619</v>
      </c>
      <c r="G99" s="58" t="s">
        <v>620</v>
      </c>
      <c r="H99" s="59" t="s">
        <v>621</v>
      </c>
      <c r="I99" s="63" t="str">
        <f>HYPERLINK("http://nsgreg.nga.mil/genc/view?v=861658&amp;end_month=12&amp;end_day=31&amp;end_year=2016","Correlation")</f>
        <v>Correlation</v>
      </c>
    </row>
    <row r="100" spans="1:9" x14ac:dyDescent="0.2">
      <c r="A100" s="57" t="s">
        <v>12641</v>
      </c>
      <c r="B100" s="58" t="s">
        <v>623</v>
      </c>
      <c r="C100" s="58" t="s">
        <v>624</v>
      </c>
      <c r="D100" s="60" t="b">
        <v>1</v>
      </c>
      <c r="E100" s="58" t="s">
        <v>622</v>
      </c>
      <c r="F100" s="58" t="s">
        <v>623</v>
      </c>
      <c r="G100" s="58" t="s">
        <v>624</v>
      </c>
      <c r="H100" s="59" t="s">
        <v>625</v>
      </c>
      <c r="I100" s="63" t="str">
        <f>HYPERLINK("http://nsgreg.nga.mil/genc/view?v=861659&amp;end_month=12&amp;end_day=31&amp;end_year=2016","Correlation")</f>
        <v>Correlation</v>
      </c>
    </row>
    <row r="101" spans="1:9" x14ac:dyDescent="0.2">
      <c r="A101" s="57" t="s">
        <v>12642</v>
      </c>
      <c r="B101" s="58" t="s">
        <v>627</v>
      </c>
      <c r="C101" s="58" t="s">
        <v>628</v>
      </c>
      <c r="D101" s="60" t="b">
        <v>1</v>
      </c>
      <c r="E101" s="58" t="s">
        <v>626</v>
      </c>
      <c r="F101" s="58" t="s">
        <v>627</v>
      </c>
      <c r="G101" s="58" t="s">
        <v>628</v>
      </c>
      <c r="H101" s="59" t="s">
        <v>629</v>
      </c>
      <c r="I101" s="63" t="str">
        <f>HYPERLINK("http://nsgreg.nga.mil/genc/view?v=861660&amp;end_month=12&amp;end_day=31&amp;end_year=2016","Correlation")</f>
        <v>Correlation</v>
      </c>
    </row>
    <row r="102" spans="1:9" x14ac:dyDescent="0.2">
      <c r="A102" s="99" t="s">
        <v>634</v>
      </c>
      <c r="B102" s="100" t="s">
        <v>631</v>
      </c>
      <c r="C102" s="100" t="s">
        <v>632</v>
      </c>
      <c r="D102" s="60" t="b">
        <v>1</v>
      </c>
      <c r="E102" s="58" t="s">
        <v>630</v>
      </c>
      <c r="F102" s="58" t="s">
        <v>631</v>
      </c>
      <c r="G102" s="58" t="s">
        <v>632</v>
      </c>
      <c r="H102" s="59" t="s">
        <v>633</v>
      </c>
      <c r="I102" s="63" t="str">
        <f>HYPERLINK("http://nsgreg.nga.mil/genc/view?v=861661&amp;end_month=12&amp;end_day=31&amp;end_year=2016","Correlation")</f>
        <v>Correlation</v>
      </c>
    </row>
    <row r="103" spans="1:9" x14ac:dyDescent="0.2">
      <c r="A103" s="99"/>
      <c r="B103" s="100"/>
      <c r="C103" s="100"/>
      <c r="D103" s="67" t="b">
        <v>0</v>
      </c>
      <c r="E103" s="58" t="s">
        <v>1110</v>
      </c>
      <c r="F103" s="58" t="s">
        <v>1111</v>
      </c>
      <c r="G103" s="58" t="s">
        <v>1112</v>
      </c>
      <c r="H103" s="59" t="s">
        <v>1113</v>
      </c>
      <c r="I103" s="63" t="str">
        <f>HYPERLINK("http://nsgreg.nga.mil/genc/view?v=861662&amp;end_month=12&amp;end_day=31&amp;end_year=2016","Correlation")</f>
        <v>Correlation</v>
      </c>
    </row>
    <row r="104" spans="1:9" x14ac:dyDescent="0.2">
      <c r="A104" s="99"/>
      <c r="B104" s="100"/>
      <c r="C104" s="100"/>
      <c r="D104" s="67" t="b">
        <v>0</v>
      </c>
      <c r="E104" s="58" t="s">
        <v>1130</v>
      </c>
      <c r="F104" s="58" t="s">
        <v>1131</v>
      </c>
      <c r="G104" s="58" t="s">
        <v>1132</v>
      </c>
      <c r="H104" s="59" t="s">
        <v>1133</v>
      </c>
      <c r="I104" s="63" t="str">
        <f>HYPERLINK("http://nsgreg.nga.mil/genc/view?v=861663&amp;end_month=12&amp;end_day=31&amp;end_year=2016","Correlation")</f>
        <v>Correlation</v>
      </c>
    </row>
    <row r="105" spans="1:9" x14ac:dyDescent="0.2">
      <c r="A105" s="57" t="s">
        <v>641</v>
      </c>
      <c r="B105" s="58" t="s">
        <v>638</v>
      </c>
      <c r="C105" s="58" t="s">
        <v>639</v>
      </c>
      <c r="D105" s="60" t="b">
        <v>1</v>
      </c>
      <c r="E105" s="58" t="s">
        <v>637</v>
      </c>
      <c r="F105" s="58" t="s">
        <v>638</v>
      </c>
      <c r="G105" s="58" t="s">
        <v>639</v>
      </c>
      <c r="H105" s="59" t="s">
        <v>640</v>
      </c>
      <c r="I105" s="63" t="str">
        <f>HYPERLINK("http://nsgreg.nga.mil/genc/view?v=861664&amp;end_month=12&amp;end_day=31&amp;end_year=2016","Correlation")</f>
        <v>Correlation</v>
      </c>
    </row>
    <row r="106" spans="1:9" x14ac:dyDescent="0.2">
      <c r="A106" s="57" t="s">
        <v>4543</v>
      </c>
      <c r="B106" s="58" t="s">
        <v>648</v>
      </c>
      <c r="C106" s="58" t="s">
        <v>649</v>
      </c>
      <c r="D106" s="60" t="b">
        <v>1</v>
      </c>
      <c r="E106" s="58" t="s">
        <v>647</v>
      </c>
      <c r="F106" s="58" t="s">
        <v>648</v>
      </c>
      <c r="G106" s="58" t="s">
        <v>649</v>
      </c>
      <c r="H106" s="59" t="s">
        <v>650</v>
      </c>
      <c r="I106" s="63" t="str">
        <f>HYPERLINK("http://nsgreg.nga.mil/genc/view?v=861665&amp;end_month=12&amp;end_day=31&amp;end_year=2016","Correlation")</f>
        <v>Correlation</v>
      </c>
    </row>
    <row r="107" spans="1:9" x14ac:dyDescent="0.2">
      <c r="A107" s="57" t="s">
        <v>12644</v>
      </c>
      <c r="B107" s="58" t="s">
        <v>656</v>
      </c>
      <c r="C107" s="58" t="s">
        <v>657</v>
      </c>
      <c r="D107" s="60" t="b">
        <v>1</v>
      </c>
      <c r="E107" s="58" t="s">
        <v>655</v>
      </c>
      <c r="F107" s="58" t="s">
        <v>656</v>
      </c>
      <c r="G107" s="58" t="s">
        <v>657</v>
      </c>
      <c r="H107" s="59" t="s">
        <v>658</v>
      </c>
      <c r="I107" s="63" t="str">
        <f>HYPERLINK("http://nsgreg.nga.mil/genc/view?v=861666&amp;end_month=12&amp;end_day=31&amp;end_year=2016","Correlation")</f>
        <v>Correlation</v>
      </c>
    </row>
    <row r="108" spans="1:9" x14ac:dyDescent="0.2">
      <c r="A108" s="57" t="s">
        <v>12645</v>
      </c>
      <c r="B108" s="58" t="s">
        <v>660</v>
      </c>
      <c r="C108" s="58" t="s">
        <v>661</v>
      </c>
      <c r="D108" s="60" t="b">
        <v>1</v>
      </c>
      <c r="E108" s="58" t="s">
        <v>659</v>
      </c>
      <c r="F108" s="58" t="s">
        <v>660</v>
      </c>
      <c r="G108" s="58" t="s">
        <v>661</v>
      </c>
      <c r="H108" s="59" t="s">
        <v>662</v>
      </c>
      <c r="I108" s="63" t="str">
        <f>HYPERLINK("http://nsgreg.nga.mil/genc/view?v=861667&amp;end_month=12&amp;end_day=31&amp;end_year=2016","Correlation")</f>
        <v>Correlation</v>
      </c>
    </row>
    <row r="109" spans="1:9" x14ac:dyDescent="0.2">
      <c r="A109" s="57" t="s">
        <v>12646</v>
      </c>
      <c r="B109" s="58" t="s">
        <v>664</v>
      </c>
      <c r="C109" s="58" t="s">
        <v>665</v>
      </c>
      <c r="D109" s="60" t="b">
        <v>1</v>
      </c>
      <c r="E109" s="58" t="s">
        <v>663</v>
      </c>
      <c r="F109" s="58" t="s">
        <v>664</v>
      </c>
      <c r="G109" s="58" t="s">
        <v>665</v>
      </c>
      <c r="H109" s="59" t="s">
        <v>666</v>
      </c>
      <c r="I109" s="63" t="str">
        <f>HYPERLINK("http://nsgreg.nga.mil/genc/view?v=861668&amp;end_month=12&amp;end_day=31&amp;end_year=2016","Correlation")</f>
        <v>Correlation</v>
      </c>
    </row>
    <row r="110" spans="1:9" x14ac:dyDescent="0.2">
      <c r="A110" s="57" t="s">
        <v>12647</v>
      </c>
      <c r="B110" s="58" t="s">
        <v>668</v>
      </c>
      <c r="C110" s="58" t="s">
        <v>669</v>
      </c>
      <c r="D110" s="60" t="b">
        <v>1</v>
      </c>
      <c r="E110" s="58" t="s">
        <v>667</v>
      </c>
      <c r="F110" s="58" t="s">
        <v>668</v>
      </c>
      <c r="G110" s="58" t="s">
        <v>669</v>
      </c>
      <c r="H110" s="59" t="s">
        <v>670</v>
      </c>
      <c r="I110" s="63" t="str">
        <f>HYPERLINK("http://nsgreg.nga.mil/genc/view?v=861669&amp;end_month=12&amp;end_day=31&amp;end_year=2016","Correlation")</f>
        <v>Correlation</v>
      </c>
    </row>
    <row r="111" spans="1:9" x14ac:dyDescent="0.2">
      <c r="A111" s="57" t="s">
        <v>12648</v>
      </c>
      <c r="B111" s="58" t="s">
        <v>672</v>
      </c>
      <c r="C111" s="58" t="s">
        <v>673</v>
      </c>
      <c r="D111" s="60" t="b">
        <v>1</v>
      </c>
      <c r="E111" s="58" t="s">
        <v>671</v>
      </c>
      <c r="F111" s="58" t="s">
        <v>672</v>
      </c>
      <c r="G111" s="58" t="s">
        <v>673</v>
      </c>
      <c r="H111" s="59" t="s">
        <v>674</v>
      </c>
      <c r="I111" s="63" t="str">
        <f>HYPERLINK("http://nsgreg.nga.mil/genc/view?v=861670&amp;end_month=12&amp;end_day=31&amp;end_year=2016","Correlation")</f>
        <v>Correlation</v>
      </c>
    </row>
    <row r="112" spans="1:9" x14ac:dyDescent="0.2">
      <c r="A112" s="57" t="s">
        <v>12774</v>
      </c>
      <c r="B112" s="58" t="s">
        <v>1359</v>
      </c>
      <c r="C112" s="58" t="s">
        <v>1360</v>
      </c>
      <c r="D112" s="60" t="b">
        <v>1</v>
      </c>
      <c r="E112" s="58" t="s">
        <v>1358</v>
      </c>
      <c r="F112" s="58" t="s">
        <v>1359</v>
      </c>
      <c r="G112" s="58" t="s">
        <v>1360</v>
      </c>
      <c r="H112" s="59" t="s">
        <v>1361</v>
      </c>
      <c r="I112" s="63" t="str">
        <f>HYPERLINK("http://nsgreg.nga.mil/genc/view?v=861671&amp;end_month=12&amp;end_day=31&amp;end_year=2016","Correlation")</f>
        <v>Correlation</v>
      </c>
    </row>
    <row r="113" spans="1:9" x14ac:dyDescent="0.2">
      <c r="A113" s="57" t="s">
        <v>12649</v>
      </c>
      <c r="B113" s="58" t="s">
        <v>676</v>
      </c>
      <c r="C113" s="58" t="s">
        <v>677</v>
      </c>
      <c r="D113" s="60" t="b">
        <v>1</v>
      </c>
      <c r="E113" s="58" t="s">
        <v>675</v>
      </c>
      <c r="F113" s="58" t="s">
        <v>676</v>
      </c>
      <c r="G113" s="58" t="s">
        <v>677</v>
      </c>
      <c r="H113" s="59" t="s">
        <v>678</v>
      </c>
      <c r="I113" s="63" t="str">
        <f>HYPERLINK("http://nsgreg.nga.mil/genc/view?v=861672&amp;end_month=12&amp;end_day=31&amp;end_year=2016","Correlation")</f>
        <v>Correlation</v>
      </c>
    </row>
    <row r="114" spans="1:9" x14ac:dyDescent="0.2">
      <c r="A114" s="57" t="s">
        <v>12650</v>
      </c>
      <c r="B114" s="58" t="s">
        <v>680</v>
      </c>
      <c r="C114" s="58" t="s">
        <v>681</v>
      </c>
      <c r="D114" s="60" t="b">
        <v>1</v>
      </c>
      <c r="E114" s="58" t="s">
        <v>679</v>
      </c>
      <c r="F114" s="58" t="s">
        <v>680</v>
      </c>
      <c r="G114" s="58" t="s">
        <v>681</v>
      </c>
      <c r="H114" s="59" t="s">
        <v>682</v>
      </c>
      <c r="I114" s="63" t="str">
        <f>HYPERLINK("http://nsgreg.nga.mil/genc/view?v=861673&amp;end_month=12&amp;end_day=31&amp;end_year=2016","Correlation")</f>
        <v>Correlation</v>
      </c>
    </row>
    <row r="115" spans="1:9" x14ac:dyDescent="0.2">
      <c r="A115" s="57" t="s">
        <v>12651</v>
      </c>
      <c r="B115" s="58" t="s">
        <v>692</v>
      </c>
      <c r="C115" s="58" t="s">
        <v>693</v>
      </c>
      <c r="D115" s="60" t="b">
        <v>1</v>
      </c>
      <c r="E115" s="58" t="s">
        <v>691</v>
      </c>
      <c r="F115" s="58" t="s">
        <v>692</v>
      </c>
      <c r="G115" s="58" t="s">
        <v>693</v>
      </c>
      <c r="H115" s="59" t="s">
        <v>694</v>
      </c>
      <c r="I115" s="63" t="str">
        <f>HYPERLINK("http://nsgreg.nga.mil/genc/view?v=861674&amp;end_month=12&amp;end_day=31&amp;end_year=2016","Correlation")</f>
        <v>Correlation</v>
      </c>
    </row>
    <row r="116" spans="1:9" x14ac:dyDescent="0.2">
      <c r="A116" s="57" t="s">
        <v>12652</v>
      </c>
      <c r="B116" s="58" t="s">
        <v>696</v>
      </c>
      <c r="C116" s="58" t="s">
        <v>697</v>
      </c>
      <c r="D116" s="60" t="b">
        <v>1</v>
      </c>
      <c r="E116" s="58" t="s">
        <v>695</v>
      </c>
      <c r="F116" s="58" t="s">
        <v>696</v>
      </c>
      <c r="G116" s="58" t="s">
        <v>697</v>
      </c>
      <c r="H116" s="59" t="s">
        <v>698</v>
      </c>
      <c r="I116" s="63" t="str">
        <f>HYPERLINK("http://nsgreg.nga.mil/genc/view?v=861675&amp;end_month=12&amp;end_day=31&amp;end_year=2016","Correlation")</f>
        <v>Correlation</v>
      </c>
    </row>
    <row r="117" spans="1:9" x14ac:dyDescent="0.2">
      <c r="A117" s="57" t="s">
        <v>12653</v>
      </c>
      <c r="B117" s="58" t="s">
        <v>700</v>
      </c>
      <c r="C117" s="58" t="s">
        <v>701</v>
      </c>
      <c r="D117" s="60" t="b">
        <v>1</v>
      </c>
      <c r="E117" s="58" t="s">
        <v>699</v>
      </c>
      <c r="F117" s="58" t="s">
        <v>700</v>
      </c>
      <c r="G117" s="58" t="s">
        <v>701</v>
      </c>
      <c r="H117" s="59" t="s">
        <v>702</v>
      </c>
      <c r="I117" s="63" t="str">
        <f>HYPERLINK("http://nsgreg.nga.mil/genc/view?v=861676&amp;end_month=12&amp;end_day=31&amp;end_year=2016","Correlation")</f>
        <v>Correlation</v>
      </c>
    </row>
    <row r="118" spans="1:9" x14ac:dyDescent="0.2">
      <c r="A118" s="57" t="s">
        <v>12654</v>
      </c>
      <c r="B118" s="58" t="s">
        <v>704</v>
      </c>
      <c r="C118" s="58" t="s">
        <v>705</v>
      </c>
      <c r="D118" s="60" t="b">
        <v>1</v>
      </c>
      <c r="E118" s="58" t="s">
        <v>703</v>
      </c>
      <c r="F118" s="58" t="s">
        <v>704</v>
      </c>
      <c r="G118" s="58" t="s">
        <v>705</v>
      </c>
      <c r="H118" s="59" t="s">
        <v>706</v>
      </c>
      <c r="I118" s="63" t="str">
        <f>HYPERLINK("http://nsgreg.nga.mil/genc/view?v=861677&amp;end_month=12&amp;end_day=31&amp;end_year=2016","Correlation")</f>
        <v>Correlation</v>
      </c>
    </row>
    <row r="119" spans="1:9" x14ac:dyDescent="0.2">
      <c r="A119" s="57" t="s">
        <v>12655</v>
      </c>
      <c r="B119" s="58" t="s">
        <v>708</v>
      </c>
      <c r="C119" s="58" t="s">
        <v>709</v>
      </c>
      <c r="D119" s="60" t="b">
        <v>1</v>
      </c>
      <c r="E119" s="58" t="s">
        <v>707</v>
      </c>
      <c r="F119" s="58" t="s">
        <v>708</v>
      </c>
      <c r="G119" s="58" t="s">
        <v>709</v>
      </c>
      <c r="H119" s="59" t="s">
        <v>710</v>
      </c>
      <c r="I119" s="63" t="str">
        <f>HYPERLINK("http://nsgreg.nga.mil/genc/view?v=861678&amp;end_month=12&amp;end_day=31&amp;end_year=2016","Correlation")</f>
        <v>Correlation</v>
      </c>
    </row>
    <row r="120" spans="1:9" x14ac:dyDescent="0.2">
      <c r="A120" s="57" t="s">
        <v>12656</v>
      </c>
      <c r="B120" s="58" t="s">
        <v>713</v>
      </c>
      <c r="C120" s="58" t="s">
        <v>714</v>
      </c>
      <c r="D120" s="60" t="b">
        <v>1</v>
      </c>
      <c r="E120" s="58" t="s">
        <v>712</v>
      </c>
      <c r="F120" s="58" t="s">
        <v>713</v>
      </c>
      <c r="G120" s="58" t="s">
        <v>714</v>
      </c>
      <c r="H120" s="59" t="s">
        <v>715</v>
      </c>
      <c r="I120" s="63" t="str">
        <f>HYPERLINK("http://nsgreg.nga.mil/genc/view?v=861679&amp;end_month=12&amp;end_day=31&amp;end_year=2016","Correlation")</f>
        <v>Correlation</v>
      </c>
    </row>
    <row r="121" spans="1:9" x14ac:dyDescent="0.2">
      <c r="A121" s="57" t="s">
        <v>12657</v>
      </c>
      <c r="B121" s="58" t="s">
        <v>717</v>
      </c>
      <c r="C121" s="58" t="s">
        <v>718</v>
      </c>
      <c r="D121" s="60" t="b">
        <v>1</v>
      </c>
      <c r="E121" s="58" t="s">
        <v>716</v>
      </c>
      <c r="F121" s="58" t="s">
        <v>717</v>
      </c>
      <c r="G121" s="58" t="s">
        <v>718</v>
      </c>
      <c r="H121" s="59" t="s">
        <v>719</v>
      </c>
      <c r="I121" s="63" t="str">
        <f>HYPERLINK("http://nsgreg.nga.mil/genc/view?v=861680&amp;end_month=12&amp;end_day=31&amp;end_year=2016","Correlation")</f>
        <v>Correlation</v>
      </c>
    </row>
    <row r="122" spans="1:9" x14ac:dyDescent="0.2">
      <c r="A122" s="57" t="s">
        <v>12658</v>
      </c>
      <c r="B122" s="58" t="s">
        <v>725</v>
      </c>
      <c r="C122" s="58" t="s">
        <v>726</v>
      </c>
      <c r="D122" s="60" t="b">
        <v>1</v>
      </c>
      <c r="E122" s="58" t="s">
        <v>724</v>
      </c>
      <c r="F122" s="58" t="s">
        <v>725</v>
      </c>
      <c r="G122" s="58" t="s">
        <v>726</v>
      </c>
      <c r="H122" s="59" t="s">
        <v>727</v>
      </c>
      <c r="I122" s="63" t="str">
        <f>HYPERLINK("http://nsgreg.nga.mil/genc/view?v=861681&amp;end_month=12&amp;end_day=31&amp;end_year=2016","Correlation")</f>
        <v>Correlation</v>
      </c>
    </row>
    <row r="123" spans="1:9" x14ac:dyDescent="0.2">
      <c r="A123" s="57" t="s">
        <v>12659</v>
      </c>
      <c r="B123" s="58" t="s">
        <v>729</v>
      </c>
      <c r="C123" s="58" t="s">
        <v>730</v>
      </c>
      <c r="D123" s="60" t="b">
        <v>1</v>
      </c>
      <c r="E123" s="58" t="s">
        <v>728</v>
      </c>
      <c r="F123" s="58" t="s">
        <v>729</v>
      </c>
      <c r="G123" s="58" t="s">
        <v>730</v>
      </c>
      <c r="H123" s="59" t="s">
        <v>731</v>
      </c>
      <c r="I123" s="63" t="str">
        <f>HYPERLINK("http://nsgreg.nga.mil/genc/view?v=861682&amp;end_month=12&amp;end_day=31&amp;end_year=2016","Correlation")</f>
        <v>Correlation</v>
      </c>
    </row>
    <row r="124" spans="1:9" x14ac:dyDescent="0.2">
      <c r="A124" s="57" t="s">
        <v>12660</v>
      </c>
      <c r="B124" s="58" t="s">
        <v>733</v>
      </c>
      <c r="C124" s="58" t="s">
        <v>734</v>
      </c>
      <c r="D124" s="60" t="b">
        <v>1</v>
      </c>
      <c r="E124" s="58" t="s">
        <v>732</v>
      </c>
      <c r="F124" s="58" t="s">
        <v>733</v>
      </c>
      <c r="G124" s="58" t="s">
        <v>734</v>
      </c>
      <c r="H124" s="59" t="s">
        <v>735</v>
      </c>
      <c r="I124" s="63" t="str">
        <f>HYPERLINK("http://nsgreg.nga.mil/genc/view?v=861683&amp;end_month=12&amp;end_day=31&amp;end_year=2016","Correlation")</f>
        <v>Correlation</v>
      </c>
    </row>
    <row r="125" spans="1:9" x14ac:dyDescent="0.2">
      <c r="A125" s="57" t="s">
        <v>12662</v>
      </c>
      <c r="B125" s="58" t="s">
        <v>747</v>
      </c>
      <c r="C125" s="58" t="s">
        <v>748</v>
      </c>
      <c r="D125" s="60" t="b">
        <v>1</v>
      </c>
      <c r="E125" s="58" t="s">
        <v>746</v>
      </c>
      <c r="F125" s="58" t="s">
        <v>747</v>
      </c>
      <c r="G125" s="58" t="s">
        <v>748</v>
      </c>
      <c r="H125" s="59" t="s">
        <v>749</v>
      </c>
      <c r="I125" s="63" t="str">
        <f>HYPERLINK("http://nsgreg.nga.mil/genc/view?v=861684&amp;end_month=12&amp;end_day=31&amp;end_year=2016","Correlation")</f>
        <v>Correlation</v>
      </c>
    </row>
    <row r="126" spans="1:9" x14ac:dyDescent="0.2">
      <c r="A126" s="57" t="s">
        <v>12663</v>
      </c>
      <c r="B126" s="58" t="s">
        <v>767</v>
      </c>
      <c r="C126" s="58" t="s">
        <v>768</v>
      </c>
      <c r="D126" s="60" t="b">
        <v>1</v>
      </c>
      <c r="E126" s="58" t="s">
        <v>766</v>
      </c>
      <c r="F126" s="58" t="s">
        <v>767</v>
      </c>
      <c r="G126" s="58" t="s">
        <v>768</v>
      </c>
      <c r="H126" s="59" t="s">
        <v>769</v>
      </c>
      <c r="I126" s="63" t="str">
        <f>HYPERLINK("http://nsgreg.nga.mil/genc/view?v=861685&amp;end_month=12&amp;end_day=31&amp;end_year=2016","Correlation")</f>
        <v>Correlation</v>
      </c>
    </row>
    <row r="127" spans="1:9" x14ac:dyDescent="0.2">
      <c r="A127" s="57" t="s">
        <v>12664</v>
      </c>
      <c r="B127" s="58" t="s">
        <v>775</v>
      </c>
      <c r="C127" s="58" t="s">
        <v>776</v>
      </c>
      <c r="D127" s="60" t="b">
        <v>1</v>
      </c>
      <c r="E127" s="58" t="s">
        <v>774</v>
      </c>
      <c r="F127" s="58" t="s">
        <v>775</v>
      </c>
      <c r="G127" s="58" t="s">
        <v>776</v>
      </c>
      <c r="H127" s="59" t="s">
        <v>777</v>
      </c>
      <c r="I127" s="63" t="str">
        <f>HYPERLINK("http://nsgreg.nga.mil/genc/view?v=861686&amp;end_month=12&amp;end_day=31&amp;end_year=2016","Correlation")</f>
        <v>Correlation</v>
      </c>
    </row>
    <row r="128" spans="1:9" x14ac:dyDescent="0.2">
      <c r="A128" s="57" t="s">
        <v>12665</v>
      </c>
      <c r="B128" s="58" t="s">
        <v>779</v>
      </c>
      <c r="C128" s="58" t="s">
        <v>780</v>
      </c>
      <c r="D128" s="60" t="b">
        <v>1</v>
      </c>
      <c r="E128" s="58" t="s">
        <v>778</v>
      </c>
      <c r="F128" s="58" t="s">
        <v>779</v>
      </c>
      <c r="G128" s="58" t="s">
        <v>780</v>
      </c>
      <c r="H128" s="59" t="s">
        <v>781</v>
      </c>
      <c r="I128" s="63" t="str">
        <f>HYPERLINK("http://nsgreg.nga.mil/genc/view?v=861687&amp;end_month=12&amp;end_day=31&amp;end_year=2016","Correlation")</f>
        <v>Correlation</v>
      </c>
    </row>
    <row r="129" spans="1:9" x14ac:dyDescent="0.2">
      <c r="A129" s="57" t="s">
        <v>12666</v>
      </c>
      <c r="B129" s="58" t="s">
        <v>789</v>
      </c>
      <c r="C129" s="58" t="s">
        <v>790</v>
      </c>
      <c r="D129" s="60" t="b">
        <v>1</v>
      </c>
      <c r="E129" s="58" t="s">
        <v>788</v>
      </c>
      <c r="F129" s="58" t="s">
        <v>789</v>
      </c>
      <c r="G129" s="58" t="s">
        <v>790</v>
      </c>
      <c r="H129" s="59" t="s">
        <v>791</v>
      </c>
      <c r="I129" s="63" t="str">
        <f>HYPERLINK("http://nsgreg.nga.mil/genc/view?v=861688&amp;end_month=12&amp;end_day=31&amp;end_year=2016","Correlation")</f>
        <v>Correlation</v>
      </c>
    </row>
    <row r="130" spans="1:9" x14ac:dyDescent="0.2">
      <c r="A130" s="57" t="s">
        <v>12667</v>
      </c>
      <c r="B130" s="58" t="s">
        <v>793</v>
      </c>
      <c r="C130" s="58" t="s">
        <v>794</v>
      </c>
      <c r="D130" s="60" t="b">
        <v>1</v>
      </c>
      <c r="E130" s="58" t="s">
        <v>792</v>
      </c>
      <c r="F130" s="58" t="s">
        <v>793</v>
      </c>
      <c r="G130" s="58" t="s">
        <v>794</v>
      </c>
      <c r="H130" s="59" t="s">
        <v>795</v>
      </c>
      <c r="I130" s="63" t="str">
        <f>HYPERLINK("http://nsgreg.nga.mil/genc/view?v=861689&amp;end_month=12&amp;end_day=31&amp;end_year=2016","Correlation")</f>
        <v>Correlation</v>
      </c>
    </row>
    <row r="131" spans="1:9" x14ac:dyDescent="0.2">
      <c r="A131" s="57" t="s">
        <v>12668</v>
      </c>
      <c r="B131" s="58" t="s">
        <v>798</v>
      </c>
      <c r="C131" s="58" t="s">
        <v>799</v>
      </c>
      <c r="D131" s="60" t="b">
        <v>1</v>
      </c>
      <c r="E131" s="58" t="s">
        <v>797</v>
      </c>
      <c r="F131" s="58" t="s">
        <v>798</v>
      </c>
      <c r="G131" s="58" t="s">
        <v>799</v>
      </c>
      <c r="H131" s="59" t="s">
        <v>800</v>
      </c>
      <c r="I131" s="63" t="str">
        <f>HYPERLINK("http://nsgreg.nga.mil/genc/view?v=861690&amp;end_month=12&amp;end_day=31&amp;end_year=2016","Correlation")</f>
        <v>Correlation</v>
      </c>
    </row>
    <row r="132" spans="1:9" x14ac:dyDescent="0.2">
      <c r="A132" s="57" t="s">
        <v>12669</v>
      </c>
      <c r="B132" s="58" t="s">
        <v>809</v>
      </c>
      <c r="C132" s="58" t="s">
        <v>810</v>
      </c>
      <c r="D132" s="60" t="b">
        <v>1</v>
      </c>
      <c r="E132" s="58" t="s">
        <v>808</v>
      </c>
      <c r="F132" s="58" t="s">
        <v>809</v>
      </c>
      <c r="G132" s="58" t="s">
        <v>810</v>
      </c>
      <c r="H132" s="59" t="s">
        <v>811</v>
      </c>
      <c r="I132" s="63" t="str">
        <f>HYPERLINK("http://nsgreg.nga.mil/genc/view?v=861691&amp;end_month=12&amp;end_day=31&amp;end_year=2016","Correlation")</f>
        <v>Correlation</v>
      </c>
    </row>
    <row r="133" spans="1:9" x14ac:dyDescent="0.2">
      <c r="A133" s="57" t="s">
        <v>12670</v>
      </c>
      <c r="B133" s="58" t="s">
        <v>813</v>
      </c>
      <c r="C133" s="58" t="s">
        <v>814</v>
      </c>
      <c r="D133" s="60" t="b">
        <v>1</v>
      </c>
      <c r="E133" s="58" t="s">
        <v>812</v>
      </c>
      <c r="F133" s="58" t="s">
        <v>813</v>
      </c>
      <c r="G133" s="58" t="s">
        <v>814</v>
      </c>
      <c r="H133" s="59" t="s">
        <v>815</v>
      </c>
      <c r="I133" s="63" t="str">
        <f>HYPERLINK("http://nsgreg.nga.mil/genc/view?v=861692&amp;end_month=12&amp;end_day=31&amp;end_year=2016","Correlation")</f>
        <v>Correlation</v>
      </c>
    </row>
    <row r="134" spans="1:9" x14ac:dyDescent="0.2">
      <c r="A134" s="57" t="s">
        <v>12671</v>
      </c>
      <c r="B134" s="58" t="s">
        <v>817</v>
      </c>
      <c r="C134" s="58" t="s">
        <v>818</v>
      </c>
      <c r="D134" s="60" t="b">
        <v>1</v>
      </c>
      <c r="E134" s="58" t="s">
        <v>816</v>
      </c>
      <c r="F134" s="58" t="s">
        <v>817</v>
      </c>
      <c r="G134" s="58" t="s">
        <v>818</v>
      </c>
      <c r="H134" s="59" t="s">
        <v>819</v>
      </c>
      <c r="I134" s="63" t="str">
        <f>HYPERLINK("http://nsgreg.nga.mil/genc/view?v=861693&amp;end_month=12&amp;end_day=31&amp;end_year=2016","Correlation")</f>
        <v>Correlation</v>
      </c>
    </row>
    <row r="135" spans="1:9" x14ac:dyDescent="0.2">
      <c r="A135" s="57" t="s">
        <v>12672</v>
      </c>
      <c r="B135" s="58" t="s">
        <v>822</v>
      </c>
      <c r="C135" s="58" t="s">
        <v>823</v>
      </c>
      <c r="D135" s="60" t="b">
        <v>1</v>
      </c>
      <c r="E135" s="58" t="s">
        <v>821</v>
      </c>
      <c r="F135" s="58" t="s">
        <v>822</v>
      </c>
      <c r="G135" s="58" t="s">
        <v>823</v>
      </c>
      <c r="H135" s="59" t="s">
        <v>824</v>
      </c>
      <c r="I135" s="63" t="str">
        <f>HYPERLINK("http://nsgreg.nga.mil/genc/view?v=861694&amp;end_month=12&amp;end_day=31&amp;end_year=2016","Correlation")</f>
        <v>Correlation</v>
      </c>
    </row>
    <row r="136" spans="1:9" x14ac:dyDescent="0.2">
      <c r="A136" s="57" t="s">
        <v>12673</v>
      </c>
      <c r="B136" s="58" t="s">
        <v>826</v>
      </c>
      <c r="C136" s="58" t="s">
        <v>827</v>
      </c>
      <c r="D136" s="60" t="b">
        <v>1</v>
      </c>
      <c r="E136" s="58" t="s">
        <v>825</v>
      </c>
      <c r="F136" s="58" t="s">
        <v>826</v>
      </c>
      <c r="G136" s="58" t="s">
        <v>827</v>
      </c>
      <c r="H136" s="59" t="s">
        <v>828</v>
      </c>
      <c r="I136" s="63" t="str">
        <f>HYPERLINK("http://nsgreg.nga.mil/genc/view?v=861695&amp;end_month=12&amp;end_day=31&amp;end_year=2016","Correlation")</f>
        <v>Correlation</v>
      </c>
    </row>
    <row r="137" spans="1:9" x14ac:dyDescent="0.2">
      <c r="A137" s="57" t="s">
        <v>12674</v>
      </c>
      <c r="B137" s="58" t="s">
        <v>830</v>
      </c>
      <c r="C137" s="58" t="s">
        <v>831</v>
      </c>
      <c r="D137" s="60" t="b">
        <v>1</v>
      </c>
      <c r="E137" s="58" t="s">
        <v>829</v>
      </c>
      <c r="F137" s="58" t="s">
        <v>830</v>
      </c>
      <c r="G137" s="58" t="s">
        <v>831</v>
      </c>
      <c r="H137" s="59" t="s">
        <v>832</v>
      </c>
      <c r="I137" s="63" t="str">
        <f>HYPERLINK("http://nsgreg.nga.mil/genc/view?v=861696&amp;end_month=12&amp;end_day=31&amp;end_year=2016","Correlation")</f>
        <v>Correlation</v>
      </c>
    </row>
    <row r="138" spans="1:9" x14ac:dyDescent="0.2">
      <c r="A138" s="57" t="s">
        <v>12675</v>
      </c>
      <c r="B138" s="58" t="s">
        <v>834</v>
      </c>
      <c r="C138" s="58" t="s">
        <v>835</v>
      </c>
      <c r="D138" s="60" t="b">
        <v>1</v>
      </c>
      <c r="E138" s="58" t="s">
        <v>833</v>
      </c>
      <c r="F138" s="58" t="s">
        <v>834</v>
      </c>
      <c r="G138" s="58" t="s">
        <v>835</v>
      </c>
      <c r="H138" s="59" t="s">
        <v>836</v>
      </c>
      <c r="I138" s="63" t="str">
        <f>HYPERLINK("http://nsgreg.nga.mil/genc/view?v=861697&amp;end_month=12&amp;end_day=31&amp;end_year=2016","Correlation")</f>
        <v>Correlation</v>
      </c>
    </row>
    <row r="139" spans="1:9" x14ac:dyDescent="0.2">
      <c r="A139" s="57" t="s">
        <v>12676</v>
      </c>
      <c r="B139" s="58" t="s">
        <v>838</v>
      </c>
      <c r="C139" s="58" t="s">
        <v>839</v>
      </c>
      <c r="D139" s="60" t="b">
        <v>1</v>
      </c>
      <c r="E139" s="58" t="s">
        <v>837</v>
      </c>
      <c r="F139" s="58" t="s">
        <v>838</v>
      </c>
      <c r="G139" s="58" t="s">
        <v>839</v>
      </c>
      <c r="H139" s="59" t="s">
        <v>840</v>
      </c>
      <c r="I139" s="63" t="str">
        <f>HYPERLINK("http://nsgreg.nga.mil/genc/view?v=861698&amp;end_month=12&amp;end_day=31&amp;end_year=2016","Correlation")</f>
        <v>Correlation</v>
      </c>
    </row>
    <row r="140" spans="1:9" x14ac:dyDescent="0.2">
      <c r="A140" s="57" t="s">
        <v>12677</v>
      </c>
      <c r="B140" s="58" t="s">
        <v>842</v>
      </c>
      <c r="C140" s="58" t="s">
        <v>843</v>
      </c>
      <c r="D140" s="60" t="b">
        <v>1</v>
      </c>
      <c r="E140" s="58" t="s">
        <v>841</v>
      </c>
      <c r="F140" s="58" t="s">
        <v>842</v>
      </c>
      <c r="G140" s="58" t="s">
        <v>843</v>
      </c>
      <c r="H140" s="59" t="s">
        <v>844</v>
      </c>
      <c r="I140" s="63" t="str">
        <f>HYPERLINK("http://nsgreg.nga.mil/genc/view?v=861699&amp;end_month=12&amp;end_day=31&amp;end_year=2016","Correlation")</f>
        <v>Correlation</v>
      </c>
    </row>
    <row r="141" spans="1:9" x14ac:dyDescent="0.2">
      <c r="A141" s="57" t="s">
        <v>12678</v>
      </c>
      <c r="B141" s="58" t="s">
        <v>846</v>
      </c>
      <c r="C141" s="58" t="s">
        <v>847</v>
      </c>
      <c r="D141" s="60" t="b">
        <v>1</v>
      </c>
      <c r="E141" s="58" t="s">
        <v>845</v>
      </c>
      <c r="F141" s="58" t="s">
        <v>846</v>
      </c>
      <c r="G141" s="58" t="s">
        <v>847</v>
      </c>
      <c r="H141" s="59" t="s">
        <v>848</v>
      </c>
      <c r="I141" s="63" t="str">
        <f>HYPERLINK("http://nsgreg.nga.mil/genc/view?v=861700&amp;end_month=12&amp;end_day=31&amp;end_year=2016","Correlation")</f>
        <v>Correlation</v>
      </c>
    </row>
    <row r="142" spans="1:9" x14ac:dyDescent="0.2">
      <c r="A142" s="57" t="s">
        <v>2268</v>
      </c>
      <c r="B142" s="58" t="s">
        <v>850</v>
      </c>
      <c r="C142" s="58" t="s">
        <v>851</v>
      </c>
      <c r="D142" s="60" t="b">
        <v>1</v>
      </c>
      <c r="E142" s="58" t="s">
        <v>849</v>
      </c>
      <c r="F142" s="58" t="s">
        <v>850</v>
      </c>
      <c r="G142" s="58" t="s">
        <v>851</v>
      </c>
      <c r="H142" s="59" t="s">
        <v>852</v>
      </c>
      <c r="I142" s="63" t="str">
        <f>HYPERLINK("http://nsgreg.nga.mil/genc/view?v=861701&amp;end_month=12&amp;end_day=31&amp;end_year=2016","Correlation")</f>
        <v>Correlation</v>
      </c>
    </row>
    <row r="143" spans="1:9" x14ac:dyDescent="0.2">
      <c r="A143" s="57" t="s">
        <v>12679</v>
      </c>
      <c r="B143" s="58" t="s">
        <v>854</v>
      </c>
      <c r="C143" s="58" t="s">
        <v>855</v>
      </c>
      <c r="D143" s="60" t="b">
        <v>1</v>
      </c>
      <c r="E143" s="58" t="s">
        <v>853</v>
      </c>
      <c r="F143" s="58" t="s">
        <v>854</v>
      </c>
      <c r="G143" s="58" t="s">
        <v>855</v>
      </c>
      <c r="H143" s="59" t="s">
        <v>856</v>
      </c>
      <c r="I143" s="63" t="str">
        <f>HYPERLINK("http://nsgreg.nga.mil/genc/view?v=861702&amp;end_month=12&amp;end_day=31&amp;end_year=2016","Correlation")</f>
        <v>Correlation</v>
      </c>
    </row>
    <row r="144" spans="1:9" x14ac:dyDescent="0.2">
      <c r="A144" s="57" t="s">
        <v>12682</v>
      </c>
      <c r="B144" s="58" t="s">
        <v>866</v>
      </c>
      <c r="C144" s="58" t="s">
        <v>867</v>
      </c>
      <c r="D144" s="60" t="b">
        <v>1</v>
      </c>
      <c r="E144" s="58" t="s">
        <v>865</v>
      </c>
      <c r="F144" s="58" t="s">
        <v>866</v>
      </c>
      <c r="G144" s="58" t="s">
        <v>867</v>
      </c>
      <c r="H144" s="59" t="s">
        <v>868</v>
      </c>
      <c r="I144" s="63" t="str">
        <f>HYPERLINK("http://nsgreg.nga.mil/genc/view?v=861703&amp;end_month=12&amp;end_day=31&amp;end_year=2016","Correlation")</f>
        <v>Correlation</v>
      </c>
    </row>
    <row r="145" spans="1:9" x14ac:dyDescent="0.2">
      <c r="A145" s="57" t="s">
        <v>12683</v>
      </c>
      <c r="B145" s="58" t="s">
        <v>870</v>
      </c>
      <c r="C145" s="58" t="s">
        <v>871</v>
      </c>
      <c r="D145" s="60" t="b">
        <v>1</v>
      </c>
      <c r="E145" s="58" t="s">
        <v>869</v>
      </c>
      <c r="F145" s="58" t="s">
        <v>870</v>
      </c>
      <c r="G145" s="58" t="s">
        <v>871</v>
      </c>
      <c r="H145" s="59" t="s">
        <v>872</v>
      </c>
      <c r="I145" s="63" t="str">
        <f>HYPERLINK("http://nsgreg.nga.mil/genc/view?v=861704&amp;end_month=12&amp;end_day=31&amp;end_year=2016","Correlation")</f>
        <v>Correlation</v>
      </c>
    </row>
    <row r="146" spans="1:9" x14ac:dyDescent="0.2">
      <c r="A146" s="99" t="s">
        <v>12684</v>
      </c>
      <c r="B146" s="100" t="s">
        <v>874</v>
      </c>
      <c r="C146" s="100" t="s">
        <v>875</v>
      </c>
      <c r="D146" s="60" t="b">
        <v>1</v>
      </c>
      <c r="E146" s="58" t="s">
        <v>873</v>
      </c>
      <c r="F146" s="58" t="s">
        <v>874</v>
      </c>
      <c r="G146" s="58" t="s">
        <v>875</v>
      </c>
      <c r="H146" s="59" t="s">
        <v>876</v>
      </c>
      <c r="I146" s="63" t="str">
        <f>HYPERLINK("http://nsgreg.nga.mil/genc/view?v=861705&amp;end_month=12&amp;end_day=31&amp;end_year=2016","Correlation")</f>
        <v>Correlation</v>
      </c>
    </row>
    <row r="147" spans="1:9" x14ac:dyDescent="0.2">
      <c r="A147" s="99"/>
      <c r="B147" s="100"/>
      <c r="C147" s="100"/>
      <c r="D147" s="67" t="b">
        <v>0</v>
      </c>
      <c r="E147" s="58" t="s">
        <v>1223</v>
      </c>
      <c r="F147" s="58" t="s">
        <v>1224</v>
      </c>
      <c r="G147" s="58" t="s">
        <v>1225</v>
      </c>
      <c r="H147" s="59" t="s">
        <v>1226</v>
      </c>
      <c r="I147" s="63" t="str">
        <f>HYPERLINK("http://nsgreg.nga.mil/genc/view?v=861706&amp;end_month=12&amp;end_day=31&amp;end_year=2016","Correlation")</f>
        <v>Correlation</v>
      </c>
    </row>
    <row r="148" spans="1:9" x14ac:dyDescent="0.2">
      <c r="A148" s="57" t="s">
        <v>12685</v>
      </c>
      <c r="B148" s="58" t="s">
        <v>878</v>
      </c>
      <c r="C148" s="58" t="s">
        <v>879</v>
      </c>
      <c r="D148" s="60" t="b">
        <v>1</v>
      </c>
      <c r="E148" s="58" t="s">
        <v>877</v>
      </c>
      <c r="F148" s="58" t="s">
        <v>878</v>
      </c>
      <c r="G148" s="58" t="s">
        <v>879</v>
      </c>
      <c r="H148" s="59" t="s">
        <v>880</v>
      </c>
      <c r="I148" s="63" t="str">
        <f>HYPERLINK("http://nsgreg.nga.mil/genc/view?v=861707&amp;end_month=12&amp;end_day=31&amp;end_year=2016","Correlation")</f>
        <v>Correlation</v>
      </c>
    </row>
    <row r="149" spans="1:9" x14ac:dyDescent="0.2">
      <c r="A149" s="57" t="s">
        <v>4630</v>
      </c>
      <c r="B149" s="58" t="s">
        <v>882</v>
      </c>
      <c r="C149" s="58" t="s">
        <v>883</v>
      </c>
      <c r="D149" s="60" t="b">
        <v>1</v>
      </c>
      <c r="E149" s="58" t="s">
        <v>881</v>
      </c>
      <c r="F149" s="58" t="s">
        <v>882</v>
      </c>
      <c r="G149" s="58" t="s">
        <v>883</v>
      </c>
      <c r="H149" s="59" t="s">
        <v>884</v>
      </c>
      <c r="I149" s="63" t="str">
        <f>HYPERLINK("http://nsgreg.nga.mil/genc/view?v=861708&amp;end_month=12&amp;end_day=31&amp;end_year=2016","Correlation")</f>
        <v>Correlation</v>
      </c>
    </row>
    <row r="150" spans="1:9" x14ac:dyDescent="0.2">
      <c r="A150" s="57" t="s">
        <v>12686</v>
      </c>
      <c r="B150" s="58" t="s">
        <v>886</v>
      </c>
      <c r="C150" s="58" t="s">
        <v>887</v>
      </c>
      <c r="D150" s="60" t="b">
        <v>1</v>
      </c>
      <c r="E150" s="58" t="s">
        <v>885</v>
      </c>
      <c r="F150" s="58" t="s">
        <v>886</v>
      </c>
      <c r="G150" s="58" t="s">
        <v>887</v>
      </c>
      <c r="H150" s="59" t="s">
        <v>888</v>
      </c>
      <c r="I150" s="63" t="str">
        <f>HYPERLINK("http://nsgreg.nga.mil/genc/view?v=861709&amp;end_month=12&amp;end_day=31&amp;end_year=2016","Correlation")</f>
        <v>Correlation</v>
      </c>
    </row>
    <row r="151" spans="1:9" x14ac:dyDescent="0.2">
      <c r="A151" s="57" t="s">
        <v>12687</v>
      </c>
      <c r="B151" s="58" t="s">
        <v>890</v>
      </c>
      <c r="C151" s="58" t="s">
        <v>891</v>
      </c>
      <c r="D151" s="60" t="b">
        <v>1</v>
      </c>
      <c r="E151" s="58" t="s">
        <v>889</v>
      </c>
      <c r="F151" s="58" t="s">
        <v>890</v>
      </c>
      <c r="G151" s="58" t="s">
        <v>891</v>
      </c>
      <c r="H151" s="59" t="s">
        <v>892</v>
      </c>
      <c r="I151" s="63" t="str">
        <f>HYPERLINK("http://nsgreg.nga.mil/genc/view?v=861710&amp;end_month=12&amp;end_day=31&amp;end_year=2016","Correlation")</f>
        <v>Correlation</v>
      </c>
    </row>
    <row r="152" spans="1:9" x14ac:dyDescent="0.2">
      <c r="A152" s="57" t="s">
        <v>897</v>
      </c>
      <c r="B152" s="58" t="s">
        <v>894</v>
      </c>
      <c r="C152" s="58" t="s">
        <v>895</v>
      </c>
      <c r="D152" s="60" t="b">
        <v>1</v>
      </c>
      <c r="E152" s="58" t="s">
        <v>893</v>
      </c>
      <c r="F152" s="58" t="s">
        <v>894</v>
      </c>
      <c r="G152" s="58" t="s">
        <v>895</v>
      </c>
      <c r="H152" s="59" t="s">
        <v>896</v>
      </c>
      <c r="I152" s="63" t="str">
        <f>HYPERLINK("http://nsgreg.nga.mil/genc/view?v=861711&amp;end_month=12&amp;end_day=31&amp;end_year=2016","Correlation")</f>
        <v>Correlation</v>
      </c>
    </row>
    <row r="153" spans="1:9" x14ac:dyDescent="0.2">
      <c r="A153" s="57" t="s">
        <v>12688</v>
      </c>
      <c r="B153" s="58" t="s">
        <v>900</v>
      </c>
      <c r="C153" s="58" t="s">
        <v>901</v>
      </c>
      <c r="D153" s="60" t="b">
        <v>1</v>
      </c>
      <c r="E153" s="58" t="s">
        <v>899</v>
      </c>
      <c r="F153" s="58" t="s">
        <v>900</v>
      </c>
      <c r="G153" s="58" t="s">
        <v>901</v>
      </c>
      <c r="H153" s="59" t="s">
        <v>902</v>
      </c>
      <c r="I153" s="63" t="str">
        <f>HYPERLINK("http://nsgreg.nga.mil/genc/view?v=861712&amp;end_month=12&amp;end_day=31&amp;end_year=2016","Correlation")</f>
        <v>Correlation</v>
      </c>
    </row>
    <row r="154" spans="1:9" x14ac:dyDescent="0.2">
      <c r="A154" s="57" t="s">
        <v>12689</v>
      </c>
      <c r="B154" s="58" t="s">
        <v>904</v>
      </c>
      <c r="C154" s="58" t="s">
        <v>905</v>
      </c>
      <c r="D154" s="60" t="b">
        <v>1</v>
      </c>
      <c r="E154" s="58" t="s">
        <v>903</v>
      </c>
      <c r="F154" s="58" t="s">
        <v>904</v>
      </c>
      <c r="G154" s="58" t="s">
        <v>905</v>
      </c>
      <c r="H154" s="59" t="s">
        <v>906</v>
      </c>
      <c r="I154" s="63" t="str">
        <f>HYPERLINK("http://nsgreg.nga.mil/genc/view?v=861713&amp;end_month=12&amp;end_day=31&amp;end_year=2016","Correlation")</f>
        <v>Correlation</v>
      </c>
    </row>
    <row r="155" spans="1:9" x14ac:dyDescent="0.2">
      <c r="A155" s="57" t="s">
        <v>911</v>
      </c>
      <c r="B155" s="58" t="s">
        <v>908</v>
      </c>
      <c r="C155" s="58" t="s">
        <v>909</v>
      </c>
      <c r="D155" s="60" t="b">
        <v>1</v>
      </c>
      <c r="E155" s="58" t="s">
        <v>907</v>
      </c>
      <c r="F155" s="58" t="s">
        <v>908</v>
      </c>
      <c r="G155" s="58" t="s">
        <v>909</v>
      </c>
      <c r="H155" s="59" t="s">
        <v>910</v>
      </c>
      <c r="I155" s="63" t="str">
        <f>HYPERLINK("http://nsgreg.nga.mil/genc/view?v=861714&amp;end_month=12&amp;end_day=31&amp;end_year=2016","Correlation")</f>
        <v>Correlation</v>
      </c>
    </row>
    <row r="156" spans="1:9" x14ac:dyDescent="0.2">
      <c r="A156" s="57" t="s">
        <v>12690</v>
      </c>
      <c r="B156" s="58" t="s">
        <v>915</v>
      </c>
      <c r="C156" s="58" t="s">
        <v>916</v>
      </c>
      <c r="D156" s="60" t="b">
        <v>1</v>
      </c>
      <c r="E156" s="58" t="s">
        <v>914</v>
      </c>
      <c r="F156" s="58" t="s">
        <v>915</v>
      </c>
      <c r="G156" s="58" t="s">
        <v>916</v>
      </c>
      <c r="H156" s="59" t="s">
        <v>917</v>
      </c>
      <c r="I156" s="63" t="str">
        <f>HYPERLINK("http://nsgreg.nga.mil/genc/view?v=861715&amp;end_month=12&amp;end_day=31&amp;end_year=2016","Correlation")</f>
        <v>Correlation</v>
      </c>
    </row>
    <row r="157" spans="1:9" x14ac:dyDescent="0.2">
      <c r="A157" s="57" t="s">
        <v>12691</v>
      </c>
      <c r="B157" s="58" t="s">
        <v>919</v>
      </c>
      <c r="C157" s="58" t="s">
        <v>920</v>
      </c>
      <c r="D157" s="60" t="b">
        <v>1</v>
      </c>
      <c r="E157" s="58" t="s">
        <v>918</v>
      </c>
      <c r="F157" s="58" t="s">
        <v>919</v>
      </c>
      <c r="G157" s="58" t="s">
        <v>920</v>
      </c>
      <c r="H157" s="59" t="s">
        <v>921</v>
      </c>
      <c r="I157" s="63" t="str">
        <f>HYPERLINK("http://nsgreg.nga.mil/genc/view?v=861716&amp;end_month=12&amp;end_day=31&amp;end_year=2016","Correlation")</f>
        <v>Correlation</v>
      </c>
    </row>
    <row r="158" spans="1:9" x14ac:dyDescent="0.2">
      <c r="A158" s="57" t="s">
        <v>12692</v>
      </c>
      <c r="B158" s="58" t="s">
        <v>930</v>
      </c>
      <c r="C158" s="58" t="s">
        <v>931</v>
      </c>
      <c r="D158" s="60" t="b">
        <v>1</v>
      </c>
      <c r="E158" s="58" t="s">
        <v>929</v>
      </c>
      <c r="F158" s="58" t="s">
        <v>930</v>
      </c>
      <c r="G158" s="58" t="s">
        <v>931</v>
      </c>
      <c r="H158" s="59" t="s">
        <v>932</v>
      </c>
      <c r="I158" s="63" t="str">
        <f>HYPERLINK("http://nsgreg.nga.mil/genc/view?v=861717&amp;end_month=12&amp;end_day=31&amp;end_year=2016","Correlation")</f>
        <v>Correlation</v>
      </c>
    </row>
    <row r="159" spans="1:9" x14ac:dyDescent="0.2">
      <c r="A159" s="57" t="s">
        <v>12693</v>
      </c>
      <c r="B159" s="58" t="s">
        <v>935</v>
      </c>
      <c r="C159" s="58" t="s">
        <v>936</v>
      </c>
      <c r="D159" s="60" t="b">
        <v>1</v>
      </c>
      <c r="E159" s="58" t="s">
        <v>934</v>
      </c>
      <c r="F159" s="58" t="s">
        <v>935</v>
      </c>
      <c r="G159" s="58" t="s">
        <v>936</v>
      </c>
      <c r="H159" s="59" t="s">
        <v>937</v>
      </c>
      <c r="I159" s="63" t="str">
        <f>HYPERLINK("http://nsgreg.nga.mil/genc/view?v=861718&amp;end_month=12&amp;end_day=31&amp;end_year=2016","Correlation")</f>
        <v>Correlation</v>
      </c>
    </row>
    <row r="160" spans="1:9" x14ac:dyDescent="0.2">
      <c r="A160" s="57" t="s">
        <v>12694</v>
      </c>
      <c r="B160" s="58" t="s">
        <v>939</v>
      </c>
      <c r="C160" s="58" t="s">
        <v>940</v>
      </c>
      <c r="D160" s="60" t="b">
        <v>1</v>
      </c>
      <c r="E160" s="58" t="s">
        <v>938</v>
      </c>
      <c r="F160" s="58" t="s">
        <v>939</v>
      </c>
      <c r="G160" s="58" t="s">
        <v>940</v>
      </c>
      <c r="H160" s="59" t="s">
        <v>941</v>
      </c>
      <c r="I160" s="63" t="str">
        <f>HYPERLINK("http://nsgreg.nga.mil/genc/view?v=861719&amp;end_month=12&amp;end_day=31&amp;end_year=2016","Correlation")</f>
        <v>Correlation</v>
      </c>
    </row>
    <row r="161" spans="1:9" x14ac:dyDescent="0.2">
      <c r="A161" s="57" t="s">
        <v>12695</v>
      </c>
      <c r="B161" s="58" t="s">
        <v>943</v>
      </c>
      <c r="C161" s="58" t="s">
        <v>944</v>
      </c>
      <c r="D161" s="60" t="b">
        <v>1</v>
      </c>
      <c r="E161" s="58" t="s">
        <v>942</v>
      </c>
      <c r="F161" s="58" t="s">
        <v>943</v>
      </c>
      <c r="G161" s="58" t="s">
        <v>944</v>
      </c>
      <c r="H161" s="59" t="s">
        <v>945</v>
      </c>
      <c r="I161" s="63" t="str">
        <f>HYPERLINK("http://nsgreg.nga.mil/genc/view?v=861720&amp;end_month=12&amp;end_day=31&amp;end_year=2016","Correlation")</f>
        <v>Correlation</v>
      </c>
    </row>
    <row r="162" spans="1:9" x14ac:dyDescent="0.2">
      <c r="A162" s="57" t="s">
        <v>12696</v>
      </c>
      <c r="B162" s="58" t="s">
        <v>947</v>
      </c>
      <c r="C162" s="58" t="s">
        <v>948</v>
      </c>
      <c r="D162" s="60" t="b">
        <v>1</v>
      </c>
      <c r="E162" s="58" t="s">
        <v>946</v>
      </c>
      <c r="F162" s="58" t="s">
        <v>947</v>
      </c>
      <c r="G162" s="58" t="s">
        <v>948</v>
      </c>
      <c r="H162" s="59" t="s">
        <v>949</v>
      </c>
      <c r="I162" s="63" t="str">
        <f>HYPERLINK("http://nsgreg.nga.mil/genc/view?v=861721&amp;end_month=12&amp;end_day=31&amp;end_year=2016","Correlation")</f>
        <v>Correlation</v>
      </c>
    </row>
    <row r="163" spans="1:9" x14ac:dyDescent="0.2">
      <c r="A163" s="57" t="s">
        <v>12697</v>
      </c>
      <c r="B163" s="58" t="s">
        <v>951</v>
      </c>
      <c r="C163" s="58" t="s">
        <v>952</v>
      </c>
      <c r="D163" s="60" t="b">
        <v>1</v>
      </c>
      <c r="E163" s="58" t="s">
        <v>950</v>
      </c>
      <c r="F163" s="58" t="s">
        <v>951</v>
      </c>
      <c r="G163" s="58" t="s">
        <v>952</v>
      </c>
      <c r="H163" s="59" t="s">
        <v>953</v>
      </c>
      <c r="I163" s="63" t="str">
        <f>HYPERLINK("http://nsgreg.nga.mil/genc/view?v=861722&amp;end_month=12&amp;end_day=31&amp;end_year=2016","Correlation")</f>
        <v>Correlation</v>
      </c>
    </row>
    <row r="164" spans="1:9" x14ac:dyDescent="0.2">
      <c r="A164" s="57" t="s">
        <v>12698</v>
      </c>
      <c r="B164" s="58" t="s">
        <v>955</v>
      </c>
      <c r="C164" s="58" t="s">
        <v>956</v>
      </c>
      <c r="D164" s="60" t="b">
        <v>1</v>
      </c>
      <c r="E164" s="58" t="s">
        <v>954</v>
      </c>
      <c r="F164" s="58" t="s">
        <v>955</v>
      </c>
      <c r="G164" s="58" t="s">
        <v>956</v>
      </c>
      <c r="H164" s="59" t="s">
        <v>957</v>
      </c>
      <c r="I164" s="63" t="str">
        <f>HYPERLINK("http://nsgreg.nga.mil/genc/view?v=861723&amp;end_month=12&amp;end_day=31&amp;end_year=2016","Correlation")</f>
        <v>Correlation</v>
      </c>
    </row>
    <row r="165" spans="1:9" x14ac:dyDescent="0.2">
      <c r="A165" s="57" t="s">
        <v>12593</v>
      </c>
      <c r="B165" s="58" t="s">
        <v>352</v>
      </c>
      <c r="C165" s="58" t="s">
        <v>353</v>
      </c>
      <c r="D165" s="60" t="b">
        <v>1</v>
      </c>
      <c r="E165" s="58" t="s">
        <v>351</v>
      </c>
      <c r="F165" s="58" t="s">
        <v>352</v>
      </c>
      <c r="G165" s="58" t="s">
        <v>353</v>
      </c>
      <c r="H165" s="59" t="s">
        <v>354</v>
      </c>
      <c r="I165" s="63" t="str">
        <f>HYPERLINK("http://nsgreg.nga.mil/genc/view?v=861724&amp;end_month=12&amp;end_day=31&amp;end_year=2016","Correlation")</f>
        <v>Correlation</v>
      </c>
    </row>
    <row r="166" spans="1:9" x14ac:dyDescent="0.2">
      <c r="A166" s="57" t="s">
        <v>12699</v>
      </c>
      <c r="B166" s="58" t="s">
        <v>959</v>
      </c>
      <c r="C166" s="58" t="s">
        <v>960</v>
      </c>
      <c r="D166" s="60" t="b">
        <v>1</v>
      </c>
      <c r="E166" s="58" t="s">
        <v>958</v>
      </c>
      <c r="F166" s="58" t="s">
        <v>959</v>
      </c>
      <c r="G166" s="58" t="s">
        <v>960</v>
      </c>
      <c r="H166" s="59" t="s">
        <v>961</v>
      </c>
      <c r="I166" s="63" t="str">
        <f>HYPERLINK("http://nsgreg.nga.mil/genc/view?v=861725&amp;end_month=12&amp;end_day=31&amp;end_year=2016","Correlation")</f>
        <v>Correlation</v>
      </c>
    </row>
    <row r="167" spans="1:9" x14ac:dyDescent="0.2">
      <c r="A167" s="57" t="s">
        <v>12700</v>
      </c>
      <c r="B167" s="58" t="s">
        <v>963</v>
      </c>
      <c r="C167" s="58" t="s">
        <v>964</v>
      </c>
      <c r="D167" s="60" t="b">
        <v>1</v>
      </c>
      <c r="E167" s="58" t="s">
        <v>962</v>
      </c>
      <c r="F167" s="58" t="s">
        <v>963</v>
      </c>
      <c r="G167" s="58" t="s">
        <v>964</v>
      </c>
      <c r="H167" s="59" t="s">
        <v>965</v>
      </c>
      <c r="I167" s="63" t="str">
        <f>HYPERLINK("http://nsgreg.nga.mil/genc/view?v=861726&amp;end_month=12&amp;end_day=31&amp;end_year=2016","Correlation")</f>
        <v>Correlation</v>
      </c>
    </row>
    <row r="168" spans="1:9" x14ac:dyDescent="0.2">
      <c r="A168" s="57" t="s">
        <v>12701</v>
      </c>
      <c r="B168" s="58" t="s">
        <v>973</v>
      </c>
      <c r="C168" s="58" t="s">
        <v>974</v>
      </c>
      <c r="D168" s="60" t="b">
        <v>1</v>
      </c>
      <c r="E168" s="58" t="s">
        <v>972</v>
      </c>
      <c r="F168" s="58" t="s">
        <v>973</v>
      </c>
      <c r="G168" s="58" t="s">
        <v>974</v>
      </c>
      <c r="H168" s="59" t="s">
        <v>975</v>
      </c>
      <c r="I168" s="63" t="str">
        <f>HYPERLINK("http://nsgreg.nga.mil/genc/view?v=861727&amp;end_month=12&amp;end_day=31&amp;end_year=2016","Correlation")</f>
        <v>Correlation</v>
      </c>
    </row>
    <row r="169" spans="1:9" x14ac:dyDescent="0.2">
      <c r="A169" s="57" t="s">
        <v>12702</v>
      </c>
      <c r="B169" s="58" t="s">
        <v>306</v>
      </c>
      <c r="C169" s="58" t="s">
        <v>307</v>
      </c>
      <c r="D169" s="60" t="b">
        <v>1</v>
      </c>
      <c r="E169" s="58" t="s">
        <v>305</v>
      </c>
      <c r="F169" s="58" t="s">
        <v>306</v>
      </c>
      <c r="G169" s="58" t="s">
        <v>307</v>
      </c>
      <c r="H169" s="59" t="s">
        <v>308</v>
      </c>
      <c r="I169" s="63" t="str">
        <f>HYPERLINK("http://nsgreg.nga.mil/genc/view?v=861728&amp;end_month=12&amp;end_day=31&amp;end_year=2016","Correlation")</f>
        <v>Correlation</v>
      </c>
    </row>
    <row r="170" spans="1:9" x14ac:dyDescent="0.2">
      <c r="A170" s="99" t="s">
        <v>12582</v>
      </c>
      <c r="B170" s="100" t="s">
        <v>12583</v>
      </c>
      <c r="C170" s="100" t="s">
        <v>12584</v>
      </c>
      <c r="D170" s="67" t="b">
        <v>0</v>
      </c>
      <c r="E170" s="58" t="s">
        <v>457</v>
      </c>
      <c r="F170" s="58" t="s">
        <v>458</v>
      </c>
      <c r="G170" s="58" t="s">
        <v>459</v>
      </c>
      <c r="H170" s="59" t="s">
        <v>460</v>
      </c>
      <c r="I170" s="63" t="str">
        <f>HYPERLINK("http://nsgreg.nga.mil/genc/view?v=861730&amp;end_month=12&amp;end_day=31&amp;end_year=2016","Correlation")</f>
        <v>Correlation</v>
      </c>
    </row>
    <row r="171" spans="1:9" x14ac:dyDescent="0.2">
      <c r="A171" s="99"/>
      <c r="B171" s="100"/>
      <c r="C171" s="100"/>
      <c r="D171" s="67" t="b">
        <v>0</v>
      </c>
      <c r="E171" s="58" t="s">
        <v>1183</v>
      </c>
      <c r="F171" s="58" t="s">
        <v>1184</v>
      </c>
      <c r="G171" s="58" t="s">
        <v>1185</v>
      </c>
      <c r="H171" s="59" t="s">
        <v>1186</v>
      </c>
      <c r="I171" s="63" t="str">
        <f>HYPERLINK("http://nsgreg.nga.mil/genc/view?v=861731&amp;end_month=12&amp;end_day=31&amp;end_year=2016","Correlation")</f>
        <v>Correlation</v>
      </c>
    </row>
    <row r="172" spans="1:9" x14ac:dyDescent="0.2">
      <c r="A172" s="99"/>
      <c r="B172" s="100"/>
      <c r="C172" s="100"/>
      <c r="D172" s="67" t="b">
        <v>0</v>
      </c>
      <c r="E172" s="58" t="s">
        <v>300</v>
      </c>
      <c r="F172" s="58" t="s">
        <v>301</v>
      </c>
      <c r="G172" s="58" t="s">
        <v>302</v>
      </c>
      <c r="H172" s="59" t="s">
        <v>303</v>
      </c>
      <c r="I172" s="63" t="str">
        <f>HYPERLINK("http://nsgreg.nga.mil/genc/view?v=861729&amp;end_month=12&amp;end_day=31&amp;end_year=2016","Correlation")</f>
        <v>Correlation</v>
      </c>
    </row>
    <row r="173" spans="1:9" x14ac:dyDescent="0.2">
      <c r="A173" s="57" t="s">
        <v>12703</v>
      </c>
      <c r="B173" s="58" t="s">
        <v>977</v>
      </c>
      <c r="C173" s="58" t="s">
        <v>978</v>
      </c>
      <c r="D173" s="60" t="b">
        <v>1</v>
      </c>
      <c r="E173" s="58" t="s">
        <v>976</v>
      </c>
      <c r="F173" s="58" t="s">
        <v>977</v>
      </c>
      <c r="G173" s="58" t="s">
        <v>978</v>
      </c>
      <c r="H173" s="59" t="s">
        <v>979</v>
      </c>
      <c r="I173" s="63" t="str">
        <f>HYPERLINK("http://nsgreg.nga.mil/genc/view?v=861732&amp;end_month=12&amp;end_day=31&amp;end_year=2016","Correlation")</f>
        <v>Correlation</v>
      </c>
    </row>
    <row r="174" spans="1:9" x14ac:dyDescent="0.2">
      <c r="A174" s="57" t="s">
        <v>12704</v>
      </c>
      <c r="B174" s="58" t="s">
        <v>983</v>
      </c>
      <c r="C174" s="58" t="s">
        <v>984</v>
      </c>
      <c r="D174" s="60" t="b">
        <v>1</v>
      </c>
      <c r="E174" s="58" t="s">
        <v>982</v>
      </c>
      <c r="F174" s="58" t="s">
        <v>983</v>
      </c>
      <c r="G174" s="58" t="s">
        <v>984</v>
      </c>
      <c r="H174" s="59" t="s">
        <v>985</v>
      </c>
      <c r="I174" s="63" t="str">
        <f>HYPERLINK("http://nsgreg.nga.mil/genc/view?v=861733&amp;end_month=12&amp;end_day=31&amp;end_year=2016","Correlation")</f>
        <v>Correlation</v>
      </c>
    </row>
    <row r="175" spans="1:9" x14ac:dyDescent="0.2">
      <c r="A175" s="57" t="s">
        <v>12705</v>
      </c>
      <c r="B175" s="58" t="s">
        <v>987</v>
      </c>
      <c r="C175" s="58" t="s">
        <v>988</v>
      </c>
      <c r="D175" s="60" t="b">
        <v>1</v>
      </c>
      <c r="E175" s="58" t="s">
        <v>986</v>
      </c>
      <c r="F175" s="58" t="s">
        <v>987</v>
      </c>
      <c r="G175" s="58" t="s">
        <v>988</v>
      </c>
      <c r="H175" s="59" t="s">
        <v>989</v>
      </c>
      <c r="I175" s="63" t="str">
        <f>HYPERLINK("http://nsgreg.nga.mil/genc/view?v=861734&amp;end_month=12&amp;end_day=31&amp;end_year=2016","Correlation")</f>
        <v>Correlation</v>
      </c>
    </row>
    <row r="176" spans="1:9" x14ac:dyDescent="0.2">
      <c r="A176" s="57" t="s">
        <v>7920</v>
      </c>
      <c r="B176" s="58" t="s">
        <v>991</v>
      </c>
      <c r="C176" s="58" t="s">
        <v>992</v>
      </c>
      <c r="D176" s="60" t="b">
        <v>1</v>
      </c>
      <c r="E176" s="58" t="s">
        <v>990</v>
      </c>
      <c r="F176" s="58" t="s">
        <v>991</v>
      </c>
      <c r="G176" s="58" t="s">
        <v>992</v>
      </c>
      <c r="H176" s="59" t="s">
        <v>993</v>
      </c>
      <c r="I176" s="63" t="str">
        <f>HYPERLINK("http://nsgreg.nga.mil/genc/view?v=861735&amp;end_month=12&amp;end_day=31&amp;end_year=2016","Correlation")</f>
        <v>Correlation</v>
      </c>
    </row>
    <row r="177" spans="1:9" x14ac:dyDescent="0.2">
      <c r="A177" s="57" t="s">
        <v>12706</v>
      </c>
      <c r="B177" s="58" t="s">
        <v>995</v>
      </c>
      <c r="C177" s="58" t="s">
        <v>996</v>
      </c>
      <c r="D177" s="60" t="b">
        <v>1</v>
      </c>
      <c r="E177" s="58" t="s">
        <v>994</v>
      </c>
      <c r="F177" s="58" t="s">
        <v>995</v>
      </c>
      <c r="G177" s="58" t="s">
        <v>996</v>
      </c>
      <c r="H177" s="59" t="s">
        <v>997</v>
      </c>
      <c r="I177" s="63" t="str">
        <f>HYPERLINK("http://nsgreg.nga.mil/genc/view?v=861736&amp;end_month=12&amp;end_day=31&amp;end_year=2016","Correlation")</f>
        <v>Correlation</v>
      </c>
    </row>
    <row r="178" spans="1:9" x14ac:dyDescent="0.2">
      <c r="A178" s="57" t="s">
        <v>12707</v>
      </c>
      <c r="B178" s="58" t="s">
        <v>999</v>
      </c>
      <c r="C178" s="58" t="s">
        <v>1000</v>
      </c>
      <c r="D178" s="60" t="b">
        <v>1</v>
      </c>
      <c r="E178" s="58" t="s">
        <v>998</v>
      </c>
      <c r="F178" s="58" t="s">
        <v>999</v>
      </c>
      <c r="G178" s="58" t="s">
        <v>1000</v>
      </c>
      <c r="H178" s="59" t="s">
        <v>1001</v>
      </c>
      <c r="I178" s="63" t="str">
        <f>HYPERLINK("http://nsgreg.nga.mil/genc/view?v=861737&amp;end_month=12&amp;end_day=31&amp;end_year=2016","Correlation")</f>
        <v>Correlation</v>
      </c>
    </row>
    <row r="179" spans="1:9" x14ac:dyDescent="0.2">
      <c r="A179" s="57" t="s">
        <v>12708</v>
      </c>
      <c r="B179" s="58" t="s">
        <v>1003</v>
      </c>
      <c r="C179" s="58" t="s">
        <v>1004</v>
      </c>
      <c r="D179" s="60" t="b">
        <v>1</v>
      </c>
      <c r="E179" s="58" t="s">
        <v>1002</v>
      </c>
      <c r="F179" s="58" t="s">
        <v>1003</v>
      </c>
      <c r="G179" s="58" t="s">
        <v>1004</v>
      </c>
      <c r="H179" s="59" t="s">
        <v>1005</v>
      </c>
      <c r="I179" s="63" t="str">
        <f>HYPERLINK("http://nsgreg.nga.mil/genc/view?v=861738&amp;end_month=12&amp;end_day=31&amp;end_year=2016","Correlation")</f>
        <v>Correlation</v>
      </c>
    </row>
    <row r="180" spans="1:9" x14ac:dyDescent="0.2">
      <c r="A180" s="57" t="s">
        <v>1010</v>
      </c>
      <c r="B180" s="58" t="s">
        <v>1007</v>
      </c>
      <c r="C180" s="58" t="s">
        <v>1008</v>
      </c>
      <c r="D180" s="60" t="b">
        <v>1</v>
      </c>
      <c r="E180" s="58" t="s">
        <v>1006</v>
      </c>
      <c r="F180" s="58" t="s">
        <v>1007</v>
      </c>
      <c r="G180" s="58" t="s">
        <v>1008</v>
      </c>
      <c r="H180" s="59" t="s">
        <v>1009</v>
      </c>
      <c r="I180" s="63" t="str">
        <f>HYPERLINK("http://nsgreg.nga.mil/genc/view?v=861739&amp;end_month=12&amp;end_day=31&amp;end_year=2016","Correlation")</f>
        <v>Correlation</v>
      </c>
    </row>
    <row r="181" spans="1:9" x14ac:dyDescent="0.2">
      <c r="A181" s="57" t="s">
        <v>12709</v>
      </c>
      <c r="B181" s="58" t="s">
        <v>1013</v>
      </c>
      <c r="C181" s="58" t="s">
        <v>1014</v>
      </c>
      <c r="D181" s="60" t="b">
        <v>1</v>
      </c>
      <c r="E181" s="58" t="s">
        <v>1012</v>
      </c>
      <c r="F181" s="58" t="s">
        <v>1013</v>
      </c>
      <c r="G181" s="58" t="s">
        <v>1014</v>
      </c>
      <c r="H181" s="59" t="s">
        <v>1015</v>
      </c>
      <c r="I181" s="63" t="str">
        <f>HYPERLINK("http://nsgreg.nga.mil/genc/view?v=861740&amp;end_month=12&amp;end_day=31&amp;end_year=2016","Correlation")</f>
        <v>Correlation</v>
      </c>
    </row>
    <row r="182" spans="1:9" x14ac:dyDescent="0.2">
      <c r="A182" s="57" t="s">
        <v>12710</v>
      </c>
      <c r="B182" s="58" t="s">
        <v>1017</v>
      </c>
      <c r="C182" s="58" t="s">
        <v>1018</v>
      </c>
      <c r="D182" s="60" t="b">
        <v>1</v>
      </c>
      <c r="E182" s="58" t="s">
        <v>1016</v>
      </c>
      <c r="F182" s="58" t="s">
        <v>1017</v>
      </c>
      <c r="G182" s="58" t="s">
        <v>1018</v>
      </c>
      <c r="H182" s="59" t="s">
        <v>1019</v>
      </c>
      <c r="I182" s="63" t="str">
        <f>HYPERLINK("http://nsgreg.nga.mil/genc/view?v=861741&amp;end_month=12&amp;end_day=31&amp;end_year=2016","Correlation")</f>
        <v>Correlation</v>
      </c>
    </row>
    <row r="183" spans="1:9" x14ac:dyDescent="0.2">
      <c r="A183" s="57" t="s">
        <v>12711</v>
      </c>
      <c r="B183" s="58" t="s">
        <v>1021</v>
      </c>
      <c r="C183" s="58" t="s">
        <v>1022</v>
      </c>
      <c r="D183" s="60" t="b">
        <v>1</v>
      </c>
      <c r="E183" s="58" t="s">
        <v>1020</v>
      </c>
      <c r="F183" s="58" t="s">
        <v>1021</v>
      </c>
      <c r="G183" s="58" t="s">
        <v>1022</v>
      </c>
      <c r="H183" s="59" t="s">
        <v>1023</v>
      </c>
      <c r="I183" s="63" t="str">
        <f>HYPERLINK("http://nsgreg.nga.mil/genc/view?v=861742&amp;end_month=12&amp;end_day=31&amp;end_year=2016","Correlation")</f>
        <v>Correlation</v>
      </c>
    </row>
    <row r="184" spans="1:9" x14ac:dyDescent="0.2">
      <c r="A184" s="57" t="s">
        <v>12712</v>
      </c>
      <c r="B184" s="58" t="s">
        <v>1025</v>
      </c>
      <c r="C184" s="58" t="s">
        <v>1026</v>
      </c>
      <c r="D184" s="60" t="b">
        <v>1</v>
      </c>
      <c r="E184" s="58" t="s">
        <v>1024</v>
      </c>
      <c r="F184" s="58" t="s">
        <v>1025</v>
      </c>
      <c r="G184" s="58" t="s">
        <v>1026</v>
      </c>
      <c r="H184" s="59" t="s">
        <v>1027</v>
      </c>
      <c r="I184" s="63" t="str">
        <f>HYPERLINK("http://nsgreg.nga.mil/genc/view?v=861743&amp;end_month=12&amp;end_day=31&amp;end_year=2016","Correlation")</f>
        <v>Correlation</v>
      </c>
    </row>
    <row r="185" spans="1:9" x14ac:dyDescent="0.2">
      <c r="A185" s="99" t="s">
        <v>12636</v>
      </c>
      <c r="B185" s="100" t="s">
        <v>595</v>
      </c>
      <c r="C185" s="100" t="s">
        <v>596</v>
      </c>
      <c r="D185" s="67" t="b">
        <v>0</v>
      </c>
      <c r="E185" s="58" t="s">
        <v>590</v>
      </c>
      <c r="F185" s="58" t="s">
        <v>591</v>
      </c>
      <c r="G185" s="58" t="s">
        <v>592</v>
      </c>
      <c r="H185" s="59" t="s">
        <v>593</v>
      </c>
      <c r="I185" s="63" t="str">
        <f>HYPERLINK("http://nsgreg.nga.mil/genc/view?v=861744&amp;end_month=12&amp;end_day=31&amp;end_year=2016","Correlation")</f>
        <v>Correlation</v>
      </c>
    </row>
    <row r="186" spans="1:9" x14ac:dyDescent="0.2">
      <c r="A186" s="99"/>
      <c r="B186" s="100"/>
      <c r="C186" s="100"/>
      <c r="D186" s="67" t="b">
        <v>0</v>
      </c>
      <c r="E186" s="58" t="s">
        <v>1391</v>
      </c>
      <c r="F186" s="58" t="s">
        <v>1392</v>
      </c>
      <c r="G186" s="58" t="s">
        <v>1393</v>
      </c>
      <c r="H186" s="59" t="s">
        <v>1394</v>
      </c>
      <c r="I186" s="63" t="str">
        <f>HYPERLINK("http://nsgreg.nga.mil/genc/view?v=861745&amp;end_month=12&amp;end_day=31&amp;end_year=2016","Correlation")</f>
        <v>Correlation</v>
      </c>
    </row>
    <row r="187" spans="1:9" x14ac:dyDescent="0.2">
      <c r="A187" s="57" t="s">
        <v>12713</v>
      </c>
      <c r="B187" s="58" t="s">
        <v>1035</v>
      </c>
      <c r="C187" s="58" t="s">
        <v>1036</v>
      </c>
      <c r="D187" s="60" t="b">
        <v>1</v>
      </c>
      <c r="E187" s="58" t="s">
        <v>1034</v>
      </c>
      <c r="F187" s="58" t="s">
        <v>1035</v>
      </c>
      <c r="G187" s="58" t="s">
        <v>1036</v>
      </c>
      <c r="H187" s="59" t="s">
        <v>1037</v>
      </c>
      <c r="I187" s="63" t="str">
        <f>HYPERLINK("http://nsgreg.nga.mil/genc/view?v=861746&amp;end_month=12&amp;end_day=31&amp;end_year=2016","Correlation")</f>
        <v>Correlation</v>
      </c>
    </row>
    <row r="188" spans="1:9" x14ac:dyDescent="0.2">
      <c r="A188" s="57" t="s">
        <v>12714</v>
      </c>
      <c r="B188" s="58" t="s">
        <v>1039</v>
      </c>
      <c r="C188" s="58" t="s">
        <v>1040</v>
      </c>
      <c r="D188" s="60" t="b">
        <v>1</v>
      </c>
      <c r="E188" s="58" t="s">
        <v>1038</v>
      </c>
      <c r="F188" s="58" t="s">
        <v>1039</v>
      </c>
      <c r="G188" s="58" t="s">
        <v>1040</v>
      </c>
      <c r="H188" s="59" t="s">
        <v>1041</v>
      </c>
      <c r="I188" s="63" t="str">
        <f>HYPERLINK("http://nsgreg.nga.mil/genc/view?v=861747&amp;end_month=12&amp;end_day=31&amp;end_year=2016","Correlation")</f>
        <v>Correlation</v>
      </c>
    </row>
    <row r="189" spans="1:9" x14ac:dyDescent="0.2">
      <c r="A189" s="57" t="s">
        <v>12717</v>
      </c>
      <c r="B189" s="58" t="s">
        <v>1055</v>
      </c>
      <c r="C189" s="58" t="s">
        <v>1056</v>
      </c>
      <c r="D189" s="60" t="b">
        <v>1</v>
      </c>
      <c r="E189" s="58" t="s">
        <v>1054</v>
      </c>
      <c r="F189" s="58" t="s">
        <v>1055</v>
      </c>
      <c r="G189" s="58" t="s">
        <v>1056</v>
      </c>
      <c r="H189" s="59" t="s">
        <v>1057</v>
      </c>
      <c r="I189" s="63" t="str">
        <f>HYPERLINK("http://nsgreg.nga.mil/genc/view?v=861748&amp;end_month=12&amp;end_day=31&amp;end_year=2016","Correlation")</f>
        <v>Correlation</v>
      </c>
    </row>
    <row r="190" spans="1:9" x14ac:dyDescent="0.2">
      <c r="A190" s="57" t="s">
        <v>12718</v>
      </c>
      <c r="B190" s="58" t="s">
        <v>1059</v>
      </c>
      <c r="C190" s="58" t="s">
        <v>1060</v>
      </c>
      <c r="D190" s="60" t="b">
        <v>1</v>
      </c>
      <c r="E190" s="58" t="s">
        <v>1058</v>
      </c>
      <c r="F190" s="58" t="s">
        <v>1059</v>
      </c>
      <c r="G190" s="58" t="s">
        <v>1060</v>
      </c>
      <c r="H190" s="59" t="s">
        <v>1061</v>
      </c>
      <c r="I190" s="63" t="str">
        <f>HYPERLINK("http://nsgreg.nga.mil/genc/view?v=861749&amp;end_month=12&amp;end_day=31&amp;end_year=2016","Correlation")</f>
        <v>Correlation</v>
      </c>
    </row>
    <row r="191" spans="1:9" x14ac:dyDescent="0.2">
      <c r="A191" s="99" t="s">
        <v>12719</v>
      </c>
      <c r="B191" s="100" t="s">
        <v>1063</v>
      </c>
      <c r="C191" s="100" t="s">
        <v>1064</v>
      </c>
      <c r="D191" s="60" t="b">
        <v>1</v>
      </c>
      <c r="E191" s="58" t="s">
        <v>1062</v>
      </c>
      <c r="F191" s="58" t="s">
        <v>1063</v>
      </c>
      <c r="G191" s="58" t="s">
        <v>1064</v>
      </c>
      <c r="H191" s="59" t="s">
        <v>1065</v>
      </c>
      <c r="I191" s="63" t="str">
        <f>HYPERLINK("http://nsgreg.nga.mil/genc/view?v=861750&amp;end_month=12&amp;end_day=31&amp;end_year=2016","Correlation")</f>
        <v>Correlation</v>
      </c>
    </row>
    <row r="192" spans="1:9" x14ac:dyDescent="0.2">
      <c r="A192" s="99"/>
      <c r="B192" s="100"/>
      <c r="C192" s="100"/>
      <c r="D192" s="67" t="b">
        <v>0</v>
      </c>
      <c r="E192" s="58" t="s">
        <v>1223</v>
      </c>
      <c r="F192" s="58" t="s">
        <v>1224</v>
      </c>
      <c r="G192" s="58" t="s">
        <v>1225</v>
      </c>
      <c r="H192" s="59" t="s">
        <v>1226</v>
      </c>
      <c r="I192" s="63" t="str">
        <f>HYPERLINK("http://nsgreg.nga.mil/genc/view?v=861751&amp;end_month=12&amp;end_day=31&amp;end_year=2016","Correlation")</f>
        <v>Correlation</v>
      </c>
    </row>
    <row r="193" spans="1:9" x14ac:dyDescent="0.2">
      <c r="A193" s="57" t="s">
        <v>12720</v>
      </c>
      <c r="B193" s="58" t="s">
        <v>1067</v>
      </c>
      <c r="C193" s="58" t="s">
        <v>1068</v>
      </c>
      <c r="D193" s="60" t="b">
        <v>1</v>
      </c>
      <c r="E193" s="58" t="s">
        <v>1066</v>
      </c>
      <c r="F193" s="58" t="s">
        <v>1067</v>
      </c>
      <c r="G193" s="58" t="s">
        <v>1068</v>
      </c>
      <c r="H193" s="59" t="s">
        <v>1069</v>
      </c>
      <c r="I193" s="63" t="str">
        <f>HYPERLINK("http://nsgreg.nga.mil/genc/view?v=861752&amp;end_month=12&amp;end_day=31&amp;end_year=2016","Correlation")</f>
        <v>Correlation</v>
      </c>
    </row>
    <row r="194" spans="1:9" x14ac:dyDescent="0.2">
      <c r="A194" s="57" t="s">
        <v>12721</v>
      </c>
      <c r="B194" s="58" t="s">
        <v>1072</v>
      </c>
      <c r="C194" s="58" t="s">
        <v>1073</v>
      </c>
      <c r="D194" s="60" t="b">
        <v>1</v>
      </c>
      <c r="E194" s="58" t="s">
        <v>1071</v>
      </c>
      <c r="F194" s="58" t="s">
        <v>1072</v>
      </c>
      <c r="G194" s="58" t="s">
        <v>1073</v>
      </c>
      <c r="H194" s="59" t="s">
        <v>1074</v>
      </c>
      <c r="I194" s="63" t="str">
        <f>HYPERLINK("http://nsgreg.nga.mil/genc/view?v=861753&amp;end_month=12&amp;end_day=31&amp;end_year=2016","Correlation")</f>
        <v>Correlation</v>
      </c>
    </row>
    <row r="195" spans="1:9" x14ac:dyDescent="0.2">
      <c r="A195" s="57" t="s">
        <v>12722</v>
      </c>
      <c r="B195" s="58" t="s">
        <v>1076</v>
      </c>
      <c r="C195" s="58" t="s">
        <v>1077</v>
      </c>
      <c r="D195" s="60" t="b">
        <v>1</v>
      </c>
      <c r="E195" s="58" t="s">
        <v>1075</v>
      </c>
      <c r="F195" s="58" t="s">
        <v>1076</v>
      </c>
      <c r="G195" s="58" t="s">
        <v>1077</v>
      </c>
      <c r="H195" s="59" t="s">
        <v>1078</v>
      </c>
      <c r="I195" s="63" t="str">
        <f>HYPERLINK("http://nsgreg.nga.mil/genc/view?v=861754&amp;end_month=12&amp;end_day=31&amp;end_year=2016","Correlation")</f>
        <v>Correlation</v>
      </c>
    </row>
    <row r="196" spans="1:9" x14ac:dyDescent="0.2">
      <c r="A196" s="57" t="s">
        <v>1083</v>
      </c>
      <c r="B196" s="58" t="s">
        <v>1080</v>
      </c>
      <c r="C196" s="58" t="s">
        <v>1081</v>
      </c>
      <c r="D196" s="60" t="b">
        <v>1</v>
      </c>
      <c r="E196" s="58" t="s">
        <v>1079</v>
      </c>
      <c r="F196" s="58" t="s">
        <v>1080</v>
      </c>
      <c r="G196" s="58" t="s">
        <v>1081</v>
      </c>
      <c r="H196" s="59" t="s">
        <v>1082</v>
      </c>
      <c r="I196" s="63" t="str">
        <f>HYPERLINK("http://nsgreg.nga.mil/genc/view?v=861755&amp;end_month=12&amp;end_day=31&amp;end_year=2016","Correlation")</f>
        <v>Correlation</v>
      </c>
    </row>
    <row r="197" spans="1:9" x14ac:dyDescent="0.2">
      <c r="A197" s="57" t="s">
        <v>12723</v>
      </c>
      <c r="B197" s="58" t="s">
        <v>1086</v>
      </c>
      <c r="C197" s="58" t="s">
        <v>1087</v>
      </c>
      <c r="D197" s="60" t="b">
        <v>1</v>
      </c>
      <c r="E197" s="58" t="s">
        <v>1085</v>
      </c>
      <c r="F197" s="58" t="s">
        <v>1086</v>
      </c>
      <c r="G197" s="58" t="s">
        <v>1087</v>
      </c>
      <c r="H197" s="59" t="s">
        <v>1088</v>
      </c>
      <c r="I197" s="63" t="str">
        <f>HYPERLINK("http://nsgreg.nga.mil/genc/view?v=861756&amp;end_month=12&amp;end_day=31&amp;end_year=2016","Correlation")</f>
        <v>Correlation</v>
      </c>
    </row>
    <row r="198" spans="1:9" x14ac:dyDescent="0.2">
      <c r="A198" s="57" t="s">
        <v>12724</v>
      </c>
      <c r="B198" s="58" t="s">
        <v>1090</v>
      </c>
      <c r="C198" s="58" t="s">
        <v>1091</v>
      </c>
      <c r="D198" s="60" t="b">
        <v>1</v>
      </c>
      <c r="E198" s="58" t="s">
        <v>1089</v>
      </c>
      <c r="F198" s="58" t="s">
        <v>1090</v>
      </c>
      <c r="G198" s="58" t="s">
        <v>1091</v>
      </c>
      <c r="H198" s="59" t="s">
        <v>1092</v>
      </c>
      <c r="I198" s="63" t="str">
        <f>HYPERLINK("http://nsgreg.nga.mil/genc/view?v=861757&amp;end_month=12&amp;end_day=31&amp;end_year=2016","Correlation")</f>
        <v>Correlation</v>
      </c>
    </row>
    <row r="199" spans="1:9" x14ac:dyDescent="0.2">
      <c r="A199" s="57" t="s">
        <v>12725</v>
      </c>
      <c r="B199" s="58" t="s">
        <v>1098</v>
      </c>
      <c r="C199" s="58" t="s">
        <v>1099</v>
      </c>
      <c r="D199" s="60" t="b">
        <v>1</v>
      </c>
      <c r="E199" s="58" t="s">
        <v>1097</v>
      </c>
      <c r="F199" s="58" t="s">
        <v>1098</v>
      </c>
      <c r="G199" s="58" t="s">
        <v>1099</v>
      </c>
      <c r="H199" s="59" t="s">
        <v>1100</v>
      </c>
      <c r="I199" s="63" t="str">
        <f>HYPERLINK("http://nsgreg.nga.mil/genc/view?v=861763&amp;end_month=12&amp;end_day=31&amp;end_year=2016","Correlation")</f>
        <v>Correlation</v>
      </c>
    </row>
    <row r="200" spans="1:9" x14ac:dyDescent="0.2">
      <c r="A200" s="57" t="s">
        <v>12726</v>
      </c>
      <c r="B200" s="58" t="s">
        <v>1102</v>
      </c>
      <c r="C200" s="58" t="s">
        <v>1103</v>
      </c>
      <c r="D200" s="60" t="b">
        <v>1</v>
      </c>
      <c r="E200" s="58" t="s">
        <v>1101</v>
      </c>
      <c r="F200" s="58" t="s">
        <v>1102</v>
      </c>
      <c r="G200" s="58" t="s">
        <v>1103</v>
      </c>
      <c r="H200" s="59" t="s">
        <v>1104</v>
      </c>
      <c r="I200" s="63" t="str">
        <f>HYPERLINK("http://nsgreg.nga.mil/genc/view?v=861764&amp;end_month=12&amp;end_day=31&amp;end_year=2016","Correlation")</f>
        <v>Correlation</v>
      </c>
    </row>
    <row r="201" spans="1:9" x14ac:dyDescent="0.2">
      <c r="A201" s="57" t="s">
        <v>12727</v>
      </c>
      <c r="B201" s="58" t="s">
        <v>1107</v>
      </c>
      <c r="C201" s="58" t="s">
        <v>1108</v>
      </c>
      <c r="D201" s="60" t="b">
        <v>1</v>
      </c>
      <c r="E201" s="58" t="s">
        <v>1106</v>
      </c>
      <c r="F201" s="58" t="s">
        <v>1107</v>
      </c>
      <c r="G201" s="58" t="s">
        <v>1108</v>
      </c>
      <c r="H201" s="59" t="s">
        <v>1109</v>
      </c>
      <c r="I201" s="63" t="str">
        <f>HYPERLINK("http://nsgreg.nga.mil/genc/view?v=861765&amp;end_month=12&amp;end_day=31&amp;end_year=2016","Correlation")</f>
        <v>Correlation</v>
      </c>
    </row>
    <row r="202" spans="1:9" x14ac:dyDescent="0.2">
      <c r="A202" s="57" t="s">
        <v>8922</v>
      </c>
      <c r="B202" s="58" t="s">
        <v>1118</v>
      </c>
      <c r="C202" s="58" t="s">
        <v>1119</v>
      </c>
      <c r="D202" s="60" t="b">
        <v>1</v>
      </c>
      <c r="E202" s="58" t="s">
        <v>1117</v>
      </c>
      <c r="F202" s="58" t="s">
        <v>1118</v>
      </c>
      <c r="G202" s="58" t="s">
        <v>1119</v>
      </c>
      <c r="H202" s="59" t="s">
        <v>1120</v>
      </c>
      <c r="I202" s="63" t="str">
        <f>HYPERLINK("http://nsgreg.nga.mil/genc/view?v=861766&amp;end_month=12&amp;end_day=31&amp;end_year=2016","Correlation")</f>
        <v>Correlation</v>
      </c>
    </row>
    <row r="203" spans="1:9" x14ac:dyDescent="0.2">
      <c r="A203" s="57" t="s">
        <v>12728</v>
      </c>
      <c r="B203" s="58" t="s">
        <v>1123</v>
      </c>
      <c r="C203" s="58" t="s">
        <v>1124</v>
      </c>
      <c r="D203" s="60" t="b">
        <v>1</v>
      </c>
      <c r="E203" s="58" t="s">
        <v>1122</v>
      </c>
      <c r="F203" s="58" t="s">
        <v>1123</v>
      </c>
      <c r="G203" s="58" t="s">
        <v>1124</v>
      </c>
      <c r="H203" s="59" t="s">
        <v>1125</v>
      </c>
      <c r="I203" s="63" t="str">
        <f>HYPERLINK("http://nsgreg.nga.mil/genc/view?v=861767&amp;end_month=12&amp;end_day=31&amp;end_year=2016","Correlation")</f>
        <v>Correlation</v>
      </c>
    </row>
    <row r="204" spans="1:9" x14ac:dyDescent="0.2">
      <c r="A204" s="57" t="s">
        <v>12729</v>
      </c>
      <c r="B204" s="58" t="s">
        <v>1127</v>
      </c>
      <c r="C204" s="58" t="s">
        <v>1128</v>
      </c>
      <c r="D204" s="60" t="b">
        <v>1</v>
      </c>
      <c r="E204" s="58" t="s">
        <v>1126</v>
      </c>
      <c r="F204" s="58" t="s">
        <v>1127</v>
      </c>
      <c r="G204" s="58" t="s">
        <v>1128</v>
      </c>
      <c r="H204" s="59" t="s">
        <v>1129</v>
      </c>
      <c r="I204" s="63" t="str">
        <f>HYPERLINK("http://nsgreg.nga.mil/genc/view?v=861768&amp;end_month=12&amp;end_day=31&amp;end_year=2016","Correlation")</f>
        <v>Correlation</v>
      </c>
    </row>
    <row r="205" spans="1:9" x14ac:dyDescent="0.2">
      <c r="A205" s="57" t="s">
        <v>12730</v>
      </c>
      <c r="B205" s="58" t="s">
        <v>1138</v>
      </c>
      <c r="C205" s="58" t="s">
        <v>1139</v>
      </c>
      <c r="D205" s="60" t="b">
        <v>1</v>
      </c>
      <c r="E205" s="58" t="s">
        <v>1137</v>
      </c>
      <c r="F205" s="58" t="s">
        <v>1138</v>
      </c>
      <c r="G205" s="58" t="s">
        <v>1139</v>
      </c>
      <c r="H205" s="59" t="s">
        <v>1140</v>
      </c>
      <c r="I205" s="63" t="str">
        <f>HYPERLINK("http://nsgreg.nga.mil/genc/view?v=861769&amp;end_month=12&amp;end_day=31&amp;end_year=2016","Correlation")</f>
        <v>Correlation</v>
      </c>
    </row>
    <row r="206" spans="1:9" x14ac:dyDescent="0.2">
      <c r="A206" s="57" t="s">
        <v>12731</v>
      </c>
      <c r="B206" s="58" t="s">
        <v>1144</v>
      </c>
      <c r="C206" s="58" t="s">
        <v>1145</v>
      </c>
      <c r="D206" s="60" t="b">
        <v>1</v>
      </c>
      <c r="E206" s="58" t="s">
        <v>1143</v>
      </c>
      <c r="F206" s="58" t="s">
        <v>1144</v>
      </c>
      <c r="G206" s="58" t="s">
        <v>1145</v>
      </c>
      <c r="H206" s="59" t="s">
        <v>1146</v>
      </c>
      <c r="I206" s="63" t="str">
        <f>HYPERLINK("http://nsgreg.nga.mil/genc/view?v=861770&amp;end_month=12&amp;end_day=31&amp;end_year=2016","Correlation")</f>
        <v>Correlation</v>
      </c>
    </row>
    <row r="207" spans="1:9" x14ac:dyDescent="0.2">
      <c r="A207" s="57" t="s">
        <v>12732</v>
      </c>
      <c r="B207" s="58" t="s">
        <v>1148</v>
      </c>
      <c r="C207" s="58" t="s">
        <v>1149</v>
      </c>
      <c r="D207" s="60" t="b">
        <v>1</v>
      </c>
      <c r="E207" s="58" t="s">
        <v>1147</v>
      </c>
      <c r="F207" s="58" t="s">
        <v>1148</v>
      </c>
      <c r="G207" s="58" t="s">
        <v>1149</v>
      </c>
      <c r="H207" s="59" t="s">
        <v>1150</v>
      </c>
      <c r="I207" s="63" t="str">
        <f>HYPERLINK("http://nsgreg.nga.mil/genc/view?v=861771&amp;end_month=12&amp;end_day=31&amp;end_year=2016","Correlation")</f>
        <v>Correlation</v>
      </c>
    </row>
    <row r="208" spans="1:9" x14ac:dyDescent="0.2">
      <c r="A208" s="57" t="s">
        <v>9034</v>
      </c>
      <c r="B208" s="58" t="s">
        <v>1152</v>
      </c>
      <c r="C208" s="58" t="s">
        <v>1153</v>
      </c>
      <c r="D208" s="60" t="b">
        <v>1</v>
      </c>
      <c r="E208" s="58" t="s">
        <v>1151</v>
      </c>
      <c r="F208" s="58" t="s">
        <v>1152</v>
      </c>
      <c r="G208" s="58" t="s">
        <v>1153</v>
      </c>
      <c r="H208" s="59" t="s">
        <v>1154</v>
      </c>
      <c r="I208" s="63" t="str">
        <f>HYPERLINK("http://nsgreg.nga.mil/genc/view?v=861772&amp;end_month=12&amp;end_day=31&amp;end_year=2016","Correlation")</f>
        <v>Correlation</v>
      </c>
    </row>
    <row r="209" spans="1:9" x14ac:dyDescent="0.2">
      <c r="A209" s="57" t="s">
        <v>12733</v>
      </c>
      <c r="B209" s="58" t="s">
        <v>1156</v>
      </c>
      <c r="C209" s="58" t="s">
        <v>1157</v>
      </c>
      <c r="D209" s="60" t="b">
        <v>1</v>
      </c>
      <c r="E209" s="58" t="s">
        <v>1155</v>
      </c>
      <c r="F209" s="58" t="s">
        <v>1156</v>
      </c>
      <c r="G209" s="58" t="s">
        <v>1157</v>
      </c>
      <c r="H209" s="59" t="s">
        <v>1158</v>
      </c>
      <c r="I209" s="63" t="str">
        <f>HYPERLINK("http://nsgreg.nga.mil/genc/view?v=861773&amp;end_month=12&amp;end_day=31&amp;end_year=2016","Correlation")</f>
        <v>Correlation</v>
      </c>
    </row>
    <row r="210" spans="1:9" x14ac:dyDescent="0.2">
      <c r="A210" s="57" t="s">
        <v>12734</v>
      </c>
      <c r="B210" s="58" t="s">
        <v>1160</v>
      </c>
      <c r="C210" s="58" t="s">
        <v>1161</v>
      </c>
      <c r="D210" s="60" t="b">
        <v>1</v>
      </c>
      <c r="E210" s="58" t="s">
        <v>1159</v>
      </c>
      <c r="F210" s="58" t="s">
        <v>1160</v>
      </c>
      <c r="G210" s="58" t="s">
        <v>1161</v>
      </c>
      <c r="H210" s="59" t="s">
        <v>1162</v>
      </c>
      <c r="I210" s="63" t="str">
        <f>HYPERLINK("http://nsgreg.nga.mil/genc/view?v=861774&amp;end_month=12&amp;end_day=31&amp;end_year=2016","Correlation")</f>
        <v>Correlation</v>
      </c>
    </row>
    <row r="211" spans="1:9" x14ac:dyDescent="0.2">
      <c r="A211" s="57" t="s">
        <v>12735</v>
      </c>
      <c r="B211" s="58" t="s">
        <v>1164</v>
      </c>
      <c r="C211" s="58" t="s">
        <v>1165</v>
      </c>
      <c r="D211" s="60" t="b">
        <v>1</v>
      </c>
      <c r="E211" s="58" t="s">
        <v>1163</v>
      </c>
      <c r="F211" s="58" t="s">
        <v>1164</v>
      </c>
      <c r="G211" s="58" t="s">
        <v>1165</v>
      </c>
      <c r="H211" s="59" t="s">
        <v>1166</v>
      </c>
      <c r="I211" s="63" t="str">
        <f>HYPERLINK("http://nsgreg.nga.mil/genc/view?v=861775&amp;end_month=12&amp;end_day=31&amp;end_year=2016","Correlation")</f>
        <v>Correlation</v>
      </c>
    </row>
    <row r="212" spans="1:9" x14ac:dyDescent="0.2">
      <c r="A212" s="57" t="s">
        <v>12736</v>
      </c>
      <c r="B212" s="58" t="s">
        <v>1168</v>
      </c>
      <c r="C212" s="58" t="s">
        <v>1169</v>
      </c>
      <c r="D212" s="60" t="b">
        <v>1</v>
      </c>
      <c r="E212" s="58" t="s">
        <v>1167</v>
      </c>
      <c r="F212" s="58" t="s">
        <v>1168</v>
      </c>
      <c r="G212" s="58" t="s">
        <v>1169</v>
      </c>
      <c r="H212" s="59" t="s">
        <v>1170</v>
      </c>
      <c r="I212" s="63" t="str">
        <f>HYPERLINK("http://nsgreg.nga.mil/genc/view?v=861776&amp;end_month=12&amp;end_day=31&amp;end_year=2016","Correlation")</f>
        <v>Correlation</v>
      </c>
    </row>
    <row r="213" spans="1:9" x14ac:dyDescent="0.2">
      <c r="A213" s="57" t="s">
        <v>12737</v>
      </c>
      <c r="B213" s="58" t="s">
        <v>1172</v>
      </c>
      <c r="C213" s="58" t="s">
        <v>1173</v>
      </c>
      <c r="D213" s="60" t="b">
        <v>1</v>
      </c>
      <c r="E213" s="58" t="s">
        <v>1171</v>
      </c>
      <c r="F213" s="58" t="s">
        <v>1172</v>
      </c>
      <c r="G213" s="58" t="s">
        <v>1173</v>
      </c>
      <c r="H213" s="59" t="s">
        <v>1174</v>
      </c>
      <c r="I213" s="63" t="str">
        <f>HYPERLINK("http://nsgreg.nga.mil/genc/view?v=861777&amp;end_month=12&amp;end_day=31&amp;end_year=2016","Correlation")</f>
        <v>Correlation</v>
      </c>
    </row>
    <row r="214" spans="1:9" x14ac:dyDescent="0.2">
      <c r="A214" s="57" t="s">
        <v>12738</v>
      </c>
      <c r="B214" s="58" t="s">
        <v>1176</v>
      </c>
      <c r="C214" s="58" t="s">
        <v>1177</v>
      </c>
      <c r="D214" s="60" t="b">
        <v>1</v>
      </c>
      <c r="E214" s="58" t="s">
        <v>1175</v>
      </c>
      <c r="F214" s="58" t="s">
        <v>1176</v>
      </c>
      <c r="G214" s="58" t="s">
        <v>1177</v>
      </c>
      <c r="H214" s="59" t="s">
        <v>1178</v>
      </c>
      <c r="I214" s="63" t="str">
        <f>HYPERLINK("http://nsgreg.nga.mil/genc/view?v=861778&amp;end_month=12&amp;end_day=31&amp;end_year=2016","Correlation")</f>
        <v>Correlation</v>
      </c>
    </row>
    <row r="215" spans="1:9" x14ac:dyDescent="0.2">
      <c r="A215" s="57" t="s">
        <v>12739</v>
      </c>
      <c r="B215" s="58" t="s">
        <v>1180</v>
      </c>
      <c r="C215" s="58" t="s">
        <v>1181</v>
      </c>
      <c r="D215" s="60" t="b">
        <v>1</v>
      </c>
      <c r="E215" s="58" t="s">
        <v>1179</v>
      </c>
      <c r="F215" s="58" t="s">
        <v>1180</v>
      </c>
      <c r="G215" s="58" t="s">
        <v>1181</v>
      </c>
      <c r="H215" s="59" t="s">
        <v>1182</v>
      </c>
      <c r="I215" s="63" t="str">
        <f>HYPERLINK("http://nsgreg.nga.mil/genc/view?v=861779&amp;end_month=12&amp;end_day=31&amp;end_year=2016","Correlation")</f>
        <v>Correlation</v>
      </c>
    </row>
    <row r="216" spans="1:9" x14ac:dyDescent="0.2">
      <c r="A216" s="57" t="s">
        <v>12740</v>
      </c>
      <c r="B216" s="58" t="s">
        <v>1191</v>
      </c>
      <c r="C216" s="58" t="s">
        <v>1192</v>
      </c>
      <c r="D216" s="60" t="b">
        <v>1</v>
      </c>
      <c r="E216" s="58" t="s">
        <v>1190</v>
      </c>
      <c r="F216" s="58" t="s">
        <v>1191</v>
      </c>
      <c r="G216" s="58" t="s">
        <v>1192</v>
      </c>
      <c r="H216" s="59" t="s">
        <v>1193</v>
      </c>
      <c r="I216" s="63" t="str">
        <f>HYPERLINK("http://nsgreg.nga.mil/genc/view?v=861780&amp;end_month=12&amp;end_day=31&amp;end_year=2016","Correlation")</f>
        <v>Correlation</v>
      </c>
    </row>
    <row r="217" spans="1:9" x14ac:dyDescent="0.2">
      <c r="A217" s="57" t="s">
        <v>12741</v>
      </c>
      <c r="B217" s="58" t="s">
        <v>1195</v>
      </c>
      <c r="C217" s="58" t="s">
        <v>1196</v>
      </c>
      <c r="D217" s="60" t="b">
        <v>1</v>
      </c>
      <c r="E217" s="58" t="s">
        <v>1194</v>
      </c>
      <c r="F217" s="58" t="s">
        <v>1195</v>
      </c>
      <c r="G217" s="58" t="s">
        <v>1196</v>
      </c>
      <c r="H217" s="59" t="s">
        <v>1197</v>
      </c>
      <c r="I217" s="63" t="str">
        <f>HYPERLINK("http://nsgreg.nga.mil/genc/view?v=861781&amp;end_month=12&amp;end_day=31&amp;end_year=2016","Correlation")</f>
        <v>Correlation</v>
      </c>
    </row>
    <row r="218" spans="1:9" x14ac:dyDescent="0.2">
      <c r="A218" s="57" t="s">
        <v>12742</v>
      </c>
      <c r="B218" s="58" t="s">
        <v>1199</v>
      </c>
      <c r="C218" s="58" t="s">
        <v>1200</v>
      </c>
      <c r="D218" s="60" t="b">
        <v>1</v>
      </c>
      <c r="E218" s="58" t="s">
        <v>1198</v>
      </c>
      <c r="F218" s="58" t="s">
        <v>1199</v>
      </c>
      <c r="G218" s="58" t="s">
        <v>1200</v>
      </c>
      <c r="H218" s="59" t="s">
        <v>1201</v>
      </c>
      <c r="I218" s="63" t="str">
        <f>HYPERLINK("http://nsgreg.nga.mil/genc/view?v=861782&amp;end_month=12&amp;end_day=31&amp;end_year=2016","Correlation")</f>
        <v>Correlation</v>
      </c>
    </row>
    <row r="219" spans="1:9" x14ac:dyDescent="0.2">
      <c r="A219" s="57" t="s">
        <v>12743</v>
      </c>
      <c r="B219" s="58" t="s">
        <v>1203</v>
      </c>
      <c r="C219" s="58" t="s">
        <v>1204</v>
      </c>
      <c r="D219" s="60" t="b">
        <v>1</v>
      </c>
      <c r="E219" s="58" t="s">
        <v>1202</v>
      </c>
      <c r="F219" s="58" t="s">
        <v>1203</v>
      </c>
      <c r="G219" s="58" t="s">
        <v>1204</v>
      </c>
      <c r="H219" s="59" t="s">
        <v>1205</v>
      </c>
      <c r="I219" s="63" t="str">
        <f>HYPERLINK("http://nsgreg.nga.mil/genc/view?v=861783&amp;end_month=12&amp;end_day=31&amp;end_year=2016","Correlation")</f>
        <v>Correlation</v>
      </c>
    </row>
    <row r="220" spans="1:9" x14ac:dyDescent="0.2">
      <c r="A220" s="57" t="s">
        <v>12744</v>
      </c>
      <c r="B220" s="58" t="s">
        <v>1207</v>
      </c>
      <c r="C220" s="58" t="s">
        <v>1208</v>
      </c>
      <c r="D220" s="60" t="b">
        <v>1</v>
      </c>
      <c r="E220" s="58" t="s">
        <v>1206</v>
      </c>
      <c r="F220" s="58" t="s">
        <v>1207</v>
      </c>
      <c r="G220" s="58" t="s">
        <v>1208</v>
      </c>
      <c r="H220" s="59" t="s">
        <v>1209</v>
      </c>
      <c r="I220" s="63" t="str">
        <f>HYPERLINK("http://nsgreg.nga.mil/genc/view?v=861784&amp;end_month=12&amp;end_day=31&amp;end_year=2016","Correlation")</f>
        <v>Correlation</v>
      </c>
    </row>
    <row r="221" spans="1:9" x14ac:dyDescent="0.2">
      <c r="A221" s="57" t="s">
        <v>12745</v>
      </c>
      <c r="B221" s="58" t="s">
        <v>1211</v>
      </c>
      <c r="C221" s="58" t="s">
        <v>1212</v>
      </c>
      <c r="D221" s="60" t="b">
        <v>1</v>
      </c>
      <c r="E221" s="58" t="s">
        <v>1210</v>
      </c>
      <c r="F221" s="58" t="s">
        <v>1211</v>
      </c>
      <c r="G221" s="58" t="s">
        <v>1212</v>
      </c>
      <c r="H221" s="59" t="s">
        <v>1213</v>
      </c>
      <c r="I221" s="63" t="str">
        <f>HYPERLINK("http://nsgreg.nga.mil/genc/view?v=861785&amp;end_month=12&amp;end_day=31&amp;end_year=2016","Correlation")</f>
        <v>Correlation</v>
      </c>
    </row>
    <row r="222" spans="1:9" x14ac:dyDescent="0.2">
      <c r="A222" s="57" t="s">
        <v>12746</v>
      </c>
      <c r="B222" s="58" t="s">
        <v>1220</v>
      </c>
      <c r="C222" s="58" t="s">
        <v>1221</v>
      </c>
      <c r="D222" s="60" t="b">
        <v>1</v>
      </c>
      <c r="E222" s="58" t="s">
        <v>1219</v>
      </c>
      <c r="F222" s="58" t="s">
        <v>1220</v>
      </c>
      <c r="G222" s="58" t="s">
        <v>1221</v>
      </c>
      <c r="H222" s="59" t="s">
        <v>1222</v>
      </c>
      <c r="I222" s="63" t="str">
        <f>HYPERLINK("http://nsgreg.nga.mil/genc/view?v=861786&amp;end_month=12&amp;end_day=31&amp;end_year=2016","Correlation")</f>
        <v>Correlation</v>
      </c>
    </row>
    <row r="223" spans="1:9" x14ac:dyDescent="0.2">
      <c r="A223" s="57" t="s">
        <v>12747</v>
      </c>
      <c r="B223" s="58" t="s">
        <v>1228</v>
      </c>
      <c r="C223" s="58" t="s">
        <v>1229</v>
      </c>
      <c r="D223" s="60" t="b">
        <v>1</v>
      </c>
      <c r="E223" s="58" t="s">
        <v>1227</v>
      </c>
      <c r="F223" s="58" t="s">
        <v>1228</v>
      </c>
      <c r="G223" s="58" t="s">
        <v>1229</v>
      </c>
      <c r="H223" s="59" t="s">
        <v>1230</v>
      </c>
      <c r="I223" s="63" t="str">
        <f>HYPERLINK("http://nsgreg.nga.mil/genc/view?v=861787&amp;end_month=12&amp;end_day=31&amp;end_year=2016","Correlation")</f>
        <v>Correlation</v>
      </c>
    </row>
    <row r="224" spans="1:9" x14ac:dyDescent="0.2">
      <c r="A224" s="57" t="s">
        <v>12748</v>
      </c>
      <c r="B224" s="58" t="s">
        <v>1232</v>
      </c>
      <c r="C224" s="58" t="s">
        <v>1233</v>
      </c>
      <c r="D224" s="60" t="b">
        <v>1</v>
      </c>
      <c r="E224" s="58" t="s">
        <v>1231</v>
      </c>
      <c r="F224" s="58" t="s">
        <v>1232</v>
      </c>
      <c r="G224" s="58" t="s">
        <v>1233</v>
      </c>
      <c r="H224" s="59" t="s">
        <v>1234</v>
      </c>
      <c r="I224" s="63" t="str">
        <f>HYPERLINK("http://nsgreg.nga.mil/genc/view?v=861788&amp;end_month=12&amp;end_day=31&amp;end_year=2016","Correlation")</f>
        <v>Correlation</v>
      </c>
    </row>
    <row r="225" spans="1:9" x14ac:dyDescent="0.2">
      <c r="A225" s="57" t="s">
        <v>12749</v>
      </c>
      <c r="B225" s="58" t="s">
        <v>1236</v>
      </c>
      <c r="C225" s="58" t="s">
        <v>1237</v>
      </c>
      <c r="D225" s="60" t="b">
        <v>1</v>
      </c>
      <c r="E225" s="58" t="s">
        <v>1235</v>
      </c>
      <c r="F225" s="58" t="s">
        <v>1236</v>
      </c>
      <c r="G225" s="58" t="s">
        <v>1237</v>
      </c>
      <c r="H225" s="59" t="s">
        <v>1238</v>
      </c>
      <c r="I225" s="63" t="str">
        <f>HYPERLINK("http://nsgreg.nga.mil/genc/view?v=861789&amp;end_month=12&amp;end_day=31&amp;end_year=2016","Correlation")</f>
        <v>Correlation</v>
      </c>
    </row>
    <row r="226" spans="1:9" x14ac:dyDescent="0.2">
      <c r="A226" s="99" t="s">
        <v>12661</v>
      </c>
      <c r="B226" s="100" t="s">
        <v>741</v>
      </c>
      <c r="C226" s="100" t="s">
        <v>742</v>
      </c>
      <c r="D226" s="60" t="b">
        <v>1</v>
      </c>
      <c r="E226" s="58" t="s">
        <v>1239</v>
      </c>
      <c r="F226" s="58" t="s">
        <v>1240</v>
      </c>
      <c r="G226" s="58" t="s">
        <v>1241</v>
      </c>
      <c r="H226" s="59" t="s">
        <v>1242</v>
      </c>
      <c r="I226" s="63" t="str">
        <f>HYPERLINK("http://nsgreg.nga.mil/genc/view?v=861790&amp;end_month=12&amp;end_day=31&amp;end_year=2016","Correlation")</f>
        <v>Correlation</v>
      </c>
    </row>
    <row r="227" spans="1:9" x14ac:dyDescent="0.2">
      <c r="A227" s="99"/>
      <c r="B227" s="100"/>
      <c r="C227" s="100"/>
      <c r="D227" s="67" t="b">
        <v>0</v>
      </c>
      <c r="E227" s="58" t="s">
        <v>736</v>
      </c>
      <c r="F227" s="58" t="s">
        <v>737</v>
      </c>
      <c r="G227" s="58" t="s">
        <v>738</v>
      </c>
      <c r="H227" s="59" t="s">
        <v>739</v>
      </c>
      <c r="I227" s="63" t="str">
        <f>HYPERLINK("http://nsgreg.nga.mil/genc/view?v=861791&amp;end_month=12&amp;end_day=31&amp;end_year=2016","Correlation")</f>
        <v>Correlation</v>
      </c>
    </row>
    <row r="228" spans="1:9" x14ac:dyDescent="0.2">
      <c r="A228" s="57" t="s">
        <v>12750</v>
      </c>
      <c r="B228" s="58" t="s">
        <v>1246</v>
      </c>
      <c r="C228" s="58" t="s">
        <v>1247</v>
      </c>
      <c r="D228" s="60" t="b">
        <v>1</v>
      </c>
      <c r="E228" s="58" t="s">
        <v>1245</v>
      </c>
      <c r="F228" s="58" t="s">
        <v>1246</v>
      </c>
      <c r="G228" s="58" t="s">
        <v>1247</v>
      </c>
      <c r="H228" s="59" t="s">
        <v>1248</v>
      </c>
      <c r="I228" s="63" t="str">
        <f>HYPERLINK("http://nsgreg.nga.mil/genc/view?v=861792&amp;end_month=12&amp;end_day=31&amp;end_year=2016","Correlation")</f>
        <v>Correlation</v>
      </c>
    </row>
    <row r="229" spans="1:9" x14ac:dyDescent="0.2">
      <c r="A229" s="57" t="s">
        <v>12751</v>
      </c>
      <c r="B229" s="58" t="s">
        <v>1250</v>
      </c>
      <c r="C229" s="58" t="s">
        <v>1251</v>
      </c>
      <c r="D229" s="60" t="b">
        <v>1</v>
      </c>
      <c r="E229" s="58" t="s">
        <v>1249</v>
      </c>
      <c r="F229" s="58" t="s">
        <v>1250</v>
      </c>
      <c r="G229" s="58" t="s">
        <v>1251</v>
      </c>
      <c r="H229" s="59" t="s">
        <v>1252</v>
      </c>
      <c r="I229" s="63" t="str">
        <f>HYPERLINK("http://nsgreg.nga.mil/genc/view?v=861793&amp;end_month=12&amp;end_day=31&amp;end_year=2016","Correlation")</f>
        <v>Correlation</v>
      </c>
    </row>
    <row r="230" spans="1:9" x14ac:dyDescent="0.2">
      <c r="A230" s="57" t="s">
        <v>12752</v>
      </c>
      <c r="B230" s="58" t="s">
        <v>1254</v>
      </c>
      <c r="C230" s="58" t="s">
        <v>1255</v>
      </c>
      <c r="D230" s="60" t="b">
        <v>1</v>
      </c>
      <c r="E230" s="58" t="s">
        <v>1253</v>
      </c>
      <c r="F230" s="58" t="s">
        <v>1254</v>
      </c>
      <c r="G230" s="58" t="s">
        <v>1255</v>
      </c>
      <c r="H230" s="59" t="s">
        <v>1256</v>
      </c>
      <c r="I230" s="63" t="str">
        <f>HYPERLINK("http://nsgreg.nga.mil/genc/view?v=861794&amp;end_month=12&amp;end_day=31&amp;end_year=2016","Correlation")</f>
        <v>Correlation</v>
      </c>
    </row>
    <row r="231" spans="1:9" x14ac:dyDescent="0.2">
      <c r="A231" s="57" t="s">
        <v>12753</v>
      </c>
      <c r="B231" s="58" t="s">
        <v>1258</v>
      </c>
      <c r="C231" s="58" t="s">
        <v>1259</v>
      </c>
      <c r="D231" s="60" t="b">
        <v>1</v>
      </c>
      <c r="E231" s="58" t="s">
        <v>1257</v>
      </c>
      <c r="F231" s="58" t="s">
        <v>1258</v>
      </c>
      <c r="G231" s="58" t="s">
        <v>1259</v>
      </c>
      <c r="H231" s="59" t="s">
        <v>1260</v>
      </c>
      <c r="I231" s="63" t="str">
        <f>HYPERLINK("http://nsgreg.nga.mil/genc/view?v=861795&amp;end_month=12&amp;end_day=31&amp;end_year=2016","Correlation")</f>
        <v>Correlation</v>
      </c>
    </row>
    <row r="232" spans="1:9" x14ac:dyDescent="0.2">
      <c r="A232" s="99" t="s">
        <v>12715</v>
      </c>
      <c r="B232" s="100" t="s">
        <v>1047</v>
      </c>
      <c r="C232" s="100" t="s">
        <v>1048</v>
      </c>
      <c r="D232" s="60" t="b">
        <v>1</v>
      </c>
      <c r="E232" s="58" t="s">
        <v>1262</v>
      </c>
      <c r="F232" s="58" t="s">
        <v>1047</v>
      </c>
      <c r="G232" s="58" t="s">
        <v>1048</v>
      </c>
      <c r="H232" s="59" t="s">
        <v>1049</v>
      </c>
      <c r="I232" s="63" t="str">
        <f>HYPERLINK("http://nsgreg.nga.mil/genc/view?v=861796&amp;end_month=12&amp;end_day=31&amp;end_year=2016","Correlation")</f>
        <v>Correlation</v>
      </c>
    </row>
    <row r="233" spans="1:9" x14ac:dyDescent="0.2">
      <c r="A233" s="99"/>
      <c r="B233" s="100"/>
      <c r="C233" s="100"/>
      <c r="D233" s="67" t="b">
        <v>0</v>
      </c>
      <c r="E233" s="58" t="s">
        <v>1042</v>
      </c>
      <c r="F233" s="58" t="s">
        <v>1043</v>
      </c>
      <c r="G233" s="58" t="s">
        <v>1044</v>
      </c>
      <c r="H233" s="59" t="s">
        <v>1045</v>
      </c>
      <c r="I233" s="63" t="str">
        <f>HYPERLINK("http://nsgreg.nga.mil/genc/view?v=861797&amp;end_month=12&amp;end_day=31&amp;end_year=2016","Correlation")</f>
        <v>Correlation</v>
      </c>
    </row>
    <row r="234" spans="1:9" x14ac:dyDescent="0.2">
      <c r="A234" s="99"/>
      <c r="B234" s="100"/>
      <c r="C234" s="100"/>
      <c r="D234" s="67" t="b">
        <v>0</v>
      </c>
      <c r="E234" s="58" t="s">
        <v>1223</v>
      </c>
      <c r="F234" s="58" t="s">
        <v>1224</v>
      </c>
      <c r="G234" s="58" t="s">
        <v>1225</v>
      </c>
      <c r="H234" s="59" t="s">
        <v>1226</v>
      </c>
      <c r="I234" s="63" t="str">
        <f>HYPERLINK("http://nsgreg.nga.mil/genc/view?v=861798&amp;end_month=12&amp;end_day=31&amp;end_year=2016","Correlation")</f>
        <v>Correlation</v>
      </c>
    </row>
    <row r="235" spans="1:9" x14ac:dyDescent="0.2">
      <c r="A235" s="57" t="s">
        <v>12754</v>
      </c>
      <c r="B235" s="58" t="s">
        <v>1264</v>
      </c>
      <c r="C235" s="58" t="s">
        <v>1265</v>
      </c>
      <c r="D235" s="60" t="b">
        <v>1</v>
      </c>
      <c r="E235" s="58" t="s">
        <v>1263</v>
      </c>
      <c r="F235" s="58" t="s">
        <v>1264</v>
      </c>
      <c r="G235" s="58" t="s">
        <v>1265</v>
      </c>
      <c r="H235" s="59" t="s">
        <v>1266</v>
      </c>
      <c r="I235" s="63" t="str">
        <f>HYPERLINK("http://nsgreg.nga.mil/genc/view?v=861799&amp;end_month=12&amp;end_day=31&amp;end_year=2016","Correlation")</f>
        <v>Correlation</v>
      </c>
    </row>
    <row r="236" spans="1:9" x14ac:dyDescent="0.2">
      <c r="A236" s="57" t="s">
        <v>12755</v>
      </c>
      <c r="B236" s="58" t="s">
        <v>1268</v>
      </c>
      <c r="C236" s="58" t="s">
        <v>1269</v>
      </c>
      <c r="D236" s="60" t="b">
        <v>1</v>
      </c>
      <c r="E236" s="58" t="s">
        <v>1267</v>
      </c>
      <c r="F236" s="58" t="s">
        <v>1268</v>
      </c>
      <c r="G236" s="58" t="s">
        <v>1269</v>
      </c>
      <c r="H236" s="59" t="s">
        <v>1270</v>
      </c>
      <c r="I236" s="63" t="str">
        <f>HYPERLINK("http://nsgreg.nga.mil/genc/view?v=861800&amp;end_month=12&amp;end_day=31&amp;end_year=2016","Correlation")</f>
        <v>Correlation</v>
      </c>
    </row>
    <row r="237" spans="1:9" x14ac:dyDescent="0.2">
      <c r="A237" s="57" t="s">
        <v>12756</v>
      </c>
      <c r="B237" s="58" t="s">
        <v>1273</v>
      </c>
      <c r="C237" s="58" t="s">
        <v>1274</v>
      </c>
      <c r="D237" s="60" t="b">
        <v>1</v>
      </c>
      <c r="E237" s="58" t="s">
        <v>1272</v>
      </c>
      <c r="F237" s="58" t="s">
        <v>1273</v>
      </c>
      <c r="G237" s="58" t="s">
        <v>1274</v>
      </c>
      <c r="H237" s="59" t="s">
        <v>1275</v>
      </c>
      <c r="I237" s="63" t="str">
        <f>HYPERLINK("http://nsgreg.nga.mil/genc/view?v=861801&amp;end_month=12&amp;end_day=31&amp;end_year=2016","Correlation")</f>
        <v>Correlation</v>
      </c>
    </row>
    <row r="238" spans="1:9" x14ac:dyDescent="0.2">
      <c r="A238" s="57" t="s">
        <v>12680</v>
      </c>
      <c r="B238" s="58" t="s">
        <v>12681</v>
      </c>
      <c r="C238" s="69" t="s">
        <v>509</v>
      </c>
      <c r="D238" s="60" t="b">
        <v>1</v>
      </c>
      <c r="E238" s="58" t="s">
        <v>860</v>
      </c>
      <c r="F238" s="58" t="s">
        <v>861</v>
      </c>
      <c r="G238" s="58" t="s">
        <v>862</v>
      </c>
      <c r="H238" s="59" t="s">
        <v>863</v>
      </c>
      <c r="I238" s="63" t="str">
        <f>HYPERLINK("http://nsgreg.nga.mil/genc/view?v=861802&amp;end_month=12&amp;end_day=31&amp;end_year=2016","Correlation")</f>
        <v>Correlation</v>
      </c>
    </row>
    <row r="239" spans="1:9" x14ac:dyDescent="0.2">
      <c r="A239" s="57" t="s">
        <v>12757</v>
      </c>
      <c r="B239" s="58" t="s">
        <v>1277</v>
      </c>
      <c r="C239" s="58" t="s">
        <v>1278</v>
      </c>
      <c r="D239" s="60" t="b">
        <v>1</v>
      </c>
      <c r="E239" s="58" t="s">
        <v>1276</v>
      </c>
      <c r="F239" s="58" t="s">
        <v>1277</v>
      </c>
      <c r="G239" s="58" t="s">
        <v>1278</v>
      </c>
      <c r="H239" s="59" t="s">
        <v>1279</v>
      </c>
      <c r="I239" s="63" t="str">
        <f>HYPERLINK("http://nsgreg.nga.mil/genc/view?v=861803&amp;end_month=12&amp;end_day=31&amp;end_year=2016","Correlation")</f>
        <v>Correlation</v>
      </c>
    </row>
    <row r="240" spans="1:9" x14ac:dyDescent="0.2">
      <c r="A240" s="57" t="s">
        <v>12758</v>
      </c>
      <c r="B240" s="58" t="s">
        <v>1281</v>
      </c>
      <c r="C240" s="58" t="s">
        <v>1282</v>
      </c>
      <c r="D240" s="60" t="b">
        <v>1</v>
      </c>
      <c r="E240" s="58" t="s">
        <v>1280</v>
      </c>
      <c r="F240" s="58" t="s">
        <v>1281</v>
      </c>
      <c r="G240" s="58" t="s">
        <v>1282</v>
      </c>
      <c r="H240" s="59" t="s">
        <v>1283</v>
      </c>
      <c r="I240" s="63" t="str">
        <f>HYPERLINK("http://nsgreg.nga.mil/genc/view?v=861804&amp;end_month=12&amp;end_day=31&amp;end_year=2016","Correlation")</f>
        <v>Correlation</v>
      </c>
    </row>
    <row r="241" spans="1:9" x14ac:dyDescent="0.2">
      <c r="A241" s="57" t="s">
        <v>12759</v>
      </c>
      <c r="B241" s="58" t="s">
        <v>1285</v>
      </c>
      <c r="C241" s="58" t="s">
        <v>1286</v>
      </c>
      <c r="D241" s="60" t="b">
        <v>1</v>
      </c>
      <c r="E241" s="58" t="s">
        <v>1284</v>
      </c>
      <c r="F241" s="58" t="s">
        <v>1285</v>
      </c>
      <c r="G241" s="58" t="s">
        <v>1286</v>
      </c>
      <c r="H241" s="59" t="s">
        <v>1287</v>
      </c>
      <c r="I241" s="63" t="str">
        <f>HYPERLINK("http://nsgreg.nga.mil/genc/view?v=861805&amp;end_month=12&amp;end_day=31&amp;end_year=2016","Correlation")</f>
        <v>Correlation</v>
      </c>
    </row>
    <row r="242" spans="1:9" x14ac:dyDescent="0.2">
      <c r="A242" s="57" t="s">
        <v>12760</v>
      </c>
      <c r="B242" s="58" t="s">
        <v>1289</v>
      </c>
      <c r="C242" s="58" t="s">
        <v>1290</v>
      </c>
      <c r="D242" s="60" t="b">
        <v>1</v>
      </c>
      <c r="E242" s="58" t="s">
        <v>1288</v>
      </c>
      <c r="F242" s="58" t="s">
        <v>1289</v>
      </c>
      <c r="G242" s="58" t="s">
        <v>1290</v>
      </c>
      <c r="H242" s="59" t="s">
        <v>1291</v>
      </c>
      <c r="I242" s="63" t="str">
        <f>HYPERLINK("http://nsgreg.nga.mil/genc/view?v=861806&amp;end_month=12&amp;end_day=31&amp;end_year=2016","Correlation")</f>
        <v>Correlation</v>
      </c>
    </row>
    <row r="243" spans="1:9" x14ac:dyDescent="0.2">
      <c r="A243" s="57" t="s">
        <v>12761</v>
      </c>
      <c r="B243" s="58" t="s">
        <v>1293</v>
      </c>
      <c r="C243" s="58" t="s">
        <v>1294</v>
      </c>
      <c r="D243" s="60" t="b">
        <v>1</v>
      </c>
      <c r="E243" s="58" t="s">
        <v>1292</v>
      </c>
      <c r="F243" s="58" t="s">
        <v>1293</v>
      </c>
      <c r="G243" s="58" t="s">
        <v>1294</v>
      </c>
      <c r="H243" s="59" t="s">
        <v>1295</v>
      </c>
      <c r="I243" s="63" t="str">
        <f>HYPERLINK("http://nsgreg.nga.mil/genc/view?v=861807&amp;end_month=12&amp;end_day=31&amp;end_year=2016","Correlation")</f>
        <v>Correlation</v>
      </c>
    </row>
    <row r="244" spans="1:9" x14ac:dyDescent="0.2">
      <c r="A244" s="57" t="s">
        <v>12762</v>
      </c>
      <c r="B244" s="58" t="s">
        <v>1301</v>
      </c>
      <c r="C244" s="58" t="s">
        <v>1302</v>
      </c>
      <c r="D244" s="60" t="b">
        <v>1</v>
      </c>
      <c r="E244" s="58" t="s">
        <v>1300</v>
      </c>
      <c r="F244" s="58" t="s">
        <v>1301</v>
      </c>
      <c r="G244" s="58" t="s">
        <v>1302</v>
      </c>
      <c r="H244" s="59" t="s">
        <v>1303</v>
      </c>
      <c r="I244" s="63" t="str">
        <f>HYPERLINK("http://nsgreg.nga.mil/genc/view?v=861808&amp;end_month=12&amp;end_day=31&amp;end_year=2016","Correlation")</f>
        <v>Correlation</v>
      </c>
    </row>
    <row r="245" spans="1:9" x14ac:dyDescent="0.2">
      <c r="A245" s="57" t="s">
        <v>12763</v>
      </c>
      <c r="B245" s="58" t="s">
        <v>1305</v>
      </c>
      <c r="C245" s="58" t="s">
        <v>1306</v>
      </c>
      <c r="D245" s="60" t="b">
        <v>1</v>
      </c>
      <c r="E245" s="58" t="s">
        <v>1304</v>
      </c>
      <c r="F245" s="58" t="s">
        <v>1305</v>
      </c>
      <c r="G245" s="58" t="s">
        <v>1306</v>
      </c>
      <c r="H245" s="59" t="s">
        <v>1307</v>
      </c>
      <c r="I245" s="63" t="str">
        <f>HYPERLINK("http://nsgreg.nga.mil/genc/view?v=861809&amp;end_month=12&amp;end_day=31&amp;end_year=2016","Correlation")</f>
        <v>Correlation</v>
      </c>
    </row>
    <row r="246" spans="1:9" x14ac:dyDescent="0.2">
      <c r="A246" s="57" t="s">
        <v>12764</v>
      </c>
      <c r="B246" s="58" t="s">
        <v>1309</v>
      </c>
      <c r="C246" s="58" t="s">
        <v>1310</v>
      </c>
      <c r="D246" s="60" t="b">
        <v>1</v>
      </c>
      <c r="E246" s="58" t="s">
        <v>1308</v>
      </c>
      <c r="F246" s="58" t="s">
        <v>1309</v>
      </c>
      <c r="G246" s="58" t="s">
        <v>1310</v>
      </c>
      <c r="H246" s="59" t="s">
        <v>1311</v>
      </c>
      <c r="I246" s="63" t="str">
        <f>HYPERLINK("http://nsgreg.nga.mil/genc/view?v=861810&amp;end_month=12&amp;end_day=31&amp;end_year=2016","Correlation")</f>
        <v>Correlation</v>
      </c>
    </row>
    <row r="247" spans="1:9" x14ac:dyDescent="0.2">
      <c r="A247" s="57" t="s">
        <v>12765</v>
      </c>
      <c r="B247" s="58" t="s">
        <v>1313</v>
      </c>
      <c r="C247" s="58" t="s">
        <v>1314</v>
      </c>
      <c r="D247" s="60" t="b">
        <v>1</v>
      </c>
      <c r="E247" s="58" t="s">
        <v>1312</v>
      </c>
      <c r="F247" s="58" t="s">
        <v>1313</v>
      </c>
      <c r="G247" s="58" t="s">
        <v>1314</v>
      </c>
      <c r="H247" s="59" t="s">
        <v>1315</v>
      </c>
      <c r="I247" s="63" t="str">
        <f>HYPERLINK("http://nsgreg.nga.mil/genc/view?v=861811&amp;end_month=12&amp;end_day=31&amp;end_year=2016","Correlation")</f>
        <v>Correlation</v>
      </c>
    </row>
    <row r="248" spans="1:9" x14ac:dyDescent="0.2">
      <c r="A248" s="57" t="s">
        <v>12766</v>
      </c>
      <c r="B248" s="58" t="s">
        <v>1317</v>
      </c>
      <c r="C248" s="58" t="s">
        <v>1318</v>
      </c>
      <c r="D248" s="60" t="b">
        <v>1</v>
      </c>
      <c r="E248" s="58" t="s">
        <v>1316</v>
      </c>
      <c r="F248" s="58" t="s">
        <v>1317</v>
      </c>
      <c r="G248" s="58" t="s">
        <v>1318</v>
      </c>
      <c r="H248" s="59" t="s">
        <v>1319</v>
      </c>
      <c r="I248" s="63" t="str">
        <f>HYPERLINK("http://nsgreg.nga.mil/genc/view?v=861812&amp;end_month=12&amp;end_day=31&amp;end_year=2016","Correlation")</f>
        <v>Correlation</v>
      </c>
    </row>
    <row r="249" spans="1:9" x14ac:dyDescent="0.2">
      <c r="A249" s="57" t="s">
        <v>12767</v>
      </c>
      <c r="B249" s="58" t="s">
        <v>1321</v>
      </c>
      <c r="C249" s="58" t="s">
        <v>1322</v>
      </c>
      <c r="D249" s="60" t="b">
        <v>1</v>
      </c>
      <c r="E249" s="58" t="s">
        <v>1320</v>
      </c>
      <c r="F249" s="58" t="s">
        <v>1321</v>
      </c>
      <c r="G249" s="58" t="s">
        <v>1322</v>
      </c>
      <c r="H249" s="59" t="s">
        <v>1323</v>
      </c>
      <c r="I249" s="63" t="str">
        <f>HYPERLINK("http://nsgreg.nga.mil/genc/view?v=861813&amp;end_month=12&amp;end_day=31&amp;end_year=2016","Correlation")</f>
        <v>Correlation</v>
      </c>
    </row>
    <row r="250" spans="1:9" x14ac:dyDescent="0.2">
      <c r="A250" s="57" t="s">
        <v>12768</v>
      </c>
      <c r="B250" s="58" t="s">
        <v>1325</v>
      </c>
      <c r="C250" s="58" t="s">
        <v>1326</v>
      </c>
      <c r="D250" s="60" t="b">
        <v>1</v>
      </c>
      <c r="E250" s="58" t="s">
        <v>1324</v>
      </c>
      <c r="F250" s="58" t="s">
        <v>1325</v>
      </c>
      <c r="G250" s="58" t="s">
        <v>1326</v>
      </c>
      <c r="H250" s="59" t="s">
        <v>1327</v>
      </c>
      <c r="I250" s="63" t="str">
        <f>HYPERLINK("http://nsgreg.nga.mil/genc/view?v=861814&amp;end_month=12&amp;end_day=31&amp;end_year=2016","Correlation")</f>
        <v>Correlation</v>
      </c>
    </row>
    <row r="251" spans="1:9" x14ac:dyDescent="0.2">
      <c r="A251" s="57" t="s">
        <v>12769</v>
      </c>
      <c r="B251" s="58" t="s">
        <v>1329</v>
      </c>
      <c r="C251" s="58" t="s">
        <v>1330</v>
      </c>
      <c r="D251" s="60" t="b">
        <v>1</v>
      </c>
      <c r="E251" s="58" t="s">
        <v>1328</v>
      </c>
      <c r="F251" s="58" t="s">
        <v>1329</v>
      </c>
      <c r="G251" s="58" t="s">
        <v>1330</v>
      </c>
      <c r="H251" s="59" t="s">
        <v>1331</v>
      </c>
      <c r="I251" s="63" t="str">
        <f>HYPERLINK("http://nsgreg.nga.mil/genc/view?v=861815&amp;end_month=12&amp;end_day=31&amp;end_year=2016","Correlation")</f>
        <v>Correlation</v>
      </c>
    </row>
    <row r="252" spans="1:9" x14ac:dyDescent="0.2">
      <c r="A252" s="99" t="s">
        <v>12643</v>
      </c>
      <c r="B252" s="100" t="s">
        <v>1333</v>
      </c>
      <c r="C252" s="100" t="s">
        <v>1334</v>
      </c>
      <c r="D252" s="60" t="b">
        <v>1</v>
      </c>
      <c r="E252" s="58" t="s">
        <v>1332</v>
      </c>
      <c r="F252" s="58" t="s">
        <v>1333</v>
      </c>
      <c r="G252" s="58" t="s">
        <v>1334</v>
      </c>
      <c r="H252" s="59" t="s">
        <v>1335</v>
      </c>
      <c r="I252" s="63" t="str">
        <f>HYPERLINK("http://nsgreg.nga.mil/genc/view?v=861816&amp;end_month=12&amp;end_day=31&amp;end_year=2016","Correlation")</f>
        <v>Correlation</v>
      </c>
    </row>
    <row r="253" spans="1:9" x14ac:dyDescent="0.2">
      <c r="A253" s="99"/>
      <c r="B253" s="100"/>
      <c r="C253" s="100"/>
      <c r="D253" s="67" t="b">
        <v>0</v>
      </c>
      <c r="E253" s="58" t="s">
        <v>651</v>
      </c>
      <c r="F253" s="58" t="s">
        <v>652</v>
      </c>
      <c r="G253" s="58" t="s">
        <v>653</v>
      </c>
      <c r="H253" s="59" t="s">
        <v>654</v>
      </c>
      <c r="I253" s="63" t="str">
        <f>HYPERLINK("http://nsgreg.nga.mil/genc/view?v=861817&amp;end_month=12&amp;end_day=31&amp;end_year=2016","Correlation")</f>
        <v>Correlation</v>
      </c>
    </row>
    <row r="254" spans="1:9" x14ac:dyDescent="0.2">
      <c r="A254" s="99"/>
      <c r="B254" s="100"/>
      <c r="C254" s="100"/>
      <c r="D254" s="67" t="b">
        <v>0</v>
      </c>
      <c r="E254" s="58" t="s">
        <v>756</v>
      </c>
      <c r="F254" s="58" t="s">
        <v>757</v>
      </c>
      <c r="G254" s="58" t="s">
        <v>758</v>
      </c>
      <c r="H254" s="59" t="s">
        <v>759</v>
      </c>
      <c r="I254" s="63" t="str">
        <f>HYPERLINK("http://nsgreg.nga.mil/genc/view?v=861819&amp;end_month=12&amp;end_day=31&amp;end_year=2016","Correlation")</f>
        <v>Correlation</v>
      </c>
    </row>
    <row r="255" spans="1:9" x14ac:dyDescent="0.2">
      <c r="A255" s="99"/>
      <c r="B255" s="100"/>
      <c r="C255" s="100"/>
      <c r="D255" s="67" t="b">
        <v>0</v>
      </c>
      <c r="E255" s="58" t="s">
        <v>720</v>
      </c>
      <c r="F255" s="58" t="s">
        <v>721</v>
      </c>
      <c r="G255" s="58" t="s">
        <v>722</v>
      </c>
      <c r="H255" s="59" t="s">
        <v>723</v>
      </c>
      <c r="I255" s="63" t="str">
        <f>HYPERLINK("http://nsgreg.nga.mil/genc/view?v=861818&amp;end_month=12&amp;end_day=31&amp;end_year=2016","Correlation")</f>
        <v>Correlation</v>
      </c>
    </row>
    <row r="256" spans="1:9" x14ac:dyDescent="0.2">
      <c r="A256" s="57" t="s">
        <v>12770</v>
      </c>
      <c r="B256" s="58" t="s">
        <v>1338</v>
      </c>
      <c r="C256" s="58" t="s">
        <v>1339</v>
      </c>
      <c r="D256" s="60" t="b">
        <v>1</v>
      </c>
      <c r="E256" s="58" t="s">
        <v>1337</v>
      </c>
      <c r="F256" s="58" t="s">
        <v>1338</v>
      </c>
      <c r="G256" s="58" t="s">
        <v>1339</v>
      </c>
      <c r="H256" s="59" t="s">
        <v>1340</v>
      </c>
      <c r="I256" s="63" t="str">
        <f>HYPERLINK("http://nsgreg.nga.mil/genc/view?v=861820&amp;end_month=12&amp;end_day=31&amp;end_year=2016","Correlation")</f>
        <v>Correlation</v>
      </c>
    </row>
    <row r="257" spans="1:9" x14ac:dyDescent="0.2">
      <c r="A257" s="57" t="s">
        <v>12771</v>
      </c>
      <c r="B257" s="58" t="s">
        <v>1347</v>
      </c>
      <c r="C257" s="58" t="s">
        <v>1348</v>
      </c>
      <c r="D257" s="60" t="b">
        <v>1</v>
      </c>
      <c r="E257" s="58" t="s">
        <v>1346</v>
      </c>
      <c r="F257" s="58" t="s">
        <v>1347</v>
      </c>
      <c r="G257" s="58" t="s">
        <v>1348</v>
      </c>
      <c r="H257" s="59" t="s">
        <v>1349</v>
      </c>
      <c r="I257" s="63" t="str">
        <f>HYPERLINK("http://nsgreg.nga.mil/genc/view?v=861821&amp;end_month=12&amp;end_day=31&amp;end_year=2016","Correlation")</f>
        <v>Correlation</v>
      </c>
    </row>
    <row r="258" spans="1:9" x14ac:dyDescent="0.2">
      <c r="A258" s="99" t="s">
        <v>12572</v>
      </c>
      <c r="B258" s="100" t="s">
        <v>246</v>
      </c>
      <c r="C258" s="100" t="s">
        <v>247</v>
      </c>
      <c r="D258" s="67" t="b">
        <v>0</v>
      </c>
      <c r="E258" s="58" t="s">
        <v>241</v>
      </c>
      <c r="F258" s="58" t="s">
        <v>242</v>
      </c>
      <c r="G258" s="58" t="s">
        <v>243</v>
      </c>
      <c r="H258" s="59" t="s">
        <v>244</v>
      </c>
      <c r="I258" s="63" t="str">
        <f>HYPERLINK("http://nsgreg.nga.mil/genc/view?v=861822&amp;end_month=12&amp;end_day=31&amp;end_year=2016","Correlation")</f>
        <v>Correlation</v>
      </c>
    </row>
    <row r="259" spans="1:9" x14ac:dyDescent="0.2">
      <c r="A259" s="99"/>
      <c r="B259" s="100"/>
      <c r="C259" s="100"/>
      <c r="D259" s="67" t="b">
        <v>0</v>
      </c>
      <c r="E259" s="58" t="s">
        <v>685</v>
      </c>
      <c r="F259" s="58" t="s">
        <v>686</v>
      </c>
      <c r="G259" s="58" t="s">
        <v>687</v>
      </c>
      <c r="H259" s="59" t="s">
        <v>688</v>
      </c>
      <c r="I259" s="63" t="str">
        <f>HYPERLINK("http://nsgreg.nga.mil/genc/view?v=861823&amp;end_month=12&amp;end_day=31&amp;end_year=2016","Correlation")</f>
        <v>Correlation</v>
      </c>
    </row>
    <row r="260" spans="1:9" x14ac:dyDescent="0.2">
      <c r="A260" s="99"/>
      <c r="B260" s="100"/>
      <c r="C260" s="100"/>
      <c r="D260" s="67" t="b">
        <v>0</v>
      </c>
      <c r="E260" s="58" t="s">
        <v>750</v>
      </c>
      <c r="F260" s="58" t="s">
        <v>751</v>
      </c>
      <c r="G260" s="58" t="s">
        <v>752</v>
      </c>
      <c r="H260" s="59" t="s">
        <v>753</v>
      </c>
      <c r="I260" s="63" t="str">
        <f>HYPERLINK("http://nsgreg.nga.mil/genc/view?v=861824&amp;end_month=12&amp;end_day=31&amp;end_year=2016","Correlation")</f>
        <v>Correlation</v>
      </c>
    </row>
    <row r="261" spans="1:9" x14ac:dyDescent="0.2">
      <c r="A261" s="99"/>
      <c r="B261" s="100"/>
      <c r="C261" s="100"/>
      <c r="D261" s="67" t="b">
        <v>0</v>
      </c>
      <c r="E261" s="58" t="s">
        <v>760</v>
      </c>
      <c r="F261" s="58" t="s">
        <v>761</v>
      </c>
      <c r="G261" s="58" t="s">
        <v>762</v>
      </c>
      <c r="H261" s="59" t="s">
        <v>763</v>
      </c>
      <c r="I261" s="63" t="str">
        <f>HYPERLINK("http://nsgreg.nga.mil/genc/view?v=861825&amp;end_month=12&amp;end_day=31&amp;end_year=2016","Correlation")</f>
        <v>Correlation</v>
      </c>
    </row>
    <row r="262" spans="1:9" x14ac:dyDescent="0.2">
      <c r="A262" s="99"/>
      <c r="B262" s="100"/>
      <c r="C262" s="100"/>
      <c r="D262" s="67" t="b">
        <v>0</v>
      </c>
      <c r="E262" s="58" t="s">
        <v>782</v>
      </c>
      <c r="F262" s="58" t="s">
        <v>783</v>
      </c>
      <c r="G262" s="58" t="s">
        <v>784</v>
      </c>
      <c r="H262" s="59" t="s">
        <v>785</v>
      </c>
      <c r="I262" s="63" t="str">
        <f>HYPERLINK("http://nsgreg.nga.mil/genc/view?v=861826&amp;end_month=12&amp;end_day=31&amp;end_year=2016","Correlation")</f>
        <v>Correlation</v>
      </c>
    </row>
    <row r="263" spans="1:9" x14ac:dyDescent="0.2">
      <c r="A263" s="99"/>
      <c r="B263" s="100"/>
      <c r="C263" s="100"/>
      <c r="D263" s="67" t="b">
        <v>0</v>
      </c>
      <c r="E263" s="58" t="s">
        <v>923</v>
      </c>
      <c r="F263" s="58" t="s">
        <v>924</v>
      </c>
      <c r="G263" s="58" t="s">
        <v>925</v>
      </c>
      <c r="H263" s="59" t="s">
        <v>926</v>
      </c>
      <c r="I263" s="63" t="str">
        <f>HYPERLINK("http://nsgreg.nga.mil/genc/view?v=861827&amp;end_month=12&amp;end_day=31&amp;end_year=2016","Correlation")</f>
        <v>Correlation</v>
      </c>
    </row>
    <row r="264" spans="1:9" x14ac:dyDescent="0.2">
      <c r="A264" s="99"/>
      <c r="B264" s="100"/>
      <c r="C264" s="100"/>
      <c r="D264" s="67" t="b">
        <v>0</v>
      </c>
      <c r="E264" s="58" t="s">
        <v>966</v>
      </c>
      <c r="F264" s="58" t="s">
        <v>967</v>
      </c>
      <c r="G264" s="58" t="s">
        <v>968</v>
      </c>
      <c r="H264" s="59" t="s">
        <v>969</v>
      </c>
      <c r="I264" s="63" t="str">
        <f>HYPERLINK("http://nsgreg.nga.mil/genc/view?v=861828&amp;end_month=12&amp;end_day=31&amp;end_year=2016","Correlation")</f>
        <v>Correlation</v>
      </c>
    </row>
    <row r="265" spans="1:9" x14ac:dyDescent="0.2">
      <c r="A265" s="99"/>
      <c r="B265" s="100"/>
      <c r="C265" s="100"/>
      <c r="D265" s="67" t="b">
        <v>0</v>
      </c>
      <c r="E265" s="58" t="s">
        <v>1028</v>
      </c>
      <c r="F265" s="58" t="s">
        <v>1029</v>
      </c>
      <c r="G265" s="58" t="s">
        <v>1030</v>
      </c>
      <c r="H265" s="59" t="s">
        <v>1031</v>
      </c>
      <c r="I265" s="63" t="str">
        <f>HYPERLINK("http://nsgreg.nga.mil/genc/view?v=861829&amp;end_month=12&amp;end_day=31&amp;end_year=2016","Correlation")</f>
        <v>Correlation</v>
      </c>
    </row>
    <row r="266" spans="1:9" x14ac:dyDescent="0.2">
      <c r="A266" s="99"/>
      <c r="B266" s="100"/>
      <c r="C266" s="100"/>
      <c r="D266" s="67" t="b">
        <v>0</v>
      </c>
      <c r="E266" s="58" t="s">
        <v>1379</v>
      </c>
      <c r="F266" s="58" t="s">
        <v>1380</v>
      </c>
      <c r="G266" s="58" t="s">
        <v>1381</v>
      </c>
      <c r="H266" s="59" t="s">
        <v>1382</v>
      </c>
      <c r="I266" s="63" t="str">
        <f>HYPERLINK("http://nsgreg.nga.mil/genc/view?v=861830&amp;end_month=12&amp;end_day=31&amp;end_year=2016","Correlation")</f>
        <v>Correlation</v>
      </c>
    </row>
    <row r="267" spans="1:9" x14ac:dyDescent="0.2">
      <c r="A267" s="57" t="s">
        <v>12772</v>
      </c>
      <c r="B267" s="58" t="s">
        <v>1351</v>
      </c>
      <c r="C267" s="58" t="s">
        <v>1352</v>
      </c>
      <c r="D267" s="60" t="b">
        <v>1</v>
      </c>
      <c r="E267" s="58" t="s">
        <v>1350</v>
      </c>
      <c r="F267" s="58" t="s">
        <v>1351</v>
      </c>
      <c r="G267" s="58" t="s">
        <v>1352</v>
      </c>
      <c r="H267" s="59" t="s">
        <v>1353</v>
      </c>
      <c r="I267" s="63" t="str">
        <f>HYPERLINK("http://nsgreg.nga.mil/genc/view?v=861831&amp;end_month=12&amp;end_day=31&amp;end_year=2016","Correlation")</f>
        <v>Correlation</v>
      </c>
    </row>
    <row r="268" spans="1:9" x14ac:dyDescent="0.2">
      <c r="A268" s="57" t="s">
        <v>12773</v>
      </c>
      <c r="B268" s="58" t="s">
        <v>1355</v>
      </c>
      <c r="C268" s="58" t="s">
        <v>1356</v>
      </c>
      <c r="D268" s="60" t="b">
        <v>1</v>
      </c>
      <c r="E268" s="58" t="s">
        <v>1354</v>
      </c>
      <c r="F268" s="58" t="s">
        <v>1355</v>
      </c>
      <c r="G268" s="58" t="s">
        <v>1356</v>
      </c>
      <c r="H268" s="59" t="s">
        <v>1357</v>
      </c>
      <c r="I268" s="63" t="str">
        <f>HYPERLINK("http://nsgreg.nga.mil/genc/view?v=861832&amp;end_month=12&amp;end_day=31&amp;end_year=2016","Correlation")</f>
        <v>Correlation</v>
      </c>
    </row>
    <row r="269" spans="1:9" x14ac:dyDescent="0.2">
      <c r="A269" s="57" t="s">
        <v>12775</v>
      </c>
      <c r="B269" s="58" t="s">
        <v>1364</v>
      </c>
      <c r="C269" s="58" t="s">
        <v>1365</v>
      </c>
      <c r="D269" s="60" t="b">
        <v>1</v>
      </c>
      <c r="E269" s="58" t="s">
        <v>1363</v>
      </c>
      <c r="F269" s="58" t="s">
        <v>1364</v>
      </c>
      <c r="G269" s="58" t="s">
        <v>1365</v>
      </c>
      <c r="H269" s="59" t="s">
        <v>1366</v>
      </c>
      <c r="I269" s="63" t="str">
        <f>HYPERLINK("http://nsgreg.nga.mil/genc/view?v=861833&amp;end_month=12&amp;end_day=31&amp;end_year=2016","Correlation")</f>
        <v>Correlation</v>
      </c>
    </row>
    <row r="270" spans="1:9" x14ac:dyDescent="0.2">
      <c r="A270" s="99" t="s">
        <v>12716</v>
      </c>
      <c r="B270" s="100" t="s">
        <v>1051</v>
      </c>
      <c r="C270" s="100" t="s">
        <v>1052</v>
      </c>
      <c r="D270" s="60" t="b">
        <v>1</v>
      </c>
      <c r="E270" s="58" t="s">
        <v>1368</v>
      </c>
      <c r="F270" s="58" t="s">
        <v>1051</v>
      </c>
      <c r="G270" s="58" t="s">
        <v>1052</v>
      </c>
      <c r="H270" s="59" t="s">
        <v>1053</v>
      </c>
      <c r="I270" s="63" t="str">
        <f>HYPERLINK("http://nsgreg.nga.mil/genc/view?v=861834&amp;end_month=12&amp;end_day=31&amp;end_year=2016","Correlation")</f>
        <v>Correlation</v>
      </c>
    </row>
    <row r="271" spans="1:9" x14ac:dyDescent="0.2">
      <c r="A271" s="99"/>
      <c r="B271" s="100"/>
      <c r="C271" s="100"/>
      <c r="D271" s="67" t="b">
        <v>0</v>
      </c>
      <c r="E271" s="58" t="s">
        <v>1042</v>
      </c>
      <c r="F271" s="58" t="s">
        <v>1043</v>
      </c>
      <c r="G271" s="58" t="s">
        <v>1044</v>
      </c>
      <c r="H271" s="59" t="s">
        <v>1045</v>
      </c>
      <c r="I271" s="63" t="str">
        <f>HYPERLINK("http://nsgreg.nga.mil/genc/view?v=861835&amp;end_month=12&amp;end_day=31&amp;end_year=2016","Correlation")</f>
        <v>Correlation</v>
      </c>
    </row>
    <row r="272" spans="1:9" x14ac:dyDescent="0.2">
      <c r="A272" s="99"/>
      <c r="B272" s="100"/>
      <c r="C272" s="100"/>
      <c r="D272" s="67" t="b">
        <v>0</v>
      </c>
      <c r="E272" s="58" t="s">
        <v>1223</v>
      </c>
      <c r="F272" s="58" t="s">
        <v>1224</v>
      </c>
      <c r="G272" s="58" t="s">
        <v>1225</v>
      </c>
      <c r="H272" s="59" t="s">
        <v>1226</v>
      </c>
      <c r="I272" s="63" t="str">
        <f>HYPERLINK("http://nsgreg.nga.mil/genc/view?v=861836&amp;end_month=12&amp;end_day=31&amp;end_year=2016","Correlation")</f>
        <v>Correlation</v>
      </c>
    </row>
    <row r="273" spans="1:9" x14ac:dyDescent="0.2">
      <c r="A273" s="57" t="s">
        <v>12776</v>
      </c>
      <c r="B273" s="58" t="s">
        <v>1370</v>
      </c>
      <c r="C273" s="58" t="s">
        <v>1371</v>
      </c>
      <c r="D273" s="60" t="b">
        <v>1</v>
      </c>
      <c r="E273" s="58" t="s">
        <v>1369</v>
      </c>
      <c r="F273" s="58" t="s">
        <v>1370</v>
      </c>
      <c r="G273" s="58" t="s">
        <v>1371</v>
      </c>
      <c r="H273" s="59" t="s">
        <v>1372</v>
      </c>
      <c r="I273" s="63" t="str">
        <f>HYPERLINK("http://nsgreg.nga.mil/genc/view?v=861837&amp;end_month=12&amp;end_day=31&amp;end_year=2016","Correlation")</f>
        <v>Correlation</v>
      </c>
    </row>
    <row r="274" spans="1:9" x14ac:dyDescent="0.2">
      <c r="A274" s="57" t="s">
        <v>12777</v>
      </c>
      <c r="B274" s="58" t="s">
        <v>1374</v>
      </c>
      <c r="C274" s="58" t="s">
        <v>1375</v>
      </c>
      <c r="D274" s="60" t="b">
        <v>1</v>
      </c>
      <c r="E274" s="58" t="s">
        <v>1373</v>
      </c>
      <c r="F274" s="58" t="s">
        <v>1374</v>
      </c>
      <c r="G274" s="58" t="s">
        <v>1375</v>
      </c>
      <c r="H274" s="59" t="s">
        <v>1376</v>
      </c>
      <c r="I274" s="63" t="str">
        <f>HYPERLINK("http://nsgreg.nga.mil/genc/view?v=861838&amp;end_month=12&amp;end_day=31&amp;end_year=2016","Correlation")</f>
        <v>Correlation</v>
      </c>
    </row>
    <row r="275" spans="1:9" x14ac:dyDescent="0.2">
      <c r="A275" s="57" t="s">
        <v>12778</v>
      </c>
      <c r="B275" s="58" t="s">
        <v>1386</v>
      </c>
      <c r="C275" s="58" t="s">
        <v>1387</v>
      </c>
      <c r="D275" s="60" t="b">
        <v>1</v>
      </c>
      <c r="E275" s="58" t="s">
        <v>1385</v>
      </c>
      <c r="F275" s="58" t="s">
        <v>1386</v>
      </c>
      <c r="G275" s="58" t="s">
        <v>1387</v>
      </c>
      <c r="H275" s="59" t="s">
        <v>1388</v>
      </c>
      <c r="I275" s="63" t="str">
        <f>HYPERLINK("http://nsgreg.nga.mil/genc/view?v=861839&amp;end_month=12&amp;end_day=31&amp;end_year=2016","Correlation")</f>
        <v>Correlation</v>
      </c>
    </row>
    <row r="276" spans="1:9" x14ac:dyDescent="0.2">
      <c r="A276" s="57" t="s">
        <v>12779</v>
      </c>
      <c r="B276" s="58" t="s">
        <v>1396</v>
      </c>
      <c r="C276" s="58" t="s">
        <v>1397</v>
      </c>
      <c r="D276" s="60" t="b">
        <v>1</v>
      </c>
      <c r="E276" s="58" t="s">
        <v>1395</v>
      </c>
      <c r="F276" s="58" t="s">
        <v>1396</v>
      </c>
      <c r="G276" s="58" t="s">
        <v>1397</v>
      </c>
      <c r="H276" s="59" t="s">
        <v>1398</v>
      </c>
      <c r="I276" s="63" t="str">
        <f>HYPERLINK("http://nsgreg.nga.mil/genc/view?v=861840&amp;end_month=12&amp;end_day=31&amp;end_year=2016","Correlation")</f>
        <v>Correlation</v>
      </c>
    </row>
    <row r="277" spans="1:9" x14ac:dyDescent="0.2">
      <c r="A277" s="57" t="s">
        <v>12780</v>
      </c>
      <c r="B277" s="58" t="s">
        <v>1400</v>
      </c>
      <c r="C277" s="58" t="s">
        <v>1401</v>
      </c>
      <c r="D277" s="60" t="b">
        <v>1</v>
      </c>
      <c r="E277" s="58" t="s">
        <v>1399</v>
      </c>
      <c r="F277" s="58" t="s">
        <v>1400</v>
      </c>
      <c r="G277" s="58" t="s">
        <v>1401</v>
      </c>
      <c r="H277" s="59" t="s">
        <v>1402</v>
      </c>
      <c r="I277" s="63" t="str">
        <f>HYPERLINK("http://nsgreg.nga.mil/genc/view?v=861841&amp;end_month=12&amp;end_day=31&amp;end_year=2016","Correlation")</f>
        <v>Correlation</v>
      </c>
    </row>
    <row r="278" spans="1:9" x14ac:dyDescent="0.2">
      <c r="A278" s="57" t="s">
        <v>12783</v>
      </c>
      <c r="B278" s="58" t="s">
        <v>12784</v>
      </c>
      <c r="C278" s="58" t="s">
        <v>12785</v>
      </c>
      <c r="D278" s="60" t="b">
        <v>1</v>
      </c>
      <c r="E278" s="61" t="s">
        <v>167</v>
      </c>
      <c r="F278" s="61"/>
      <c r="G278" s="61"/>
      <c r="H278" s="62"/>
      <c r="I278" s="63" t="str">
        <f>HYPERLINK("http://nsgreg.nga.mil/genc/view?v=861842&amp;end_month=12&amp;end_day=31&amp;end_year=2016","Correlation")</f>
        <v>Correlation</v>
      </c>
    </row>
    <row r="279" spans="1:9" x14ac:dyDescent="0.2">
      <c r="A279" s="57" t="s">
        <v>12781</v>
      </c>
      <c r="B279" s="58" t="s">
        <v>1404</v>
      </c>
      <c r="C279" s="58" t="s">
        <v>1405</v>
      </c>
      <c r="D279" s="60" t="b">
        <v>1</v>
      </c>
      <c r="E279" s="58" t="s">
        <v>1403</v>
      </c>
      <c r="F279" s="58" t="s">
        <v>1404</v>
      </c>
      <c r="G279" s="58" t="s">
        <v>1405</v>
      </c>
      <c r="H279" s="59" t="s">
        <v>1406</v>
      </c>
      <c r="I279" s="63" t="str">
        <f>HYPERLINK("http://nsgreg.nga.mil/genc/view?v=861843&amp;end_month=12&amp;end_day=31&amp;end_year=2016","Correlation")</f>
        <v>Correlation</v>
      </c>
    </row>
    <row r="280" spans="1:9" x14ac:dyDescent="0.2">
      <c r="A280" s="70" t="s">
        <v>12782</v>
      </c>
      <c r="B280" s="71" t="s">
        <v>1408</v>
      </c>
      <c r="C280" s="71" t="s">
        <v>1409</v>
      </c>
      <c r="D280" s="73" t="b">
        <v>1</v>
      </c>
      <c r="E280" s="71" t="s">
        <v>1407</v>
      </c>
      <c r="F280" s="71" t="s">
        <v>1408</v>
      </c>
      <c r="G280" s="71" t="s">
        <v>1409</v>
      </c>
      <c r="H280" s="72" t="s">
        <v>1410</v>
      </c>
      <c r="I280" s="77" t="str">
        <f>HYPERLINK("http://nsgreg.nga.mil/genc/view?v=861844&amp;end_month=12&amp;end_day=31&amp;end_year=2016","Correlation")</f>
        <v>Correlation</v>
      </c>
    </row>
  </sheetData>
  <autoFilter ref="A4:H4"/>
  <mergeCells count="56">
    <mergeCell ref="A1:I1"/>
    <mergeCell ref="B2:B4"/>
    <mergeCell ref="C2:C4"/>
    <mergeCell ref="F2:F4"/>
    <mergeCell ref="G2:G4"/>
    <mergeCell ref="H2:H4"/>
    <mergeCell ref="I2:I4"/>
    <mergeCell ref="D3:D4"/>
    <mergeCell ref="A17:A19"/>
    <mergeCell ref="B17:B19"/>
    <mergeCell ref="C17:C19"/>
    <mergeCell ref="A37:A38"/>
    <mergeCell ref="B37:B38"/>
    <mergeCell ref="C37:C38"/>
    <mergeCell ref="A51:A53"/>
    <mergeCell ref="B51:B53"/>
    <mergeCell ref="C51:C53"/>
    <mergeCell ref="A64:A65"/>
    <mergeCell ref="B64:B65"/>
    <mergeCell ref="C64:C65"/>
    <mergeCell ref="A83:A84"/>
    <mergeCell ref="B83:B84"/>
    <mergeCell ref="C83:C84"/>
    <mergeCell ref="A87:A92"/>
    <mergeCell ref="B87:B92"/>
    <mergeCell ref="C87:C92"/>
    <mergeCell ref="A102:A104"/>
    <mergeCell ref="B102:B104"/>
    <mergeCell ref="C102:C104"/>
    <mergeCell ref="A146:A147"/>
    <mergeCell ref="B146:B147"/>
    <mergeCell ref="C146:C147"/>
    <mergeCell ref="A170:A172"/>
    <mergeCell ref="B170:B172"/>
    <mergeCell ref="C170:C172"/>
    <mergeCell ref="A185:A186"/>
    <mergeCell ref="B185:B186"/>
    <mergeCell ref="C185:C186"/>
    <mergeCell ref="A191:A192"/>
    <mergeCell ref="B191:B192"/>
    <mergeCell ref="C191:C192"/>
    <mergeCell ref="A226:A227"/>
    <mergeCell ref="B226:B227"/>
    <mergeCell ref="C226:C227"/>
    <mergeCell ref="A232:A234"/>
    <mergeCell ref="B232:B234"/>
    <mergeCell ref="C232:C234"/>
    <mergeCell ref="A252:A255"/>
    <mergeCell ref="B252:B255"/>
    <mergeCell ref="C252:C255"/>
    <mergeCell ref="A258:A266"/>
    <mergeCell ref="B258:B266"/>
    <mergeCell ref="C258:C266"/>
    <mergeCell ref="A270:A272"/>
    <mergeCell ref="B270:B272"/>
    <mergeCell ref="C270:C27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lass:Classification xmlns:class="urn:us:gov:cia:enterprise:schema:Classification:2.3" dateClassified="2017-02-27" portionMarking="false" caveat="false" tool="AACG" toolVersion="201620">
  <class:ClassificationMarking type="USClassificationMarking" value="UNCLASSIFIED"/>
  <class:ClassifiedBy>1070296-0</class:ClassifiedBy>
  <class:ClassificationHeader>
    <class:ClassificationBanner>UNCLASSIFIED</class:ClassificationBanner>
    <class:SCICaveat/>
    <class:DescriptiveMarkings/>
  </class:ClassificationHeader>
  <class:ClassificationFooter>
    <class:DescriptiveMarkings/>
    <class:ClassificationBanner>UNCLASSIFIED</class:ClassificationBanner>
  </class:ClassificationFooter>
</class:Classification>
</file>

<file path=customXml/itemProps1.xml><?xml version="1.0" encoding="utf-8"?>
<ds:datastoreItem xmlns:ds="http://schemas.openxmlformats.org/officeDocument/2006/customXml" ds:itemID="{9339B908-7081-4200-9684-9CEB5BA2FE0E}">
  <ds:schemaRefs>
    <ds:schemaRef ds:uri="urn:us:gov:cia:enterprise:schema:Classification:2.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Cover</vt:lpstr>
      <vt:lpstr>GE - GENC to ISO 3166</vt:lpstr>
      <vt:lpstr>AS - GENC to ISO 3166</vt:lpstr>
      <vt:lpstr>GE - ISO 3166 to GENC</vt:lpstr>
      <vt:lpstr>AS - ISO 3166 to GENC</vt:lpstr>
      <vt:lpstr>GE - GENC to STANAG 1059</vt:lpstr>
      <vt:lpstr>GE - STANAG 1059 to GENC</vt:lpstr>
    </vt:vector>
  </TitlesOfParts>
  <Company>The MITRE Corporation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pbirkel</dc:creator>
  <cp:lastModifiedBy>suggseo</cp:lastModifiedBy>
  <dcterms:created xsi:type="dcterms:W3CDTF">2012-10-20T12:34:18Z</dcterms:created>
  <dcterms:modified xsi:type="dcterms:W3CDTF">2017-02-27T16:49:25Z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ACG_OFFICE_DLL">
    <vt:bool>true</vt:bool>
  </property>
  <property fmtid="{D5CDD505-2E9C-101B-9397-08002B2CF9AE}" pid="3" name="AACG_Created">
    <vt:bool>true</vt:bool>
  </property>
  <property fmtid="{D5CDD505-2E9C-101B-9397-08002B2CF9AE}" pid="4" name="AACG_DescMarkings">
    <vt:lpwstr/>
  </property>
  <property fmtid="{D5CDD505-2E9C-101B-9397-08002B2CF9AE}" pid="5" name="AACG_AddMark">
    <vt:lpwstr/>
  </property>
  <property fmtid="{D5CDD505-2E9C-101B-9397-08002B2CF9AE}" pid="6" name="AACG_Header">
    <vt:lpwstr>UNCLASSIFIED</vt:lpwstr>
  </property>
  <property fmtid="{D5CDD505-2E9C-101B-9397-08002B2CF9AE}" pid="7" name="AACG_Footer">
    <vt:lpwstr>_x000d_UNCLASSIFIED</vt:lpwstr>
  </property>
  <property fmtid="{D5CDD505-2E9C-101B-9397-08002B2CF9AE}" pid="8" name="AACG_ClassBlock">
    <vt:lpwstr/>
  </property>
  <property fmtid="{D5CDD505-2E9C-101B-9397-08002B2CF9AE}" pid="9" name="AACG_ClassType">
    <vt:lpwstr>USClassificationMarking</vt:lpwstr>
  </property>
  <property fmtid="{D5CDD505-2E9C-101B-9397-08002B2CF9AE}" pid="10" name="AACG_DeclOnList">
    <vt:lpwstr/>
  </property>
  <property fmtid="{D5CDD505-2E9C-101B-9397-08002B2CF9AE}" pid="11" name="AACG_USAF_Derivatives">
    <vt:lpwstr/>
  </property>
  <property fmtid="{D5CDD505-2E9C-101B-9397-08002B2CF9AE}" pid="12" name="AACG_SCI_Other">
    <vt:lpwstr/>
  </property>
  <property fmtid="{D5CDD505-2E9C-101B-9397-08002B2CF9AE}" pid="13" name="AACG_Dissem_Other">
    <vt:lpwstr/>
  </property>
  <property fmtid="{D5CDD505-2E9C-101B-9397-08002B2CF9AE}" pid="14" name="AACG_NonInt_Other">
    <vt:lpwstr/>
  </property>
  <property fmtid="{D5CDD505-2E9C-101B-9397-08002B2CF9AE}" pid="15" name="PortionWaiver">
    <vt:lpwstr/>
  </property>
  <property fmtid="{D5CDD505-2E9C-101B-9397-08002B2CF9AE}" pid="16" name="AACG_OrconOriginator">
    <vt:lpwstr/>
  </property>
  <property fmtid="{D5CDD505-2E9C-101B-9397-08002B2CF9AE}" pid="17" name="AACG_OrconRecipients">
    <vt:lpwstr/>
  </property>
  <property fmtid="{D5CDD505-2E9C-101B-9397-08002B2CF9AE}" pid="18" name="AACG_CustomClassXMLPart">
    <vt:lpwstr>{9339B908-7081-4200-9684-9CEB5BA2FE0E}</vt:lpwstr>
  </property>
</Properties>
</file>